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0\JUL15\"/>
    </mc:Choice>
  </mc:AlternateContent>
  <bookViews>
    <workbookView xWindow="120" yWindow="30" windowWidth="9435" windowHeight="4710"/>
  </bookViews>
  <sheets>
    <sheet name="1 " sheetId="51" r:id="rId1"/>
    <sheet name="2" sheetId="52" r:id="rId2"/>
    <sheet name="3a" sheetId="2" r:id="rId3"/>
    <sheet name="3b" sheetId="11" r:id="rId4"/>
    <sheet name="4a&amp;4b" sheetId="12" r:id="rId5"/>
    <sheet name="5" sheetId="13" r:id="rId6"/>
    <sheet name="6" sheetId="14" r:id="rId7"/>
    <sheet name="7" sheetId="15" r:id="rId8"/>
    <sheet name="8" sheetId="16" r:id="rId9"/>
    <sheet name="9" sheetId="17" r:id="rId10"/>
    <sheet name="10" sheetId="18" r:id="rId11"/>
    <sheet name="11" sheetId="19" r:id="rId12"/>
    <sheet name="12" sheetId="20" r:id="rId13"/>
    <sheet name="13" sheetId="21" r:id="rId14"/>
    <sheet name="14" sheetId="43" r:id="rId15"/>
    <sheet name="15" sheetId="44" r:id="rId16"/>
    <sheet name=" 16 a-b" sheetId="22" r:id="rId17"/>
    <sheet name="17" sheetId="45" r:id="rId18"/>
    <sheet name="18a-b" sheetId="23" r:id="rId19"/>
    <sheet name="19-20a-b" sheetId="24" r:id="rId20"/>
    <sheet name="20c-d-e" sheetId="25" r:id="rId21"/>
    <sheet name="21a-b-22a" sheetId="26" r:id="rId22"/>
    <sheet name="22b-c-d" sheetId="27" r:id="rId23"/>
    <sheet name="23-24" sheetId="3" r:id="rId24"/>
    <sheet name="25a-b" sheetId="28" r:id="rId25"/>
    <sheet name="26" sheetId="4" r:id="rId26"/>
    <sheet name="27a-b" sheetId="46" r:id="rId27"/>
    <sheet name="28" sheetId="29" r:id="rId28"/>
    <sheet name="29" sheetId="5" r:id="rId29"/>
    <sheet name="30" sheetId="8" r:id="rId30"/>
    <sheet name="31" sheetId="9" r:id="rId31"/>
    <sheet name="32" sheetId="10" r:id="rId32"/>
    <sheet name="33" sheetId="47" r:id="rId33"/>
    <sheet name="34a-b " sheetId="42" r:id="rId34"/>
    <sheet name="35a-b" sheetId="30" r:id="rId35"/>
    <sheet name="35c-35d-35e" sheetId="31" r:id="rId36"/>
    <sheet name="36" sheetId="48" r:id="rId37"/>
    <sheet name="37" sheetId="49" r:id="rId38"/>
    <sheet name="38-39" sheetId="33" r:id="rId39"/>
    <sheet name="40-41" sheetId="34" r:id="rId40"/>
    <sheet name="42-43-44" sheetId="35" r:id="rId41"/>
    <sheet name="45-46" sheetId="36" r:id="rId42"/>
    <sheet name="47" sheetId="37" r:id="rId43"/>
    <sheet name="48a-b" sheetId="38" r:id="rId44"/>
    <sheet name="49a-b" sheetId="39" r:id="rId45"/>
    <sheet name="50" sheetId="40" r:id="rId46"/>
    <sheet name="51" sheetId="41" r:id="rId47"/>
    <sheet name="52a-b" sheetId="50" r:id="rId48"/>
    <sheet name="53a" sheetId="6" r:id="rId49"/>
    <sheet name="53b" sheetId="7"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_xlnm.Database" localSheetId="16">'[1]Table-1'!#REF!</definedName>
    <definedName name="_xlnm.Database" localSheetId="0">'[2]Table-1'!#REF!</definedName>
    <definedName name="_xlnm.Database" localSheetId="10">'[1]Table-1'!#REF!</definedName>
    <definedName name="_xlnm.Database" localSheetId="11">'[1]Table-1'!#REF!</definedName>
    <definedName name="_xlnm.Database" localSheetId="12">'[1]Table-1'!#REF!</definedName>
    <definedName name="_xlnm.Database" localSheetId="13">'[1]Table-1'!#REF!</definedName>
    <definedName name="_xlnm.Database" localSheetId="15">'[1]Table-1'!#REF!</definedName>
    <definedName name="_xlnm.Database" localSheetId="17">'[1]Table-1'!#REF!</definedName>
    <definedName name="_xlnm.Database" localSheetId="18">'[2]Table-1'!#REF!</definedName>
    <definedName name="_xlnm.Database" localSheetId="19">'[2]Table-1'!#REF!</definedName>
    <definedName name="_xlnm.Database" localSheetId="20">'[2]Table-1'!#REF!</definedName>
    <definedName name="_xlnm.Database" localSheetId="21">'[2]Table-1'!#REF!</definedName>
    <definedName name="_xlnm.Database" localSheetId="22">'[2]Table-1'!#REF!</definedName>
    <definedName name="_xlnm.Database" localSheetId="24">'[2]Table-1'!#REF!</definedName>
    <definedName name="_xlnm.Database" localSheetId="25">'[1]Table-1'!#REF!</definedName>
    <definedName name="_xlnm.Database" localSheetId="26">'[1]Table-1'!#REF!</definedName>
    <definedName name="_xlnm.Database" localSheetId="28">'[1]Table-1'!#REF!</definedName>
    <definedName name="_xlnm.Database" localSheetId="29">'[1]Table-1'!#REF!</definedName>
    <definedName name="_xlnm.Database" localSheetId="30">'[1]Table-1'!#REF!</definedName>
    <definedName name="_xlnm.Database" localSheetId="35">'[1]Table-1'!#REF!</definedName>
    <definedName name="_xlnm.Database" localSheetId="37">'[1]Table-1'!#REF!</definedName>
    <definedName name="_xlnm.Database" localSheetId="38">'[2]Table-1'!#REF!</definedName>
    <definedName name="_xlnm.Database" localSheetId="39">'[2]Table-1'!#REF!</definedName>
    <definedName name="_xlnm.Database" localSheetId="40">'[2]Table-1'!#REF!</definedName>
    <definedName name="_xlnm.Database" localSheetId="41">'[2]Table-1'!#REF!</definedName>
    <definedName name="_xlnm.Database" localSheetId="42">'[2]Table-1'!#REF!</definedName>
    <definedName name="_xlnm.Database" localSheetId="43">'[1]Table-1'!#REF!</definedName>
    <definedName name="_xlnm.Database" localSheetId="44">'[1]Table-1'!#REF!</definedName>
    <definedName name="_xlnm.Database" localSheetId="4">'[1]Table-1'!#REF!</definedName>
    <definedName name="_xlnm.Database" localSheetId="5">'[1]Table-1'!#REF!</definedName>
    <definedName name="_xlnm.Database" localSheetId="46">'[1]Table-1'!#REF!</definedName>
    <definedName name="_xlnm.Database" localSheetId="47">'[1]Table-1'!#REF!</definedName>
    <definedName name="_xlnm.Database" localSheetId="48">'[1]Table-1'!#REF!</definedName>
    <definedName name="_xlnm.Database" localSheetId="49">'[1]Table-1'!#REF!</definedName>
    <definedName name="_xlnm.Database" localSheetId="6">'[1]Table-1'!#REF!</definedName>
    <definedName name="_xlnm.Database" localSheetId="7">'[1]Table-1'!#REF!</definedName>
    <definedName name="_xlnm.Database" localSheetId="8">'[1]Table-1'!#REF!</definedName>
    <definedName name="_xlnm.Database" localSheetId="9">'[1]Table-1'!#REF!</definedName>
    <definedName name="_xlnm.Database">'[1]Table-1'!#REF!</definedName>
    <definedName name="_xlnm.Print_Area" localSheetId="16">' 16 a-b'!$A$1:$BO$69</definedName>
    <definedName name="_xlnm.Print_Area" localSheetId="0">'1 '!$A$1:$P$47</definedName>
    <definedName name="_xlnm.Print_Area" localSheetId="10">'10'!$A$1:$DS$66</definedName>
    <definedName name="_xlnm.Print_Area" localSheetId="11">'11'!$A$1:$BO$48</definedName>
    <definedName name="_xlnm.Print_Area" localSheetId="12">'12'!$A$1:$BQ$51</definedName>
    <definedName name="_xlnm.Print_Area" localSheetId="13">'13'!$A$1:$BO$42</definedName>
    <definedName name="_xlnm.Print_Area" localSheetId="14">'14'!$A$1:$AO$26</definedName>
    <definedName name="_xlnm.Print_Area" localSheetId="15">'15'!$A$1:$T$31</definedName>
    <definedName name="_xlnm.Print_Area" localSheetId="17">'17'!$A$1:$Y$107</definedName>
    <definedName name="_xlnm.Print_Area" localSheetId="18">'18a-b'!$A$1:$O$43</definedName>
    <definedName name="_xlnm.Print_Area" localSheetId="19">'19-20a-b'!$A$1:$I$46</definedName>
    <definedName name="_xlnm.Print_Area" localSheetId="20">'20c-d-e'!$A$1:$G$58</definedName>
    <definedName name="_xlnm.Print_Area" localSheetId="21">'21a-b-22a'!$A$1:$O$46</definedName>
    <definedName name="_xlnm.Print_Area" localSheetId="22">'22b-c-d'!$A$1:$J$45</definedName>
    <definedName name="_xlnm.Print_Area" localSheetId="23">'23-24'!$A$1:$J$44</definedName>
    <definedName name="_xlnm.Print_Area" localSheetId="24">'25a-b'!$A$1:$H$199</definedName>
    <definedName name="_xlnm.Print_Area" localSheetId="25">'26'!$A$1:$I$35</definedName>
    <definedName name="_xlnm.Print_Area" localSheetId="26">'27a-b'!$A$1:$N$383</definedName>
    <definedName name="_xlnm.Print_Area" localSheetId="27">'28'!$A$42:$G$338</definedName>
    <definedName name="_xlnm.Print_Area" localSheetId="28">'29'!$A$1:$F$73</definedName>
    <definedName name="_xlnm.Print_Area" localSheetId="29">'30'!$A$1:$DQ$66</definedName>
    <definedName name="_xlnm.Print_Area" localSheetId="30">'31'!$A$1:$K$127</definedName>
    <definedName name="_xlnm.Print_Area" localSheetId="31">'32'!$A$1:$G$34</definedName>
    <definedName name="_xlnm.Print_Area" localSheetId="32">'33'!$A$1:$J$23</definedName>
    <definedName name="_xlnm.Print_Area" localSheetId="33">'34a-b '!$A$1:$I$244</definedName>
    <definedName name="_xlnm.Print_Area" localSheetId="34">'35a-b'!$A$1:$K$141</definedName>
    <definedName name="_xlnm.Print_Area" localSheetId="35">'35c-35d-35e'!$A$1:$N$156</definedName>
    <definedName name="_xlnm.Print_Area" localSheetId="36">'36'!$A$1:$J$78</definedName>
    <definedName name="_xlnm.Print_Area" localSheetId="37">'37'!$A$1:$H$143</definedName>
    <definedName name="_xlnm.Print_Area" localSheetId="38">'38-39'!$A$1:$M$175</definedName>
    <definedName name="_xlnm.Print_Area" localSheetId="2">'3a'!$A$1:$F$62</definedName>
    <definedName name="_xlnm.Print_Area" localSheetId="3">'3b'!$A$1:$D$208</definedName>
    <definedName name="_xlnm.Print_Area" localSheetId="39">'40-41'!$A$1:$EY$41</definedName>
    <definedName name="_xlnm.Print_Area" localSheetId="40">'42-43-44'!$A$1:$H$61</definedName>
    <definedName name="_xlnm.Print_Area" localSheetId="41">'45-46'!$A$1:$K$43</definedName>
    <definedName name="_xlnm.Print_Area" localSheetId="42">'47'!$A$1:$L$22</definedName>
    <definedName name="_xlnm.Print_Area" localSheetId="43">'48a-b'!$A$1:$O$66</definedName>
    <definedName name="_xlnm.Print_Area" localSheetId="44">'49a-b'!$A$1:$P$66</definedName>
    <definedName name="_xlnm.Print_Area" localSheetId="4">'4a&amp;4b'!$A$1:$Y$270</definedName>
    <definedName name="_xlnm.Print_Area" localSheetId="5">'5'!$A$1:$H$150</definedName>
    <definedName name="_xlnm.Print_Area" localSheetId="45">'50'!$A$1:$D$17</definedName>
    <definedName name="_xlnm.Print_Area" localSheetId="46">'51'!$A$1:$H$124</definedName>
    <definedName name="_xlnm.Print_Area" localSheetId="47">'52a-b'!$A$1:$AP$41</definedName>
    <definedName name="_xlnm.Print_Area" localSheetId="48">'53a'!$A$1:$H$75</definedName>
    <definedName name="_xlnm.Print_Area" localSheetId="49">'53b'!$A$1:$G$73</definedName>
    <definedName name="_xlnm.Print_Area" localSheetId="6">'6'!$A$1:$DR$143</definedName>
    <definedName name="_xlnm.Print_Area" localSheetId="7">'7'!$A$1:$BP$67</definedName>
    <definedName name="_xlnm.Print_Area" localSheetId="8">'8'!$A$1:$DS$65</definedName>
    <definedName name="_xlnm.Print_Area" localSheetId="9">'9'!$A$1:$DS$65</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4">#REF!</definedName>
    <definedName name="Print_Area_MI" localSheetId="25">#REF!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5">#REF!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#REF!</definedName>
    <definedName name="Print_Area_MI" localSheetId="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s>
  <calcPr calcId="152511"/>
</workbook>
</file>

<file path=xl/calcChain.xml><?xml version="1.0" encoding="utf-8"?>
<calcChain xmlns="http://schemas.openxmlformats.org/spreadsheetml/2006/main">
  <c r="AM36" i="50" l="1"/>
  <c r="AP30" i="50"/>
  <c r="AO30" i="50"/>
  <c r="AL30" i="50"/>
  <c r="AK30" i="50"/>
  <c r="AJ30" i="50"/>
  <c r="AI30" i="50"/>
  <c r="AH30" i="50"/>
  <c r="AG30" i="50"/>
  <c r="AF30" i="50"/>
  <c r="AE30" i="50"/>
  <c r="AD30" i="50"/>
  <c r="AC30" i="50"/>
  <c r="AB30" i="50"/>
  <c r="AA30" i="50"/>
  <c r="Z30" i="50"/>
  <c r="Y30" i="50"/>
  <c r="X30" i="50"/>
  <c r="W30" i="50"/>
  <c r="V30" i="50"/>
  <c r="U30" i="50"/>
  <c r="T30" i="50"/>
  <c r="S30" i="50"/>
  <c r="R30" i="50"/>
  <c r="Q30" i="50"/>
  <c r="Z19" i="50"/>
  <c r="AP12" i="50"/>
  <c r="AP13" i="50" s="1"/>
  <c r="Y12" i="50"/>
  <c r="Y13" i="50" s="1"/>
  <c r="X12" i="50"/>
  <c r="X13" i="50" s="1"/>
  <c r="H69" i="48" l="1"/>
  <c r="H68" i="48"/>
  <c r="H60" i="48"/>
  <c r="H59" i="48"/>
  <c r="H58" i="48"/>
  <c r="H57" i="48"/>
  <c r="H56" i="48"/>
  <c r="I55" i="48"/>
  <c r="H55" i="48"/>
  <c r="I54" i="48"/>
  <c r="H54" i="48"/>
  <c r="H53" i="48"/>
  <c r="I53" i="48" s="1"/>
  <c r="H52" i="48"/>
  <c r="I52" i="48" s="1"/>
  <c r="H51" i="48"/>
  <c r="H50" i="48"/>
  <c r="H49" i="48"/>
  <c r="H48" i="48"/>
  <c r="H47" i="48"/>
  <c r="H46" i="48"/>
  <c r="H45" i="48"/>
  <c r="H44" i="48"/>
  <c r="H43" i="48"/>
  <c r="H42" i="48"/>
  <c r="H41" i="48"/>
  <c r="H40" i="48"/>
  <c r="H39" i="48"/>
  <c r="H38" i="48"/>
  <c r="H36" i="48"/>
  <c r="I35" i="48"/>
  <c r="H35" i="48"/>
  <c r="H34" i="48"/>
  <c r="I34" i="48" s="1"/>
  <c r="E33" i="48"/>
  <c r="H33" i="48" s="1"/>
  <c r="I33" i="48" s="1"/>
  <c r="H32" i="48"/>
  <c r="I32" i="48" s="1"/>
  <c r="E32" i="48"/>
  <c r="E31" i="48"/>
  <c r="H31" i="48" s="1"/>
  <c r="I31" i="48" s="1"/>
  <c r="E30" i="48"/>
  <c r="H30" i="48" s="1"/>
  <c r="I30" i="48" s="1"/>
  <c r="I29" i="48"/>
  <c r="H29" i="48"/>
  <c r="E29" i="48"/>
  <c r="E28" i="48"/>
  <c r="H28" i="48" s="1"/>
  <c r="I28" i="48" s="1"/>
  <c r="E27" i="48"/>
  <c r="H27" i="48" s="1"/>
  <c r="I27" i="48" s="1"/>
  <c r="E26" i="48"/>
  <c r="H26" i="48" s="1"/>
  <c r="I26" i="48" s="1"/>
  <c r="E25" i="48"/>
  <c r="H25" i="48" s="1"/>
  <c r="I25" i="48" s="1"/>
  <c r="H24" i="48"/>
  <c r="I24" i="48" s="1"/>
  <c r="E24" i="48"/>
  <c r="E23" i="48"/>
  <c r="H23" i="48" s="1"/>
  <c r="I23" i="48" s="1"/>
  <c r="E22" i="48"/>
  <c r="H22" i="48" s="1"/>
  <c r="I22" i="48" s="1"/>
  <c r="I21" i="48"/>
  <c r="H21" i="48"/>
  <c r="H20" i="48"/>
  <c r="I20" i="48" s="1"/>
  <c r="D20" i="48"/>
  <c r="H19" i="48"/>
  <c r="I19" i="48" s="1"/>
  <c r="D19" i="48"/>
  <c r="I18" i="48"/>
  <c r="H18" i="48"/>
  <c r="I17" i="48"/>
  <c r="I16" i="48"/>
  <c r="I15" i="48"/>
  <c r="I14" i="48"/>
  <c r="H13" i="48"/>
  <c r="I13" i="48" s="1"/>
  <c r="I12" i="48"/>
  <c r="H12" i="48"/>
  <c r="I10" i="48"/>
  <c r="H9" i="48"/>
  <c r="I9" i="48" s="1"/>
  <c r="H8" i="48"/>
  <c r="I8" i="48" s="1"/>
  <c r="M220" i="46" l="1"/>
  <c r="N220" i="46" s="1"/>
  <c r="K220" i="46"/>
  <c r="N15" i="46"/>
  <c r="O15" i="46" s="1"/>
  <c r="L15" i="46"/>
  <c r="X102" i="45" l="1"/>
  <c r="J102" i="45"/>
  <c r="Y102" i="45" s="1"/>
  <c r="X101" i="45"/>
  <c r="J101" i="45"/>
  <c r="Y101" i="45" s="1"/>
  <c r="Y100" i="45"/>
  <c r="X100" i="45"/>
  <c r="J100" i="45"/>
  <c r="J99" i="45"/>
  <c r="Y99" i="45" s="1"/>
  <c r="X98" i="45"/>
  <c r="J98" i="45"/>
  <c r="Y98" i="45" s="1"/>
  <c r="Y97" i="45"/>
  <c r="X97" i="45"/>
  <c r="J97" i="45"/>
  <c r="X96" i="45"/>
  <c r="J96" i="45"/>
  <c r="Y96" i="45" s="1"/>
  <c r="J95" i="45"/>
  <c r="X94" i="45"/>
  <c r="Y94" i="45" s="1"/>
  <c r="J94" i="45"/>
  <c r="X93" i="45"/>
  <c r="J93" i="45"/>
  <c r="Y93" i="45" s="1"/>
  <c r="X92" i="45"/>
  <c r="J92" i="45"/>
  <c r="Y92" i="45" s="1"/>
  <c r="Y91" i="45"/>
  <c r="X91" i="45"/>
  <c r="J91" i="45"/>
  <c r="X90" i="45"/>
  <c r="J90" i="45"/>
  <c r="Y90" i="45" s="1"/>
  <c r="X89" i="45"/>
  <c r="J89" i="45"/>
  <c r="Y89" i="45" s="1"/>
  <c r="Y88" i="45"/>
  <c r="X88" i="45"/>
  <c r="J88" i="45"/>
  <c r="X87" i="45"/>
  <c r="J87" i="45"/>
  <c r="Y87" i="45" s="1"/>
  <c r="X86" i="45"/>
  <c r="Y86" i="45" s="1"/>
  <c r="J86" i="45"/>
  <c r="X85" i="45"/>
  <c r="J85" i="45"/>
  <c r="Y85" i="45" s="1"/>
  <c r="X84" i="45"/>
  <c r="J84" i="45"/>
  <c r="Y84" i="45" s="1"/>
  <c r="Y83" i="45"/>
  <c r="X83" i="45"/>
  <c r="J83" i="45"/>
  <c r="X82" i="45"/>
  <c r="J82" i="45"/>
  <c r="Y82" i="45" s="1"/>
  <c r="X81" i="45"/>
  <c r="J81" i="45"/>
  <c r="Y81" i="45" s="1"/>
  <c r="Y80" i="45"/>
  <c r="X80" i="45"/>
  <c r="J80" i="45"/>
  <c r="X79" i="45"/>
  <c r="J79" i="45"/>
  <c r="Y79" i="45" s="1"/>
  <c r="X78" i="45"/>
  <c r="Y78" i="45" s="1"/>
  <c r="J78" i="45"/>
  <c r="X77" i="45"/>
  <c r="J77" i="45"/>
  <c r="Y77" i="45" s="1"/>
  <c r="X76" i="45"/>
  <c r="J76" i="45"/>
  <c r="Y76" i="45" s="1"/>
  <c r="Y75" i="45"/>
  <c r="X75" i="45"/>
  <c r="J75" i="45"/>
  <c r="X74" i="45"/>
  <c r="J74" i="45"/>
  <c r="Y74" i="45" s="1"/>
  <c r="X73" i="45"/>
  <c r="J73" i="45"/>
  <c r="Y73" i="45" s="1"/>
  <c r="Y72" i="45"/>
  <c r="X72" i="45"/>
  <c r="J72" i="45"/>
  <c r="X71" i="45"/>
  <c r="J71" i="45"/>
  <c r="Y71" i="45" s="1"/>
  <c r="X70" i="45"/>
  <c r="J70" i="45"/>
  <c r="Y70" i="45" s="1"/>
  <c r="X69" i="45"/>
  <c r="J69" i="45"/>
  <c r="Y69" i="45" s="1"/>
  <c r="X68" i="45"/>
  <c r="J68" i="45"/>
  <c r="Y68" i="45" s="1"/>
  <c r="Y66" i="45"/>
  <c r="T16" i="44" l="1"/>
  <c r="S16" i="44"/>
  <c r="R16" i="44"/>
  <c r="O16" i="44"/>
  <c r="N16" i="44"/>
  <c r="M16" i="44"/>
  <c r="L16" i="44"/>
  <c r="I16" i="44"/>
  <c r="H16" i="44"/>
  <c r="F16" i="44"/>
  <c r="E16" i="44"/>
  <c r="D16" i="44"/>
  <c r="I14" i="44"/>
  <c r="I20" i="44" s="1"/>
  <c r="I24" i="44" s="1"/>
  <c r="I28" i="44" s="1"/>
  <c r="T10" i="44"/>
  <c r="S10" i="44"/>
  <c r="R10" i="44"/>
  <c r="O10" i="44"/>
  <c r="N10" i="44"/>
  <c r="M10" i="44"/>
  <c r="L10" i="44"/>
  <c r="I10" i="44"/>
  <c r="H10" i="44"/>
  <c r="F10" i="44"/>
  <c r="E10" i="44"/>
  <c r="D10" i="44"/>
  <c r="T8" i="44"/>
  <c r="T14" i="44" s="1"/>
  <c r="T20" i="44" s="1"/>
  <c r="T24" i="44" s="1"/>
  <c r="T28" i="44" s="1"/>
  <c r="S8" i="44"/>
  <c r="S14" i="44" s="1"/>
  <c r="S20" i="44" s="1"/>
  <c r="S24" i="44" s="1"/>
  <c r="S28" i="44" s="1"/>
  <c r="R8" i="44"/>
  <c r="R14" i="44" s="1"/>
  <c r="R20" i="44" s="1"/>
  <c r="R24" i="44" s="1"/>
  <c r="R28" i="44" s="1"/>
  <c r="O8" i="44"/>
  <c r="O14" i="44" s="1"/>
  <c r="O20" i="44" s="1"/>
  <c r="O24" i="44" s="1"/>
  <c r="O28" i="44" s="1"/>
  <c r="N8" i="44"/>
  <c r="N14" i="44" s="1"/>
  <c r="N20" i="44" s="1"/>
  <c r="N24" i="44" s="1"/>
  <c r="N28" i="44" s="1"/>
  <c r="M8" i="44"/>
  <c r="M14" i="44" s="1"/>
  <c r="M20" i="44" s="1"/>
  <c r="M24" i="44" s="1"/>
  <c r="M28" i="44" s="1"/>
  <c r="L8" i="44"/>
  <c r="L14" i="44" s="1"/>
  <c r="L20" i="44" s="1"/>
  <c r="L24" i="44" s="1"/>
  <c r="L28" i="44" s="1"/>
  <c r="J8" i="44"/>
  <c r="I8" i="44"/>
  <c r="H8" i="44"/>
  <c r="H14" i="44" s="1"/>
  <c r="H20" i="44" s="1"/>
  <c r="H24" i="44" s="1"/>
  <c r="H28" i="44" s="1"/>
  <c r="F8" i="44"/>
  <c r="F14" i="44" s="1"/>
  <c r="F20" i="44" s="1"/>
  <c r="F24" i="44" s="1"/>
  <c r="F28" i="44" s="1"/>
  <c r="E8" i="44"/>
  <c r="E14" i="44" s="1"/>
  <c r="E20" i="44" s="1"/>
  <c r="E24" i="44" s="1"/>
  <c r="E28" i="44" s="1"/>
  <c r="D8" i="44"/>
  <c r="D14" i="44" s="1"/>
  <c r="D20" i="44" s="1"/>
  <c r="D24" i="44" s="1"/>
  <c r="D28" i="44" s="1"/>
  <c r="C241" i="42" l="1"/>
  <c r="B241" i="42"/>
  <c r="D241" i="42" s="1"/>
  <c r="D240" i="42"/>
  <c r="D239" i="42"/>
  <c r="D238" i="42"/>
  <c r="D237" i="42"/>
  <c r="D236" i="42"/>
  <c r="D235" i="42"/>
  <c r="D234" i="42"/>
  <c r="D232" i="42"/>
  <c r="D231" i="42"/>
  <c r="D230" i="42"/>
  <c r="D229" i="42"/>
  <c r="D228" i="42"/>
  <c r="D227" i="42"/>
  <c r="D226" i="42"/>
  <c r="D225" i="42"/>
  <c r="D224" i="42"/>
  <c r="D223" i="42"/>
  <c r="D222" i="42"/>
  <c r="D221" i="42"/>
  <c r="D220" i="42"/>
  <c r="D219" i="42"/>
  <c r="D218" i="42"/>
  <c r="D217" i="42"/>
  <c r="D216" i="42"/>
  <c r="D215" i="42"/>
  <c r="D214" i="42"/>
  <c r="D213" i="42"/>
  <c r="D212" i="42"/>
  <c r="D211" i="42"/>
  <c r="D210" i="42"/>
  <c r="D209" i="42"/>
  <c r="D208" i="42"/>
  <c r="D207" i="42"/>
  <c r="H164" i="42"/>
  <c r="G164" i="42"/>
  <c r="H163" i="42"/>
  <c r="G163" i="42"/>
  <c r="H162" i="42"/>
  <c r="G162" i="42"/>
  <c r="H160" i="42"/>
  <c r="G160" i="42"/>
  <c r="H153" i="42"/>
  <c r="G153" i="42"/>
  <c r="H141" i="42"/>
  <c r="G141" i="42"/>
  <c r="H114" i="41" l="1"/>
  <c r="G114" i="41"/>
  <c r="F114" i="41"/>
  <c r="E114" i="41"/>
  <c r="D114" i="41"/>
  <c r="C114" i="41"/>
  <c r="H111" i="41"/>
  <c r="H107" i="41" s="1"/>
  <c r="G111" i="41"/>
  <c r="G107" i="41" s="1"/>
  <c r="F111" i="41"/>
  <c r="F107" i="41" s="1"/>
  <c r="E111" i="41"/>
  <c r="E107" i="41" s="1"/>
  <c r="D111" i="41"/>
  <c r="D107" i="41" s="1"/>
  <c r="C111" i="41"/>
  <c r="C107" i="41"/>
  <c r="H104" i="41"/>
  <c r="H100" i="41" s="1"/>
  <c r="G104" i="41"/>
  <c r="F104" i="41"/>
  <c r="F100" i="41" s="1"/>
  <c r="F99" i="41" s="1"/>
  <c r="E104" i="41"/>
  <c r="E100" i="41" s="1"/>
  <c r="E99" i="41" s="1"/>
  <c r="D104" i="41"/>
  <c r="D100" i="41" s="1"/>
  <c r="C104" i="41"/>
  <c r="C100" i="41" s="1"/>
  <c r="G100" i="41"/>
  <c r="H97" i="41"/>
  <c r="H94" i="41" s="1"/>
  <c r="H88" i="41" s="1"/>
  <c r="G97" i="41"/>
  <c r="F97" i="41"/>
  <c r="E97" i="41"/>
  <c r="D97" i="41"/>
  <c r="C97" i="41"/>
  <c r="H95" i="41"/>
  <c r="G95" i="41"/>
  <c r="G94" i="41" s="1"/>
  <c r="G88" i="41" s="1"/>
  <c r="F95" i="41"/>
  <c r="F94" i="41" s="1"/>
  <c r="F88" i="41" s="1"/>
  <c r="E95" i="41"/>
  <c r="D95" i="41"/>
  <c r="C95" i="41"/>
  <c r="C94" i="41" s="1"/>
  <c r="C88" i="41" s="1"/>
  <c r="H92" i="41"/>
  <c r="G92" i="41"/>
  <c r="F92" i="41"/>
  <c r="E92" i="41"/>
  <c r="D92" i="41"/>
  <c r="C92" i="41"/>
  <c r="H90" i="41"/>
  <c r="G90" i="41"/>
  <c r="F90" i="41"/>
  <c r="E90" i="41"/>
  <c r="D90" i="41"/>
  <c r="C90" i="41"/>
  <c r="H86" i="41"/>
  <c r="G86" i="41"/>
  <c r="F86" i="41"/>
  <c r="E86" i="41"/>
  <c r="D86" i="41"/>
  <c r="C86" i="41"/>
  <c r="C83" i="41" s="1"/>
  <c r="H84" i="41"/>
  <c r="H83" i="41" s="1"/>
  <c r="G84" i="41"/>
  <c r="F84" i="41"/>
  <c r="E84" i="41"/>
  <c r="E83" i="41" s="1"/>
  <c r="D84" i="41"/>
  <c r="D83" i="41" s="1"/>
  <c r="C84" i="41"/>
  <c r="H80" i="41"/>
  <c r="G80" i="41"/>
  <c r="F80" i="41"/>
  <c r="E80" i="41"/>
  <c r="D80" i="41"/>
  <c r="C80" i="41"/>
  <c r="H77" i="41"/>
  <c r="H75" i="41" s="1"/>
  <c r="G77" i="41"/>
  <c r="G75" i="41" s="1"/>
  <c r="F77" i="41"/>
  <c r="F75" i="41" s="1"/>
  <c r="F71" i="41" s="1"/>
  <c r="E77" i="41"/>
  <c r="E75" i="41" s="1"/>
  <c r="D77" i="41"/>
  <c r="D75" i="41" s="1"/>
  <c r="C77" i="41"/>
  <c r="C75" i="41" s="1"/>
  <c r="H72" i="41"/>
  <c r="G72" i="41"/>
  <c r="F72" i="41"/>
  <c r="E72" i="41"/>
  <c r="D72" i="41"/>
  <c r="D71" i="41" s="1"/>
  <c r="C72" i="41"/>
  <c r="H69" i="41"/>
  <c r="H65" i="41" s="1"/>
  <c r="G69" i="41"/>
  <c r="G65" i="41" s="1"/>
  <c r="F69" i="41"/>
  <c r="F65" i="41" s="1"/>
  <c r="E69" i="41"/>
  <c r="E65" i="41" s="1"/>
  <c r="D69" i="41"/>
  <c r="D65" i="41" s="1"/>
  <c r="D59" i="41" s="1"/>
  <c r="C69" i="41"/>
  <c r="C65" i="41" s="1"/>
  <c r="H63" i="41"/>
  <c r="G63" i="41"/>
  <c r="F63" i="41"/>
  <c r="E63" i="41"/>
  <c r="D63" i="41"/>
  <c r="C63" i="41"/>
  <c r="H61" i="41"/>
  <c r="G61" i="41"/>
  <c r="F61" i="41"/>
  <c r="F59" i="41" s="1"/>
  <c r="E61" i="41"/>
  <c r="D61" i="41"/>
  <c r="C61" i="41"/>
  <c r="H52" i="41"/>
  <c r="H48" i="41" s="1"/>
  <c r="G52" i="41"/>
  <c r="F52" i="41"/>
  <c r="F48" i="41" s="1"/>
  <c r="E52" i="41"/>
  <c r="E48" i="41" s="1"/>
  <c r="D52" i="41"/>
  <c r="D48" i="41" s="1"/>
  <c r="C52" i="41"/>
  <c r="C48" i="41" s="1"/>
  <c r="G48" i="41"/>
  <c r="H46" i="41"/>
  <c r="G46" i="41"/>
  <c r="F46" i="41"/>
  <c r="E46" i="41"/>
  <c r="D46" i="41"/>
  <c r="C46" i="41"/>
  <c r="H44" i="41"/>
  <c r="G44" i="41"/>
  <c r="G42" i="41" s="1"/>
  <c r="F44" i="41"/>
  <c r="E44" i="41"/>
  <c r="D44" i="41"/>
  <c r="C44" i="41"/>
  <c r="H38" i="41"/>
  <c r="G38" i="41"/>
  <c r="F38" i="41"/>
  <c r="E38" i="41"/>
  <c r="D38" i="41"/>
  <c r="C38" i="41"/>
  <c r="H35" i="41"/>
  <c r="H30" i="41" s="1"/>
  <c r="G35" i="41"/>
  <c r="F35" i="41"/>
  <c r="E35" i="41"/>
  <c r="D35" i="41"/>
  <c r="C35" i="41"/>
  <c r="H31" i="41"/>
  <c r="G31" i="41"/>
  <c r="F31" i="41"/>
  <c r="E31" i="41"/>
  <c r="D31" i="41"/>
  <c r="D30" i="41" s="1"/>
  <c r="C31" i="41"/>
  <c r="G30" i="41"/>
  <c r="H27" i="41"/>
  <c r="G27" i="41"/>
  <c r="F27" i="41"/>
  <c r="E27" i="41"/>
  <c r="D27" i="41"/>
  <c r="C27" i="41"/>
  <c r="G26" i="41"/>
  <c r="F26" i="41"/>
  <c r="F24" i="41" s="1"/>
  <c r="H24" i="41"/>
  <c r="G24" i="41"/>
  <c r="E24" i="41"/>
  <c r="D24" i="41"/>
  <c r="C24" i="41"/>
  <c r="H20" i="41"/>
  <c r="H19" i="41" s="1"/>
  <c r="G20" i="41"/>
  <c r="G19" i="41" s="1"/>
  <c r="G18" i="41" s="1"/>
  <c r="F20" i="41"/>
  <c r="E20" i="41"/>
  <c r="D20" i="41"/>
  <c r="C20" i="41"/>
  <c r="C19" i="41" s="1"/>
  <c r="H14" i="41"/>
  <c r="G14" i="41"/>
  <c r="F14" i="41"/>
  <c r="E14" i="41"/>
  <c r="D14" i="41"/>
  <c r="C14" i="41"/>
  <c r="H11" i="41"/>
  <c r="G11" i="41"/>
  <c r="F11" i="41"/>
  <c r="E11" i="41"/>
  <c r="D11" i="41"/>
  <c r="C11" i="41"/>
  <c r="H10" i="41"/>
  <c r="G10" i="41"/>
  <c r="F10" i="41"/>
  <c r="E10" i="41"/>
  <c r="E8" i="41" s="1"/>
  <c r="D10" i="41"/>
  <c r="C10" i="41"/>
  <c r="H9" i="41"/>
  <c r="H8" i="41" s="1"/>
  <c r="G9" i="41"/>
  <c r="G8" i="41" s="1"/>
  <c r="G7" i="41" s="1"/>
  <c r="F9" i="41"/>
  <c r="E9" i="41"/>
  <c r="D9" i="41"/>
  <c r="C9" i="41"/>
  <c r="C8" i="41" s="1"/>
  <c r="F8" i="41"/>
  <c r="C30" i="41" l="1"/>
  <c r="C18" i="41" s="1"/>
  <c r="C7" i="41" s="1"/>
  <c r="C6" i="41" s="1"/>
  <c r="E59" i="41"/>
  <c r="C71" i="41"/>
  <c r="E71" i="41"/>
  <c r="G83" i="41"/>
  <c r="E94" i="41"/>
  <c r="E88" i="41" s="1"/>
  <c r="E82" i="41" s="1"/>
  <c r="E79" i="41" s="1"/>
  <c r="D8" i="41"/>
  <c r="D19" i="41"/>
  <c r="F30" i="41"/>
  <c r="F18" i="41" s="1"/>
  <c r="F7" i="41" s="1"/>
  <c r="F6" i="41" s="1"/>
  <c r="H59" i="41"/>
  <c r="E30" i="41"/>
  <c r="G59" i="41"/>
  <c r="G41" i="41" s="1"/>
  <c r="G6" i="41" s="1"/>
  <c r="E19" i="41"/>
  <c r="E18" i="41" s="1"/>
  <c r="E7" i="41" s="1"/>
  <c r="E6" i="41" s="1"/>
  <c r="C99" i="41"/>
  <c r="C82" i="41" s="1"/>
  <c r="C79" i="41" s="1"/>
  <c r="C59" i="41"/>
  <c r="F19" i="41"/>
  <c r="D99" i="41"/>
  <c r="H18" i="41"/>
  <c r="H7" i="41" s="1"/>
  <c r="H42" i="41"/>
  <c r="H41" i="41" s="1"/>
  <c r="F83" i="41"/>
  <c r="F82" i="41" s="1"/>
  <c r="F79" i="41" s="1"/>
  <c r="D94" i="41"/>
  <c r="D88" i="41" s="1"/>
  <c r="D82" i="41" s="1"/>
  <c r="D79" i="41" s="1"/>
  <c r="C42" i="41"/>
  <c r="C41" i="41" s="1"/>
  <c r="D18" i="41"/>
  <c r="D7" i="41" s="1"/>
  <c r="H99" i="41"/>
  <c r="H82" i="41" s="1"/>
  <c r="H79" i="41" s="1"/>
  <c r="E42" i="41"/>
  <c r="E41" i="41" s="1"/>
  <c r="H71" i="41"/>
  <c r="G99" i="41"/>
  <c r="D42" i="41"/>
  <c r="D41" i="41" s="1"/>
  <c r="F42" i="41"/>
  <c r="F41" i="41" s="1"/>
  <c r="G71" i="41"/>
  <c r="H6" i="41" l="1"/>
  <c r="H120" i="41" s="1"/>
  <c r="F120" i="41"/>
  <c r="C120" i="41"/>
  <c r="G82" i="41"/>
  <c r="G79" i="41" s="1"/>
  <c r="D6" i="41"/>
  <c r="D120" i="41" s="1"/>
  <c r="G120" i="41"/>
  <c r="E120" i="41"/>
  <c r="K60" i="39" l="1"/>
  <c r="G60" i="39"/>
  <c r="E60" i="39"/>
  <c r="K58" i="39"/>
  <c r="G58" i="39"/>
  <c r="E58" i="39"/>
  <c r="L55" i="39"/>
  <c r="L54" i="39" s="1"/>
  <c r="L51" i="39" s="1"/>
  <c r="L50" i="39" s="1"/>
  <c r="L40" i="39" s="1"/>
  <c r="K55" i="39"/>
  <c r="K54" i="39" s="1"/>
  <c r="G55" i="39"/>
  <c r="F55" i="39"/>
  <c r="F54" i="39" s="1"/>
  <c r="E55" i="39"/>
  <c r="D55" i="39"/>
  <c r="D54" i="39" s="1"/>
  <c r="J54" i="39"/>
  <c r="J51" i="39" s="1"/>
  <c r="J50" i="39" s="1"/>
  <c r="G54" i="39"/>
  <c r="C54" i="39"/>
  <c r="K53" i="39"/>
  <c r="K52" i="39" s="1"/>
  <c r="L52" i="39"/>
  <c r="C51" i="39"/>
  <c r="G50" i="39"/>
  <c r="F50" i="39"/>
  <c r="E50" i="39"/>
  <c r="D50" i="39"/>
  <c r="K49" i="39"/>
  <c r="K48" i="39"/>
  <c r="K47" i="39"/>
  <c r="K46" i="39"/>
  <c r="K44" i="39"/>
  <c r="K43" i="39"/>
  <c r="L41" i="39"/>
  <c r="J41" i="39"/>
  <c r="G41" i="39"/>
  <c r="G40" i="39" s="1"/>
  <c r="G31" i="39" s="1"/>
  <c r="F41" i="39"/>
  <c r="E41" i="39"/>
  <c r="D41" i="39"/>
  <c r="C41" i="39"/>
  <c r="C40" i="39" s="1"/>
  <c r="C31" i="39" s="1"/>
  <c r="K39" i="39"/>
  <c r="L38" i="39"/>
  <c r="K38" i="39"/>
  <c r="F38" i="39"/>
  <c r="E38" i="39"/>
  <c r="K35" i="39"/>
  <c r="L34" i="39"/>
  <c r="L33" i="39" s="1"/>
  <c r="K34" i="39"/>
  <c r="K33" i="39" s="1"/>
  <c r="J33" i="39"/>
  <c r="F33" i="39"/>
  <c r="E33" i="39"/>
  <c r="E32" i="39" s="1"/>
  <c r="J32" i="39"/>
  <c r="G32" i="39"/>
  <c r="D32" i="39"/>
  <c r="I31" i="39"/>
  <c r="H31" i="39"/>
  <c r="L24" i="39"/>
  <c r="I24" i="39"/>
  <c r="H24" i="39"/>
  <c r="G24" i="39"/>
  <c r="F24" i="39"/>
  <c r="D24" i="39"/>
  <c r="C24" i="39"/>
  <c r="J21" i="39"/>
  <c r="J18" i="39"/>
  <c r="J24" i="39" s="1"/>
  <c r="K16" i="39"/>
  <c r="K15" i="39"/>
  <c r="K14" i="39"/>
  <c r="K13" i="39"/>
  <c r="E13" i="39"/>
  <c r="K12" i="39"/>
  <c r="K11" i="39"/>
  <c r="E11" i="39"/>
  <c r="K7" i="39"/>
  <c r="E7" i="39"/>
  <c r="K6" i="39"/>
  <c r="E6" i="39"/>
  <c r="K41" i="39" l="1"/>
  <c r="K24" i="39"/>
  <c r="D40" i="39"/>
  <c r="D31" i="39" s="1"/>
  <c r="E54" i="39"/>
  <c r="J31" i="39"/>
  <c r="F32" i="39"/>
  <c r="F31" i="39" s="1"/>
  <c r="E40" i="39"/>
  <c r="E31" i="39"/>
  <c r="J40" i="39"/>
  <c r="K32" i="39"/>
  <c r="L32" i="39"/>
  <c r="E24" i="39"/>
  <c r="F40" i="39"/>
  <c r="L31" i="39"/>
  <c r="K51" i="39"/>
  <c r="K50" i="39" s="1"/>
  <c r="K40" i="39" s="1"/>
  <c r="K31" i="39" s="1"/>
  <c r="K61" i="38" l="1"/>
  <c r="J61" i="38"/>
  <c r="L60" i="38"/>
  <c r="L58" i="38" s="1"/>
  <c r="K60" i="38"/>
  <c r="K59" i="38"/>
  <c r="J58" i="38"/>
  <c r="G58" i="38"/>
  <c r="G55" i="38" s="1"/>
  <c r="F58" i="38"/>
  <c r="F55" i="38" s="1"/>
  <c r="E58" i="38"/>
  <c r="E55" i="38" s="1"/>
  <c r="D58" i="38"/>
  <c r="D55" i="38" s="1"/>
  <c r="C58" i="38"/>
  <c r="K57" i="38"/>
  <c r="L56" i="38"/>
  <c r="K56" i="38"/>
  <c r="C56" i="38"/>
  <c r="C55" i="38" s="1"/>
  <c r="J55" i="38"/>
  <c r="J52" i="38" s="1"/>
  <c r="J51" i="38" s="1"/>
  <c r="K54" i="38"/>
  <c r="L53" i="38"/>
  <c r="K53" i="38"/>
  <c r="F53" i="38"/>
  <c r="E53" i="38"/>
  <c r="F51" i="38"/>
  <c r="E51" i="38"/>
  <c r="K50" i="38"/>
  <c r="L48" i="38"/>
  <c r="K48" i="38"/>
  <c r="J48" i="38"/>
  <c r="F48" i="38"/>
  <c r="E48" i="38"/>
  <c r="K47" i="38"/>
  <c r="K46" i="38"/>
  <c r="K44" i="38" s="1"/>
  <c r="K45" i="38"/>
  <c r="L44" i="38"/>
  <c r="J44" i="38"/>
  <c r="G44" i="38"/>
  <c r="G43" i="38" s="1"/>
  <c r="F44" i="38"/>
  <c r="E44" i="38"/>
  <c r="D44" i="38"/>
  <c r="D43" i="38" s="1"/>
  <c r="C44" i="38"/>
  <c r="C43" i="38"/>
  <c r="K42" i="38"/>
  <c r="L41" i="38"/>
  <c r="K41" i="38"/>
  <c r="J41" i="38"/>
  <c r="F41" i="38"/>
  <c r="E41" i="38"/>
  <c r="K40" i="38"/>
  <c r="K39" i="38"/>
  <c r="K38" i="38"/>
  <c r="G38" i="38"/>
  <c r="F38" i="38"/>
  <c r="E38" i="38"/>
  <c r="K37" i="38"/>
  <c r="K33" i="38" s="1"/>
  <c r="K32" i="38" s="1"/>
  <c r="K36" i="38"/>
  <c r="K35" i="38"/>
  <c r="K34" i="38"/>
  <c r="L33" i="38"/>
  <c r="L32" i="38"/>
  <c r="L31" i="38" s="1"/>
  <c r="J32" i="38"/>
  <c r="G32" i="38"/>
  <c r="G31" i="38" s="1"/>
  <c r="F32" i="38"/>
  <c r="E32" i="38"/>
  <c r="D32" i="38"/>
  <c r="C32" i="38"/>
  <c r="E31" i="38"/>
  <c r="D31" i="38"/>
  <c r="C31" i="38"/>
  <c r="C30" i="38" s="1"/>
  <c r="I30" i="38"/>
  <c r="H30" i="38"/>
  <c r="L22" i="38"/>
  <c r="J22" i="38"/>
  <c r="I22" i="38"/>
  <c r="H22" i="38"/>
  <c r="F22" i="38"/>
  <c r="E22" i="38"/>
  <c r="D22" i="38"/>
  <c r="C22" i="38"/>
  <c r="K19" i="38"/>
  <c r="K18" i="38"/>
  <c r="K17" i="38"/>
  <c r="K16" i="38"/>
  <c r="K22" i="38" s="1"/>
  <c r="K15" i="38"/>
  <c r="K14" i="38"/>
  <c r="G14" i="38"/>
  <c r="G22" i="38" s="1"/>
  <c r="K13" i="38"/>
  <c r="K12" i="38"/>
  <c r="K10" i="38"/>
  <c r="K9" i="38"/>
  <c r="K7" i="38"/>
  <c r="D30" i="38" l="1"/>
  <c r="G30" i="38"/>
  <c r="J31" i="38"/>
  <c r="E43" i="38"/>
  <c r="E30" i="38" s="1"/>
  <c r="K58" i="38"/>
  <c r="K55" i="38" s="1"/>
  <c r="K52" i="38" s="1"/>
  <c r="K51" i="38" s="1"/>
  <c r="K43" i="38" s="1"/>
  <c r="K30" i="38" s="1"/>
  <c r="F43" i="38"/>
  <c r="F30" i="38" s="1"/>
  <c r="L55" i="38"/>
  <c r="L52" i="38" s="1"/>
  <c r="L51" i="38" s="1"/>
  <c r="L43" i="38" s="1"/>
  <c r="L30" i="38" s="1"/>
  <c r="K31" i="38"/>
  <c r="F31" i="38"/>
  <c r="J43" i="38"/>
  <c r="J30" i="38" s="1"/>
  <c r="D60" i="38"/>
  <c r="E60" i="38"/>
  <c r="G60" i="38"/>
  <c r="F60" i="38"/>
  <c r="K19" i="37" l="1"/>
  <c r="J19" i="37"/>
  <c r="I19" i="37"/>
  <c r="H19" i="37"/>
  <c r="G19" i="37"/>
  <c r="F19" i="37"/>
  <c r="E19" i="37"/>
  <c r="D19" i="37"/>
  <c r="C19" i="37"/>
  <c r="B19" i="37"/>
  <c r="D54" i="35" l="1"/>
  <c r="C54" i="35"/>
  <c r="D46" i="35"/>
  <c r="D45" i="35"/>
  <c r="D44" i="35"/>
  <c r="D43" i="35"/>
  <c r="D42" i="35"/>
  <c r="D41" i="35"/>
  <c r="D40" i="35"/>
  <c r="D39" i="35"/>
  <c r="D38" i="35"/>
  <c r="D21" i="35"/>
  <c r="D20" i="35"/>
  <c r="D19" i="35"/>
  <c r="D18" i="35"/>
  <c r="D17" i="35"/>
  <c r="D16" i="35"/>
  <c r="D15" i="35"/>
  <c r="D14" i="35"/>
  <c r="D13" i="35"/>
  <c r="D12" i="35"/>
  <c r="D11" i="35"/>
  <c r="D10" i="35"/>
  <c r="DR25" i="34" l="1"/>
  <c r="DQ25" i="34"/>
  <c r="DP25" i="34"/>
  <c r="DO25" i="34"/>
  <c r="DN25" i="34"/>
  <c r="DM25" i="34"/>
  <c r="DL25" i="34"/>
  <c r="DK25" i="34"/>
  <c r="DJ25" i="34"/>
  <c r="DI25" i="34"/>
  <c r="DH25" i="34"/>
  <c r="DG25" i="34"/>
  <c r="DF25" i="34"/>
  <c r="DS4" i="34"/>
  <c r="DS25" i="34" s="1"/>
  <c r="DT4" i="34" l="1"/>
  <c r="DT25" i="34" l="1"/>
  <c r="DU4" i="34"/>
  <c r="DV4" i="34" l="1"/>
  <c r="DU25" i="34"/>
  <c r="DW4" i="34" l="1"/>
  <c r="DV25" i="34"/>
  <c r="DX4" i="34" l="1"/>
  <c r="DW25" i="34"/>
  <c r="DY4" i="34" l="1"/>
  <c r="DX25" i="34"/>
  <c r="DZ4" i="34" l="1"/>
  <c r="DY25" i="34"/>
  <c r="EA4" i="34" l="1"/>
  <c r="DZ25" i="34"/>
  <c r="EA25" i="34" l="1"/>
  <c r="EB4" i="34"/>
  <c r="EC4" i="34" l="1"/>
  <c r="EB25" i="34"/>
  <c r="ED4" i="34" l="1"/>
  <c r="EC25" i="34"/>
  <c r="EE4" i="34" l="1"/>
  <c r="ED25" i="34"/>
  <c r="EE25" i="34" l="1"/>
  <c r="EF4" i="34"/>
  <c r="EG4" i="34" l="1"/>
  <c r="EF25" i="34"/>
  <c r="EG25" i="34" l="1"/>
  <c r="EH4" i="34"/>
  <c r="EH25" i="34" l="1"/>
  <c r="EI4" i="34"/>
  <c r="EI25" i="34" l="1"/>
  <c r="EJ4" i="34"/>
  <c r="EK4" i="34" l="1"/>
  <c r="EJ25" i="34"/>
  <c r="EL4" i="34" l="1"/>
  <c r="EK25" i="34"/>
  <c r="EM4" i="34" l="1"/>
  <c r="EL25" i="34"/>
  <c r="EN4" i="34" l="1"/>
  <c r="EM25" i="34"/>
  <c r="EO4" i="34" l="1"/>
  <c r="EN25" i="34"/>
  <c r="EO25" i="34" l="1"/>
  <c r="EP4" i="34"/>
  <c r="EQ4" i="34" l="1"/>
  <c r="EP25" i="34"/>
  <c r="EQ25" i="34" l="1"/>
  <c r="ER4" i="34"/>
  <c r="ER25" i="34" l="1"/>
  <c r="ES4" i="34"/>
  <c r="ET4" i="34" l="1"/>
  <c r="ES25" i="34"/>
  <c r="ET25" i="34" l="1"/>
  <c r="EU4" i="34"/>
  <c r="EV4" i="34" l="1"/>
  <c r="EU25" i="34"/>
  <c r="EW4" i="34" l="1"/>
  <c r="EV25" i="34"/>
  <c r="EW25" i="34" l="1"/>
  <c r="EX4" i="34"/>
  <c r="EX25" i="34" l="1"/>
  <c r="EY4" i="34"/>
  <c r="EY25" i="34" s="1"/>
  <c r="D126" i="33" l="1"/>
  <c r="D122" i="33"/>
  <c r="D118" i="33"/>
  <c r="D117" i="33"/>
  <c r="J129" i="31" l="1"/>
  <c r="I129" i="31"/>
  <c r="H129" i="31"/>
  <c r="G129" i="31"/>
  <c r="F129" i="31"/>
  <c r="E129" i="31"/>
  <c r="D129" i="31"/>
  <c r="C129" i="31"/>
  <c r="B129" i="31"/>
  <c r="G17" i="30" l="1"/>
  <c r="F17" i="30"/>
  <c r="E17" i="30"/>
  <c r="D17" i="30"/>
  <c r="C17" i="30"/>
  <c r="B17" i="30"/>
  <c r="C183" i="28" l="1"/>
  <c r="D17" i="28"/>
  <c r="C17" i="28"/>
  <c r="O27" i="23" l="1"/>
  <c r="O22" i="23"/>
  <c r="E10" i="23"/>
  <c r="D10" i="23"/>
  <c r="C10" i="23"/>
  <c r="I10" i="23" s="1"/>
  <c r="I9" i="23"/>
  <c r="I8" i="23"/>
  <c r="I7" i="23"/>
  <c r="I6" i="23"/>
  <c r="BO33" i="22" l="1"/>
  <c r="BN33" i="22"/>
  <c r="BM33" i="22"/>
  <c r="BL33" i="22"/>
  <c r="BK33" i="22"/>
  <c r="BJ33" i="22"/>
  <c r="BI33" i="22"/>
  <c r="BH33" i="22"/>
  <c r="BG33" i="22"/>
  <c r="BF33" i="22"/>
  <c r="BE33" i="22"/>
  <c r="BD33" i="22"/>
  <c r="BC33" i="22"/>
  <c r="BB33" i="22"/>
  <c r="BA33" i="22"/>
  <c r="AZ33" i="22"/>
  <c r="AY33" i="22"/>
  <c r="AX33" i="22"/>
  <c r="AW33" i="22"/>
  <c r="AV33" i="22"/>
  <c r="AU33" i="22"/>
  <c r="AS33" i="22"/>
  <c r="AR33" i="22"/>
  <c r="AQ33" i="22"/>
  <c r="AP33" i="22"/>
  <c r="AO33" i="22"/>
  <c r="AN33" i="22"/>
  <c r="AM33" i="22"/>
  <c r="AL33" i="22"/>
  <c r="AK33" i="22"/>
  <c r="AJ33" i="22"/>
  <c r="AI33" i="22"/>
  <c r="AH33" i="22"/>
  <c r="AG33" i="22"/>
  <c r="AF33" i="22"/>
  <c r="AE33" i="22"/>
  <c r="AD33" i="22"/>
  <c r="AC33" i="22"/>
  <c r="AB33" i="22"/>
  <c r="AA33" i="22"/>
  <c r="Z33" i="22"/>
  <c r="Y33" i="22"/>
  <c r="W33" i="22"/>
  <c r="V33" i="22"/>
  <c r="U33" i="22"/>
  <c r="T33" i="22"/>
  <c r="S33" i="22"/>
  <c r="R33" i="22"/>
  <c r="Q33" i="22"/>
  <c r="P33" i="22"/>
  <c r="O33" i="22"/>
  <c r="N33" i="22"/>
  <c r="M33" i="22"/>
  <c r="J33" i="22"/>
  <c r="I33" i="22"/>
  <c r="H33" i="22"/>
  <c r="G33" i="22"/>
  <c r="F33" i="22"/>
  <c r="E33" i="22"/>
  <c r="D33" i="22"/>
  <c r="C33" i="22"/>
  <c r="B33" i="22"/>
  <c r="O71" i="21" l="1"/>
  <c r="O70" i="21"/>
  <c r="O69" i="21"/>
  <c r="O68" i="21"/>
  <c r="BO61" i="21"/>
  <c r="BN61" i="21"/>
  <c r="BM61" i="21"/>
  <c r="BL61" i="21"/>
  <c r="BK61" i="21"/>
  <c r="BJ61" i="21"/>
  <c r="BI61" i="21"/>
  <c r="BH61" i="21"/>
  <c r="BG61" i="21"/>
  <c r="BF61" i="21"/>
  <c r="CX68" i="18" l="1"/>
  <c r="CW68" i="18"/>
  <c r="CV68" i="18"/>
  <c r="CU68" i="18"/>
  <c r="CT68" i="18"/>
  <c r="CS68" i="18"/>
  <c r="CR68" i="18"/>
  <c r="CQ68" i="18"/>
  <c r="CP68" i="18"/>
  <c r="CO68" i="18"/>
  <c r="CN68" i="18"/>
  <c r="CM68" i="18"/>
  <c r="CL68" i="18"/>
  <c r="CK68" i="18"/>
  <c r="CJ68" i="18"/>
  <c r="CI68" i="18"/>
  <c r="CH68" i="18"/>
  <c r="CG68" i="18"/>
  <c r="CF68" i="18"/>
  <c r="CE68" i="18"/>
  <c r="CD68" i="18"/>
  <c r="CC68" i="18"/>
  <c r="CB68" i="18"/>
  <c r="CA68" i="18"/>
  <c r="BZ68" i="18"/>
  <c r="BY68" i="18"/>
  <c r="BX68" i="18"/>
  <c r="BW68" i="18"/>
  <c r="BV68" i="18"/>
  <c r="BU68" i="18"/>
  <c r="BT68" i="18"/>
  <c r="BS68" i="18"/>
  <c r="BR68" i="18"/>
  <c r="BQ68" i="18"/>
  <c r="BP68" i="18"/>
  <c r="BO68" i="18"/>
  <c r="BN68" i="18"/>
  <c r="BM68" i="18"/>
  <c r="BL68" i="18"/>
  <c r="BK68" i="18"/>
  <c r="BJ68" i="18"/>
  <c r="BI68" i="18"/>
  <c r="BH68" i="18"/>
  <c r="BG68" i="18"/>
  <c r="BF68" i="18"/>
  <c r="BE68" i="18"/>
  <c r="BD68" i="18"/>
  <c r="BC68"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AD68" i="18"/>
  <c r="AC68" i="18"/>
  <c r="AB68" i="18"/>
  <c r="AA68" i="18"/>
  <c r="Z68" i="18"/>
  <c r="Y68" i="18"/>
  <c r="X68" i="18"/>
  <c r="W68" i="18"/>
  <c r="V68" i="18"/>
  <c r="U68" i="18"/>
  <c r="T68" i="18"/>
  <c r="S68" i="18"/>
  <c r="R68" i="18"/>
  <c r="Q68" i="18"/>
  <c r="P68" i="18"/>
  <c r="O68" i="18"/>
  <c r="N68" i="18"/>
  <c r="M68" i="18"/>
  <c r="L68" i="18"/>
  <c r="K68" i="18"/>
  <c r="J68" i="18"/>
  <c r="I68" i="18"/>
  <c r="H68" i="18"/>
  <c r="G68" i="18"/>
  <c r="F68" i="18"/>
  <c r="E68" i="18"/>
  <c r="D68" i="18"/>
  <c r="C68" i="18"/>
  <c r="AI67" i="18"/>
  <c r="AH67" i="18"/>
  <c r="AG67" i="18"/>
  <c r="AF67" i="18"/>
  <c r="AE67" i="18"/>
  <c r="AD67" i="18"/>
  <c r="AC67" i="18"/>
  <c r="AB67" i="18"/>
  <c r="AA67" i="18"/>
  <c r="Z67" i="18"/>
  <c r="Y67" i="18"/>
  <c r="X67" i="18"/>
  <c r="W67" i="18"/>
  <c r="V67" i="18"/>
  <c r="U67" i="18"/>
  <c r="T67" i="18"/>
  <c r="S67" i="18"/>
  <c r="R67" i="18"/>
  <c r="Q67" i="18"/>
  <c r="P67" i="18"/>
  <c r="O67" i="18"/>
  <c r="N67" i="18"/>
  <c r="M67" i="18"/>
  <c r="L67" i="18"/>
  <c r="K67" i="18"/>
  <c r="J67" i="18"/>
  <c r="I67" i="18"/>
  <c r="H67" i="18"/>
  <c r="G67" i="18"/>
  <c r="F67" i="18"/>
  <c r="E67" i="18"/>
  <c r="D67" i="18"/>
  <c r="C67" i="18"/>
  <c r="DJ33" i="18"/>
  <c r="DB33" i="18"/>
  <c r="DA33" i="18"/>
  <c r="CZ33" i="18"/>
  <c r="CY33" i="18"/>
  <c r="CW33" i="18"/>
  <c r="CV33" i="18"/>
  <c r="CU33" i="18"/>
  <c r="CT33" i="18"/>
  <c r="CS33" i="18"/>
  <c r="CR33" i="18"/>
  <c r="CQ33" i="18"/>
  <c r="CP33" i="18"/>
  <c r="CO33" i="18"/>
  <c r="CN33" i="18"/>
  <c r="CM33" i="18"/>
  <c r="CL33" i="18"/>
  <c r="CK33" i="18"/>
  <c r="CJ33" i="18"/>
  <c r="CI33" i="18"/>
  <c r="CH33" i="18"/>
  <c r="CG33" i="18"/>
  <c r="CF33" i="18"/>
  <c r="CE33" i="18"/>
  <c r="CD33" i="18"/>
  <c r="CC33" i="18"/>
  <c r="CB33" i="18"/>
  <c r="CA33" i="18"/>
  <c r="BZ33" i="18"/>
  <c r="BY33" i="18"/>
  <c r="BX33" i="18"/>
  <c r="BW33" i="18"/>
  <c r="BV33" i="18"/>
  <c r="BU33" i="18"/>
  <c r="BT33" i="18"/>
  <c r="BS33" i="18"/>
  <c r="BR33" i="18"/>
  <c r="BQ33" i="18"/>
  <c r="BP33" i="18"/>
  <c r="BO33" i="18"/>
  <c r="BN33" i="18"/>
  <c r="BM33" i="18"/>
  <c r="BL33" i="18"/>
  <c r="BK33" i="18"/>
  <c r="BJ33" i="18"/>
  <c r="BI33" i="18"/>
  <c r="BH33" i="18"/>
  <c r="BG33" i="18"/>
  <c r="BF33" i="18"/>
  <c r="BE33" i="18"/>
  <c r="BD33" i="18"/>
  <c r="BC33" i="18"/>
  <c r="BB33" i="18"/>
  <c r="BA33" i="18"/>
  <c r="AZ33" i="18"/>
  <c r="AY33" i="18"/>
  <c r="AX33" i="18"/>
  <c r="AW33" i="18"/>
  <c r="AU33" i="18"/>
  <c r="AT33" i="18"/>
  <c r="AS33" i="18"/>
  <c r="AR33" i="18"/>
  <c r="AQ33" i="18"/>
  <c r="AP33" i="18"/>
  <c r="AO33" i="18"/>
  <c r="AN33" i="18"/>
  <c r="AM33" i="18"/>
  <c r="AL33" i="18"/>
  <c r="AK33" i="18"/>
  <c r="AJ33" i="18"/>
  <c r="AI33" i="18"/>
  <c r="AH33" i="18"/>
  <c r="AG33" i="18"/>
  <c r="AF33" i="18"/>
  <c r="AE33" i="18"/>
  <c r="AD33" i="18"/>
  <c r="AC33" i="18"/>
  <c r="AB33" i="18"/>
  <c r="AA33" i="18"/>
  <c r="Z33" i="18"/>
  <c r="Y33" i="18"/>
  <c r="X33" i="18"/>
  <c r="W33" i="18"/>
  <c r="V33" i="18"/>
  <c r="U33" i="18"/>
  <c r="T33" i="18"/>
  <c r="S33" i="18"/>
  <c r="R33" i="18"/>
  <c r="Q33" i="18"/>
  <c r="P33" i="18"/>
  <c r="O33" i="18"/>
  <c r="N33" i="18"/>
  <c r="M33" i="18"/>
  <c r="L33" i="18"/>
  <c r="K33" i="18"/>
  <c r="J33" i="18"/>
  <c r="I33" i="18"/>
  <c r="H33" i="18"/>
  <c r="G33" i="18"/>
  <c r="F33" i="18"/>
  <c r="E33" i="18"/>
  <c r="D33" i="18"/>
  <c r="C33" i="18"/>
  <c r="AI133" i="17" l="1"/>
  <c r="AH133" i="17"/>
  <c r="AG133" i="17"/>
  <c r="AF133" i="17"/>
  <c r="AE133" i="17"/>
  <c r="AD133" i="17"/>
  <c r="AC133" i="17"/>
  <c r="AB133" i="17"/>
  <c r="AA133" i="17"/>
  <c r="Z133" i="17"/>
  <c r="Y133" i="17"/>
  <c r="X133" i="17"/>
  <c r="W133" i="17"/>
  <c r="V133" i="17"/>
  <c r="U133" i="17"/>
  <c r="T133" i="17"/>
  <c r="S133" i="17"/>
  <c r="R133" i="17"/>
  <c r="Q133" i="17"/>
  <c r="P133" i="17"/>
  <c r="O133" i="17"/>
  <c r="N133" i="17"/>
  <c r="M133" i="17"/>
  <c r="L133" i="17"/>
  <c r="K133" i="17"/>
  <c r="J133" i="17"/>
  <c r="I133" i="17"/>
  <c r="H133" i="17"/>
  <c r="G133" i="17"/>
  <c r="F133" i="17"/>
  <c r="E133" i="17"/>
  <c r="D133" i="17"/>
  <c r="C133" i="17"/>
  <c r="CX131" i="17"/>
  <c r="CW131" i="17"/>
  <c r="CV131" i="17"/>
  <c r="CU131" i="17"/>
  <c r="CT131" i="17"/>
  <c r="CS131" i="17"/>
  <c r="CR131" i="17"/>
  <c r="CQ131" i="17"/>
  <c r="CP131" i="17"/>
  <c r="CO131" i="17"/>
  <c r="CN131" i="17"/>
  <c r="CM131" i="17"/>
  <c r="CL131" i="17"/>
  <c r="CK131" i="17"/>
  <c r="CJ131" i="17"/>
  <c r="CI131" i="17"/>
  <c r="CH131" i="17"/>
  <c r="CG131" i="17"/>
  <c r="CF131" i="17"/>
  <c r="CE131" i="17"/>
  <c r="CD131" i="17"/>
  <c r="CC131" i="17"/>
  <c r="CB131" i="17"/>
  <c r="CA131" i="17"/>
  <c r="BZ131" i="17"/>
  <c r="BY131" i="17"/>
  <c r="BX131" i="17"/>
  <c r="BW131" i="17"/>
  <c r="BV131" i="17"/>
  <c r="BU131" i="17"/>
  <c r="BT131" i="17"/>
  <c r="BS131" i="17"/>
  <c r="BR131" i="17"/>
  <c r="BQ131" i="17"/>
  <c r="BP131" i="17"/>
  <c r="BO131" i="17"/>
  <c r="BN131" i="17"/>
  <c r="BM131" i="17"/>
  <c r="BL131" i="17"/>
  <c r="BK131" i="17"/>
  <c r="BJ131" i="17"/>
  <c r="BI131" i="17"/>
  <c r="BH131" i="17"/>
  <c r="BG131" i="17"/>
  <c r="BF131" i="17"/>
  <c r="BE131" i="17"/>
  <c r="BD131" i="17"/>
  <c r="BC131" i="17"/>
  <c r="BB131" i="17"/>
  <c r="BA131" i="17"/>
  <c r="AZ131" i="17"/>
  <c r="AY131" i="17"/>
  <c r="AX131" i="17"/>
  <c r="AW131" i="17"/>
  <c r="AV131" i="17"/>
  <c r="AU131" i="17"/>
  <c r="AT131" i="17"/>
  <c r="AS131" i="17"/>
  <c r="AR131" i="17"/>
  <c r="AQ131" i="17"/>
  <c r="AP131" i="17"/>
  <c r="AO131" i="17"/>
  <c r="AN131" i="17"/>
  <c r="AM131" i="17"/>
  <c r="AL131" i="17"/>
  <c r="AK131" i="17"/>
  <c r="AJ131" i="17"/>
  <c r="AI131" i="17"/>
  <c r="AH131" i="17"/>
  <c r="AG131" i="17"/>
  <c r="AF131" i="17"/>
  <c r="AE131" i="17"/>
  <c r="AD131" i="17"/>
  <c r="AC131" i="17"/>
  <c r="AB131" i="17"/>
  <c r="AA131" i="17"/>
  <c r="Z131" i="17"/>
  <c r="Y131" i="17"/>
  <c r="X131" i="17"/>
  <c r="W131" i="17"/>
  <c r="V131" i="17"/>
  <c r="U131" i="17"/>
  <c r="T131" i="17"/>
  <c r="S131" i="17"/>
  <c r="R131" i="17"/>
  <c r="Q131" i="17"/>
  <c r="P131" i="17"/>
  <c r="O131" i="17"/>
  <c r="N131" i="17"/>
  <c r="M131" i="17"/>
  <c r="L131" i="17"/>
  <c r="K131" i="17"/>
  <c r="J131" i="17"/>
  <c r="I131" i="17"/>
  <c r="H131" i="17"/>
  <c r="G131" i="17"/>
  <c r="F131" i="17"/>
  <c r="E131" i="17"/>
  <c r="D131" i="17"/>
  <c r="C131" i="17"/>
  <c r="DJ33" i="17"/>
  <c r="DB33" i="17"/>
  <c r="DA33" i="17"/>
  <c r="CZ33" i="17"/>
  <c r="CY33" i="17"/>
  <c r="CW33" i="17"/>
  <c r="CV33" i="17"/>
  <c r="CU33" i="17"/>
  <c r="CT33" i="17"/>
  <c r="CS33" i="17"/>
  <c r="CR33" i="17"/>
  <c r="CQ33" i="17"/>
  <c r="CP33" i="17"/>
  <c r="CO33" i="17"/>
  <c r="CN33" i="17"/>
  <c r="CM33" i="17"/>
  <c r="CL33" i="17"/>
  <c r="CK33" i="17"/>
  <c r="CJ33" i="17"/>
  <c r="CI33" i="17"/>
  <c r="CH33" i="17"/>
  <c r="CG33" i="17"/>
  <c r="CF33" i="17"/>
  <c r="CE33" i="17"/>
  <c r="CD33" i="17"/>
  <c r="CC33" i="17"/>
  <c r="CB33" i="17"/>
  <c r="CA33" i="17"/>
  <c r="BZ33" i="17"/>
  <c r="BY33" i="17"/>
  <c r="BX33" i="17"/>
  <c r="BW33" i="17"/>
  <c r="BV33" i="17"/>
  <c r="BU33" i="17"/>
  <c r="BT33" i="17"/>
  <c r="BS33" i="17"/>
  <c r="BR33" i="17"/>
  <c r="BQ33" i="17"/>
  <c r="BP33" i="17"/>
  <c r="BO33" i="17"/>
  <c r="BN33" i="17"/>
  <c r="BM33" i="17"/>
  <c r="BL33" i="17"/>
  <c r="BK33" i="17"/>
  <c r="BJ33" i="17"/>
  <c r="BI33" i="17"/>
  <c r="BH33" i="17"/>
  <c r="BG33" i="17"/>
  <c r="BF33" i="17"/>
  <c r="BE33" i="17"/>
  <c r="BD33" i="17"/>
  <c r="BC33" i="17"/>
  <c r="BB33" i="17"/>
  <c r="BA33" i="17"/>
  <c r="AZ33" i="17"/>
  <c r="AY33" i="17"/>
  <c r="AX33" i="17"/>
  <c r="AW33" i="17"/>
  <c r="AV33" i="17"/>
  <c r="AU33" i="17"/>
  <c r="AT33" i="17"/>
  <c r="AS33" i="17"/>
  <c r="AR33" i="17"/>
  <c r="AQ33" i="17"/>
  <c r="AP33" i="17"/>
  <c r="AO33" i="17"/>
  <c r="AN33" i="17"/>
  <c r="AM33" i="17"/>
  <c r="CV68" i="16" l="1"/>
  <c r="CU68" i="16"/>
  <c r="CT68" i="16"/>
  <c r="CS68" i="16"/>
  <c r="CR68" i="16"/>
  <c r="CQ68" i="16"/>
  <c r="CP68" i="16"/>
  <c r="CO68" i="16"/>
  <c r="CN68" i="16"/>
  <c r="CM68" i="16"/>
  <c r="CL68" i="16"/>
  <c r="CK68" i="16"/>
  <c r="CJ68" i="16"/>
  <c r="CI68" i="16"/>
  <c r="CH68" i="16"/>
  <c r="CG68" i="16"/>
  <c r="CF68" i="16"/>
  <c r="CE68" i="16"/>
  <c r="CD68" i="16"/>
  <c r="CC68" i="16"/>
  <c r="CB68" i="16"/>
  <c r="CA68" i="16"/>
  <c r="BZ68" i="16"/>
  <c r="BY68" i="16"/>
  <c r="BX68" i="16"/>
  <c r="BW68" i="16"/>
  <c r="BV68" i="16"/>
  <c r="BU68" i="16"/>
  <c r="BT68" i="16"/>
  <c r="BS68" i="16"/>
  <c r="BR68" i="16"/>
  <c r="BQ68" i="16"/>
  <c r="BP68" i="16"/>
  <c r="BO68" i="16"/>
  <c r="BN68" i="16"/>
  <c r="BM68" i="16"/>
  <c r="BL68" i="16"/>
  <c r="BK68" i="16"/>
  <c r="BJ68" i="16"/>
  <c r="BI68" i="16"/>
  <c r="BH68" i="16"/>
  <c r="BG68" i="16"/>
  <c r="BF68" i="16"/>
  <c r="BE68" i="16"/>
  <c r="BD68" i="16"/>
  <c r="BC68" i="16"/>
  <c r="BB68" i="16"/>
  <c r="BA68" i="16"/>
  <c r="AZ68" i="16"/>
  <c r="AY68" i="16"/>
  <c r="AX68" i="16"/>
  <c r="AW68" i="16"/>
  <c r="AV68" i="16"/>
  <c r="AU68" i="16"/>
  <c r="AT68" i="16"/>
  <c r="AS68" i="16"/>
  <c r="AR68" i="16"/>
  <c r="AQ68" i="16"/>
  <c r="AP68" i="16"/>
  <c r="AO68" i="16"/>
  <c r="AN68" i="16"/>
  <c r="AM68" i="16"/>
  <c r="AL68" i="16"/>
  <c r="AK68" i="16"/>
  <c r="AJ68" i="16"/>
  <c r="AI68" i="16"/>
  <c r="AH68" i="16"/>
  <c r="AG68" i="16"/>
  <c r="AF68" i="16"/>
  <c r="AE68" i="16"/>
  <c r="AD68" i="16"/>
  <c r="AC68" i="16"/>
  <c r="AB68" i="16"/>
  <c r="AA68" i="16"/>
  <c r="Z68" i="16"/>
  <c r="Y68" i="16"/>
  <c r="X68" i="16"/>
  <c r="W68" i="16"/>
  <c r="V68" i="16"/>
  <c r="U68" i="16"/>
  <c r="T68" i="16"/>
  <c r="S68" i="16"/>
  <c r="R68" i="16"/>
  <c r="Q68" i="16"/>
  <c r="P68" i="16"/>
  <c r="O68" i="16"/>
  <c r="N68" i="16"/>
  <c r="M68" i="16"/>
  <c r="L68" i="16"/>
  <c r="K68" i="16"/>
  <c r="J68" i="16"/>
  <c r="I68" i="16"/>
  <c r="H68" i="16"/>
  <c r="G68" i="16"/>
  <c r="F68" i="16"/>
  <c r="E68" i="16"/>
  <c r="D68" i="16"/>
  <c r="C68" i="16"/>
  <c r="AI66" i="16"/>
  <c r="AH66" i="16"/>
  <c r="AG66" i="16"/>
  <c r="AF66" i="16"/>
  <c r="AE66" i="16"/>
  <c r="AD66" i="16"/>
  <c r="AC66" i="16"/>
  <c r="AB66" i="16"/>
  <c r="AA66" i="16"/>
  <c r="Z66" i="16"/>
  <c r="Y66" i="16"/>
  <c r="X66" i="16"/>
  <c r="W66" i="16"/>
  <c r="V66" i="16"/>
  <c r="U66" i="16"/>
  <c r="T66" i="16"/>
  <c r="S66" i="16"/>
  <c r="R66" i="16"/>
  <c r="Q66" i="16"/>
  <c r="P66" i="16"/>
  <c r="O66" i="16"/>
  <c r="N66" i="16"/>
  <c r="M66" i="16"/>
  <c r="L66" i="16"/>
  <c r="K66" i="16"/>
  <c r="J66" i="16"/>
  <c r="I66" i="16"/>
  <c r="H66" i="16"/>
  <c r="G66" i="16"/>
  <c r="F66" i="16"/>
  <c r="E66" i="16"/>
  <c r="D66" i="16"/>
  <c r="C66" i="16"/>
  <c r="DJ33" i="16"/>
  <c r="BG33" i="15" l="1"/>
  <c r="BF33" i="15"/>
  <c r="BD33" i="15"/>
  <c r="AV33" i="15"/>
  <c r="AT33" i="15"/>
  <c r="AS33" i="15"/>
  <c r="AR33" i="15"/>
  <c r="AQ33" i="15"/>
  <c r="AP33" i="15"/>
  <c r="AO33" i="15"/>
  <c r="AN33" i="15"/>
  <c r="AM33" i="15"/>
  <c r="AL33" i="15"/>
  <c r="AK33" i="15"/>
  <c r="AJ33" i="15"/>
  <c r="AI33" i="15"/>
  <c r="AH33" i="15"/>
  <c r="AG33" i="15"/>
  <c r="AF33" i="15"/>
  <c r="AE33" i="15"/>
  <c r="AD33" i="15"/>
  <c r="AC33" i="15"/>
  <c r="AB33" i="15"/>
  <c r="AA33" i="15"/>
  <c r="Z33" i="15"/>
  <c r="Y33" i="15"/>
  <c r="X33" i="15"/>
  <c r="W33" i="15"/>
  <c r="V33" i="15"/>
  <c r="U33" i="15"/>
  <c r="T33" i="15"/>
  <c r="S33" i="15"/>
  <c r="R33" i="15"/>
  <c r="Q33" i="15"/>
  <c r="P33" i="15"/>
  <c r="O33" i="15"/>
  <c r="N33" i="15"/>
  <c r="M33" i="15"/>
  <c r="L33" i="15"/>
  <c r="K33" i="15"/>
  <c r="J33" i="15"/>
  <c r="I33" i="15"/>
  <c r="H33" i="15"/>
  <c r="G33" i="15"/>
  <c r="F33" i="15"/>
  <c r="E33" i="15"/>
  <c r="D33" i="15"/>
  <c r="C33" i="15"/>
  <c r="BB25" i="15"/>
  <c r="BB23" i="15"/>
  <c r="BB21" i="15"/>
  <c r="BB19" i="15"/>
  <c r="BB17" i="15"/>
  <c r="BB15" i="15"/>
  <c r="BB13" i="15"/>
  <c r="BB10" i="15"/>
  <c r="BB9" i="15"/>
  <c r="BB8" i="15"/>
  <c r="BB5" i="15"/>
  <c r="BB7" i="15" l="1"/>
  <c r="BB27" i="15" s="1"/>
  <c r="AH142" i="14"/>
  <c r="AM142" i="14" s="1"/>
  <c r="CB140" i="14"/>
  <c r="H139" i="14"/>
  <c r="E104" i="14"/>
  <c r="D104" i="14"/>
  <c r="C104" i="14"/>
  <c r="B104" i="14"/>
  <c r="E93" i="14"/>
  <c r="D93" i="14"/>
  <c r="C93" i="14"/>
  <c r="B93" i="14"/>
  <c r="E83" i="14"/>
  <c r="D83" i="14"/>
  <c r="C83" i="14"/>
  <c r="B83" i="14"/>
  <c r="H79" i="14"/>
  <c r="H69" i="14"/>
  <c r="E69" i="14"/>
  <c r="D69" i="14"/>
  <c r="C69" i="14"/>
  <c r="B69" i="14"/>
  <c r="DI68" i="14"/>
  <c r="CX68" i="14"/>
  <c r="CT68" i="14"/>
  <c r="CS68" i="14"/>
  <c r="BY68" i="14"/>
  <c r="BX68" i="14"/>
  <c r="BW68" i="14"/>
  <c r="BV68" i="14"/>
  <c r="BU68" i="14"/>
  <c r="BT68" i="14"/>
  <c r="BS68" i="14"/>
  <c r="BR68" i="14"/>
  <c r="BQ68" i="14"/>
  <c r="BP68" i="14"/>
  <c r="BO68" i="14"/>
  <c r="BN68" i="14"/>
  <c r="BM68" i="14"/>
  <c r="BK68" i="14"/>
  <c r="BJ68" i="14"/>
  <c r="BI68" i="14"/>
  <c r="BH68" i="14"/>
  <c r="BG68" i="14"/>
  <c r="BF68" i="14"/>
  <c r="BE68" i="14"/>
  <c r="BD68" i="14"/>
  <c r="BC68" i="14"/>
  <c r="BB68" i="14"/>
  <c r="BA68" i="14"/>
  <c r="AZ68" i="14"/>
  <c r="AY68" i="14"/>
  <c r="AX68" i="14"/>
  <c r="AW68" i="14"/>
  <c r="AV68" i="14"/>
  <c r="AU68" i="14"/>
  <c r="AT68" i="14"/>
  <c r="AS68" i="14"/>
  <c r="AR68" i="14"/>
  <c r="AQ68" i="14"/>
  <c r="AP68" i="14"/>
  <c r="E53" i="14"/>
  <c r="D53" i="14"/>
  <c r="C53" i="14"/>
  <c r="B53" i="14"/>
  <c r="E46" i="14"/>
  <c r="D46" i="14"/>
  <c r="C46" i="14"/>
  <c r="B46" i="14"/>
  <c r="E36" i="14"/>
  <c r="D36" i="14"/>
  <c r="C36" i="14"/>
  <c r="B36" i="14"/>
  <c r="E16" i="14"/>
  <c r="D16" i="14"/>
  <c r="C16" i="14"/>
  <c r="B16" i="14"/>
  <c r="E4" i="14"/>
  <c r="D4" i="14"/>
  <c r="C4" i="14"/>
  <c r="B4" i="14"/>
  <c r="D139" i="14" l="1"/>
  <c r="E139" i="14"/>
  <c r="C139" i="14"/>
  <c r="B139" i="14"/>
  <c r="J915" i="13"/>
  <c r="J914" i="13"/>
  <c r="J913" i="13"/>
  <c r="J912" i="13"/>
  <c r="J911" i="13"/>
  <c r="J910" i="13"/>
  <c r="J909" i="13"/>
  <c r="J908" i="13"/>
  <c r="J907" i="13"/>
  <c r="J906" i="13"/>
  <c r="J905" i="13"/>
  <c r="J904" i="13"/>
  <c r="J903" i="13"/>
  <c r="J902" i="13"/>
  <c r="J901" i="13"/>
  <c r="J900" i="13"/>
  <c r="J899" i="13"/>
  <c r="I143" i="13"/>
  <c r="J143" i="13" s="1"/>
  <c r="I141" i="13"/>
  <c r="J141" i="13" s="1"/>
  <c r="I139" i="13"/>
  <c r="J139" i="13" s="1"/>
  <c r="I137" i="13"/>
  <c r="J137" i="13" s="1"/>
  <c r="I136" i="13"/>
  <c r="J136" i="13" s="1"/>
  <c r="I134" i="13"/>
  <c r="J134" i="13" s="1"/>
  <c r="I123" i="13"/>
  <c r="J123" i="13" s="1"/>
  <c r="E146" i="12" l="1"/>
  <c r="D146" i="12"/>
  <c r="C146" i="12"/>
  <c r="G146" i="12" s="1"/>
  <c r="O146" i="12" s="1"/>
  <c r="E145" i="12"/>
  <c r="D145" i="12"/>
  <c r="C145" i="12"/>
  <c r="G145" i="12" s="1"/>
  <c r="O145" i="12" s="1"/>
  <c r="Y84" i="12"/>
  <c r="X84" i="12"/>
  <c r="W84" i="12"/>
  <c r="V84" i="12"/>
  <c r="U84" i="12"/>
  <c r="T84" i="12"/>
  <c r="S84" i="12"/>
  <c r="R84" i="12"/>
  <c r="Q84" i="12"/>
  <c r="P84" i="12"/>
  <c r="O84" i="12"/>
  <c r="N84" i="12"/>
  <c r="M84" i="12"/>
  <c r="L84" i="12"/>
  <c r="K84" i="12"/>
  <c r="J84" i="12"/>
  <c r="I84" i="12"/>
  <c r="H84" i="12"/>
  <c r="G84" i="12"/>
  <c r="F84" i="12"/>
  <c r="E84" i="12"/>
  <c r="D84" i="12"/>
  <c r="C84" i="12"/>
  <c r="B84" i="12"/>
  <c r="R12" i="12"/>
  <c r="T12" i="12" s="1"/>
  <c r="O12" i="12"/>
  <c r="K12" i="12"/>
  <c r="E12" i="12"/>
  <c r="R11" i="12"/>
  <c r="T11" i="12" s="1"/>
  <c r="O11" i="12"/>
  <c r="K11" i="12"/>
  <c r="E11" i="12"/>
  <c r="X11" i="12" s="1"/>
  <c r="T10" i="12"/>
  <c r="X10" i="12" s="1"/>
  <c r="R10" i="12"/>
  <c r="O10" i="12"/>
  <c r="K10" i="12"/>
  <c r="E10" i="12"/>
  <c r="X12" i="12" l="1"/>
  <c r="M22" i="9" l="1"/>
  <c r="M21" i="9"/>
  <c r="M20" i="9"/>
  <c r="M19" i="9"/>
  <c r="M18" i="9"/>
  <c r="M17" i="9"/>
  <c r="M16" i="9"/>
  <c r="M15" i="9"/>
  <c r="M14" i="9"/>
  <c r="M13" i="9"/>
  <c r="M12" i="9"/>
  <c r="B28" i="4" l="1"/>
  <c r="F15" i="4"/>
  <c r="C14" i="4"/>
  <c r="F14" i="4" s="1"/>
  <c r="C13" i="4"/>
  <c r="C28" i="4" s="1"/>
  <c r="F12" i="4"/>
  <c r="F11" i="4"/>
  <c r="F13" i="4" l="1"/>
  <c r="F28" i="4" s="1"/>
  <c r="E40" i="3"/>
  <c r="D40" i="3"/>
  <c r="C40" i="3"/>
  <c r="B40" i="3"/>
  <c r="F39" i="3"/>
  <c r="F38" i="3"/>
  <c r="F37" i="3"/>
  <c r="F36" i="3"/>
  <c r="F35" i="3"/>
  <c r="F34" i="3"/>
  <c r="F33" i="3"/>
  <c r="F32" i="3"/>
  <c r="F31" i="3"/>
  <c r="F30" i="3"/>
  <c r="F29" i="3"/>
  <c r="F28" i="3"/>
  <c r="F27" i="3"/>
  <c r="F26" i="3"/>
  <c r="F25" i="3"/>
  <c r="F24" i="3"/>
  <c r="F16" i="3"/>
  <c r="F15" i="3"/>
  <c r="F14" i="3"/>
  <c r="F13" i="3"/>
  <c r="F12" i="3"/>
  <c r="F11" i="3"/>
  <c r="F10" i="3"/>
  <c r="F9" i="3"/>
  <c r="F8" i="3"/>
  <c r="F7" i="3"/>
  <c r="F6" i="3"/>
  <c r="F5" i="3"/>
  <c r="F4" i="3"/>
  <c r="F40" i="3" l="1"/>
</calcChain>
</file>

<file path=xl/comments1.xml><?xml version="1.0" encoding="utf-8"?>
<comments xmlns="http://schemas.openxmlformats.org/spreadsheetml/2006/main">
  <authors>
    <author>Bindoomatee Hema Gungaram</author>
  </authors>
  <commentList>
    <comment ref="I9" authorId="0" shapeId="0">
      <text>
        <r>
          <rPr>
            <b/>
            <sz val="9"/>
            <color indexed="81"/>
            <rFont val="Tahoma"/>
            <family val="2"/>
          </rPr>
          <t xml:space="preserve"> Hema: Exc SMC</t>
        </r>
        <r>
          <rPr>
            <sz val="9"/>
            <color indexed="81"/>
            <rFont val="Tahoma"/>
            <family val="2"/>
          </rPr>
          <t xml:space="preserve">
</t>
        </r>
      </text>
    </comment>
  </commentList>
</comments>
</file>

<file path=xl/sharedStrings.xml><?xml version="1.0" encoding="utf-8"?>
<sst xmlns="http://schemas.openxmlformats.org/spreadsheetml/2006/main" count="9950" uniqueCount="4613">
  <si>
    <t>LIABILITIES</t>
  </si>
  <si>
    <t>ASSETS</t>
  </si>
  <si>
    <t>Rupees</t>
  </si>
  <si>
    <t>ASSETS EMPLOYED</t>
  </si>
  <si>
    <t>Reserves &amp; Surplus</t>
  </si>
  <si>
    <t>Cash in Hand &amp; Balances with BOM</t>
  </si>
  <si>
    <t>Deposits</t>
  </si>
  <si>
    <t>Investment in Govt &amp; BOM Securities</t>
  </si>
  <si>
    <t>Foreign Currency Notes &amp; Coin</t>
  </si>
  <si>
    <t>Loans &amp; Overdrafts to Customers</t>
  </si>
  <si>
    <t xml:space="preserve">     Private Sector</t>
  </si>
  <si>
    <t xml:space="preserve">     Government</t>
  </si>
  <si>
    <t>Other Advances</t>
  </si>
  <si>
    <t xml:space="preserve">     Local</t>
  </si>
  <si>
    <t>Other Investments</t>
  </si>
  <si>
    <t>Fixed Assets</t>
  </si>
  <si>
    <t>Other Assets</t>
  </si>
  <si>
    <t>less:</t>
  </si>
  <si>
    <t xml:space="preserve">     Demand</t>
  </si>
  <si>
    <t xml:space="preserve">     Savings</t>
  </si>
  <si>
    <t xml:space="preserve">     Time</t>
  </si>
  <si>
    <t>Borrowings</t>
  </si>
  <si>
    <t xml:space="preserve">     Bank of Mauritius</t>
  </si>
  <si>
    <t xml:space="preserve">     Others</t>
  </si>
  <si>
    <t>Other Liabilities</t>
  </si>
  <si>
    <t>FINANCED BY</t>
  </si>
  <si>
    <t>CAPITAL &amp; RESERVES</t>
  </si>
  <si>
    <t>Issued &amp; Paid-Up Capital</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</si>
  <si>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</si>
  <si>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</si>
  <si>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</si>
  <si>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</si>
  <si>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</si>
  <si>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</si>
  <si>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</si>
  <si>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</si>
  <si>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</si>
  <si>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Foreign Assets</t>
  </si>
  <si>
    <t xml:space="preserve">     Balances with Banks Abroad</t>
  </si>
  <si>
    <t xml:space="preserve">     Loans and Other Financing</t>
  </si>
  <si>
    <t xml:space="preserve">     Banks in Mauritius</t>
  </si>
  <si>
    <t xml:space="preserve">     Foreign Currencies in Mauritius</t>
  </si>
  <si>
    <t xml:space="preserve"> </t>
  </si>
  <si>
    <t>Source: Accounting and Budgeting Division.</t>
  </si>
  <si>
    <t xml:space="preserve">     Banks Abroad</t>
  </si>
  <si>
    <t xml:space="preserve">     Other</t>
  </si>
  <si>
    <t xml:space="preserve">     Margins</t>
  </si>
  <si>
    <t>Table 3a: Consolidated Statement of Assets and Liabilities of Banks as at end - June 2015</t>
  </si>
  <si>
    <t>Table 23: Outstanding Government of Mauritius Securities: July 2014 to July 2015</t>
  </si>
  <si>
    <t>(Rs million)</t>
  </si>
  <si>
    <t xml:space="preserve">Treasury Bills  </t>
  </si>
  <si>
    <t>Treasury Notes</t>
  </si>
  <si>
    <t>5-Year GoM Bonds</t>
  </si>
  <si>
    <t xml:space="preserve">MDLS/GOM Bonds  </t>
  </si>
  <si>
    <t>TOTAL</t>
  </si>
  <si>
    <t>Note: Figures may not add up to totals due to rounding.</t>
  </si>
  <si>
    <t>Source:Accounting and Budgeting Division.</t>
  </si>
  <si>
    <t>Table 24: Maturity Structure of Government of Mauritius Securities on issue at end July 2015</t>
  </si>
  <si>
    <t>MDLS/GOM Bonds</t>
  </si>
  <si>
    <t>2015-16</t>
  </si>
  <si>
    <t>-</t>
  </si>
  <si>
    <t>2016-17</t>
  </si>
  <si>
    <t>2017-18</t>
  </si>
  <si>
    <t>2018-19</t>
  </si>
  <si>
    <t>2019-20</t>
  </si>
  <si>
    <t>2020-21</t>
  </si>
  <si>
    <t>2021-22</t>
  </si>
  <si>
    <t>2022-23</t>
  </si>
  <si>
    <t>2023-24</t>
  </si>
  <si>
    <t>2024-25</t>
  </si>
  <si>
    <t>2025-26</t>
  </si>
  <si>
    <t>2026-27</t>
  </si>
  <si>
    <t>2027-28</t>
  </si>
  <si>
    <t>2028-29</t>
  </si>
  <si>
    <t>2029-30</t>
  </si>
  <si>
    <t>2030-31</t>
  </si>
  <si>
    <t>Including Government of Mauritius Savings Certificates, Notes and Bonds</t>
  </si>
  <si>
    <t>Table 26: Secondary Market Activity: July 2014 to July 2015</t>
  </si>
  <si>
    <t>Period</t>
  </si>
  <si>
    <t>Holdings</t>
  </si>
  <si>
    <t>Amount</t>
  </si>
  <si>
    <t>Total</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</si>
  <si>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</si>
  <si>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</si>
  <si>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</si>
  <si>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</si>
  <si>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</si>
  <si>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</si>
  <si>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</si>
  <si>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</si>
  <si>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</si>
  <si>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</si>
  <si>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</si>
  <si>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</si>
  <si>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</si>
  <si>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</si>
  <si>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</si>
  <si>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</si>
  <si>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</si>
  <si>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</si>
  <si>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</si>
  <si>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</si>
  <si>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</si>
  <si>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</si>
  <si>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 p.a.)</t>
  </si>
  <si>
    <t>01-03 July</t>
  </si>
  <si>
    <t>06-10 July</t>
  </si>
  <si>
    <t>13-17 July</t>
  </si>
  <si>
    <t>20-24 July</t>
  </si>
  <si>
    <t>27-31 July</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</si>
  <si>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</si>
  <si>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</si>
  <si>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</si>
  <si>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</si>
  <si>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</si>
  <si>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29: Cheque Clearances: January 2012 to July 2015</t>
  </si>
  <si>
    <t>Number</t>
  </si>
  <si>
    <t>Daily Average</t>
  </si>
  <si>
    <t>of</t>
  </si>
  <si>
    <t>(Rs'000)</t>
  </si>
  <si>
    <t xml:space="preserve"> Number  of</t>
  </si>
  <si>
    <t>Cheques</t>
  </si>
  <si>
    <t>Days</t>
  </si>
  <si>
    <t xml:space="preserve"> (Rs'000)</t>
  </si>
  <si>
    <t>Source: Payment Systems &amp; MCIB Division.</t>
  </si>
  <si>
    <t>Table 53a: Mauritius Automated Clearing and Settlement System (MACSS)*</t>
  </si>
  <si>
    <t xml:space="preserve">                   Rupee Transactions: January 2012 to July 2015</t>
  </si>
  <si>
    <t>Number of Transactions</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</si>
  <si>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</si>
  <si>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</si>
  <si>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</si>
  <si>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</si>
  <si>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53b: Mauritius Automated Clearing and Settlement System (MACSS)</t>
  </si>
  <si>
    <t xml:space="preserve">                   Foreign Currency Transactions: January 2012 to July 2015</t>
  </si>
  <si>
    <t>(in foreign currency)</t>
  </si>
  <si>
    <t>US Dollar</t>
  </si>
  <si>
    <t>Pound Sterling</t>
  </si>
  <si>
    <t>Euro</t>
  </si>
  <si>
    <t>Swiss Franc</t>
  </si>
  <si>
    <t>South African Rand</t>
  </si>
  <si>
    <t>Jan-11*</t>
  </si>
  <si>
    <t>Mar-12*</t>
  </si>
  <si>
    <t>* As from March 2012, transactions in Swiss Franc and South African Rand are also settled via the MACSS.</t>
  </si>
  <si>
    <t>Table 30: Principal Interest Rates: June 2014 to June 2015</t>
  </si>
  <si>
    <t xml:space="preserve">                                           </t>
  </si>
  <si>
    <t>(As on the last day of the month)</t>
  </si>
  <si>
    <t xml:space="preserve">                                                              (Per cent per annum)</t>
  </si>
  <si>
    <t xml:space="preserve">Oct-10 </t>
  </si>
  <si>
    <t xml:space="preserve">Nov-10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</si>
  <si>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</si>
  <si>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</si>
  <si>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</si>
  <si>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</si>
  <si>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</si>
  <si>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</si>
  <si>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</si>
  <si>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</si>
  <si>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</si>
  <si>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</si>
  <si>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</si>
  <si>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</si>
  <si>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</si>
  <si>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</si>
  <si>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</si>
  <si>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</si>
  <si>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</si>
  <si>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</si>
  <si>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</si>
  <si>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</si>
  <si>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</si>
  <si>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</si>
  <si>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</si>
  <si>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</si>
  <si>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Mar-13</t>
  </si>
  <si>
    <t>Apr-13</t>
  </si>
  <si>
    <t>May-13</t>
  </si>
  <si>
    <t>June-13</t>
  </si>
  <si>
    <t>July-13</t>
  </si>
  <si>
    <t>Aug-13</t>
  </si>
  <si>
    <t>Sep-13</t>
  </si>
  <si>
    <t>Oct-13</t>
  </si>
  <si>
    <t>Nov-13</t>
  </si>
  <si>
    <t>Dec-13</t>
  </si>
  <si>
    <t>Jan-14</t>
  </si>
  <si>
    <t>Feb-14</t>
  </si>
  <si>
    <t>Mar-14</t>
  </si>
  <si>
    <t>Apr-14</t>
  </si>
  <si>
    <t>May-14</t>
  </si>
  <si>
    <t>June-14</t>
  </si>
  <si>
    <t>July-14</t>
  </si>
  <si>
    <t>August-14</t>
  </si>
  <si>
    <t>Sept-14</t>
  </si>
  <si>
    <t>Oct-14</t>
  </si>
  <si>
    <t>Nov-14</t>
  </si>
  <si>
    <t>Dec-14</t>
  </si>
  <si>
    <t>Jan-15</t>
  </si>
  <si>
    <t>Feb-15</t>
  </si>
  <si>
    <t>Mar-15</t>
  </si>
  <si>
    <t>Apr-15</t>
  </si>
  <si>
    <t>May-15</t>
  </si>
  <si>
    <t>June-15</t>
  </si>
  <si>
    <t>I. LENDING</t>
  </si>
  <si>
    <t xml:space="preserve">    Bank of Mauritius</t>
  </si>
  <si>
    <t xml:space="preserve">       Lombard Rate*</t>
  </si>
  <si>
    <r>
      <t xml:space="preserve">       Bank Rate </t>
    </r>
    <r>
      <rPr>
        <vertAlign val="superscript"/>
        <sz val="12.5"/>
        <rFont val="Times New Roman"/>
        <family val="1"/>
      </rPr>
      <t>1</t>
    </r>
  </si>
  <si>
    <r>
      <t xml:space="preserve">       Key Repo Rate </t>
    </r>
    <r>
      <rPr>
        <vertAlign val="superscript"/>
        <sz val="12.5"/>
        <rFont val="Times New Roman"/>
        <family val="1"/>
      </rPr>
      <t>2</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</si>
  <si>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</si>
  <si>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</si>
  <si>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</si>
  <si>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</si>
  <si>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</si>
  <si>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</si>
  <si>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</si>
  <si>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</si>
  <si>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</si>
  <si>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</si>
  <si>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</si>
  <si>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</si>
  <si>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</si>
  <si>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</si>
  <si>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</si>
  <si>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</si>
  <si>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</si>
  <si>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</si>
  <si>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</si>
  <si>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</si>
  <si>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</si>
  <si>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</si>
  <si>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</si>
  <si>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</si>
  <si>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</si>
  <si>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</si>
  <si>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</si>
  <si>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</si>
  <si>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</si>
  <si>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</si>
  <si>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</si>
  <si>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</si>
  <si>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</si>
  <si>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</si>
  <si>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</si>
  <si>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</si>
  <si>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</si>
  <si>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</si>
  <si>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</si>
  <si>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</si>
  <si>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</si>
  <si>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</si>
  <si>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</si>
  <si>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</si>
  <si>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</si>
  <si>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</si>
  <si>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</si>
  <si>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</si>
  <si>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</si>
  <si>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</si>
  <si>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</si>
  <si>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</si>
  <si>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</si>
  <si>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</si>
  <si>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</si>
  <si>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</si>
  <si>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</si>
  <si>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</si>
  <si>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</si>
  <si>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</si>
  <si>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</si>
  <si>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</si>
  <si>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</si>
  <si>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</si>
  <si>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</si>
  <si>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</si>
  <si>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</si>
  <si>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</si>
  <si>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</si>
  <si>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</si>
  <si>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</si>
  <si>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</si>
  <si>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</si>
  <si>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</si>
  <si>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</si>
  <si>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</si>
  <si>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</si>
  <si>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</si>
  <si>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</si>
  <si>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</si>
  <si>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</si>
  <si>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</si>
  <si>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</si>
  <si>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</si>
  <si>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3.20-18.76</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</si>
  <si>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</si>
  <si>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</si>
  <si>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</si>
  <si>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</si>
  <si>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</si>
  <si>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</si>
  <si>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</si>
  <si>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</si>
  <si>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</si>
  <si>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</si>
  <si>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</si>
  <si>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</si>
  <si>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</si>
  <si>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</si>
  <si>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</si>
  <si>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</si>
  <si>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</si>
  <si>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</si>
  <si>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</si>
  <si>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</si>
  <si>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</si>
  <si>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</si>
  <si>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</si>
  <si>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</si>
  <si>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</si>
  <si>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</si>
  <si>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</si>
  <si>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</si>
  <si>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</si>
  <si>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</si>
  <si>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</si>
  <si>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</si>
  <si>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</si>
  <si>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</si>
  <si>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</si>
  <si>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</si>
  <si>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</si>
  <si>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</si>
  <si>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</si>
  <si>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</si>
  <si>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</si>
  <si>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</si>
  <si>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</si>
  <si>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</si>
  <si>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</si>
  <si>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</si>
  <si>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</si>
  <si>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</si>
  <si>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</si>
  <si>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</si>
  <si>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</si>
  <si>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</si>
  <si>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</si>
  <si>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</si>
  <si>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</si>
  <si>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</si>
  <si>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</si>
  <si>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</si>
  <si>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</si>
  <si>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</si>
  <si>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</si>
  <si>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</si>
  <si>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</si>
  <si>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</si>
  <si>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</si>
  <si>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</si>
  <si>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</si>
  <si>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</si>
  <si>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</si>
  <si>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</si>
  <si>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</si>
  <si>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</si>
  <si>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</si>
  <si>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</si>
  <si>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</si>
  <si>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</si>
  <si>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</si>
  <si>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</si>
  <si>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</si>
  <si>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</si>
  <si>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</si>
  <si>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</si>
  <si>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</si>
  <si>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</si>
  <si>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</si>
  <si>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</si>
  <si>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</si>
  <si>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</si>
  <si>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</si>
  <si>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</si>
  <si>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</si>
  <si>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</si>
  <si>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</si>
  <si>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</si>
  <si>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</si>
  <si>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</si>
  <si>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</si>
  <si>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</si>
  <si>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</si>
  <si>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</si>
  <si>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</si>
  <si>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</si>
  <si>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</si>
  <si>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</si>
  <si>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</si>
  <si>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</si>
  <si>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</si>
  <si>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</si>
  <si>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</si>
  <si>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</si>
  <si>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</si>
  <si>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</si>
  <si>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</si>
  <si>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2.00-18.66</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</si>
  <si>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</si>
  <si>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</si>
  <si>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</si>
  <si>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</si>
  <si>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</si>
  <si>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</si>
  <si>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</si>
  <si>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</si>
  <si>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</si>
  <si>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</si>
  <si>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</si>
  <si>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</si>
  <si>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</si>
  <si>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</si>
  <si>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</si>
  <si>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</si>
  <si>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</si>
  <si>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</si>
  <si>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</si>
  <si>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</si>
  <si>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</si>
  <si>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</si>
  <si>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</si>
  <si>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</si>
  <si>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</si>
  <si>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</si>
  <si>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</si>
  <si>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</si>
  <si>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</si>
  <si>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</si>
  <si>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</si>
  <si>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</si>
  <si>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</si>
  <si>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</si>
  <si>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</si>
  <si>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</si>
  <si>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</si>
  <si>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</si>
  <si>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</si>
  <si>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</si>
  <si>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</si>
  <si>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</si>
  <si>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</si>
  <si>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</si>
  <si>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</si>
  <si>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</si>
  <si>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</si>
  <si>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</si>
  <si>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</si>
  <si>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</si>
  <si>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</si>
  <si>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</si>
  <si>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</si>
  <si>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</si>
  <si>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</si>
  <si>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</si>
  <si>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</si>
  <si>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</si>
  <si>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</si>
  <si>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</si>
  <si>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</si>
  <si>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</si>
  <si>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</si>
  <si>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</si>
  <si>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</si>
  <si>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</si>
  <si>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</si>
  <si>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</si>
  <si>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</si>
  <si>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</si>
  <si>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</si>
  <si>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</si>
  <si>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</si>
  <si>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</si>
  <si>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</si>
  <si>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</si>
  <si>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</si>
  <si>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</si>
  <si>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</si>
  <si>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</si>
  <si>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</si>
  <si>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</si>
  <si>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</si>
  <si>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</si>
  <si>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</si>
  <si>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</si>
  <si>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</si>
  <si>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</si>
  <si>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</si>
  <si>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</si>
  <si>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</si>
  <si>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</si>
  <si>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</si>
  <si>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</si>
  <si>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</si>
  <si>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</si>
  <si>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</si>
  <si>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</si>
  <si>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</si>
  <si>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</si>
  <si>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</si>
  <si>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</si>
  <si>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</si>
  <si>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</si>
  <si>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</si>
  <si>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</si>
  <si>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</si>
  <si>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</si>
  <si>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</si>
  <si>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</si>
  <si>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</si>
  <si>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</si>
  <si>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</si>
  <si>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</si>
  <si>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</si>
  <si>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</si>
  <si>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3.90-18.62</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</si>
  <si>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</si>
  <si>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</si>
  <si>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</si>
  <si>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</si>
  <si>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</si>
  <si>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</si>
  <si>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</si>
  <si>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</si>
  <si>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</si>
  <si>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</si>
  <si>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</si>
  <si>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</si>
  <si>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</si>
  <si>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</si>
  <si>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</si>
  <si>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</si>
  <si>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</si>
  <si>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</si>
  <si>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</si>
  <si>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</si>
  <si>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</si>
  <si>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</si>
  <si>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</si>
  <si>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</si>
  <si>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</si>
  <si>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</si>
  <si>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</si>
  <si>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</si>
  <si>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</si>
  <si>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</si>
  <si>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</si>
  <si>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</si>
  <si>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</si>
  <si>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</si>
  <si>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</si>
  <si>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</si>
  <si>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</si>
  <si>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</si>
  <si>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</si>
  <si>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</si>
  <si>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</si>
  <si>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5.25-17.40</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</si>
  <si>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</si>
  <si>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</si>
  <si>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</si>
  <si>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</si>
  <si>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</si>
  <si>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</si>
  <si>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</si>
  <si>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</si>
  <si>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</si>
  <si>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</si>
  <si>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</si>
  <si>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</si>
  <si>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</si>
  <si>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</si>
  <si>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</si>
  <si>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</si>
  <si>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</si>
  <si>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</si>
  <si>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</si>
  <si>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</si>
  <si>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</si>
  <si>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</si>
  <si>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</si>
  <si>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</si>
  <si>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</si>
  <si>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</si>
  <si>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</si>
  <si>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</si>
  <si>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</si>
  <si>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</si>
  <si>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</si>
  <si>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</si>
  <si>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</si>
  <si>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</si>
  <si>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</si>
  <si>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</si>
  <si>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</si>
  <si>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</si>
  <si>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</si>
  <si>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</si>
  <si>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</si>
  <si>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</si>
  <si>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</si>
  <si>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</si>
  <si>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</si>
  <si>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</si>
  <si>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</si>
  <si>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</si>
  <si>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</si>
  <si>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</si>
  <si>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</si>
  <si>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</si>
  <si>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</si>
  <si>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</si>
  <si>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</si>
  <si>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</si>
  <si>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</si>
  <si>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</si>
  <si>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</si>
  <si>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</si>
  <si>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</si>
  <si>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</si>
  <si>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</si>
  <si>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</si>
  <si>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</si>
  <si>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4.00-18.54</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</si>
  <si>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</si>
  <si>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</si>
  <si>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</si>
  <si>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</si>
  <si>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</si>
  <si>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</si>
  <si>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</si>
  <si>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</si>
  <si>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</si>
  <si>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</si>
  <si>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</si>
  <si>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</si>
  <si>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</si>
  <si>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</si>
  <si>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</si>
  <si>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</si>
  <si>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</si>
  <si>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</si>
  <si>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</si>
  <si>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</si>
  <si>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</si>
  <si>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</si>
  <si>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</si>
  <si>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</si>
  <si>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</si>
  <si>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</si>
  <si>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</si>
  <si>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</si>
  <si>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</si>
  <si>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</si>
  <si>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</si>
  <si>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</si>
  <si>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</si>
  <si>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2.00-18.50</t>
  </si>
  <si>
    <t>2.00-19.00</t>
  </si>
  <si>
    <t xml:space="preserve">              - Housing</t>
  </si>
  <si>
    <t>8.00-19.50</t>
  </si>
  <si>
    <t>8.00-19.75</t>
  </si>
  <si>
    <t>8.00-18.50</t>
  </si>
  <si>
    <t>8.00-20.75</t>
  </si>
  <si>
    <t>8.00-20.25</t>
  </si>
  <si>
    <t>7.75-20.00</t>
  </si>
  <si>
    <t>7.00-20.00</t>
  </si>
  <si>
    <t>7.00-19.75</t>
  </si>
  <si>
    <t>7.00-19.50</t>
  </si>
  <si>
    <t>6.00-19.00</t>
  </si>
  <si>
    <t>5.00-18.00</t>
  </si>
  <si>
    <t>4.00-18.00</t>
  </si>
  <si>
    <t>3.00-17.25</t>
  </si>
  <si>
    <t>2.00-18.00</t>
  </si>
  <si>
    <t>3.00-18.50</t>
  </si>
  <si>
    <t>2.00-13.50</t>
  </si>
  <si>
    <t>2.00-13.40</t>
  </si>
  <si>
    <t>2.00-12.50</t>
  </si>
  <si>
    <t>3.00-12.50</t>
  </si>
  <si>
    <t>3.00-12.15</t>
  </si>
  <si>
    <t>2.00-12.15</t>
  </si>
  <si>
    <t>2.00-12.00</t>
  </si>
  <si>
    <t>2.00-13.15</t>
  </si>
  <si>
    <t>2.00-12.90</t>
  </si>
  <si>
    <t>2.00-13.25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</si>
  <si>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</si>
  <si>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</si>
  <si>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</si>
  <si>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</si>
  <si>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</si>
  <si>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</si>
  <si>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</si>
  <si>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</si>
  <si>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</si>
  <si>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</si>
  <si>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</si>
  <si>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</si>
  <si>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</si>
  <si>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</si>
  <si>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</si>
  <si>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</si>
  <si>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</si>
  <si>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</si>
  <si>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</si>
  <si>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</si>
  <si>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</si>
  <si>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</si>
  <si>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</si>
  <si>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</si>
  <si>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</si>
  <si>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</si>
  <si>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</si>
  <si>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</si>
  <si>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</si>
  <si>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</si>
  <si>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</si>
  <si>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</si>
  <si>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</si>
  <si>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</si>
  <si>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</si>
  <si>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</si>
  <si>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</si>
  <si>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</si>
  <si>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</si>
  <si>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</si>
  <si>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</si>
  <si>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</si>
  <si>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</si>
  <si>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</si>
  <si>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</si>
  <si>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</si>
  <si>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</si>
  <si>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</si>
  <si>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</si>
  <si>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</si>
  <si>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</si>
  <si>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</si>
  <si>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</si>
  <si>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</si>
  <si>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</si>
  <si>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</si>
  <si>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</si>
  <si>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</si>
  <si>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</si>
  <si>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</si>
  <si>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</si>
  <si>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</si>
  <si>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</si>
  <si>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</si>
  <si>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</si>
  <si>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</si>
  <si>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</si>
  <si>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</si>
  <si>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</si>
  <si>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</si>
  <si>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</si>
  <si>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</si>
  <si>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</si>
  <si>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</si>
  <si>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</si>
  <si>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</si>
  <si>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</si>
  <si>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</si>
  <si>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</si>
  <si>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</si>
  <si>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</si>
  <si>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</si>
  <si>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</si>
  <si>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</si>
  <si>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</si>
  <si>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</si>
  <si>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</si>
  <si>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</si>
  <si>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</si>
  <si>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</si>
  <si>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</si>
  <si>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</si>
  <si>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</si>
  <si>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</si>
  <si>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</si>
  <si>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</si>
  <si>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</si>
  <si>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</si>
  <si>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</si>
  <si>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</si>
  <si>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</si>
  <si>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</si>
  <si>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</si>
  <si>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</si>
  <si>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</si>
  <si>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</si>
  <si>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</si>
  <si>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</si>
  <si>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</si>
  <si>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</si>
  <si>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</si>
  <si>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</si>
  <si>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</si>
  <si>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</si>
  <si>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</si>
  <si>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</si>
  <si>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</si>
  <si>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</si>
  <si>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</si>
  <si>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</si>
  <si>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5.75-17.40</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</si>
  <si>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</si>
  <si>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</si>
  <si>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</si>
  <si>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</si>
  <si>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</si>
  <si>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</si>
  <si>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</si>
  <si>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</si>
  <si>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</si>
  <si>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</si>
  <si>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</si>
  <si>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</si>
  <si>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</si>
  <si>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</si>
  <si>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</si>
  <si>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</si>
  <si>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</si>
  <si>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</si>
  <si>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</si>
  <si>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</si>
  <si>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</si>
  <si>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</si>
  <si>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</si>
  <si>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</si>
  <si>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</si>
  <si>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</si>
  <si>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</si>
  <si>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</si>
  <si>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</si>
  <si>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</si>
  <si>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</si>
  <si>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</si>
  <si>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</si>
  <si>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</si>
  <si>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</si>
  <si>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</si>
  <si>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</si>
  <si>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</si>
  <si>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</si>
  <si>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</si>
  <si>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</si>
  <si>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</si>
  <si>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</si>
  <si>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3.15-18.50</t>
  </si>
  <si>
    <t>3.15-18.66</t>
  </si>
  <si>
    <t>1.96-18.67</t>
  </si>
  <si>
    <t>1.96-18.66</t>
  </si>
  <si>
    <t>1.96-18.70</t>
  </si>
  <si>
    <t>1.96-18.76</t>
  </si>
  <si>
    <t>3.75-18.84</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</si>
  <si>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</si>
  <si>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</si>
  <si>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</si>
  <si>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</si>
  <si>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</si>
  <si>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</si>
  <si>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</si>
  <si>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</si>
  <si>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</si>
  <si>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</si>
  <si>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</si>
  <si>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</si>
  <si>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</si>
  <si>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</si>
  <si>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</si>
  <si>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</si>
  <si>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</si>
  <si>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</si>
  <si>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</si>
  <si>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</si>
  <si>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</si>
  <si>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</si>
  <si>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</si>
  <si>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</si>
  <si>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</si>
  <si>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</si>
  <si>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</si>
  <si>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</si>
  <si>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</si>
  <si>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</si>
  <si>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</si>
  <si>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</si>
  <si>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</si>
  <si>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</si>
  <si>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</si>
  <si>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</si>
  <si>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</si>
  <si>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</si>
  <si>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</si>
  <si>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</si>
  <si>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</si>
  <si>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</si>
  <si>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</si>
  <si>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5.40-16.52</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</si>
  <si>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</si>
  <si>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</si>
  <si>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</si>
  <si>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</si>
  <si>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</si>
  <si>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</si>
  <si>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</si>
  <si>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</si>
  <si>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</si>
  <si>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</si>
  <si>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</si>
  <si>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</si>
  <si>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</si>
  <si>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</si>
  <si>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</si>
  <si>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</si>
  <si>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</si>
  <si>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</si>
  <si>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</si>
  <si>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</si>
  <si>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</si>
  <si>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</si>
  <si>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</si>
  <si>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</si>
  <si>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</si>
  <si>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</si>
  <si>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</si>
  <si>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</si>
  <si>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</si>
  <si>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</si>
  <si>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</si>
  <si>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</si>
  <si>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</si>
  <si>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</si>
  <si>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</si>
  <si>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</si>
  <si>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</si>
  <si>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</si>
  <si>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</si>
  <si>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</si>
  <si>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</si>
  <si>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6.90-16.42</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</si>
  <si>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</si>
  <si>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</si>
  <si>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</si>
  <si>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</si>
  <si>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</si>
  <si>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</si>
  <si>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</si>
  <si>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</si>
  <si>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</si>
  <si>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</si>
  <si>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</si>
  <si>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</si>
  <si>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</si>
  <si>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</si>
  <si>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</si>
  <si>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</si>
  <si>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</si>
  <si>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</si>
  <si>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</si>
  <si>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</si>
  <si>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</si>
  <si>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</si>
  <si>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</si>
  <si>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</si>
  <si>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</si>
  <si>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</si>
  <si>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</si>
  <si>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</si>
  <si>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</si>
  <si>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</si>
  <si>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</si>
  <si>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</si>
  <si>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</si>
  <si>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</si>
  <si>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</si>
  <si>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</si>
  <si>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</si>
  <si>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</si>
  <si>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</si>
  <si>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</si>
  <si>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</si>
  <si>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</si>
  <si>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</si>
  <si>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</si>
  <si>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</si>
  <si>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</si>
  <si>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</si>
  <si>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</si>
  <si>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</si>
  <si>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</si>
  <si>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</si>
  <si>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</si>
  <si>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</si>
  <si>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</si>
  <si>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</si>
  <si>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</si>
  <si>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</si>
  <si>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</si>
  <si>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</si>
  <si>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</si>
  <si>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</si>
  <si>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</si>
  <si>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</si>
  <si>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</si>
  <si>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</si>
  <si>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</si>
  <si>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</si>
  <si>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</si>
  <si>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6.00-10.65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</si>
  <si>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</si>
  <si>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</si>
  <si>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</si>
  <si>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</si>
  <si>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</si>
  <si>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</si>
  <si>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</si>
  <si>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</si>
  <si>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</si>
  <si>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</si>
  <si>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</si>
  <si>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</si>
  <si>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</si>
  <si>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</si>
  <si>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</si>
  <si>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</si>
  <si>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</si>
  <si>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</si>
  <si>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</si>
  <si>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</si>
  <si>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</si>
  <si>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</si>
  <si>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</si>
  <si>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</si>
  <si>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</si>
  <si>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</si>
  <si>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</si>
  <si>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</si>
  <si>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</si>
  <si>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</si>
  <si>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</si>
  <si>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</si>
  <si>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</si>
  <si>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</si>
  <si>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</si>
  <si>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</si>
  <si>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</si>
  <si>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</si>
  <si>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</si>
  <si>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</si>
  <si>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</si>
  <si>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</si>
  <si>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</si>
  <si>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</si>
  <si>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</si>
  <si>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</si>
  <si>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</si>
  <si>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</si>
  <si>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8.15-16.59</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</si>
  <si>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</si>
  <si>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</si>
  <si>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</si>
  <si>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</si>
  <si>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</si>
  <si>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</si>
  <si>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</si>
  <si>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</si>
  <si>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</si>
  <si>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</si>
  <si>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</si>
  <si>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</si>
  <si>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</si>
  <si>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</si>
  <si>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</si>
  <si>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</si>
  <si>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</si>
  <si>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</si>
  <si>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</si>
  <si>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</si>
  <si>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</si>
  <si>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</si>
  <si>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</si>
  <si>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</si>
  <si>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</si>
  <si>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</si>
  <si>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</si>
  <si>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</si>
  <si>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</si>
  <si>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</si>
  <si>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</si>
  <si>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</si>
  <si>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</si>
  <si>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</si>
  <si>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</si>
  <si>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</si>
  <si>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</si>
  <si>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</si>
  <si>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</si>
  <si>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</si>
  <si>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</si>
  <si>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</si>
  <si>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</si>
  <si>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</si>
  <si>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</si>
  <si>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</si>
  <si>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</si>
  <si>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</si>
  <si>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7.25-10.15</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</si>
  <si>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</si>
  <si>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</si>
  <si>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</si>
  <si>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</si>
  <si>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</si>
  <si>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</si>
  <si>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</si>
  <si>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</si>
  <si>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</si>
  <si>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</si>
  <si>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</si>
  <si>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</si>
  <si>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</si>
  <si>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</si>
  <si>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</si>
  <si>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</si>
  <si>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</si>
  <si>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</si>
  <si>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</si>
  <si>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</si>
  <si>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</si>
  <si>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</si>
  <si>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</si>
  <si>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</si>
  <si>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7.05-8.65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</si>
  <si>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</si>
  <si>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</si>
  <si>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</si>
  <si>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</si>
  <si>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</si>
  <si>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</si>
  <si>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</si>
  <si>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</si>
  <si>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</si>
  <si>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</si>
  <si>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</si>
  <si>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</si>
  <si>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</si>
  <si>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</si>
  <si>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</si>
  <si>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</si>
  <si>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</si>
  <si>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</si>
  <si>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</si>
  <si>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</si>
  <si>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</si>
  <si>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</si>
  <si>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</si>
  <si>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</si>
  <si>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</si>
  <si>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</si>
  <si>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</si>
  <si>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</si>
  <si>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</si>
  <si>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</si>
  <si>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</si>
  <si>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</si>
  <si>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</si>
  <si>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</si>
  <si>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</si>
  <si>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</si>
  <si>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</si>
  <si>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</si>
  <si>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</si>
  <si>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</si>
  <si>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</si>
  <si>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</si>
  <si>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</si>
  <si>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</si>
  <si>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2.25-19.25</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</si>
  <si>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</si>
  <si>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</si>
  <si>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</si>
  <si>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</si>
  <si>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</si>
  <si>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</si>
  <si>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</si>
  <si>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</si>
  <si>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</si>
  <si>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</si>
  <si>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</si>
  <si>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</si>
  <si>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</si>
  <si>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</si>
  <si>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</si>
  <si>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</si>
  <si>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</si>
  <si>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</si>
  <si>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</si>
  <si>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</si>
  <si>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</si>
  <si>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</si>
  <si>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</si>
  <si>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</si>
  <si>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</si>
  <si>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</si>
  <si>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</si>
  <si>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</si>
  <si>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</si>
  <si>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</si>
  <si>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</si>
  <si>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</si>
  <si>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</si>
  <si>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</si>
  <si>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</si>
  <si>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</si>
  <si>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</si>
  <si>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</si>
  <si>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</si>
  <si>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</si>
  <si>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</si>
  <si>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</si>
  <si>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</si>
  <si>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</si>
  <si>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</si>
  <si>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</si>
  <si>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</si>
  <si>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</si>
  <si>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</si>
  <si>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</si>
  <si>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</si>
  <si>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</si>
  <si>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</si>
  <si>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</si>
  <si>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</si>
  <si>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</si>
  <si>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</si>
  <si>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</si>
  <si>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</si>
  <si>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</si>
  <si>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</si>
  <si>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</si>
  <si>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</si>
  <si>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</si>
  <si>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</si>
  <si>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</si>
  <si>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</si>
  <si>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</si>
  <si>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</si>
  <si>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</si>
  <si>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</si>
  <si>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</si>
  <si>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</si>
  <si>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</si>
  <si>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</si>
  <si>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</si>
  <si>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</si>
  <si>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</si>
  <si>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</si>
  <si>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</si>
  <si>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</si>
  <si>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</si>
  <si>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</si>
  <si>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</si>
  <si>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</si>
  <si>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</si>
  <si>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</si>
  <si>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</si>
  <si>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</si>
  <si>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</si>
  <si>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</si>
  <si>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</si>
  <si>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</si>
  <si>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</si>
  <si>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</si>
  <si>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</si>
  <si>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</si>
  <si>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</si>
  <si>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</si>
  <si>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</si>
  <si>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</si>
  <si>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</si>
  <si>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</si>
  <si>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</si>
  <si>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</si>
  <si>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</si>
  <si>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</si>
  <si>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</si>
  <si>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</si>
  <si>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6.25-18.51</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</si>
  <si>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</si>
  <si>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</si>
  <si>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</si>
  <si>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</si>
  <si>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</si>
  <si>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</si>
  <si>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</si>
  <si>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</si>
  <si>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</si>
  <si>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</si>
  <si>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</si>
  <si>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</si>
  <si>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</si>
  <si>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</si>
  <si>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</si>
  <si>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</si>
  <si>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</si>
  <si>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</si>
  <si>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</si>
  <si>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</si>
  <si>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</si>
  <si>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</si>
  <si>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</si>
  <si>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</si>
  <si>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</si>
  <si>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</si>
  <si>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</si>
  <si>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</si>
  <si>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</si>
  <si>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</si>
  <si>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</si>
  <si>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</si>
  <si>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</si>
  <si>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</si>
  <si>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</si>
  <si>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</si>
  <si>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</si>
  <si>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</si>
  <si>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6.75-18.53</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</si>
  <si>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</si>
  <si>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</si>
  <si>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</si>
  <si>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</si>
  <si>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</si>
  <si>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</si>
  <si>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</si>
  <si>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</si>
  <si>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</si>
  <si>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</si>
  <si>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</si>
  <si>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</si>
  <si>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</si>
  <si>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</si>
  <si>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</si>
  <si>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</si>
  <si>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</si>
  <si>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</si>
  <si>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</si>
  <si>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</si>
  <si>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</si>
  <si>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</si>
  <si>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</si>
  <si>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</si>
  <si>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</si>
  <si>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</si>
  <si>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</si>
  <si>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</si>
  <si>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</si>
  <si>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</si>
  <si>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</si>
  <si>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</si>
  <si>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</si>
  <si>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</si>
  <si>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</si>
  <si>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</si>
  <si>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</si>
  <si>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</si>
  <si>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</si>
  <si>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</si>
  <si>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</si>
  <si>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</si>
  <si>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</si>
  <si>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4.25-18.40</t>
  </si>
  <si>
    <t>4.10-18.50</t>
  </si>
  <si>
    <t>4.10-18.65</t>
  </si>
  <si>
    <t>II. DEPOSITS</t>
  </si>
  <si>
    <t>1. Savings</t>
  </si>
  <si>
    <t>4.50-4.625</t>
  </si>
  <si>
    <t>5.70-6.27</t>
  </si>
  <si>
    <t>6.20-6.80</t>
  </si>
  <si>
    <t>7.20-7.60</t>
  </si>
  <si>
    <t>8.00-8.60</t>
  </si>
  <si>
    <t>7.75-8.25</t>
  </si>
  <si>
    <t>7.00-7.75</t>
  </si>
  <si>
    <t>6.75-7.75</t>
  </si>
  <si>
    <t>6.25-7.25</t>
  </si>
  <si>
    <t>6.50-7.25</t>
  </si>
  <si>
    <t>6.00-6.75</t>
  </si>
  <si>
    <t>5.00-5.75</t>
  </si>
  <si>
    <t>4.00-5.75</t>
  </si>
  <si>
    <t>4.00-4.75</t>
  </si>
  <si>
    <t>3.40-4.75</t>
  </si>
  <si>
    <t>3.00-4.00</t>
  </si>
  <si>
    <t>3.50-4.25</t>
  </si>
  <si>
    <t>3.00-4.15</t>
  </si>
  <si>
    <t>3.00-3.65</t>
  </si>
  <si>
    <t>2.75-3.65</t>
  </si>
  <si>
    <t>2.75-3.40</t>
  </si>
  <si>
    <t>2.50-3.40</t>
  </si>
  <si>
    <t>2.40-3.40</t>
  </si>
  <si>
    <t>2.40-4.00</t>
  </si>
  <si>
    <t>2.00-4.00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</si>
  <si>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</si>
  <si>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</si>
  <si>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</si>
  <si>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</si>
  <si>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</si>
  <si>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</si>
  <si>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</si>
  <si>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</si>
  <si>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</si>
  <si>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</si>
  <si>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</si>
  <si>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</si>
  <si>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</si>
  <si>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</si>
  <si>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</si>
  <si>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</si>
  <si>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</si>
  <si>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</si>
  <si>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</si>
  <si>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</si>
  <si>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</si>
  <si>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</si>
  <si>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</si>
  <si>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</si>
  <si>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</si>
  <si>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</si>
  <si>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</si>
  <si>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</si>
  <si>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</si>
  <si>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</si>
  <si>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</si>
  <si>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</si>
  <si>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</si>
  <si>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</si>
  <si>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</si>
  <si>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</si>
  <si>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</si>
  <si>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</si>
  <si>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</si>
  <si>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</si>
  <si>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</si>
  <si>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 xml:space="preserve">     7 Days' Notice</t>
  </si>
  <si>
    <t>3.00-7.00</t>
  </si>
  <si>
    <t>4.00-7.75</t>
  </si>
  <si>
    <t>5.00-8.75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</si>
  <si>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</si>
  <si>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</si>
  <si>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</si>
  <si>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</si>
  <si>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</si>
  <si>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</si>
  <si>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</si>
  <si>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</si>
  <si>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</si>
  <si>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</si>
  <si>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</si>
  <si>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</si>
  <si>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</si>
  <si>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</si>
  <si>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</si>
  <si>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</si>
  <si>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</si>
  <si>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</si>
  <si>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</si>
  <si>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</si>
  <si>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</si>
  <si>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</si>
  <si>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</si>
  <si>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</si>
  <si>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</si>
  <si>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</si>
  <si>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</si>
  <si>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</si>
  <si>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</si>
  <si>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</si>
  <si>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</si>
  <si>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</si>
  <si>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</si>
  <si>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</si>
  <si>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</si>
  <si>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</si>
  <si>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</si>
  <si>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</si>
  <si>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</si>
  <si>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</si>
  <si>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</si>
  <si>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</si>
  <si>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</si>
  <si>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</si>
  <si>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</si>
  <si>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</si>
  <si>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</si>
  <si>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</si>
  <si>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</si>
  <si>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</si>
  <si>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</si>
  <si>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</si>
  <si>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</si>
  <si>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</si>
  <si>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</si>
  <si>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</si>
  <si>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</si>
  <si>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</si>
  <si>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</si>
  <si>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</si>
  <si>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</si>
  <si>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</si>
  <si>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</si>
  <si>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6.25-8.00</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</si>
  <si>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</si>
  <si>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</si>
  <si>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</si>
  <si>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</si>
  <si>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</si>
  <si>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</si>
  <si>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</si>
  <si>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</si>
  <si>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</si>
  <si>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</si>
  <si>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</si>
  <si>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</si>
  <si>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</si>
  <si>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</si>
  <si>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</si>
  <si>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</si>
  <si>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</si>
  <si>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</si>
  <si>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</si>
  <si>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</si>
  <si>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</si>
  <si>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</si>
  <si>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</si>
  <si>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</si>
  <si>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</si>
  <si>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</si>
  <si>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</si>
  <si>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</si>
  <si>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</si>
  <si>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</si>
  <si>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</si>
  <si>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</si>
  <si>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</si>
  <si>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</si>
  <si>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</si>
  <si>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</si>
  <si>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</si>
  <si>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</si>
  <si>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</si>
  <si>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</si>
  <si>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</si>
  <si>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</si>
  <si>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</si>
  <si>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</si>
  <si>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</si>
  <si>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</si>
  <si>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</si>
  <si>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</si>
  <si>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</si>
  <si>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</si>
  <si>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</si>
  <si>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</si>
  <si>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</si>
  <si>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</si>
  <si>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</si>
  <si>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</si>
  <si>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</si>
  <si>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</si>
  <si>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</si>
  <si>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</si>
  <si>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</si>
  <si>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</si>
  <si>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</si>
  <si>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</si>
  <si>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</si>
  <si>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</si>
  <si>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</si>
  <si>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</si>
  <si>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</si>
  <si>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</si>
  <si>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</si>
  <si>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</si>
  <si>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</si>
  <si>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</si>
  <si>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</si>
  <si>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</si>
  <si>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</si>
  <si>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</si>
  <si>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</si>
  <si>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</si>
  <si>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</si>
  <si>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</si>
  <si>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</si>
  <si>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</si>
  <si>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</si>
  <si>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</si>
  <si>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</si>
  <si>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</si>
  <si>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</si>
  <si>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</si>
  <si>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</si>
  <si>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</si>
  <si>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</si>
  <si>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</si>
  <si>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</si>
  <si>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</si>
  <si>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</si>
  <si>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</si>
  <si>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</si>
  <si>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</si>
  <si>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</si>
  <si>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</si>
  <si>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</si>
  <si>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</si>
  <si>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</si>
  <si>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</si>
  <si>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</si>
  <si>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</si>
  <si>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</si>
  <si>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</si>
  <si>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</si>
  <si>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</si>
  <si>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</si>
  <si>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</si>
  <si>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</si>
  <si>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</si>
  <si>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</si>
  <si>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</si>
  <si>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</si>
  <si>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</si>
  <si>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</si>
  <si>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</si>
  <si>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</si>
  <si>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</si>
  <si>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</si>
  <si>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</si>
  <si>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</si>
  <si>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</si>
  <si>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</si>
  <si>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</si>
  <si>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</si>
  <si>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</si>
  <si>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</si>
  <si>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</si>
  <si>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</si>
  <si>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</si>
  <si>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</si>
  <si>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</si>
  <si>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</si>
  <si>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</si>
  <si>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</si>
  <si>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</si>
  <si>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</si>
  <si>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</si>
  <si>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</si>
  <si>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</si>
  <si>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</si>
  <si>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</si>
  <si>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</si>
  <si>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</si>
  <si>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</si>
  <si>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</si>
  <si>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</si>
  <si>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</si>
  <si>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</si>
  <si>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</si>
  <si>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</si>
  <si>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</si>
  <si>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</si>
  <si>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</si>
  <si>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</si>
  <si>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</si>
  <si>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</si>
  <si>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</si>
  <si>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</si>
  <si>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</si>
  <si>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</si>
  <si>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</si>
  <si>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</si>
  <si>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</si>
  <si>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</si>
  <si>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</si>
  <si>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</si>
  <si>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</si>
  <si>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</si>
  <si>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</si>
  <si>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</si>
  <si>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</si>
  <si>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</si>
  <si>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</si>
  <si>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</si>
  <si>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</si>
  <si>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 xml:space="preserve">     Exceeding 6 Months &amp; Up to 9 Months</t>
  </si>
  <si>
    <t>4.25-7.25</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</si>
  <si>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</si>
  <si>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</si>
  <si>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</si>
  <si>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</si>
  <si>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</si>
  <si>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</si>
  <si>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</si>
  <si>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</si>
  <si>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</si>
  <si>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</si>
  <si>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</si>
  <si>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</si>
  <si>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</si>
  <si>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</si>
  <si>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</si>
  <si>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</si>
  <si>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</si>
  <si>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</si>
  <si>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</si>
  <si>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</si>
  <si>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</si>
  <si>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</si>
  <si>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</si>
  <si>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</si>
  <si>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</si>
  <si>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</si>
  <si>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</si>
  <si>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</si>
  <si>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</si>
  <si>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</si>
  <si>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</si>
  <si>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</si>
  <si>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</si>
  <si>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</si>
  <si>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</si>
  <si>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</si>
  <si>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2.00-6.95</t>
  </si>
  <si>
    <t>1.50- 6.95</t>
  </si>
  <si>
    <t>2.00-6.80</t>
  </si>
  <si>
    <t>1.90-8.60</t>
  </si>
  <si>
    <t>2.00-7.00</t>
  </si>
  <si>
    <t>1.90-6.80</t>
  </si>
  <si>
    <t>0.55-6.10</t>
  </si>
  <si>
    <t>1.05-6.10</t>
  </si>
  <si>
    <t>1.05-6.31</t>
  </si>
  <si>
    <t>3.15-5.00</t>
  </si>
  <si>
    <t>3.15-5.30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</si>
  <si>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</si>
  <si>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</si>
  <si>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</si>
  <si>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</si>
  <si>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</si>
  <si>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</si>
  <si>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</si>
  <si>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</si>
  <si>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</si>
  <si>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</si>
  <si>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</si>
  <si>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</si>
  <si>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</si>
  <si>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</si>
  <si>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</si>
  <si>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</si>
  <si>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5.75-11.50</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</si>
  <si>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</si>
  <si>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</si>
  <si>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</si>
  <si>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</si>
  <si>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</si>
  <si>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</si>
  <si>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</si>
  <si>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</si>
  <si>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</si>
  <si>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</si>
  <si>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</si>
  <si>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</si>
  <si>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</si>
  <si>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</si>
  <si>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</si>
  <si>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</si>
  <si>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</si>
  <si>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</si>
  <si>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</si>
  <si>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</si>
  <si>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1.85-8.60</t>
  </si>
  <si>
    <t>1.05-7.50</t>
  </si>
  <si>
    <t>1.00-6.25</t>
  </si>
  <si>
    <t>1.00-7.50</t>
  </si>
  <si>
    <t>1.05-7.80</t>
  </si>
  <si>
    <t>0.75-7.50</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</si>
  <si>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</si>
  <si>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</si>
  <si>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</si>
  <si>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</si>
  <si>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</si>
  <si>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</si>
  <si>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</si>
  <si>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</si>
  <si>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</si>
  <si>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</si>
  <si>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</si>
  <si>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</si>
  <si>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</si>
  <si>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</si>
  <si>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</si>
  <si>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</si>
  <si>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</si>
  <si>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</si>
  <si>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</si>
  <si>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</si>
  <si>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</si>
  <si>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</si>
  <si>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</si>
  <si>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</si>
  <si>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</si>
  <si>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</si>
  <si>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</si>
  <si>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</si>
  <si>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</si>
  <si>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</si>
  <si>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</si>
  <si>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</si>
  <si>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</si>
  <si>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</si>
  <si>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</si>
  <si>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</si>
  <si>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</si>
  <si>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</si>
  <si>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2.55-6.50</t>
  </si>
  <si>
    <t>2.00-6.50</t>
  </si>
  <si>
    <t>2.45-6.50</t>
  </si>
  <si>
    <t>1.15-6.50</t>
  </si>
  <si>
    <t>1.80-7.75</t>
  </si>
  <si>
    <t>1.15-6.40</t>
  </si>
  <si>
    <t>1.15-5.65</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</si>
  <si>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</si>
  <si>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</si>
  <si>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</si>
  <si>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</si>
  <si>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</si>
  <si>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</si>
  <si>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</si>
  <si>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</si>
  <si>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</si>
  <si>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</si>
  <si>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</si>
  <si>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</si>
  <si>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</si>
  <si>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</si>
  <si>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</si>
  <si>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</si>
  <si>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</si>
  <si>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</si>
  <si>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</si>
  <si>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</si>
  <si>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</si>
  <si>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</si>
  <si>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</si>
  <si>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</si>
  <si>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</si>
  <si>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</si>
  <si>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</si>
  <si>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</si>
  <si>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2.45-7.75</t>
  </si>
  <si>
    <t>1.20-7.75</t>
  </si>
  <si>
    <t>1.65-7.75</t>
  </si>
  <si>
    <t>1.40-7.75</t>
  </si>
  <si>
    <t>1.40-9.05</t>
  </si>
  <si>
    <t>1.40-7.35</t>
  </si>
  <si>
    <t>1.40-6.50</t>
  </si>
  <si>
    <t>1.40-6.00</t>
  </si>
  <si>
    <t>1.40-5.85</t>
  </si>
  <si>
    <t>0.75-5.85</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</si>
  <si>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</si>
  <si>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</si>
  <si>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</si>
  <si>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</si>
  <si>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</si>
  <si>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</si>
  <si>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</si>
  <si>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</si>
  <si>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</si>
  <si>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</si>
  <si>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</si>
  <si>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</si>
  <si>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</si>
  <si>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</si>
  <si>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</si>
  <si>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</si>
  <si>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</si>
  <si>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</si>
  <si>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</si>
  <si>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</si>
  <si>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</si>
  <si>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</si>
  <si>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</si>
  <si>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</si>
  <si>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</si>
  <si>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</si>
  <si>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</si>
  <si>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</si>
  <si>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</si>
  <si>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</si>
  <si>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</si>
  <si>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</si>
  <si>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</si>
  <si>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</si>
  <si>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</si>
  <si>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</si>
  <si>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</si>
  <si>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 xml:space="preserve">     Exceeding 36 Months &amp; Up to 48 Months</t>
  </si>
  <si>
    <t>4.25-11.00</t>
  </si>
  <si>
    <t>4.50-11.50</t>
  </si>
  <si>
    <t>5.00-12.50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</si>
  <si>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</si>
  <si>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</si>
  <si>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</si>
  <si>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</si>
  <si>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</si>
  <si>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</si>
  <si>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</si>
  <si>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</si>
  <si>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</si>
  <si>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</si>
  <si>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</si>
  <si>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</si>
  <si>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</si>
  <si>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</si>
  <si>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</si>
  <si>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</si>
  <si>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</si>
  <si>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</si>
  <si>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</si>
  <si>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</si>
  <si>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</si>
  <si>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</si>
  <si>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</si>
  <si>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</si>
  <si>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</si>
  <si>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</si>
  <si>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</si>
  <si>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</si>
  <si>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</si>
  <si>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</si>
  <si>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</si>
  <si>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</si>
  <si>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</si>
  <si>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</si>
  <si>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</si>
  <si>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</si>
  <si>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</si>
  <si>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</si>
  <si>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</si>
  <si>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</si>
  <si>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</si>
  <si>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</si>
  <si>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</si>
  <si>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</si>
  <si>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</si>
  <si>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</si>
  <si>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</si>
  <si>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</si>
  <si>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</si>
  <si>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</si>
  <si>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</si>
  <si>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</si>
  <si>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</si>
  <si>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</si>
  <si>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</si>
  <si>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</si>
  <si>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</si>
  <si>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</si>
  <si>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</si>
  <si>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</si>
  <si>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</si>
  <si>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</si>
  <si>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</si>
  <si>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</si>
  <si>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</si>
  <si>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</si>
  <si>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</si>
  <si>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</si>
  <si>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</si>
  <si>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</si>
  <si>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</si>
  <si>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</si>
  <si>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</si>
  <si>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</si>
  <si>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</si>
  <si>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</si>
  <si>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</si>
  <si>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</si>
  <si>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</si>
  <si>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</si>
  <si>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</si>
  <si>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</si>
  <si>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</si>
  <si>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</si>
  <si>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</si>
  <si>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</si>
  <si>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</si>
  <si>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</si>
  <si>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</si>
  <si>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</si>
  <si>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</si>
  <si>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</si>
  <si>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</si>
  <si>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</si>
  <si>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</si>
  <si>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</si>
  <si>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</si>
  <si>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</si>
  <si>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</si>
  <si>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</si>
  <si>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</si>
  <si>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</si>
  <si>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</si>
  <si>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</si>
  <si>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</si>
  <si>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</si>
  <si>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</si>
  <si>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</si>
  <si>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</si>
  <si>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</si>
  <si>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</si>
  <si>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</si>
  <si>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</si>
  <si>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</si>
  <si>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</si>
  <si>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</si>
  <si>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</si>
  <si>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</si>
  <si>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</si>
  <si>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</si>
  <si>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</si>
  <si>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</si>
  <si>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</si>
  <si>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</si>
  <si>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</si>
  <si>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</si>
  <si>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</si>
  <si>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</si>
  <si>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</si>
  <si>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</si>
  <si>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</si>
  <si>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</si>
  <si>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</si>
  <si>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</si>
  <si>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</si>
  <si>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2.90-11.00</t>
  </si>
  <si>
    <t>* The Lombard Rate has been abolished on 18 December 2006.</t>
  </si>
  <si>
    <r>
      <rPr>
        <i/>
        <vertAlign val="superscript"/>
        <sz val="11"/>
        <rFont val="Times New Roman"/>
        <family val="1"/>
      </rPr>
      <t xml:space="preserve">1 </t>
    </r>
    <r>
      <rPr>
        <i/>
        <sz val="11"/>
        <rFont val="Times New Roman"/>
        <family val="1"/>
      </rPr>
      <t>Effective 1 July 2014, Bank of Mauritius has discontinued the publication of the Bank Rate.</t>
    </r>
  </si>
  <si>
    <r>
      <rPr>
        <vertAlign val="superscript"/>
        <sz val="11"/>
        <rFont val="Times New Roman"/>
        <family val="1"/>
      </rPr>
      <t xml:space="preserve">2 </t>
    </r>
    <r>
      <rPr>
        <i/>
        <vertAlign val="superscript"/>
        <sz val="11"/>
        <rFont val="Times New Roman"/>
        <family val="1"/>
      </rPr>
      <t xml:space="preserve"> </t>
    </r>
    <r>
      <rPr>
        <i/>
        <sz val="11"/>
        <rFont val="Times New Roman"/>
        <family val="1"/>
      </rPr>
      <t xml:space="preserve">The key Repo Rate is used as the key policy rate of the Bank of Mauritius. </t>
    </r>
  </si>
  <si>
    <t>Source: Statistics Division.</t>
  </si>
  <si>
    <t xml:space="preserve">Table 31 : Other Interest Rates: June 2012 to June 2015 </t>
  </si>
  <si>
    <t>(Per cent per annum)</t>
  </si>
  <si>
    <t xml:space="preserve">Weighted </t>
  </si>
  <si>
    <t>Simple</t>
  </si>
  <si>
    <t>Interest</t>
  </si>
  <si>
    <t>Average</t>
  </si>
  <si>
    <t xml:space="preserve">Yield </t>
  </si>
  <si>
    <t>Rate on</t>
  </si>
  <si>
    <t xml:space="preserve">Rate on </t>
  </si>
  <si>
    <t xml:space="preserve">Rates on </t>
  </si>
  <si>
    <t>Rates on</t>
  </si>
  <si>
    <t xml:space="preserve">Average </t>
  </si>
  <si>
    <t>Yield</t>
  </si>
  <si>
    <t>to Buyers</t>
  </si>
  <si>
    <t>Bank</t>
  </si>
  <si>
    <t>Interbank</t>
  </si>
  <si>
    <t>Bank of</t>
  </si>
  <si>
    <t>Rupee</t>
  </si>
  <si>
    <t xml:space="preserve"> Rupee</t>
  </si>
  <si>
    <t>on Bills</t>
  </si>
  <si>
    <t>Rate *</t>
  </si>
  <si>
    <t>Mauritius</t>
  </si>
  <si>
    <t>Savings</t>
  </si>
  <si>
    <t>Term</t>
  </si>
  <si>
    <t xml:space="preserve"> Loans and </t>
  </si>
  <si>
    <t xml:space="preserve">Deposits Rate </t>
  </si>
  <si>
    <t>Lending</t>
  </si>
  <si>
    <t>Accepted</t>
  </si>
  <si>
    <t xml:space="preserve"> Sold</t>
  </si>
  <si>
    <t>Rate</t>
  </si>
  <si>
    <t>Advances to</t>
  </si>
  <si>
    <t>Advances</t>
  </si>
  <si>
    <t>of Banks</t>
  </si>
  <si>
    <t>Rate of</t>
  </si>
  <si>
    <t>at Primary</t>
  </si>
  <si>
    <t>by SMC</t>
  </si>
  <si>
    <r>
      <t>Banks</t>
    </r>
    <r>
      <rPr>
        <b/>
        <vertAlign val="superscript"/>
        <sz val="10"/>
        <rFont val="Trebuchet MS"/>
        <family val="2"/>
      </rPr>
      <t/>
    </r>
  </si>
  <si>
    <t>with Banks</t>
  </si>
  <si>
    <t>by Banks</t>
  </si>
  <si>
    <t>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</si>
  <si>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</si>
  <si>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</si>
  <si>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</si>
  <si>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</si>
  <si>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</si>
  <si>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</si>
  <si>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</si>
  <si>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</si>
  <si>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</si>
  <si>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</si>
  <si>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</si>
  <si>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</si>
  <si>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</si>
  <si>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</si>
  <si>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</si>
  <si>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</si>
  <si>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</si>
  <si>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</si>
  <si>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</si>
  <si>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</si>
  <si>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</si>
  <si>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</si>
  <si>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</si>
  <si>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</si>
  <si>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</si>
  <si>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</si>
  <si>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</si>
  <si>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</si>
  <si>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Jan-11</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</si>
  <si>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</si>
  <si>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</si>
  <si>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</si>
  <si>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</si>
  <si>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</si>
  <si>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</si>
  <si>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</si>
  <si>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</si>
  <si>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</si>
  <si>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</si>
  <si>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</si>
  <si>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</si>
  <si>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</si>
  <si>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</si>
  <si>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</si>
  <si>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</si>
  <si>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</si>
  <si>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</si>
  <si>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</si>
  <si>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</si>
  <si>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</si>
  <si>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</si>
  <si>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</si>
  <si>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</si>
  <si>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</si>
  <si>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</si>
  <si>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</si>
  <si>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</si>
  <si>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</si>
  <si>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</si>
  <si>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</si>
  <si>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</si>
  <si>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</si>
  <si>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</si>
  <si>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0.15-11.00</t>
  </si>
  <si>
    <t>* Effective 1 July 2014, Bank of Mauritius has discontinued the publication of the Bank Rate.</t>
  </si>
  <si>
    <t xml:space="preserve"> Source: Statistics Division.</t>
  </si>
  <si>
    <t>`</t>
  </si>
  <si>
    <r>
      <t>Table 32: Maturity Pattern of  Banks' Foreign Currency  Deposits</t>
    </r>
    <r>
      <rPr>
        <b/>
        <vertAlign val="superscript"/>
        <sz val="12"/>
        <rFont val="Times New Roman"/>
        <family val="1"/>
      </rPr>
      <t>1</t>
    </r>
    <r>
      <rPr>
        <b/>
        <sz val="12"/>
        <rFont val="Times New Roman"/>
        <family val="1"/>
      </rPr>
      <t>: March 2015</t>
    </r>
  </si>
  <si>
    <t>(Rupees)</t>
  </si>
  <si>
    <t>Duration</t>
  </si>
  <si>
    <t>RUPEE EQUIVALENT OF DEPOSITS DENOMINATED IN FOREIGN CURRENCIES</t>
  </si>
  <si>
    <t>US</t>
  </si>
  <si>
    <t>Pound</t>
  </si>
  <si>
    <t>South African</t>
  </si>
  <si>
    <t>Other</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</si>
  <si>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</si>
  <si>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</si>
  <si>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</si>
  <si>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</si>
  <si>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</si>
  <si>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</si>
  <si>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</si>
  <si>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</si>
  <si>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</si>
  <si>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</si>
  <si>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</si>
  <si>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</si>
  <si>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</si>
  <si>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</si>
  <si>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</si>
  <si>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</si>
  <si>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</si>
  <si>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</si>
  <si>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</si>
  <si>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</si>
  <si>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Table 3b: Consolidated Statement of Assets and Liabilities of Banks as at end - June 2015</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</si>
  <si>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</si>
  <si>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</si>
  <si>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</si>
  <si>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</si>
  <si>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</si>
  <si>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</si>
  <si>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</si>
  <si>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</si>
  <si>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</si>
  <si>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</si>
  <si>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</si>
  <si>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</si>
  <si>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</si>
  <si>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</si>
  <si>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</si>
  <si>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</si>
  <si>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</si>
  <si>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</si>
  <si>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</si>
  <si>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</si>
  <si>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</si>
  <si>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</si>
  <si>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</si>
  <si>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</si>
  <si>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</si>
  <si>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</si>
  <si>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</si>
  <si>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</si>
  <si>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</si>
  <si>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0"/>
        <rFont val="Arial"/>
        <family val="2"/>
      </rPr>
      <t>National Cuurency</t>
    </r>
    <r>
      <rPr>
        <b/>
        <sz val="10"/>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</si>
  <si>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</si>
  <si>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</si>
  <si>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</si>
  <si>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</si>
  <si>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</si>
  <si>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</si>
  <si>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0"/>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</si>
  <si>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</si>
  <si>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</si>
  <si>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</si>
  <si>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</si>
  <si>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</si>
  <si>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</si>
  <si>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</si>
  <si>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</si>
  <si>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</si>
  <si>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</si>
  <si>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</si>
  <si>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</si>
  <si>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</si>
  <si>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</si>
  <si>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</si>
  <si>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</si>
  <si>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</si>
  <si>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</si>
  <si>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</si>
  <si>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</si>
  <si>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</si>
  <si>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</si>
  <si>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</si>
  <si>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</si>
  <si>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</si>
  <si>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</si>
  <si>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0"/>
        <rFont val="Arial"/>
        <family val="2"/>
      </rPr>
      <t>National Currency</t>
    </r>
    <r>
      <rPr>
        <b/>
        <sz val="10"/>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</si>
  <si>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</si>
  <si>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</si>
  <si>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</si>
  <si>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</si>
  <si>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</si>
  <si>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</si>
  <si>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</si>
  <si>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</si>
  <si>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</si>
  <si>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</si>
  <si>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</si>
  <si>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</si>
  <si>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</si>
  <si>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</si>
  <si>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</si>
  <si>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</si>
  <si>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</si>
  <si>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</si>
  <si>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</si>
  <si>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</si>
  <si>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</si>
  <si>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</si>
  <si>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</si>
  <si>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</si>
  <si>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</si>
  <si>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</si>
  <si>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</si>
  <si>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</si>
  <si>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</si>
  <si>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</si>
  <si>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</si>
  <si>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</si>
  <si>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</si>
  <si>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</si>
  <si>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0"/>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</si>
  <si>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</si>
  <si>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</si>
  <si>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</si>
  <si>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</si>
  <si>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</si>
  <si>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</si>
  <si>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r>
      <rPr>
        <i/>
        <vertAlign val="superscript"/>
        <sz val="9"/>
        <rFont val="Arial"/>
        <family val="2"/>
      </rPr>
      <t>1</t>
    </r>
    <r>
      <rPr>
        <i/>
        <sz val="9"/>
        <rFont val="Arial"/>
        <family val="2"/>
      </rPr>
      <t xml:space="preserve"> Includes Foreign Currency Interbank borrowings</t>
    </r>
  </si>
  <si>
    <r>
      <rPr>
        <i/>
        <vertAlign val="superscript"/>
        <sz val="9"/>
        <rFont val="Arial"/>
        <family val="2"/>
      </rPr>
      <t>2</t>
    </r>
    <r>
      <rPr>
        <i/>
        <sz val="9"/>
        <rFont val="Arial"/>
        <family val="2"/>
      </rPr>
      <t xml:space="preserve"> Includes Foreign Currency Interbank Loans</t>
    </r>
  </si>
  <si>
    <t>Table 4a: Banks* - Assets: June 2014  to  June 2015</t>
  </si>
  <si>
    <t>End</t>
  </si>
  <si>
    <t>RESERVES</t>
  </si>
  <si>
    <t>FOREIGN ASSETS</t>
  </si>
  <si>
    <t>CLAIMS ON CENTRAL GOVERNMENT</t>
  </si>
  <si>
    <r>
      <t>CLAIMS ON PRIVATE SECTOR</t>
    </r>
    <r>
      <rPr>
        <b/>
        <vertAlign val="superscript"/>
        <sz val="11"/>
        <rFont val="Times New Roman"/>
        <family val="1"/>
      </rPr>
      <t>1</t>
    </r>
  </si>
  <si>
    <t>Claims on</t>
  </si>
  <si>
    <t xml:space="preserve">Claims </t>
  </si>
  <si>
    <t xml:space="preserve">Other </t>
  </si>
  <si>
    <t xml:space="preserve">TOTAL </t>
  </si>
  <si>
    <t>Acceptances</t>
  </si>
  <si>
    <t xml:space="preserve">Cash </t>
  </si>
  <si>
    <t>Balances</t>
  </si>
  <si>
    <t xml:space="preserve">Foreign </t>
  </si>
  <si>
    <t>Foreign</t>
  </si>
  <si>
    <t>Loans</t>
  </si>
  <si>
    <t>Treasury</t>
  </si>
  <si>
    <t>Government</t>
  </si>
  <si>
    <t>Local Bills</t>
  </si>
  <si>
    <t>Bills</t>
  </si>
  <si>
    <t>Investment</t>
  </si>
  <si>
    <t>Global</t>
  </si>
  <si>
    <t>on</t>
  </si>
  <si>
    <r>
      <t>Assets</t>
    </r>
    <r>
      <rPr>
        <b/>
        <vertAlign val="superscript"/>
        <sz val="12"/>
        <rFont val="Times New Roman"/>
        <family val="1"/>
      </rPr>
      <t>2</t>
    </r>
  </si>
  <si>
    <t>Documentary</t>
  </si>
  <si>
    <t>in</t>
  </si>
  <si>
    <t xml:space="preserve">with </t>
  </si>
  <si>
    <t xml:space="preserve">with  </t>
  </si>
  <si>
    <t>Securities</t>
  </si>
  <si>
    <t xml:space="preserve">Notes  </t>
  </si>
  <si>
    <t>outside</t>
  </si>
  <si>
    <t>Purchased</t>
  </si>
  <si>
    <t>Recei-</t>
  </si>
  <si>
    <t>and</t>
  </si>
  <si>
    <t>in Shares</t>
  </si>
  <si>
    <t>Business</t>
  </si>
  <si>
    <t>Credits and</t>
  </si>
  <si>
    <t>Hand</t>
  </si>
  <si>
    <t>Discounted</t>
  </si>
  <si>
    <t>vable</t>
  </si>
  <si>
    <t>Licence</t>
  </si>
  <si>
    <t>Guarantees</t>
  </si>
  <si>
    <t>Abroad</t>
  </si>
  <si>
    <t>Coins</t>
  </si>
  <si>
    <t>Debentures</t>
  </si>
  <si>
    <t>Holders</t>
  </si>
  <si>
    <r>
      <t xml:space="preserve">1 </t>
    </r>
    <r>
      <rPr>
        <i/>
        <sz val="11"/>
        <rFont val="Times New Roman"/>
        <family val="1"/>
      </rPr>
      <t>For a breakdown, see Table 5.</t>
    </r>
  </si>
  <si>
    <r>
      <t>2</t>
    </r>
    <r>
      <rPr>
        <i/>
        <sz val="11"/>
        <rFont val="Times New Roman"/>
        <family val="1"/>
      </rPr>
      <t>Include Interbank Loans and Fixed Assets.</t>
    </r>
  </si>
  <si>
    <r>
      <t xml:space="preserve">* </t>
    </r>
    <r>
      <rPr>
        <i/>
        <sz val="11"/>
        <rFont val="Times New Roman"/>
        <family val="1"/>
      </rPr>
      <t>Based on the segmental reporting of assets and liabilities of banks.</t>
    </r>
  </si>
  <si>
    <t>Figures may not add up to totals due to rounding.</t>
  </si>
  <si>
    <t>Table 4b*: Banks - Liabilities: June 2014  to June 2015</t>
  </si>
  <si>
    <t>Capital</t>
  </si>
  <si>
    <t>DEPOSITS</t>
  </si>
  <si>
    <t xml:space="preserve">Interbank </t>
  </si>
  <si>
    <t>BORROWINGS FROM</t>
  </si>
  <si>
    <t>Demand</t>
  </si>
  <si>
    <r>
      <t>Savings</t>
    </r>
    <r>
      <rPr>
        <b/>
        <vertAlign val="superscript"/>
        <sz val="11"/>
        <rFont val="Times New Roman"/>
        <family val="1"/>
      </rPr>
      <t>1</t>
    </r>
  </si>
  <si>
    <t>Time</t>
  </si>
  <si>
    <r>
      <t xml:space="preserve">Deposits </t>
    </r>
    <r>
      <rPr>
        <b/>
        <vertAlign val="superscript"/>
        <sz val="11"/>
        <rFont val="Times New Roman"/>
        <family val="1"/>
      </rPr>
      <t>3</t>
    </r>
  </si>
  <si>
    <t>from</t>
  </si>
  <si>
    <t>Payable</t>
  </si>
  <si>
    <r>
      <t>Liabilities</t>
    </r>
    <r>
      <rPr>
        <b/>
        <vertAlign val="superscript"/>
        <sz val="11"/>
        <rFont val="Times New Roman"/>
        <family val="1"/>
      </rPr>
      <t>2</t>
    </r>
  </si>
  <si>
    <t>on Account</t>
  </si>
  <si>
    <t>Credits</t>
  </si>
  <si>
    <t>Reserves</t>
  </si>
  <si>
    <t>Currency</t>
  </si>
  <si>
    <t>of Customers</t>
  </si>
  <si>
    <r>
      <t>1</t>
    </r>
    <r>
      <rPr>
        <i/>
        <sz val="11"/>
        <rFont val="Times New Roman"/>
        <family val="1"/>
      </rPr>
      <t xml:space="preserve"> Include margin deposits.</t>
    </r>
  </si>
  <si>
    <r>
      <t>2</t>
    </r>
    <r>
      <rPr>
        <i/>
        <sz val="11"/>
        <rFont val="Times New Roman"/>
        <family val="1"/>
      </rPr>
      <t xml:space="preserve"> Include borrowings from other institutions (local and foreign).</t>
    </r>
  </si>
  <si>
    <r>
      <t xml:space="preserve">3 </t>
    </r>
    <r>
      <rPr>
        <i/>
        <sz val="11"/>
        <rFont val="Times New Roman"/>
        <family val="1"/>
      </rPr>
      <t>Include budgetary and extra-budgetary units as from July 2013</t>
    </r>
  </si>
  <si>
    <t>Table 5: Banks - Sectorwise Distribution of Credit to the Private Sector: June 2015</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</si>
  <si>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</si>
  <si>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</si>
  <si>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</si>
  <si>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</si>
  <si>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</si>
  <si>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</si>
  <si>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</si>
  <si>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</si>
  <si>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</si>
  <si>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</si>
  <si>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</si>
  <si>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</si>
  <si>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</si>
  <si>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</si>
  <si>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</si>
  <si>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</si>
  <si>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</si>
  <si>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</si>
  <si>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</si>
  <si>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</si>
  <si>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</si>
  <si>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</si>
  <si>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</si>
  <si>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</si>
  <si>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</si>
  <si>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</si>
  <si>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</si>
  <si>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</si>
  <si>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</si>
  <si>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</si>
  <si>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</si>
  <si>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</si>
  <si>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</si>
  <si>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</si>
  <si>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</si>
  <si>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</si>
  <si>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</si>
  <si>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</si>
  <si>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</si>
  <si>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</si>
  <si>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</si>
  <si>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</si>
  <si>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</si>
  <si>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</si>
  <si>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</si>
  <si>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</si>
  <si>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</si>
  <si>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</si>
  <si>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</si>
  <si>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</si>
  <si>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</si>
  <si>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</si>
  <si>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</si>
  <si>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</si>
  <si>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</si>
  <si>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</si>
  <si>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</si>
  <si>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</si>
  <si>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</si>
  <si>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</si>
  <si>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</si>
  <si>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</si>
  <si>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</si>
  <si>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</si>
  <si>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</si>
  <si>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</si>
  <si>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</si>
  <si>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</si>
  <si>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</si>
  <si>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</si>
  <si>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</si>
  <si>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</si>
  <si>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</si>
  <si>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</si>
  <si>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</si>
  <si>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</si>
  <si>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</si>
  <si>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</si>
  <si>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</si>
  <si>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</si>
  <si>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</si>
  <si>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</si>
  <si>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</si>
  <si>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</si>
  <si>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</si>
  <si>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</si>
  <si>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</si>
  <si>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</si>
  <si>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</si>
  <si>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</si>
  <si>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</si>
  <si>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</si>
  <si>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</si>
  <si>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</si>
  <si>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</si>
  <si>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</si>
  <si>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</si>
  <si>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</si>
  <si>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</si>
  <si>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</si>
  <si>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</si>
  <si>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rFont val="Times New Roman"/>
        <family val="1"/>
      </rPr>
      <t xml:space="preserve"> 1</t>
    </r>
  </si>
  <si>
    <r>
      <t xml:space="preserve">Professional </t>
    </r>
    <r>
      <rPr>
        <b/>
        <vertAlign val="superscript"/>
        <sz val="10"/>
        <rFont val="Times New Roman"/>
        <family val="1"/>
      </rPr>
      <t>2</t>
    </r>
  </si>
  <si>
    <t>Education</t>
  </si>
  <si>
    <t>Human Resource Development Certificate Holders</t>
  </si>
  <si>
    <t>Media, Entertainment and Recreational Activities</t>
  </si>
  <si>
    <r>
      <t>1</t>
    </r>
    <r>
      <rPr>
        <i/>
        <sz val="9"/>
        <rFont val="Times New Roman"/>
        <family val="1"/>
      </rPr>
      <t>Refers to individuals on payrolls.</t>
    </r>
  </si>
  <si>
    <r>
      <t>2</t>
    </r>
    <r>
      <rPr>
        <i/>
        <sz val="9"/>
        <rFont val="Times New Roman"/>
        <family val="1"/>
      </rPr>
      <t>Refers to facilities granted to professional bodies or individuals for the purpose of carrying out day-to-day business.</t>
    </r>
  </si>
  <si>
    <t>Claims on Global Business Licence Holders amounted to Rs41,427.3 million at the end of June 2015.</t>
  </si>
  <si>
    <t>Source: Statistics Division</t>
  </si>
  <si>
    <t>Table 6: Banks - Sectorwise Distribution of Credit to the Private Sector: June 2014  to June 2015</t>
  </si>
  <si>
    <t>Dec-10</t>
  </si>
  <si>
    <t xml:space="preserve">      Building &amp; Housing Contractors</t>
  </si>
  <si>
    <t>Modernisation &amp; Expansion Enterprise Cert Holders</t>
  </si>
  <si>
    <r>
      <t xml:space="preserve">Personal </t>
    </r>
    <r>
      <rPr>
        <b/>
        <vertAlign val="superscript"/>
        <sz val="11"/>
        <rFont val="Times New Roman"/>
        <family val="1"/>
      </rPr>
      <t>1</t>
    </r>
  </si>
  <si>
    <r>
      <t xml:space="preserve">Professional </t>
    </r>
    <r>
      <rPr>
        <b/>
        <vertAlign val="superscript"/>
        <sz val="11"/>
        <rFont val="Times New Roman"/>
        <family val="1"/>
      </rPr>
      <t>2</t>
    </r>
  </si>
  <si>
    <t>Claims on Global Business Licence Holders</t>
  </si>
  <si>
    <r>
      <t xml:space="preserve">1 </t>
    </r>
    <r>
      <rPr>
        <i/>
        <sz val="11"/>
        <rFont val="Times New Roman"/>
        <family val="1"/>
      </rPr>
      <t>Refers to individuals on payrolls.</t>
    </r>
  </si>
  <si>
    <r>
      <t>2</t>
    </r>
    <r>
      <rPr>
        <i/>
        <sz val="11"/>
        <rFont val="Times New Roman"/>
        <family val="1"/>
      </rPr>
      <t xml:space="preserve"> Refers to facilities granted to professional bodies or individuals for the purpose of carrying out day-to-day business.</t>
    </r>
  </si>
  <si>
    <r>
      <t>Table 7: Sectoral Balance Sheet of Bank of Mauritius</t>
    </r>
    <r>
      <rPr>
        <b/>
        <vertAlign val="superscript"/>
        <sz val="14"/>
        <rFont val="Times New Roman"/>
        <family val="1"/>
      </rPr>
      <t>1</t>
    </r>
    <r>
      <rPr>
        <b/>
        <sz val="14"/>
        <rFont val="Times New Roman"/>
        <family val="1"/>
      </rPr>
      <t>: June 2014  to June 2015</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</si>
  <si>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</si>
  <si>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</si>
  <si>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</si>
  <si>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</si>
  <si>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</si>
  <si>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</si>
  <si>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</si>
  <si>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</si>
  <si>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</si>
  <si>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</si>
  <si>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</si>
  <si>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</si>
  <si>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</si>
  <si>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</si>
  <si>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</si>
  <si>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</si>
  <si>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</si>
  <si>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</si>
  <si>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</si>
  <si>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</si>
  <si>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</si>
  <si>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</si>
  <si>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</si>
  <si>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</si>
  <si>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</si>
  <si>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</si>
  <si>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</si>
  <si>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</si>
  <si>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</si>
  <si>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</si>
  <si>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</si>
  <si>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</si>
  <si>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</si>
  <si>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</si>
  <si>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</si>
  <si>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</si>
  <si>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</si>
  <si>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</si>
  <si>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</si>
  <si>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</si>
  <si>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</si>
  <si>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</si>
  <si>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</si>
  <si>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</si>
  <si>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</si>
  <si>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</si>
  <si>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</si>
  <si>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rFont val="Times New Roman"/>
        <family val="1"/>
      </rPr>
      <t>2</t>
    </r>
  </si>
  <si>
    <t>L6</t>
  </si>
  <si>
    <t>L7</t>
  </si>
  <si>
    <t>L8</t>
  </si>
  <si>
    <t>L9</t>
  </si>
  <si>
    <t>Other Accounts Payable</t>
  </si>
  <si>
    <t>L10</t>
  </si>
  <si>
    <t>TOTAL LIABILITIES</t>
  </si>
  <si>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 (2000).</t>
    </r>
  </si>
  <si>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</si>
  <si>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</si>
  <si>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June 2014 to June 2015</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</si>
  <si>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</si>
  <si>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</si>
  <si>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</si>
  <si>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</si>
  <si>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</si>
  <si>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</si>
  <si>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 (2000).</t>
  </si>
  <si>
    <t>Table 9: Sectoral Balance Sheet of Non-Bank Deposit Taking Institutions*: June 2014 to June 2015</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</si>
  <si>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</si>
  <si>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</si>
  <si>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 (2000).</t>
  </si>
  <si>
    <t>Table 10: Sectoral Balance Sheet of Other Depository Corporations*: June 2014 to June 2015</t>
  </si>
  <si>
    <t xml:space="preserve"> (Rs million)</t>
  </si>
  <si>
    <t>Mar-09</t>
  </si>
  <si>
    <r>
      <t xml:space="preserve"># </t>
    </r>
    <r>
      <rPr>
        <i/>
        <sz val="11"/>
        <color indexed="8"/>
        <rFont val="Times New Roman"/>
        <family val="1"/>
      </rPr>
      <t>Figures for November 2005 through May 2006 have been revised upwards following reclassification of data by one bank.</t>
    </r>
  </si>
  <si>
    <r>
      <t>*</t>
    </r>
    <r>
      <rPr>
        <i/>
        <sz val="11"/>
        <rFont val="Times New Roman"/>
        <family val="1"/>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</si>
  <si>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4"/>
        <rFont val="Times New Roman"/>
        <family val="1"/>
      </rPr>
      <t>1</t>
    </r>
    <r>
      <rPr>
        <b/>
        <sz val="14"/>
        <rFont val="Times New Roman"/>
        <family val="1"/>
      </rPr>
      <t>: June 2014 to June 2015</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</si>
  <si>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</si>
  <si>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</si>
  <si>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</si>
  <si>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</si>
  <si>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</si>
  <si>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</si>
  <si>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rFont val="Times New Roman"/>
        <family val="1"/>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</si>
  <si>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</si>
  <si>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</si>
  <si>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</si>
  <si>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</si>
  <si>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</si>
  <si>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</si>
  <si>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</si>
  <si>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</si>
  <si>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</si>
  <si>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</si>
  <si>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</si>
  <si>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</si>
  <si>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</si>
  <si>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indexed="8"/>
        <rFont val="Times New Roman"/>
        <family val="1"/>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</si>
  <si>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</si>
  <si>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</si>
  <si>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</si>
  <si>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6"/>
        <rFont val="Times New Roman"/>
        <family val="1"/>
      </rPr>
      <t xml:space="preserve">1 2  </t>
    </r>
    <r>
      <rPr>
        <b/>
        <sz val="16"/>
        <rFont val="Times New Roman"/>
        <family val="1"/>
      </rPr>
      <t>: June 2014 to June 2015</t>
    </r>
  </si>
  <si>
    <r>
      <t>Net Foreign Assets</t>
    </r>
    <r>
      <rPr>
        <b/>
        <vertAlign val="superscript"/>
        <sz val="14"/>
        <rFont val="Times New Roman"/>
        <family val="1"/>
      </rPr>
      <t xml:space="preserve"> </t>
    </r>
  </si>
  <si>
    <r>
      <t xml:space="preserve">    Claims on nonresidents</t>
    </r>
    <r>
      <rPr>
        <vertAlign val="superscript"/>
        <sz val="14"/>
        <rFont val="Times New Roman"/>
        <family val="1"/>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</si>
  <si>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</si>
  <si>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</si>
  <si>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</si>
  <si>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</si>
  <si>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</si>
  <si>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</si>
  <si>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</si>
  <si>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</si>
  <si>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</si>
  <si>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</si>
  <si>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</si>
  <si>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</si>
  <si>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</si>
  <si>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</si>
  <si>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</si>
  <si>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</si>
  <si>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indexed="8"/>
        <rFont val="Times New Roman"/>
        <family val="1"/>
      </rPr>
      <t>Figures for November 2005 through May 2006 have been revised upwards following reclassification of data by one bank.</t>
    </r>
  </si>
  <si>
    <r>
      <t xml:space="preserve">1 </t>
    </r>
    <r>
      <rPr>
        <i/>
        <sz val="11"/>
        <color indexed="8"/>
        <rFont val="Times New Roman"/>
        <family val="1"/>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</si>
  <si>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</si>
  <si>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</si>
  <si>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5"/>
        <rFont val="Times New Roman"/>
        <family val="1"/>
      </rPr>
      <t xml:space="preserve">1  2 </t>
    </r>
    <r>
      <rPr>
        <b/>
        <sz val="15"/>
        <rFont val="Times New Roman"/>
        <family val="1"/>
      </rPr>
      <t>: June 2014 to June 2015</t>
    </r>
  </si>
  <si>
    <t>Jun-14</t>
  </si>
  <si>
    <t xml:space="preserve">    Claims on Nonresidents </t>
  </si>
  <si>
    <t xml:space="preserve">    Liabilities to Nonresidents</t>
  </si>
  <si>
    <r>
      <t>Domestic Claims</t>
    </r>
    <r>
      <rPr>
        <b/>
        <vertAlign val="superscript"/>
        <sz val="13"/>
        <rFont val="Times New Roman"/>
        <family val="1"/>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</si>
  <si>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</si>
  <si>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</si>
  <si>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</si>
  <si>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</si>
  <si>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</si>
  <si>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</si>
  <si>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</si>
  <si>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</si>
  <si>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</si>
  <si>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</si>
  <si>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</si>
  <si>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 </t>
    </r>
    <r>
      <rPr>
        <i/>
        <sz val="9"/>
        <color indexed="8"/>
        <rFont val="Arial"/>
        <family val="2"/>
      </rPr>
      <t>Figures for November 2005 through May 2006 have been revised upwards following reclassification of data by one bank.</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</si>
  <si>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</si>
  <si>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</si>
  <si>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</si>
  <si>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r>
      <t xml:space="preserve">Table 16a: Components and Sources of Monetary Base </t>
    </r>
    <r>
      <rPr>
        <b/>
        <vertAlign val="superscript"/>
        <sz val="16"/>
        <rFont val="Times New Roman"/>
        <family val="1"/>
      </rPr>
      <t xml:space="preserve">1 2 </t>
    </r>
    <r>
      <rPr>
        <b/>
        <sz val="16"/>
        <rFont val="Times New Roman"/>
        <family val="1"/>
      </rPr>
      <t>: June 2014 to June 2015</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</si>
  <si>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</si>
  <si>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</si>
  <si>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</si>
  <si>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</si>
  <si>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</si>
  <si>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</si>
  <si>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</si>
  <si>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</si>
  <si>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</si>
  <si>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</si>
  <si>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</si>
  <si>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</si>
  <si>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</si>
  <si>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</si>
  <si>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</si>
  <si>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</si>
  <si>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4"/>
        <rFont val="Times New Roman"/>
        <family val="1"/>
      </rPr>
      <t xml:space="preserve">1 2 </t>
    </r>
    <r>
      <rPr>
        <b/>
        <sz val="14"/>
        <rFont val="Times New Roman"/>
        <family val="1"/>
      </rPr>
      <t>: June 2014 to June 2015</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</si>
  <si>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</si>
  <si>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</si>
  <si>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</si>
  <si>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</si>
  <si>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</si>
  <si>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</si>
  <si>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</si>
  <si>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</si>
  <si>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</si>
  <si>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</si>
  <si>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</si>
  <si>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</si>
  <si>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</si>
  <si>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</si>
  <si>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</si>
  <si>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</si>
  <si>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</si>
  <si>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</si>
  <si>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11"/>
        <rFont val="Times New Roman"/>
        <family val="1"/>
      </rPr>
      <t>1</t>
    </r>
    <r>
      <rPr>
        <i/>
        <sz val="11"/>
        <rFont val="Times New Roman"/>
        <family val="1"/>
      </rPr>
      <t xml:space="preserve"> Based on the new methodology of  the IMF's Depository Corporations Survey framework.</t>
    </r>
  </si>
  <si>
    <t>Table 18a: Auctions of Government of Mauritius Treasury Bills: June 2015 and July 2015</t>
  </si>
  <si>
    <t xml:space="preserve">                (Rs million)</t>
  </si>
  <si>
    <t>Auctions held for period</t>
  </si>
  <si>
    <t>01-03 July 15</t>
  </si>
  <si>
    <t>06-10 July 15</t>
  </si>
  <si>
    <t>13-17 July 15</t>
  </si>
  <si>
    <t>20-24 July 15</t>
  </si>
  <si>
    <t>27-31 July 15</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</si>
  <si>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</si>
  <si>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</si>
  <si>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</si>
  <si>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</si>
  <si>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</si>
  <si>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</si>
  <si>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July 2014 to July 2015</t>
  </si>
  <si>
    <t xml:space="preserve">                                                  (Rs million)</t>
  </si>
  <si>
    <t>Amount of Bills put on Tender</t>
  </si>
  <si>
    <t>Total Value of Bids Received</t>
  </si>
  <si>
    <t xml:space="preserve">     91-day</t>
  </si>
  <si>
    <t xml:space="preserve">    182-day</t>
  </si>
  <si>
    <t xml:space="preserve">    273-day</t>
  </si>
  <si>
    <t xml:space="preserve">    364-day</t>
  </si>
  <si>
    <t>Total Value of Bids Accepted</t>
  </si>
  <si>
    <t xml:space="preserve">    728-day</t>
  </si>
  <si>
    <t xml:space="preserve">                    Per Cent per annum</t>
  </si>
  <si>
    <t>Weighted Average Yield</t>
  </si>
  <si>
    <t>Overall Weighted Yield</t>
  </si>
  <si>
    <t xml:space="preserve">        </t>
  </si>
  <si>
    <t>Table 19: Weighted Average Yields on Government of Mauritius Treasury Bills: July 2015</t>
  </si>
  <si>
    <t>(per cent per annum)</t>
  </si>
  <si>
    <t>Auctions held on</t>
  </si>
  <si>
    <t>Weighted Yield for :</t>
  </si>
  <si>
    <t xml:space="preserve">91-day </t>
  </si>
  <si>
    <t xml:space="preserve">182-day </t>
  </si>
  <si>
    <t xml:space="preserve">273-day </t>
  </si>
  <si>
    <t xml:space="preserve">364-day </t>
  </si>
  <si>
    <t>Source: Financial Markets Operations Division.</t>
  </si>
  <si>
    <t>Table 20a: Auctions of  Government of Mauritius Treasury Notes: June 2015 and July 2015</t>
  </si>
  <si>
    <t xml:space="preserve">Amount of Treasury Notes put on Tender </t>
  </si>
  <si>
    <r>
      <t>01 June 2015</t>
    </r>
    <r>
      <rPr>
        <b/>
        <vertAlign val="superscript"/>
        <sz val="11"/>
        <rFont val="Times New Roman"/>
        <family val="1"/>
      </rPr>
      <t xml:space="preserve"> 1 </t>
    </r>
    <r>
      <rPr>
        <b/>
        <sz val="11"/>
        <rFont val="Times New Roman"/>
        <family val="1"/>
      </rPr>
      <t>- Rs1,400 mn</t>
    </r>
  </si>
  <si>
    <r>
      <t xml:space="preserve">17 June 2015 </t>
    </r>
    <r>
      <rPr>
        <b/>
        <vertAlign val="superscript"/>
        <sz val="11"/>
        <rFont val="Times New Roman"/>
        <family val="1"/>
      </rPr>
      <t xml:space="preserve">2 </t>
    </r>
    <r>
      <rPr>
        <b/>
        <sz val="11"/>
        <rFont val="Times New Roman"/>
        <family val="1"/>
      </rPr>
      <t>- Rs1,500 mn</t>
    </r>
  </si>
  <si>
    <r>
      <t xml:space="preserve">22 July 2015 </t>
    </r>
    <r>
      <rPr>
        <b/>
        <vertAlign val="superscript"/>
        <sz val="11"/>
        <rFont val="Times New Roman"/>
        <family val="1"/>
      </rPr>
      <t xml:space="preserve">3 </t>
    </r>
    <r>
      <rPr>
        <b/>
        <sz val="11"/>
        <rFont val="Times New Roman"/>
        <family val="1"/>
      </rPr>
      <t>- Rs1,300 mn</t>
    </r>
  </si>
  <si>
    <t>3Y-GMTN</t>
  </si>
  <si>
    <r>
      <t xml:space="preserve"> Value of Bids Received </t>
    </r>
    <r>
      <rPr>
        <b/>
        <i/>
        <sz val="12"/>
        <rFont val="Times New Roman"/>
        <family val="1"/>
      </rPr>
      <t>(Rs mn)</t>
    </r>
  </si>
  <si>
    <r>
      <t xml:space="preserve"> Value of Bids Accepted </t>
    </r>
    <r>
      <rPr>
        <b/>
        <i/>
        <sz val="12"/>
        <rFont val="Times New Roman"/>
        <family val="1"/>
      </rPr>
      <t>(Rs mn)</t>
    </r>
  </si>
  <si>
    <r>
      <t>Coupon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</si>
  <si>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</si>
  <si>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</si>
  <si>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t>
    </r>
  </si>
  <si>
    <t>97.028</t>
  </si>
  <si>
    <t>96.127</t>
  </si>
  <si>
    <t>96.173</t>
  </si>
  <si>
    <t xml:space="preserve">2.46% 3-Year Government of Mauritius Treasury Notes due 24 April 2018 </t>
  </si>
  <si>
    <r>
      <t>1</t>
    </r>
    <r>
      <rPr>
        <i/>
        <sz val="11"/>
        <rFont val="Times New Roman"/>
        <family val="1"/>
      </rPr>
      <t xml:space="preserve"> Issue  of 03 June 2015  (Re-Opening)</t>
    </r>
  </si>
  <si>
    <r>
      <t>3</t>
    </r>
    <r>
      <rPr>
        <i/>
        <sz val="11"/>
        <rFont val="Times New Roman"/>
        <family val="1"/>
      </rPr>
      <t xml:space="preserve"> Issue  of 24 July 2015  (Re-Opening)</t>
    </r>
  </si>
  <si>
    <r>
      <t>2</t>
    </r>
    <r>
      <rPr>
        <i/>
        <sz val="11"/>
        <rFont val="Times New Roman"/>
        <family val="1"/>
      </rPr>
      <t xml:space="preserve"> Issue  of 19 June 2015  (Re-Opening)</t>
    </r>
  </si>
  <si>
    <t>Table 20b: Auctions of Five-Year Government of Mauritius Bonds: October 2014 to June 2015</t>
  </si>
  <si>
    <t>Auction held on</t>
  </si>
  <si>
    <r>
      <t>22-Oct-14</t>
    </r>
    <r>
      <rPr>
        <b/>
        <vertAlign val="superscript"/>
        <sz val="12"/>
        <rFont val="Times New Roman"/>
        <family val="1"/>
      </rPr>
      <t>1</t>
    </r>
  </si>
  <si>
    <r>
      <t>12-Nov-14</t>
    </r>
    <r>
      <rPr>
        <b/>
        <vertAlign val="superscript"/>
        <sz val="12"/>
        <rFont val="Times New Roman"/>
        <family val="1"/>
      </rPr>
      <t>2</t>
    </r>
  </si>
  <si>
    <r>
      <t>17-Dec-14</t>
    </r>
    <r>
      <rPr>
        <b/>
        <vertAlign val="superscript"/>
        <sz val="12"/>
        <rFont val="Times New Roman"/>
        <family val="1"/>
      </rPr>
      <t>3</t>
    </r>
  </si>
  <si>
    <r>
      <t>18-Feb-15</t>
    </r>
    <r>
      <rPr>
        <b/>
        <vertAlign val="superscript"/>
        <sz val="12"/>
        <rFont val="Times New Roman"/>
        <family val="1"/>
      </rPr>
      <t>4</t>
    </r>
  </si>
  <si>
    <r>
      <t>08-Apr-15</t>
    </r>
    <r>
      <rPr>
        <b/>
        <vertAlign val="superscript"/>
        <sz val="12"/>
        <rFont val="Times New Roman"/>
        <family val="1"/>
      </rPr>
      <t>5</t>
    </r>
  </si>
  <si>
    <r>
      <t>02-Jun-15</t>
    </r>
    <r>
      <rPr>
        <b/>
        <vertAlign val="superscript"/>
        <sz val="12"/>
        <rFont val="Times New Roman"/>
        <family val="1"/>
      </rPr>
      <t>6</t>
    </r>
  </si>
  <si>
    <r>
      <t>Amount of Bonds put on Tender</t>
    </r>
    <r>
      <rPr>
        <b/>
        <i/>
        <sz val="11"/>
        <rFont val="Times New Roman"/>
        <family val="1"/>
      </rPr>
      <t xml:space="preserve"> (Rs mn)</t>
    </r>
    <r>
      <rPr>
        <b/>
        <sz val="11"/>
        <rFont val="Times New Roman"/>
        <family val="1"/>
      </rPr>
      <t xml:space="preserve"> </t>
    </r>
  </si>
  <si>
    <r>
      <t xml:space="preserve">Value of Bids Received </t>
    </r>
    <r>
      <rPr>
        <b/>
        <i/>
        <sz val="11"/>
        <rFont val="Times New Roman"/>
        <family val="1"/>
      </rPr>
      <t>(Rs mn)</t>
    </r>
  </si>
  <si>
    <r>
      <t xml:space="preserve">Value of Bids Accepted </t>
    </r>
    <r>
      <rPr>
        <b/>
        <i/>
        <sz val="11"/>
        <rFont val="Times New Roman"/>
        <family val="1"/>
      </rPr>
      <t>(Rs mn)</t>
    </r>
  </si>
  <si>
    <r>
      <t>Interest Rate</t>
    </r>
    <r>
      <rPr>
        <b/>
        <i/>
        <sz val="11"/>
        <rFont val="Times New Roman"/>
        <family val="1"/>
      </rPr>
      <t xml:space="preserve"> (% p.a.)</t>
    </r>
  </si>
  <si>
    <r>
      <t xml:space="preserve">Highest Yield Accepted </t>
    </r>
    <r>
      <rPr>
        <b/>
        <i/>
        <sz val="11"/>
        <rFont val="Times New Roman"/>
        <family val="1"/>
      </rPr>
      <t>(% p.a.)</t>
    </r>
  </si>
  <si>
    <r>
      <t xml:space="preserve">Weighted Average Yield on Bids Accepted </t>
    </r>
    <r>
      <rPr>
        <b/>
        <i/>
        <sz val="11"/>
        <rFont val="Times New Roman"/>
        <family val="1"/>
      </rPr>
      <t>(% p.a.)</t>
    </r>
  </si>
  <si>
    <r>
      <t xml:space="preserve">Weighted Price of Bids Accepted </t>
    </r>
    <r>
      <rPr>
        <b/>
        <i/>
        <sz val="11"/>
        <rFont val="Times New Roman"/>
        <family val="1"/>
      </rPr>
      <t>( % )</t>
    </r>
  </si>
  <si>
    <r>
      <t>1</t>
    </r>
    <r>
      <rPr>
        <i/>
        <sz val="12"/>
        <rFont val="Times New Roman"/>
        <family val="1"/>
      </rPr>
      <t>Issue of 24 October 2014 ( Re-Opening)</t>
    </r>
  </si>
  <si>
    <r>
      <t xml:space="preserve">4 </t>
    </r>
    <r>
      <rPr>
        <i/>
        <sz val="12"/>
        <rFont val="Times New Roman"/>
        <family val="1"/>
      </rPr>
      <t>Issue of 20 February 2015 (Re-Opening)</t>
    </r>
  </si>
  <si>
    <r>
      <t xml:space="preserve">2 </t>
    </r>
    <r>
      <rPr>
        <i/>
        <sz val="12"/>
        <rFont val="Times New Roman"/>
        <family val="1"/>
      </rPr>
      <t>Issue of 14 November 2014 (New Benchmark)</t>
    </r>
  </si>
  <si>
    <r>
      <t xml:space="preserve">5 </t>
    </r>
    <r>
      <rPr>
        <i/>
        <sz val="12"/>
        <rFont val="Times New Roman"/>
        <family val="1"/>
      </rPr>
      <t>Issue of 10 April 2015 (Re-Opening)</t>
    </r>
  </si>
  <si>
    <r>
      <t xml:space="preserve">3 </t>
    </r>
    <r>
      <rPr>
        <i/>
        <sz val="12"/>
        <rFont val="Times New Roman"/>
        <family val="1"/>
      </rPr>
      <t>Issue of 19 December 2014 (Re-Opening)</t>
    </r>
  </si>
  <si>
    <r>
      <t xml:space="preserve">6 </t>
    </r>
    <r>
      <rPr>
        <i/>
        <sz val="12"/>
        <rFont val="Times New Roman"/>
        <family val="1"/>
      </rPr>
      <t>Issue of 04 June 2015 (New Benchmark)</t>
    </r>
  </si>
  <si>
    <t>Table 20c: Auction of Ten-Year Government of Mauritius Bonds: February 2015 and May 2015</t>
  </si>
  <si>
    <r>
      <t xml:space="preserve">04-February-15 </t>
    </r>
    <r>
      <rPr>
        <b/>
        <vertAlign val="superscript"/>
        <sz val="14"/>
        <rFont val="Times New Roman"/>
        <family val="1"/>
      </rPr>
      <t>1</t>
    </r>
  </si>
  <si>
    <r>
      <t xml:space="preserve">13-May-15 </t>
    </r>
    <r>
      <rPr>
        <b/>
        <vertAlign val="superscript"/>
        <sz val="14"/>
        <rFont val="Times New Roman"/>
        <family val="1"/>
      </rPr>
      <t>2</t>
    </r>
  </si>
  <si>
    <r>
      <t>Amount of Bonds put on Tender</t>
    </r>
    <r>
      <rPr>
        <b/>
        <i/>
        <sz val="14"/>
        <rFont val="Times New Roman"/>
        <family val="1"/>
      </rPr>
      <t xml:space="preserve"> (Rs mn)</t>
    </r>
    <r>
      <rPr>
        <b/>
        <sz val="14"/>
        <rFont val="Times New Roman"/>
        <family val="1"/>
      </rPr>
      <t xml:space="preserve"> </t>
    </r>
  </si>
  <si>
    <r>
      <t xml:space="preserve">Value of Bids Received </t>
    </r>
    <r>
      <rPr>
        <b/>
        <i/>
        <sz val="14"/>
        <rFont val="Times New Roman"/>
        <family val="1"/>
      </rPr>
      <t>(Rs mn)</t>
    </r>
  </si>
  <si>
    <r>
      <t xml:space="preserve">Value of Bids Accepted </t>
    </r>
    <r>
      <rPr>
        <b/>
        <i/>
        <sz val="14"/>
        <rFont val="Times New Roman"/>
        <family val="1"/>
      </rPr>
      <t>(Rs mn)</t>
    </r>
  </si>
  <si>
    <r>
      <t>Interest Rate</t>
    </r>
    <r>
      <rPr>
        <b/>
        <i/>
        <sz val="14"/>
        <rFont val="Times New Roman"/>
        <family val="1"/>
      </rPr>
      <t xml:space="preserve"> (% p.a.)</t>
    </r>
  </si>
  <si>
    <r>
      <t xml:space="preserve">Highest Yield Accepted </t>
    </r>
    <r>
      <rPr>
        <b/>
        <i/>
        <sz val="14"/>
        <rFont val="Times New Roman"/>
        <family val="1"/>
      </rPr>
      <t>(% p.a.)</t>
    </r>
  </si>
  <si>
    <r>
      <t xml:space="preserve">Weighted Average Yield on Bids Accepted </t>
    </r>
    <r>
      <rPr>
        <b/>
        <i/>
        <sz val="14"/>
        <rFont val="Times New Roman"/>
        <family val="1"/>
      </rPr>
      <t>(% p.a.)</t>
    </r>
  </si>
  <si>
    <r>
      <t xml:space="preserve">Weighted Price of Bids Accepted </t>
    </r>
    <r>
      <rPr>
        <b/>
        <i/>
        <sz val="14"/>
        <rFont val="Times New Roman"/>
        <family val="1"/>
      </rPr>
      <t>( % )</t>
    </r>
  </si>
  <si>
    <r>
      <t xml:space="preserve">1 </t>
    </r>
    <r>
      <rPr>
        <i/>
        <sz val="12"/>
        <rFont val="Times New Roman"/>
        <family val="1"/>
      </rPr>
      <t>Issue of  06 February 2015  due 06 February 2025</t>
    </r>
  </si>
  <si>
    <r>
      <t xml:space="preserve">2 </t>
    </r>
    <r>
      <rPr>
        <i/>
        <sz val="12"/>
        <rFont val="Times New Roman"/>
        <family val="1"/>
      </rPr>
      <t>Issue of  15 May 2015  due 15 May 2025</t>
    </r>
  </si>
  <si>
    <t>Table 20d: Auctions of Long-Term Government of Mauritius Bonds: September and December 2009</t>
  </si>
  <si>
    <r>
      <t xml:space="preserve">Amount of Long-Term Government of Mauritius Bonds put on Tender </t>
    </r>
    <r>
      <rPr>
        <b/>
        <i/>
        <sz val="14"/>
        <rFont val="Times New Roman"/>
        <family val="1"/>
      </rPr>
      <t xml:space="preserve">(Rs mn)  </t>
    </r>
  </si>
  <si>
    <r>
      <t xml:space="preserve">23 September 2009 </t>
    </r>
    <r>
      <rPr>
        <b/>
        <vertAlign val="superscript"/>
        <sz val="14"/>
        <rFont val="Times New Roman"/>
        <family val="1"/>
      </rPr>
      <t xml:space="preserve">1 </t>
    </r>
    <r>
      <rPr>
        <b/>
        <vertAlign val="subscript"/>
        <sz val="14"/>
        <rFont val="Times New Roman"/>
        <family val="1"/>
      </rPr>
      <t>-</t>
    </r>
    <r>
      <rPr>
        <b/>
        <sz val="14"/>
        <rFont val="Times New Roman"/>
        <family val="1"/>
      </rPr>
      <t xml:space="preserve"> Rs1,000 mn</t>
    </r>
  </si>
  <si>
    <r>
      <t xml:space="preserve">02 December 2009 </t>
    </r>
    <r>
      <rPr>
        <b/>
        <vertAlign val="superscript"/>
        <sz val="14"/>
        <rFont val="Times New Roman"/>
        <family val="1"/>
      </rPr>
      <t xml:space="preserve">2 </t>
    </r>
    <r>
      <rPr>
        <b/>
        <vertAlign val="subscript"/>
        <sz val="14"/>
        <rFont val="Times New Roman"/>
        <family val="1"/>
      </rPr>
      <t>-</t>
    </r>
    <r>
      <rPr>
        <b/>
        <sz val="14"/>
        <rFont val="Times New Roman"/>
        <family val="1"/>
      </rPr>
      <t xml:space="preserve"> Rs1,000 mn</t>
    </r>
  </si>
  <si>
    <t>7-Yr Bonds</t>
  </si>
  <si>
    <t>13-Yr Bonds</t>
  </si>
  <si>
    <t>20-Yr Bonds</t>
  </si>
  <si>
    <r>
      <t xml:space="preserve"> Value of Bids Received </t>
    </r>
    <r>
      <rPr>
        <b/>
        <i/>
        <sz val="14"/>
        <rFont val="Times New Roman"/>
        <family val="1"/>
      </rPr>
      <t>(Rs mn)</t>
    </r>
  </si>
  <si>
    <r>
      <t xml:space="preserve"> Value of Bids Accepted </t>
    </r>
    <r>
      <rPr>
        <b/>
        <i/>
        <sz val="14"/>
        <rFont val="Times New Roman"/>
        <family val="1"/>
      </rPr>
      <t>(Rs mn)</t>
    </r>
  </si>
  <si>
    <r>
      <t xml:space="preserve"> Interest Rate</t>
    </r>
    <r>
      <rPr>
        <b/>
        <i/>
        <sz val="14"/>
        <rFont val="Times New Roman"/>
        <family val="1"/>
      </rPr>
      <t xml:space="preserve"> (% p.a.)</t>
    </r>
  </si>
  <si>
    <r>
      <t xml:space="preserve"> Highest Yield Accepted </t>
    </r>
    <r>
      <rPr>
        <b/>
        <i/>
        <sz val="14"/>
        <rFont val="Times New Roman"/>
        <family val="1"/>
      </rPr>
      <t>(% p.a.)</t>
    </r>
  </si>
  <si>
    <r>
      <t xml:space="preserve"> Weighted Yield on Bids Accepted </t>
    </r>
    <r>
      <rPr>
        <b/>
        <i/>
        <sz val="14"/>
        <rFont val="Times New Roman"/>
        <family val="1"/>
      </rPr>
      <t>(% p.a.)</t>
    </r>
  </si>
  <si>
    <r>
      <t xml:space="preserve"> Weighted Price of Bids Accepted </t>
    </r>
    <r>
      <rPr>
        <b/>
        <i/>
        <sz val="14"/>
        <rFont val="Times New Roman"/>
        <family val="1"/>
      </rPr>
      <t>( % )</t>
    </r>
  </si>
  <si>
    <r>
      <t>1</t>
    </r>
    <r>
      <rPr>
        <i/>
        <sz val="14"/>
        <rFont val="Times New Roman"/>
        <family val="1"/>
      </rPr>
      <t xml:space="preserve"> Issue of 25 September 2009</t>
    </r>
  </si>
  <si>
    <r>
      <t xml:space="preserve">2 </t>
    </r>
    <r>
      <rPr>
        <i/>
        <sz val="14"/>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</si>
  <si>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</si>
  <si>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</si>
  <si>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</si>
  <si>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</si>
  <si>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</si>
  <si>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</si>
  <si>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June 2015 and July 2015</t>
  </si>
  <si>
    <r>
      <t>10-June-15</t>
    </r>
    <r>
      <rPr>
        <b/>
        <vertAlign val="superscript"/>
        <sz val="14"/>
        <rFont val="Times New Roman"/>
        <family val="1"/>
      </rPr>
      <t xml:space="preserve"> 1</t>
    </r>
  </si>
  <si>
    <r>
      <t>15-July-15</t>
    </r>
    <r>
      <rPr>
        <b/>
        <vertAlign val="superscript"/>
        <sz val="14"/>
        <rFont val="Times New Roman"/>
        <family val="1"/>
      </rPr>
      <t xml:space="preserve"> 2</t>
    </r>
  </si>
  <si>
    <r>
      <rPr>
        <i/>
        <vertAlign val="superscript"/>
        <sz val="12"/>
        <rFont val="Times New Roman"/>
        <family val="1"/>
      </rPr>
      <t>1</t>
    </r>
    <r>
      <rPr>
        <i/>
        <sz val="12"/>
        <rFont val="Times New Roman"/>
        <family val="1"/>
      </rPr>
      <t xml:space="preserve"> Issue of 12 June 2015 due 12 June 2030</t>
    </r>
  </si>
  <si>
    <r>
      <rPr>
        <i/>
        <vertAlign val="superscript"/>
        <sz val="12"/>
        <rFont val="Times New Roman"/>
        <family val="1"/>
      </rPr>
      <t>2</t>
    </r>
    <r>
      <rPr>
        <i/>
        <sz val="12"/>
        <rFont val="Times New Roman"/>
        <family val="1"/>
      </rPr>
      <t xml:space="preserve"> Issue of 17 July 2015 due 17 July 2030</t>
    </r>
  </si>
  <si>
    <t>Table 20e: Auction of Fifteen -Year Inflation-Indexed Government of Mauritius Bonds: July 2014 and May 2015</t>
  </si>
  <si>
    <r>
      <t xml:space="preserve">2-July-2014 </t>
    </r>
    <r>
      <rPr>
        <b/>
        <vertAlign val="superscript"/>
        <sz val="14"/>
        <rFont val="Times New Roman"/>
        <family val="1"/>
      </rPr>
      <t>1</t>
    </r>
  </si>
  <si>
    <r>
      <t xml:space="preserve">20-May-2015 </t>
    </r>
    <r>
      <rPr>
        <b/>
        <vertAlign val="superscript"/>
        <sz val="14"/>
        <rFont val="Times New Roman"/>
        <family val="1"/>
      </rPr>
      <t>2</t>
    </r>
    <r>
      <rPr>
        <sz val="10"/>
        <rFont val="Arial"/>
        <family val="2"/>
      </rPr>
      <t/>
    </r>
  </si>
  <si>
    <r>
      <t xml:space="preserve">Highest Bid Margin Received </t>
    </r>
    <r>
      <rPr>
        <b/>
        <i/>
        <sz val="14"/>
        <rFont val="Times New Roman"/>
        <family val="1"/>
      </rPr>
      <t>(% p.a.)</t>
    </r>
  </si>
  <si>
    <r>
      <t xml:space="preserve">Lowest Bid Margin Received </t>
    </r>
    <r>
      <rPr>
        <b/>
        <i/>
        <sz val="14"/>
        <rFont val="Times New Roman"/>
        <family val="1"/>
      </rPr>
      <t>(% p.a.)</t>
    </r>
  </si>
  <si>
    <r>
      <t xml:space="preserve">Weighted Bid Margin Accepted </t>
    </r>
    <r>
      <rPr>
        <b/>
        <i/>
        <sz val="14"/>
        <rFont val="Times New Roman"/>
        <family val="1"/>
      </rPr>
      <t>(% p.a.)</t>
    </r>
  </si>
  <si>
    <r>
      <t xml:space="preserve">1 </t>
    </r>
    <r>
      <rPr>
        <i/>
        <sz val="12"/>
        <rFont val="Times New Roman"/>
        <family val="1"/>
      </rPr>
      <t>Issue of 04 July 2014 due 04 July 2029</t>
    </r>
  </si>
  <si>
    <r>
      <t xml:space="preserve">2 </t>
    </r>
    <r>
      <rPr>
        <i/>
        <sz val="12"/>
        <rFont val="Times New Roman"/>
        <family val="1"/>
      </rPr>
      <t>Issue of 22 May 2015 due 22 May 2030</t>
    </r>
  </si>
  <si>
    <t>Table 21a: Special Deposits Facility: March 2008 to June 2010</t>
  </si>
  <si>
    <t>Date</t>
  </si>
  <si>
    <t>(Rs mn)</t>
  </si>
  <si>
    <t>(days)</t>
  </si>
  <si>
    <t>14-21</t>
  </si>
  <si>
    <t>Table 21b: Repurchase Transactions between Bank of Mauritius and banks: January 2014</t>
  </si>
  <si>
    <t>Repurchase Transactions Held</t>
  </si>
  <si>
    <t>Reverse Repurchase Transactions Held</t>
  </si>
  <si>
    <t xml:space="preserve">Amount </t>
  </si>
  <si>
    <t xml:space="preserve">Repurchase </t>
  </si>
  <si>
    <t xml:space="preserve">Range of </t>
  </si>
  <si>
    <t>Lowest</t>
  </si>
  <si>
    <t>Highest</t>
  </si>
  <si>
    <t>Received</t>
  </si>
  <si>
    <t xml:space="preserve">Accepted </t>
  </si>
  <si>
    <t xml:space="preserve">Yields on </t>
  </si>
  <si>
    <t>Yield on</t>
  </si>
  <si>
    <t>Transactions</t>
  </si>
  <si>
    <t>Bids</t>
  </si>
  <si>
    <t>(Day/s)</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</si>
  <si>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</si>
  <si>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</si>
  <si>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December 2014 and June 2015</t>
  </si>
  <si>
    <r>
      <t>Auction held on 30 Dec 2014</t>
    </r>
    <r>
      <rPr>
        <b/>
        <vertAlign val="superscript"/>
        <sz val="14"/>
        <rFont val="Times New Roman"/>
        <family val="1"/>
      </rPr>
      <t xml:space="preserve"> </t>
    </r>
  </si>
  <si>
    <r>
      <t>Auction held on 29 June 2015</t>
    </r>
    <r>
      <rPr>
        <b/>
        <vertAlign val="superscript"/>
        <sz val="14"/>
        <rFont val="Times New Roman"/>
        <family val="1"/>
      </rPr>
      <t xml:space="preserve"> </t>
    </r>
  </si>
  <si>
    <t>273-Day BOM Bills</t>
  </si>
  <si>
    <t>364-Day BOM Bills</t>
  </si>
  <si>
    <r>
      <t xml:space="preserve">1.    Amount  of Bills put on Tender </t>
    </r>
    <r>
      <rPr>
        <b/>
        <i/>
        <sz val="14"/>
        <rFont val="Times New Roman"/>
        <family val="1"/>
      </rPr>
      <t>(Rs mn)</t>
    </r>
  </si>
  <si>
    <r>
      <t xml:space="preserve">2.    Value of Bids Received </t>
    </r>
    <r>
      <rPr>
        <b/>
        <i/>
        <sz val="14"/>
        <rFont val="Times New Roman"/>
        <family val="1"/>
      </rPr>
      <t>(Rs mn)</t>
    </r>
  </si>
  <si>
    <r>
      <t xml:space="preserve">3.    Value of Bids Accepted </t>
    </r>
    <r>
      <rPr>
        <b/>
        <i/>
        <sz val="14"/>
        <rFont val="Times New Roman"/>
        <family val="1"/>
      </rPr>
      <t>(Rs mn)</t>
    </r>
  </si>
  <si>
    <r>
      <t xml:space="preserve">4.    Highest Yield Accepted </t>
    </r>
    <r>
      <rPr>
        <b/>
        <i/>
        <sz val="14"/>
        <rFont val="Times New Roman"/>
        <family val="1"/>
      </rPr>
      <t>(% p.a.)</t>
    </r>
  </si>
  <si>
    <r>
      <t xml:space="preserve">5.   Weighted Yield on Bids Accepted </t>
    </r>
    <r>
      <rPr>
        <b/>
        <i/>
        <sz val="14"/>
        <rFont val="Times New Roman"/>
        <family val="1"/>
      </rPr>
      <t>(% p.a.)</t>
    </r>
  </si>
  <si>
    <r>
      <t xml:space="preserve">6.   Weighted Price of Bids Accepted </t>
    </r>
    <r>
      <rPr>
        <b/>
        <i/>
        <sz val="14"/>
        <rFont val="Times New Roman"/>
        <family val="1"/>
      </rPr>
      <t>(%)</t>
    </r>
  </si>
  <si>
    <t>97.634</t>
  </si>
  <si>
    <t>97.586</t>
  </si>
  <si>
    <t>Table 22b: Issue of Bank of Mauritius Notes: July 2015</t>
  </si>
  <si>
    <r>
      <t xml:space="preserve">Auction held on 14 July 2015 </t>
    </r>
    <r>
      <rPr>
        <b/>
        <vertAlign val="superscript"/>
        <sz val="14"/>
        <rFont val="Times New Roman"/>
        <family val="1"/>
      </rPr>
      <t xml:space="preserve">1 </t>
    </r>
  </si>
  <si>
    <r>
      <t xml:space="preserve">Auction held on 21 July 2015 </t>
    </r>
    <r>
      <rPr>
        <b/>
        <vertAlign val="superscript"/>
        <sz val="14"/>
        <rFont val="Times New Roman"/>
        <family val="1"/>
      </rPr>
      <t xml:space="preserve">2 </t>
    </r>
  </si>
  <si>
    <r>
      <t xml:space="preserve">Auction held on 28 July 2015 </t>
    </r>
    <r>
      <rPr>
        <b/>
        <vertAlign val="superscript"/>
        <sz val="14"/>
        <rFont val="Times New Roman"/>
        <family val="1"/>
      </rPr>
      <t xml:space="preserve">3 </t>
    </r>
  </si>
  <si>
    <t>4Y-BOMN</t>
  </si>
  <si>
    <r>
      <t xml:space="preserve"> Amount  of Notes put on Tender </t>
    </r>
    <r>
      <rPr>
        <b/>
        <i/>
        <sz val="12"/>
        <rFont val="Times New Roman"/>
        <family val="1"/>
      </rPr>
      <t>(Rs mn)</t>
    </r>
  </si>
  <si>
    <r>
      <t xml:space="preserve"> Interest Rate</t>
    </r>
    <r>
      <rPr>
        <b/>
        <i/>
        <sz val="12"/>
        <rFont val="Times New Roman"/>
        <family val="1"/>
      </rPr>
      <t xml:space="preserve"> (% p.a.)</t>
    </r>
  </si>
  <si>
    <t>99.600</t>
  </si>
  <si>
    <t>99.781</t>
  </si>
  <si>
    <t>99.490</t>
  </si>
  <si>
    <r>
      <rPr>
        <i/>
        <vertAlign val="superscript"/>
        <sz val="11"/>
        <rFont val="Times New Roman"/>
        <family val="1"/>
      </rPr>
      <t>1</t>
    </r>
    <r>
      <rPr>
        <i/>
        <sz val="11"/>
        <rFont val="Times New Roman"/>
        <family val="1"/>
      </rPr>
      <t xml:space="preserve"> 4.20%  4-Year Bank of Mauritius Notes due 15 July 2019:</t>
    </r>
  </si>
  <si>
    <r>
      <rPr>
        <i/>
        <vertAlign val="superscript"/>
        <sz val="11"/>
        <rFont val="Times New Roman"/>
        <family val="1"/>
      </rPr>
      <t>3</t>
    </r>
    <r>
      <rPr>
        <i/>
        <sz val="11"/>
        <rFont val="Times New Roman"/>
        <family val="1"/>
      </rPr>
      <t xml:space="preserve"> 4.10%  4-Year Bank of Mauritius Notes due 29 July 2019:</t>
    </r>
  </si>
  <si>
    <t xml:space="preserve"> Issue of 15 July 2015 </t>
  </si>
  <si>
    <t xml:space="preserve"> Issue of 29 July 2015</t>
  </si>
  <si>
    <r>
      <rPr>
        <i/>
        <vertAlign val="superscript"/>
        <sz val="11"/>
        <rFont val="Times New Roman"/>
        <family val="1"/>
      </rPr>
      <t>2</t>
    </r>
    <r>
      <rPr>
        <i/>
        <sz val="11"/>
        <rFont val="Times New Roman"/>
        <family val="1"/>
      </rPr>
      <t xml:space="preserve"> 4.18%  4-Year Bank of Mauritius Notes due 22 July 2019:</t>
    </r>
  </si>
  <si>
    <t xml:space="preserve"> Issue of 22 July 2015</t>
  </si>
  <si>
    <t>Table 22c: Issue of 5-Year Bank of Mauritius Bonds: June 2013 and August 2013</t>
  </si>
  <si>
    <r>
      <t xml:space="preserve"> Auction held on 19 June 2013 </t>
    </r>
    <r>
      <rPr>
        <b/>
        <vertAlign val="superscript"/>
        <sz val="14"/>
        <rFont val="Times New Roman"/>
        <family val="1"/>
      </rPr>
      <t>1</t>
    </r>
  </si>
  <si>
    <r>
      <t xml:space="preserve"> Auction held on 28 August 2013 </t>
    </r>
    <r>
      <rPr>
        <b/>
        <vertAlign val="superscript"/>
        <sz val="14"/>
        <rFont val="Times New Roman"/>
        <family val="1"/>
      </rPr>
      <t>2</t>
    </r>
  </si>
  <si>
    <t>5Y-BOM Bonds</t>
  </si>
  <si>
    <r>
      <t xml:space="preserve"> Yield on Bids Accepted </t>
    </r>
    <r>
      <rPr>
        <b/>
        <i/>
        <sz val="14"/>
        <rFont val="Times New Roman"/>
        <family val="1"/>
      </rPr>
      <t>(% p.a.)</t>
    </r>
  </si>
  <si>
    <r>
      <t xml:space="preserve"> Price of Bids Accepted </t>
    </r>
    <r>
      <rPr>
        <b/>
        <i/>
        <sz val="14"/>
        <rFont val="Times New Roman"/>
        <family val="1"/>
      </rPr>
      <t>(%)</t>
    </r>
  </si>
  <si>
    <t>4.30% 5-Year Bank  of Mauritius Bonds due 22 February 2018</t>
  </si>
  <si>
    <r>
      <t>1</t>
    </r>
    <r>
      <rPr>
        <i/>
        <sz val="12"/>
        <rFont val="Times New Roman"/>
        <family val="1"/>
      </rPr>
      <t xml:space="preserve"> Issue of 21 June 2013 (Re-opening)</t>
    </r>
  </si>
  <si>
    <r>
      <t>2</t>
    </r>
    <r>
      <rPr>
        <i/>
        <sz val="12"/>
        <rFont val="Times New Roman"/>
        <family val="1"/>
      </rPr>
      <t xml:space="preserve"> Issue of 30 August 2013 (Re-opening)</t>
    </r>
  </si>
  <si>
    <t>Table 22d: Issue of 15-Year Bank of Mauritius Bonds: March 2014</t>
  </si>
  <si>
    <r>
      <t xml:space="preserve"> Auction held on 05 March 2014 </t>
    </r>
    <r>
      <rPr>
        <b/>
        <vertAlign val="superscript"/>
        <sz val="14"/>
        <rFont val="Times New Roman"/>
        <family val="1"/>
      </rPr>
      <t>1</t>
    </r>
  </si>
  <si>
    <t>15Y-BOM Bonds</t>
  </si>
  <si>
    <t>6.95% 15-Year Bank  of Mauritius Bonds due 07 March 2029</t>
  </si>
  <si>
    <r>
      <t>1</t>
    </r>
    <r>
      <rPr>
        <i/>
        <sz val="11"/>
        <rFont val="Times New Roman"/>
        <family val="1"/>
      </rPr>
      <t xml:space="preserve"> Issue of 07 March 2014</t>
    </r>
  </si>
  <si>
    <t>Table 25a: Primary Dealers Transactions : July 2015</t>
  </si>
  <si>
    <t>Band</t>
  </si>
  <si>
    <t>Number of</t>
  </si>
  <si>
    <t>Value</t>
  </si>
  <si>
    <t>(No of Days)</t>
  </si>
  <si>
    <t>Up to 30</t>
  </si>
  <si>
    <t>0.80-1.00</t>
  </si>
  <si>
    <t xml:space="preserve">31 to 60 </t>
  </si>
  <si>
    <t>0.85-1.00</t>
  </si>
  <si>
    <t>61 to 90</t>
  </si>
  <si>
    <t>1.09-1.65</t>
  </si>
  <si>
    <t>91 to 135</t>
  </si>
  <si>
    <t>1.14-1.50</t>
  </si>
  <si>
    <t>136 to 180</t>
  </si>
  <si>
    <t>1.20-1.65</t>
  </si>
  <si>
    <t xml:space="preserve">181 to 240  </t>
  </si>
  <si>
    <t xml:space="preserve">241 to 300 </t>
  </si>
  <si>
    <t>301 to 364</t>
  </si>
  <si>
    <t>2.25-2.40</t>
  </si>
  <si>
    <t>365 to 485</t>
  </si>
  <si>
    <t>486 to 606</t>
  </si>
  <si>
    <t>607 to 728</t>
  </si>
  <si>
    <t>4.65-4.76</t>
  </si>
  <si>
    <t>0.80-2.40</t>
  </si>
  <si>
    <t>Table 25b: Primary Dealers Transactions : July 2014 to July 2015</t>
  </si>
  <si>
    <t>1.00-2.40</t>
  </si>
  <si>
    <t>1.20-2.38</t>
  </si>
  <si>
    <t>0.80-2.33</t>
  </si>
  <si>
    <t>0.85-2.25</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</si>
  <si>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</si>
  <si>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</si>
  <si>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</si>
  <si>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</si>
  <si>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</si>
  <si>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</si>
  <si>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</si>
  <si>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</si>
  <si>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</si>
  <si>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</si>
  <si>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</si>
  <si>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</si>
  <si>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</si>
  <si>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</si>
  <si>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</si>
  <si>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</si>
  <si>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</si>
  <si>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</si>
  <si>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</si>
  <si>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</si>
  <si>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</si>
  <si>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</si>
  <si>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</si>
  <si>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</si>
  <si>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</si>
  <si>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</si>
  <si>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</si>
  <si>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</si>
  <si>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</si>
  <si>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</si>
  <si>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</si>
  <si>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</si>
  <si>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</si>
  <si>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</si>
  <si>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</si>
  <si>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</si>
  <si>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</si>
  <si>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</si>
  <si>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</si>
  <si>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</si>
  <si>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</si>
  <si>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</si>
  <si>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</si>
  <si>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</si>
  <si>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</si>
  <si>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</si>
  <si>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</si>
  <si>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</si>
  <si>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</si>
  <si>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</si>
  <si>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</si>
  <si>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</si>
  <si>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</si>
  <si>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</si>
  <si>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</si>
  <si>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</si>
  <si>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</si>
  <si>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</si>
  <si>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</si>
  <si>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</si>
  <si>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</si>
  <si>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</si>
  <si>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</si>
  <si>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</si>
  <si>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</si>
  <si>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</si>
  <si>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</si>
  <si>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</si>
  <si>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</si>
  <si>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</si>
  <si>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</si>
  <si>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</si>
  <si>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</si>
  <si>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</si>
  <si>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</si>
  <si>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</si>
  <si>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</si>
  <si>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</si>
  <si>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</si>
  <si>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</si>
  <si>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</si>
  <si>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</si>
  <si>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</si>
  <si>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4.45-5.00</t>
  </si>
  <si>
    <t>4.45-4.80</t>
  </si>
  <si>
    <t>4.25-4.95</t>
  </si>
  <si>
    <t>4.00-4.65</t>
  </si>
  <si>
    <t>4.00-4.59</t>
  </si>
  <si>
    <t>4.00-4.81</t>
  </si>
  <si>
    <t>4.40-4.66</t>
  </si>
  <si>
    <t>4.10-4.70</t>
  </si>
  <si>
    <t>4.25-4.78</t>
  </si>
  <si>
    <t>4.40-4.73</t>
  </si>
  <si>
    <t>3.92-4.54</t>
  </si>
  <si>
    <t>3.65-4.76</t>
  </si>
  <si>
    <t>4.05-4.60</t>
  </si>
  <si>
    <t>3.30-4.60</t>
  </si>
  <si>
    <t>3.90-4.55</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</si>
  <si>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</si>
  <si>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</si>
  <si>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</si>
  <si>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</si>
  <si>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</si>
  <si>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</si>
  <si>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</si>
  <si>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</si>
  <si>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</si>
  <si>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</si>
  <si>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</si>
  <si>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</si>
  <si>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</si>
  <si>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</si>
  <si>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</si>
  <si>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</si>
  <si>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</si>
  <si>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</si>
  <si>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</si>
  <si>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</si>
  <si>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</si>
  <si>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</si>
  <si>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</si>
  <si>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</si>
  <si>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</si>
  <si>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</si>
  <si>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</si>
  <si>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</si>
  <si>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</si>
  <si>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</si>
  <si>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</si>
  <si>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</si>
  <si>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</si>
  <si>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</si>
  <si>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</si>
  <si>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</si>
  <si>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</si>
  <si>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</si>
  <si>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</si>
  <si>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</si>
  <si>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</si>
  <si>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</si>
  <si>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</si>
  <si>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</si>
  <si>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</si>
  <si>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0.75-1.40</t>
  </si>
  <si>
    <t>0.90-2.25</t>
  </si>
  <si>
    <t>0.85-2.00</t>
  </si>
  <si>
    <t>0.60-1.53</t>
  </si>
  <si>
    <t>1.20-3.04</t>
  </si>
  <si>
    <t>2.00-2.69</t>
  </si>
  <si>
    <t>1.90-2.50</t>
  </si>
  <si>
    <t>1.21-2.20</t>
  </si>
  <si>
    <t>0.85-2.15</t>
  </si>
  <si>
    <t>0.82-1.39</t>
  </si>
  <si>
    <t>0.90-2.50</t>
  </si>
  <si>
    <t>Note: With effect from 06 February 2015, the number of Primary Dealers has decreased from ten to nine</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</si>
  <si>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</si>
  <si>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</si>
  <si>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</si>
  <si>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</si>
  <si>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</si>
  <si>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</si>
  <si>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</si>
  <si>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</si>
  <si>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</si>
  <si>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</si>
  <si>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</si>
  <si>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</si>
  <si>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</si>
  <si>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</si>
  <si>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</si>
  <si>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</si>
  <si>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</si>
  <si>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</si>
  <si>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</si>
  <si>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</si>
  <si>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</si>
  <si>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</si>
  <si>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</si>
  <si>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25 July 2013 to 23 July 2015</t>
  </si>
  <si>
    <t xml:space="preserve">Period </t>
  </si>
  <si>
    <r>
      <t>Base</t>
    </r>
    <r>
      <rPr>
        <b/>
        <vertAlign val="superscript"/>
        <sz val="12"/>
        <rFont val="Times New Roman"/>
        <family val="1"/>
      </rPr>
      <t>1</t>
    </r>
  </si>
  <si>
    <t>for the Period</t>
  </si>
  <si>
    <t>CRR of (1)</t>
  </si>
  <si>
    <t>1-Feb-07 *</t>
  </si>
  <si>
    <t>14-Aug-08</t>
  </si>
  <si>
    <r>
      <t xml:space="preserve">28-Aug-08 </t>
    </r>
    <r>
      <rPr>
        <vertAlign val="superscript"/>
        <sz val="12"/>
        <rFont val="Times New Roman"/>
        <family val="1"/>
      </rPr>
      <t>2</t>
    </r>
  </si>
  <si>
    <t>6-Nov-08</t>
  </si>
  <si>
    <r>
      <t xml:space="preserve">20-Nov-08 </t>
    </r>
    <r>
      <rPr>
        <vertAlign val="superscript"/>
        <sz val="12"/>
        <rFont val="Times New Roman"/>
        <family val="1"/>
      </rPr>
      <t>3</t>
    </r>
  </si>
  <si>
    <t>18-Dec-08</t>
  </si>
  <si>
    <r>
      <t xml:space="preserve">1-Jan-09 </t>
    </r>
    <r>
      <rPr>
        <vertAlign val="superscript"/>
        <sz val="12"/>
        <rFont val="Times New Roman"/>
        <family val="1"/>
      </rPr>
      <t>4</t>
    </r>
  </si>
  <si>
    <t>25-Feb-10</t>
  </si>
  <si>
    <r>
      <t xml:space="preserve">1-Jul-10 </t>
    </r>
    <r>
      <rPr>
        <vertAlign val="superscript"/>
        <sz val="12"/>
        <rFont val="Times New Roman"/>
        <family val="1"/>
      </rPr>
      <t>2</t>
    </r>
  </si>
  <si>
    <r>
      <t xml:space="preserve">21-Oct-10 </t>
    </r>
    <r>
      <rPr>
        <b/>
        <vertAlign val="superscript"/>
        <sz val="12"/>
        <rFont val="Times New Roman"/>
        <family val="1"/>
      </rPr>
      <t>3</t>
    </r>
  </si>
  <si>
    <r>
      <t>10-Mar-11</t>
    </r>
    <r>
      <rPr>
        <b/>
        <vertAlign val="superscript"/>
        <sz val="12"/>
        <rFont val="Times New Roman"/>
        <family val="1"/>
      </rPr>
      <t xml:space="preserve"> 2</t>
    </r>
  </si>
  <si>
    <t>7-Apr-11</t>
  </si>
  <si>
    <t>Note: Cash balances consist exclusively of balances held by banks with the Bank of Mauritius.</t>
  </si>
  <si>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</si>
  <si>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</si>
  <si>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</si>
  <si>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</si>
  <si>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t xml:space="preserve">5 </t>
    </r>
    <r>
      <rPr>
        <i/>
        <sz val="10"/>
        <rFont val="Times New Roman"/>
        <family val="1"/>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</si>
  <si>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</si>
  <si>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</si>
  <si>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</si>
  <si>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</si>
  <si>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</si>
  <si>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</si>
  <si>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</si>
  <si>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i/>
        <vertAlign val="superscript"/>
        <sz val="10"/>
        <rFont val="Times New Roman"/>
        <family val="1"/>
      </rPr>
      <t xml:space="preserve">9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t>
    </r>
  </si>
  <si>
    <r>
      <t>Table 35a: Consumer Price Index and Inflation Rate: January 2007 to July 2015</t>
    </r>
    <r>
      <rPr>
        <b/>
        <vertAlign val="superscript"/>
        <sz val="11"/>
        <rFont val="Arial"/>
        <family val="2"/>
      </rPr>
      <t xml:space="preserve"> 1</t>
    </r>
  </si>
  <si>
    <t>Month</t>
  </si>
  <si>
    <t>January</t>
  </si>
  <si>
    <t>February</t>
  </si>
  <si>
    <t>March</t>
  </si>
  <si>
    <t>April</t>
  </si>
  <si>
    <t>May</t>
  </si>
  <si>
    <t>June</t>
  </si>
  <si>
    <t>July</t>
  </si>
  <si>
    <t>August</t>
  </si>
  <si>
    <t>September</t>
  </si>
  <si>
    <t>October</t>
  </si>
  <si>
    <t>November</t>
  </si>
  <si>
    <t>December</t>
  </si>
  <si>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</si>
  <si>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</si>
  <si>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</si>
  <si>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</si>
  <si>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</si>
  <si>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</si>
  <si>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</si>
  <si>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</si>
  <si>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</si>
  <si>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+0.2</t>
    </r>
    <r>
      <rPr>
        <vertAlign val="superscript"/>
        <sz val="10"/>
        <rFont val="Arial"/>
        <family val="2"/>
      </rPr>
      <t xml:space="preserve"> 2</t>
    </r>
  </si>
  <si>
    <r>
      <t>+0.6</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</si>
  <si>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</si>
  <si>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</si>
  <si>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</si>
  <si>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</si>
  <si>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</si>
  <si>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</si>
  <si>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</si>
  <si>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</si>
  <si>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+3.2</t>
    </r>
    <r>
      <rPr>
        <vertAlign val="superscript"/>
        <sz val="10"/>
        <rFont val="Arial"/>
        <family val="2"/>
      </rPr>
      <t xml:space="preserve"> 3</t>
    </r>
  </si>
  <si>
    <r>
      <t>+1.5</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</si>
  <si>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</si>
  <si>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</si>
  <si>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July 2015.</t>
    </r>
  </si>
  <si>
    <r>
      <rPr>
        <i/>
        <vertAlign val="superscript"/>
        <sz val="9"/>
        <rFont val="Arial"/>
        <family val="2"/>
      </rPr>
      <t xml:space="preserve">3 </t>
    </r>
    <r>
      <rPr>
        <i/>
        <sz val="9"/>
        <rFont val="Arial"/>
        <family val="2"/>
      </rPr>
      <t>Headline Inflation Rate for the twelve-month period ended July 2015.</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</si>
  <si>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</si>
  <si>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</si>
  <si>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</si>
  <si>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</si>
  <si>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</si>
  <si>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to July 2015</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</si>
  <si>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</si>
  <si>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</si>
  <si>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</si>
  <si>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</si>
  <si>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</si>
  <si>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</si>
  <si>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</si>
  <si>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</si>
  <si>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</si>
  <si>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</si>
  <si>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</si>
  <si>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4"/>
        <rFont val="Times New Roman"/>
        <family val="1"/>
      </rPr>
      <t>1</t>
    </r>
    <r>
      <rPr>
        <b/>
        <sz val="14"/>
        <rFont val="Times New Roman"/>
        <family val="1"/>
      </rPr>
      <t>: July 2007 to July 2015</t>
    </r>
  </si>
  <si>
    <t>Year-on-Year CPI Inflation</t>
  </si>
  <si>
    <t>Year-on-Year CORE1</t>
  </si>
  <si>
    <t>Year-on-Year CORE2</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</si>
  <si>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</si>
  <si>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</si>
  <si>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</si>
  <si>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</si>
  <si>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</si>
  <si>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</si>
  <si>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</si>
  <si>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2013 to July 2015</t>
  </si>
  <si>
    <t>Monthly Average</t>
  </si>
  <si>
    <t>ICE Brent Crude (US$ per barrel)</t>
  </si>
  <si>
    <t>NYMEX Oil (US$ per barrel)</t>
  </si>
  <si>
    <t>COMEX Gold (US$/Oz)</t>
  </si>
  <si>
    <t>2013-14</t>
  </si>
  <si>
    <t>2014-15</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</si>
  <si>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</si>
  <si>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</si>
  <si>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</si>
  <si>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</si>
  <si>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July 2014 to July 2015</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</si>
  <si>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</si>
  <si>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</si>
  <si>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</si>
  <si>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</si>
  <si>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</si>
  <si>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</si>
  <si>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</si>
  <si>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</si>
  <si>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</si>
  <si>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</si>
  <si>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</si>
  <si>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July 2014 to July 2015</t>
  </si>
  <si>
    <t xml:space="preserve">Sale of </t>
  </si>
  <si>
    <t>Range of</t>
  </si>
  <si>
    <t xml:space="preserve">Purchase </t>
  </si>
  <si>
    <t>Purchase</t>
  </si>
  <si>
    <t>Sale of</t>
  </si>
  <si>
    <t>Purchase of</t>
  </si>
  <si>
    <t xml:space="preserve">US dollar </t>
  </si>
  <si>
    <t>Intervention</t>
  </si>
  <si>
    <t>of US dollar</t>
  </si>
  <si>
    <t>of EURO</t>
  </si>
  <si>
    <t xml:space="preserve"> EURO</t>
  </si>
  <si>
    <t>of GBP</t>
  </si>
  <si>
    <t>other Currencies</t>
  </si>
  <si>
    <t>(US$ Mn)</t>
  </si>
  <si>
    <t>(Rs/US$ Ask Rate)</t>
  </si>
  <si>
    <t>(Rs/US$ Bid Rate)</t>
  </si>
  <si>
    <t>(EUR Mn)</t>
  </si>
  <si>
    <t>(Rs/EUR Bid Rate)</t>
  </si>
  <si>
    <t>(Rs/EUR Ask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</si>
  <si>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</si>
  <si>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</si>
  <si>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</si>
  <si>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</si>
  <si>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</si>
  <si>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</si>
  <si>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</si>
  <si>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</si>
  <si>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</si>
  <si>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</si>
  <si>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</si>
  <si>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</si>
  <si>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</si>
  <si>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</si>
  <si>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</si>
  <si>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</si>
  <si>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</si>
  <si>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</si>
  <si>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</si>
  <si>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</si>
  <si>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</si>
  <si>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</si>
  <si>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</si>
  <si>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</si>
  <si>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</si>
  <si>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</si>
  <si>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</si>
  <si>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</si>
  <si>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</si>
  <si>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</si>
  <si>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</si>
  <si>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</si>
  <si>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</si>
  <si>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</si>
  <si>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</si>
  <si>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</si>
  <si>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</si>
  <si>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</si>
  <si>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</si>
  <si>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</si>
  <si>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</si>
  <si>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</si>
  <si>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</si>
  <si>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</si>
  <si>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</si>
  <si>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</si>
  <si>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</si>
  <si>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</si>
  <si>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</si>
  <si>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</si>
  <si>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</si>
  <si>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</si>
  <si>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</si>
  <si>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</si>
  <si>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</si>
  <si>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</si>
  <si>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</si>
  <si>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</si>
  <si>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</si>
  <si>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</si>
  <si>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</si>
  <si>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</si>
  <si>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</si>
  <si>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</si>
  <si>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</si>
  <si>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</si>
  <si>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</si>
  <si>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</si>
  <si>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</si>
  <si>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</si>
  <si>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</si>
  <si>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</si>
  <si>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</si>
  <si>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</si>
  <si>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</si>
  <si>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</si>
  <si>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</si>
  <si>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</si>
  <si>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</si>
  <si>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</si>
  <si>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</si>
  <si>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</si>
  <si>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</si>
  <si>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</si>
  <si>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</si>
  <si>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</si>
  <si>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</si>
  <si>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</si>
  <si>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</si>
  <si>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</si>
  <si>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</si>
  <si>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</si>
  <si>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</si>
  <si>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</si>
  <si>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</si>
  <si>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</si>
  <si>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</si>
  <si>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</si>
  <si>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</si>
  <si>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</si>
  <si>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</si>
  <si>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</si>
  <si>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</si>
  <si>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</si>
  <si>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</si>
  <si>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</si>
  <si>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</si>
  <si>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</si>
  <si>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</si>
  <si>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</si>
  <si>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</si>
  <si>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</si>
  <si>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</si>
  <si>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</si>
  <si>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</si>
  <si>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</si>
  <si>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</si>
  <si>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</si>
  <si>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</si>
  <si>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</si>
  <si>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</si>
  <si>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</si>
  <si>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</si>
  <si>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</si>
  <si>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</si>
  <si>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</si>
  <si>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</si>
  <si>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</si>
  <si>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</si>
  <si>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</si>
  <si>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</si>
  <si>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</si>
  <si>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</si>
  <si>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</si>
  <si>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</si>
  <si>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</si>
  <si>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</si>
  <si>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</si>
  <si>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</si>
  <si>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</si>
  <si>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</si>
  <si>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</si>
  <si>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</si>
  <si>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</si>
  <si>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</si>
  <si>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</si>
  <si>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t>31.03-31.45</t>
  </si>
  <si>
    <t>30.85-31.19</t>
  </si>
  <si>
    <t>39.23-40.19</t>
  </si>
  <si>
    <t>40.24-40.92</t>
  </si>
  <si>
    <t>31.37-31.49</t>
  </si>
  <si>
    <t>31.20-31.37</t>
  </si>
  <si>
    <t>38.97-39.73</t>
  </si>
  <si>
    <t>39.85-40.72</t>
  </si>
  <si>
    <t>31.46-31.67</t>
  </si>
  <si>
    <t>31.31-31.52</t>
  </si>
  <si>
    <t>38.46-39.22</t>
  </si>
  <si>
    <t>39.34-40.12</t>
  </si>
  <si>
    <t>31.61-31.87</t>
  </si>
  <si>
    <t>31.47-31.75</t>
  </si>
  <si>
    <t>38.04-38.98</t>
  </si>
  <si>
    <t>38.91-39.79</t>
  </si>
  <si>
    <t>32.21-33.00</t>
  </si>
  <si>
    <t>31.96-32.45</t>
  </si>
  <si>
    <t>35.96-37.63</t>
  </si>
  <si>
    <t>37.14-38.48</t>
  </si>
  <si>
    <t>32.70-33.52</t>
  </si>
  <si>
    <t>32.45-33.50</t>
  </si>
  <si>
    <t>36.56-37.45</t>
  </si>
  <si>
    <t>37.40-38.30</t>
  </si>
  <si>
    <t>36.60-36.63</t>
  </si>
  <si>
    <t>33.58-36.40</t>
  </si>
  <si>
    <t>36.49-39.46</t>
  </si>
  <si>
    <t>37.32-40.36</t>
  </si>
  <si>
    <t>36.27-36.29</t>
  </si>
  <si>
    <t>35.82-36.07</t>
  </si>
  <si>
    <t>37.80-39.16</t>
  </si>
  <si>
    <t>38.66-40.15</t>
  </si>
  <si>
    <t>35.05-35.55</t>
  </si>
  <si>
    <t>35.05-35.15</t>
  </si>
  <si>
    <t>38.07-39.44</t>
  </si>
  <si>
    <t>38.94-40.34</t>
  </si>
  <si>
    <t>35.04-35.50</t>
  </si>
  <si>
    <t>38.22-39.57</t>
  </si>
  <si>
    <t>39.09-40.47</t>
  </si>
  <si>
    <t>35.54-35.65</t>
  </si>
  <si>
    <t>38.04-39.02</t>
  </si>
  <si>
    <t>38.81-40.03</t>
  </si>
  <si>
    <r>
      <rPr>
        <i/>
        <vertAlign val="superscript"/>
        <sz val="11"/>
        <rFont val="Times New Roman"/>
        <family val="1"/>
      </rPr>
      <t>1</t>
    </r>
    <r>
      <rPr>
        <i/>
        <sz val="11"/>
        <rFont val="Times New Roman"/>
        <family val="1"/>
      </rPr>
      <t xml:space="preserve"> includes Government transactions </t>
    </r>
  </si>
  <si>
    <r>
      <t>Table 39: Weighted Average Dealt Selling Rates of the Rupee</t>
    </r>
    <r>
      <rPr>
        <b/>
        <vertAlign val="superscript"/>
        <sz val="14"/>
        <rFont val="Times New Roman"/>
        <family val="1"/>
      </rPr>
      <t>1</t>
    </r>
    <r>
      <rPr>
        <b/>
        <sz val="14"/>
        <rFont val="Times New Roman"/>
        <family val="1"/>
      </rPr>
      <t xml:space="preserve"> against the USD, EUR and GBP:</t>
    </r>
  </si>
  <si>
    <t xml:space="preserve"> July 2014 to July 2015</t>
  </si>
  <si>
    <t>Rs/USD</t>
  </si>
  <si>
    <t>Rs/EUR</t>
  </si>
  <si>
    <t>Rs/GBP</t>
  </si>
  <si>
    <t>(End of Period)</t>
  </si>
  <si>
    <t>(Period Average)</t>
  </si>
  <si>
    <r>
      <t>1</t>
    </r>
    <r>
      <rPr>
        <i/>
        <sz val="11"/>
        <rFont val="Times New Roman"/>
        <family val="1"/>
      </rPr>
      <t xml:space="preserve"> Calculated on spot transactions of USD30,000 and above, or equivalent, conducted by banks</t>
    </r>
  </si>
  <si>
    <t xml:space="preserve">  and forex dealers.</t>
  </si>
  <si>
    <t>Table 40: Exchange Rate of the Rupee (End of Period):  July 2014 to July 2015</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</si>
  <si>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</si>
  <si>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</si>
  <si>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</si>
  <si>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</si>
  <si>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</si>
  <si>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</si>
  <si>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</si>
  <si>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</si>
  <si>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</si>
  <si>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</si>
  <si>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</si>
  <si>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</si>
  <si>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</si>
  <si>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</si>
  <si>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July 2014 to July 2015</t>
  </si>
  <si>
    <t xml:space="preserve">Table 42: Exchange Rate of the Rupee vis-à-vis Major Trading Partner Currencies: </t>
  </si>
  <si>
    <t xml:space="preserve">               July 2014 to July 2015</t>
  </si>
  <si>
    <t>Average for</t>
  </si>
  <si>
    <t>Appreciation/</t>
  </si>
  <si>
    <t>12 Months</t>
  </si>
  <si>
    <t>(Depreciation)</t>
  </si>
  <si>
    <t>ended July 2014</t>
  </si>
  <si>
    <t>ended July 2015</t>
  </si>
  <si>
    <t>of Rupee</t>
  </si>
  <si>
    <t>between [1] &amp; [2]</t>
  </si>
  <si>
    <t>[1]</t>
  </si>
  <si>
    <t>[2]</t>
  </si>
  <si>
    <t>Per Cent</t>
  </si>
  <si>
    <t>Hong Kong dollar</t>
  </si>
  <si>
    <t>Notes: (i)   [1] is calculated on the basis of the daily average exchange rates for the period August 2013 to July 2014.</t>
  </si>
  <si>
    <t xml:space="preserve">                   [2] is calculated on the basis of the daily average exchange rates for the period August 2014 to July 2015.</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</si>
  <si>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</si>
  <si>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</si>
  <si>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</si>
  <si>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</si>
  <si>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July 2015</t>
  </si>
  <si>
    <t xml:space="preserve">Appreciation/ </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</si>
  <si>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</si>
  <si>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</si>
  <si>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</si>
  <si>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</si>
  <si>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</si>
  <si>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</si>
  <si>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</si>
  <si>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</si>
  <si>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June 2015 and July 2015</t>
  </si>
  <si>
    <t>Low</t>
  </si>
  <si>
    <t>High</t>
  </si>
  <si>
    <t xml:space="preserve"> Period Average</t>
  </si>
  <si>
    <t>USD / YEN</t>
  </si>
  <si>
    <t>124.42/47</t>
  </si>
  <si>
    <t>121.38/40</t>
  </si>
  <si>
    <t>123.27/30</t>
  </si>
  <si>
    <t>123.59/62</t>
  </si>
  <si>
    <t>EUR / USD</t>
  </si>
  <si>
    <t>1.0820/23</t>
  </si>
  <si>
    <t>1.1139/42</t>
  </si>
  <si>
    <t>1.1002/04</t>
  </si>
  <si>
    <t>1.1214/17</t>
  </si>
  <si>
    <t>GBP / USD</t>
  </si>
  <si>
    <t>1.5389/94</t>
  </si>
  <si>
    <t>1.5701/02</t>
  </si>
  <si>
    <t>1.5561/65</t>
  </si>
  <si>
    <t>1.5559/64</t>
  </si>
  <si>
    <t>Source: Reuters with reference to Asian Markets, 09 30 hrs, Mauritian time.</t>
  </si>
  <si>
    <r>
      <t>Table 45: Monthly Average Exchange Rates of Selected Currencies</t>
    </r>
    <r>
      <rPr>
        <b/>
        <vertAlign val="superscript"/>
        <sz val="14"/>
        <rFont val="Times New Roman"/>
        <family val="1"/>
      </rPr>
      <t>1</t>
    </r>
    <r>
      <rPr>
        <b/>
        <sz val="14"/>
        <rFont val="Times New Roman"/>
        <family val="1"/>
      </rPr>
      <t xml:space="preserve"> vis-à-vis the US Dollar: January 2013 to July 2015</t>
    </r>
  </si>
  <si>
    <t>EUR/USD</t>
  </si>
  <si>
    <t>GBP/USD</t>
  </si>
  <si>
    <t>USD/JPY</t>
  </si>
  <si>
    <t>1.3287/89</t>
  </si>
  <si>
    <t>1.3621/23</t>
  </si>
  <si>
    <t>1.1612/14</t>
  </si>
  <si>
    <t>1.5954/57</t>
  </si>
  <si>
    <t>1.6471/74</t>
  </si>
  <si>
    <t>1.5136/40</t>
  </si>
  <si>
    <t>89.05/07</t>
  </si>
  <si>
    <t>103.94/97</t>
  </si>
  <si>
    <t>118.24/27</t>
  </si>
  <si>
    <t>1.3347/49</t>
  </si>
  <si>
    <t>1.3659/61</t>
  </si>
  <si>
    <t>1.1360/63</t>
  </si>
  <si>
    <t>1.5478/81</t>
  </si>
  <si>
    <t>1.6561/65</t>
  </si>
  <si>
    <t>1.5331/35</t>
  </si>
  <si>
    <t>93.11/14</t>
  </si>
  <si>
    <t>102.10/12</t>
  </si>
  <si>
    <t>118.64/67</t>
  </si>
  <si>
    <t>1.2960/63</t>
  </si>
  <si>
    <t>1.3827/29</t>
  </si>
  <si>
    <t>1.0850/53</t>
  </si>
  <si>
    <t>1.5091/95</t>
  </si>
  <si>
    <t>1.6619/22</t>
  </si>
  <si>
    <t>1.4991/95</t>
  </si>
  <si>
    <t>94.63/66</t>
  </si>
  <si>
    <t>102.22/25</t>
  </si>
  <si>
    <t>120.30/33</t>
  </si>
  <si>
    <t>1.3021/23</t>
  </si>
  <si>
    <t>1.3806/08</t>
  </si>
  <si>
    <t>1.0792/94</t>
  </si>
  <si>
    <t>1.5300/03</t>
  </si>
  <si>
    <t>1.6737/41</t>
  </si>
  <si>
    <t>1.4935/39</t>
  </si>
  <si>
    <t>97.71/74</t>
  </si>
  <si>
    <t>102.52/55</t>
  </si>
  <si>
    <t>119.48/51</t>
  </si>
  <si>
    <t>1.2978/80</t>
  </si>
  <si>
    <t>1.3738/40</t>
  </si>
  <si>
    <t>1.1164/66</t>
  </si>
  <si>
    <t>1.5292/95</t>
  </si>
  <si>
    <t>1.6850/53</t>
  </si>
  <si>
    <t>1.5476/81</t>
  </si>
  <si>
    <t>100.91/94</t>
  </si>
  <si>
    <t>101.79/82</t>
  </si>
  <si>
    <t>120.72/75</t>
  </si>
  <si>
    <t>1.3195/97</t>
  </si>
  <si>
    <t>1.3597/99</t>
  </si>
  <si>
    <t>1.5489/92</t>
  </si>
  <si>
    <t>1.6900/04</t>
  </si>
  <si>
    <t>97.41/44</t>
  </si>
  <si>
    <t>102.04/06</t>
  </si>
  <si>
    <t>1.3086/89</t>
  </si>
  <si>
    <t>1.3553/55</t>
  </si>
  <si>
    <t>1.5189/92</t>
  </si>
  <si>
    <t>1.7088/92</t>
  </si>
  <si>
    <t>99.60/62</t>
  </si>
  <si>
    <t>101.67/69</t>
  </si>
  <si>
    <t>1.3314/16</t>
  </si>
  <si>
    <t>1.3318/20</t>
  </si>
  <si>
    <t>1.5477/80</t>
  </si>
  <si>
    <t>1.6709/12</t>
  </si>
  <si>
    <t>97.90/93</t>
  </si>
  <si>
    <t>102.96/99</t>
  </si>
  <si>
    <t>1.3348/51</t>
  </si>
  <si>
    <t>1.2912/14</t>
  </si>
  <si>
    <t>1.5856/60</t>
  </si>
  <si>
    <t>1.6315/18</t>
  </si>
  <si>
    <t>99.19/22</t>
  </si>
  <si>
    <t>107.22/26</t>
  </si>
  <si>
    <t>1.3630/37</t>
  </si>
  <si>
    <t>1.2684/86</t>
  </si>
  <si>
    <t>1.6097/99</t>
  </si>
  <si>
    <t>1.6083/87</t>
  </si>
  <si>
    <t>97.82/85</t>
  </si>
  <si>
    <t>108.00/02</t>
  </si>
  <si>
    <t>1.3492/94</t>
  </si>
  <si>
    <t>1.2479/80</t>
  </si>
  <si>
    <t>1.6101/04</t>
  </si>
  <si>
    <t>1.5788/91</t>
  </si>
  <si>
    <t>100.04/07</t>
  </si>
  <si>
    <t>116.08/11</t>
  </si>
  <si>
    <t>1.3696/99</t>
  </si>
  <si>
    <t>1.2323/25</t>
  </si>
  <si>
    <t>1.6376/79</t>
  </si>
  <si>
    <t>1.5630/33</t>
  </si>
  <si>
    <t>103.48/51</t>
  </si>
  <si>
    <t>119.34/37</t>
  </si>
  <si>
    <r>
      <rPr>
        <i/>
        <vertAlign val="superscript"/>
        <sz val="9"/>
        <rFont val="Times New Roman"/>
        <family val="1"/>
      </rPr>
      <t>1</t>
    </r>
    <r>
      <rPr>
        <i/>
        <sz val="9"/>
        <rFont val="Times New Roman"/>
        <family val="1"/>
      </rPr>
      <t>Reuters with reference to Asian Markets, 09 30 hrs, Mauritian time.</t>
    </r>
  </si>
  <si>
    <t>Table 46: Mauritius Exchange Rate Index (MERI): January 2013 to July 2015</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</si>
  <si>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</si>
  <si>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</si>
  <si>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</si>
  <si>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</si>
  <si>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</si>
  <si>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</si>
  <si>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</si>
  <si>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</si>
  <si>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Tourism Earnings: January 2013 to June 2015</t>
  </si>
  <si>
    <t>2010-11</t>
  </si>
  <si>
    <t xml:space="preserve">Tourist Arrivals* </t>
  </si>
  <si>
    <t>Tourist Earnings ^</t>
  </si>
  <si>
    <r>
      <t>Tourist Arrivals</t>
    </r>
    <r>
      <rPr>
        <b/>
        <sz val="10"/>
        <rFont val="Arial"/>
        <family val="2"/>
      </rPr>
      <t xml:space="preserve">* </t>
    </r>
  </si>
  <si>
    <t>Tourism Earnings ^</t>
  </si>
  <si>
    <t xml:space="preserve">(Rs million) </t>
  </si>
  <si>
    <t xml:space="preserve"> Total</t>
  </si>
  <si>
    <t>* Source: Ministry of Tourism and External Communications.</t>
  </si>
  <si>
    <t>^ Source: Bank of Mauritius Statistics Division.</t>
  </si>
  <si>
    <t>Table 48a: Direct Investment in Mauritius by Sector: Annual 2010 - 2014 and First Quarter 2015</t>
  </si>
  <si>
    <t>(Excluding GBC1s)</t>
  </si>
  <si>
    <r>
      <t xml:space="preserve">Sector (ISIC </t>
    </r>
    <r>
      <rPr>
        <b/>
        <vertAlign val="superscript"/>
        <sz val="10"/>
        <rFont val="Arial"/>
        <family val="2"/>
      </rPr>
      <t>^</t>
    </r>
    <r>
      <rPr>
        <b/>
        <sz val="10"/>
        <rFont val="Arial"/>
        <family val="2"/>
      </rPr>
      <t xml:space="preserve"> 1 digit)</t>
    </r>
  </si>
  <si>
    <t>Description</t>
  </si>
  <si>
    <t>2006</t>
  </si>
  <si>
    <t>2007</t>
  </si>
  <si>
    <t>2008</t>
  </si>
  <si>
    <t xml:space="preserve">2009 </t>
  </si>
  <si>
    <t xml:space="preserve">2010 </t>
  </si>
  <si>
    <r>
      <t>2011</t>
    </r>
    <r>
      <rPr>
        <b/>
        <vertAlign val="superscript"/>
        <sz val="10"/>
        <rFont val="Arial"/>
        <family val="2"/>
      </rPr>
      <t xml:space="preserve"> </t>
    </r>
  </si>
  <si>
    <t xml:space="preserve">2012 </t>
  </si>
  <si>
    <r>
      <t xml:space="preserve">2013 </t>
    </r>
    <r>
      <rPr>
        <b/>
        <vertAlign val="superscript"/>
        <sz val="10"/>
        <rFont val="Arial"/>
        <family val="2"/>
      </rPr>
      <t>1</t>
    </r>
  </si>
  <si>
    <r>
      <t xml:space="preserve">2014 </t>
    </r>
    <r>
      <rPr>
        <b/>
        <vertAlign val="superscript"/>
        <sz val="10"/>
        <rFont val="Arial"/>
        <family val="2"/>
      </rPr>
      <t>2</t>
    </r>
  </si>
  <si>
    <r>
      <t xml:space="preserve">2015 </t>
    </r>
    <r>
      <rPr>
        <b/>
        <vertAlign val="superscript"/>
        <sz val="10"/>
        <rFont val="Arial"/>
        <family val="2"/>
      </rPr>
      <t>2</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</si>
  <si>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</si>
  <si>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</si>
  <si>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</si>
  <si>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</si>
  <si>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</si>
  <si>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</si>
  <si>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</si>
  <si>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</si>
  <si>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</si>
  <si>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</si>
  <si>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</si>
  <si>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</si>
  <si>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</si>
  <si>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</si>
  <si>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</si>
  <si>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</si>
  <si>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</si>
  <si>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</si>
  <si>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</si>
  <si>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</si>
  <si>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</si>
  <si>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</si>
  <si>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</si>
  <si>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</si>
  <si>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</si>
  <si>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</si>
  <si>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</si>
  <si>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</si>
  <si>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</si>
  <si>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(ISIC Rev. 4). </t>
    </r>
  </si>
  <si>
    <t xml:space="preserve"> Details on ISIC Rev.4 are available on United Nations Statistics Division website at  http://unstats.un.org/unsd/cr/registry/isic-4.asp </t>
  </si>
  <si>
    <t xml:space="preserve">Table 48b: Direct Investment in Mauritius by Geographical Origin: </t>
  </si>
  <si>
    <t>Annual 2010 - 2014 and First Quarter 2015 (Excluding GBC1s)</t>
  </si>
  <si>
    <t>Region /Economy</t>
  </si>
  <si>
    <t xml:space="preserve">2008 </t>
  </si>
  <si>
    <r>
      <t>2010</t>
    </r>
    <r>
      <rPr>
        <b/>
        <vertAlign val="superscript"/>
        <sz val="10"/>
        <rFont val="Arial"/>
        <family val="2"/>
      </rPr>
      <t xml:space="preserve"> </t>
    </r>
  </si>
  <si>
    <t xml:space="preserve">2011 </t>
  </si>
  <si>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</si>
  <si>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</si>
  <si>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</si>
  <si>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</si>
  <si>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</si>
  <si>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</si>
  <si>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</si>
  <si>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</si>
  <si>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</si>
  <si>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</si>
  <si>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</si>
  <si>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</si>
  <si>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</si>
  <si>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</si>
  <si>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</si>
  <si>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</si>
  <si>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</si>
  <si>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</si>
  <si>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</si>
  <si>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</si>
  <si>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</si>
  <si>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</si>
  <si>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</si>
  <si>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</si>
  <si>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</si>
  <si>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</si>
  <si>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</si>
  <si>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</si>
  <si>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</si>
  <si>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</si>
  <si>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Oceania </t>
  </si>
  <si>
    <t xml:space="preserve">   Unspecified</t>
  </si>
  <si>
    <r>
      <t>1</t>
    </r>
    <r>
      <rPr>
        <i/>
        <sz val="9"/>
        <rFont val="Arial"/>
        <family val="2"/>
      </rPr>
      <t xml:space="preserve"> Revised. Balance of payments statistics for 2013 have been supplemented with results obtained from the Foreign Assets and Liabilities Survey (FALS2014) conducted in 2014.  Direct investment data, besides equity, now also include reinvested earnings and shareholders’ loans.</t>
    </r>
  </si>
  <si>
    <r>
      <t xml:space="preserve">2 </t>
    </r>
    <r>
      <rPr>
        <i/>
        <sz val="9"/>
        <rFont val="Arial"/>
        <family val="2"/>
      </rPr>
      <t xml:space="preserve">Preliminary. Data as from 2014 would be revised in the wake of results from future FALS and are therefore not strictly comparable with prior years' data.
</t>
    </r>
  </si>
  <si>
    <t>Table 49a: Direct Investment Abroad by Sector: Annual 2010 - 2014 and First Quarter 2015</t>
  </si>
  <si>
    <t>2009</t>
  </si>
  <si>
    <r>
      <t>2011</t>
    </r>
    <r>
      <rPr>
        <vertAlign val="superscript"/>
        <sz val="10"/>
        <rFont val="Arial"/>
        <family val="2"/>
      </rPr>
      <t xml:space="preserve"> </t>
    </r>
  </si>
  <si>
    <t>E</t>
  </si>
  <si>
    <t>Water supply; sewerage, waste management and remediation
activities</t>
  </si>
  <si>
    <t>Financial and insurance activities</t>
  </si>
  <si>
    <t>S</t>
  </si>
  <si>
    <t>Other service activities</t>
  </si>
  <si>
    <t>^ Data in this table are in line with the structure of the fourth revision of International Standard of Industrial Classification ( ISIC Rev. 4).
Details on ISIC Rev.4 are available on United Nations Statistics Division website at http://unstats.un.org/unsd/cr/registry/isic-4.asp</t>
  </si>
  <si>
    <t xml:space="preserve">Table 49b: Direct Investment Abroad by Geographical Destination: </t>
  </si>
  <si>
    <t>Region / Economy</t>
  </si>
  <si>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</si>
  <si>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</si>
  <si>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</si>
  <si>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</si>
  <si>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</si>
  <si>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</si>
  <si>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</si>
  <si>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</si>
  <si>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</si>
  <si>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</si>
  <si>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</si>
  <si>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</si>
  <si>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</si>
  <si>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</si>
  <si>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</si>
  <si>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</si>
  <si>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</si>
  <si>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</si>
  <si>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</si>
  <si>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</si>
  <si>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</si>
  <si>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</si>
  <si>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</si>
  <si>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</si>
  <si>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</si>
  <si>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</si>
  <si>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2013 vis-à-vis top ten counterpart economies</t>
    </r>
  </si>
  <si>
    <t>(US$ million)</t>
  </si>
  <si>
    <t xml:space="preserve">Inward Direct Investment: Total and from top ten counterpart economies </t>
  </si>
  <si>
    <t xml:space="preserve">Outward Direct Investment: Total and to top ten destination economies  </t>
  </si>
  <si>
    <t xml:space="preserve">Total Inward Investment               </t>
  </si>
  <si>
    <t>Total Outward Investment</t>
  </si>
  <si>
    <t>United States</t>
  </si>
  <si>
    <t>China, P.R.: Mainland</t>
  </si>
  <si>
    <t>United Kingdom</t>
  </si>
  <si>
    <t>Singapore</t>
  </si>
  <si>
    <t>Cayman Islands</t>
  </si>
  <si>
    <t>United Arab Emirates</t>
  </si>
  <si>
    <t>Netherlands</t>
  </si>
  <si>
    <t>Indonesia</t>
  </si>
  <si>
    <t>South Africa</t>
  </si>
  <si>
    <t>China, P.R.: Hong Kong</t>
  </si>
  <si>
    <t>Luxembourg</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</si>
  <si>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survey carried out in 2014.</t>
    </r>
  </si>
  <si>
    <r>
      <t>Source: IMF Website, for further information consult http:</t>
    </r>
    <r>
      <rPr>
        <b/>
        <i/>
        <sz val="9"/>
        <color theme="1"/>
        <rFont val="Times New Roman"/>
        <family val="1"/>
      </rPr>
      <t>//</t>
    </r>
    <r>
      <rPr>
        <i/>
        <sz val="9"/>
        <color theme="1"/>
        <rFont val="Times New Roman"/>
        <family val="1"/>
      </rPr>
      <t>cdis.imf.org</t>
    </r>
  </si>
  <si>
    <t xml:space="preserve">Table 51: Balance of Payments - Partially Revised 2014 and Preliminary First Quarter 2015
</t>
  </si>
  <si>
    <r>
      <t>2014</t>
    </r>
    <r>
      <rPr>
        <b/>
        <vertAlign val="superscript"/>
        <sz val="18"/>
        <rFont val="Times New Roman"/>
        <family val="1"/>
      </rPr>
      <t xml:space="preserve"> 1</t>
    </r>
  </si>
  <si>
    <r>
      <t xml:space="preserve">2014 </t>
    </r>
    <r>
      <rPr>
        <b/>
        <vertAlign val="superscript"/>
        <sz val="18"/>
        <rFont val="Times New Roman"/>
        <family val="1"/>
      </rPr>
      <t>1</t>
    </r>
  </si>
  <si>
    <r>
      <t xml:space="preserve">2015 </t>
    </r>
    <r>
      <rPr>
        <b/>
        <vertAlign val="superscript"/>
        <sz val="18"/>
        <rFont val="Times New Roman"/>
        <family val="1"/>
      </rPr>
      <t>2</t>
    </r>
  </si>
  <si>
    <t xml:space="preserve">1st
Quarter </t>
  </si>
  <si>
    <t xml:space="preserve">2nd Quarter </t>
  </si>
  <si>
    <t xml:space="preserve">3rd 
Quarter </t>
  </si>
  <si>
    <t xml:space="preserve">4th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</si>
  <si>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</si>
  <si>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</si>
  <si>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</si>
  <si>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</si>
  <si>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</si>
  <si>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</si>
  <si>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</si>
  <si>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</si>
  <si>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</si>
  <si>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</si>
  <si>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</si>
  <si>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</si>
  <si>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</si>
  <si>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</si>
  <si>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</si>
  <si>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</si>
  <si>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</si>
  <si>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</si>
  <si>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</si>
  <si>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</si>
  <si>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</si>
  <si>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</si>
  <si>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</si>
  <si>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</si>
  <si>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</si>
  <si>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</si>
  <si>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</si>
  <si>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</si>
  <si>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</si>
  <si>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</si>
  <si>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</si>
  <si>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</si>
  <si>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</si>
  <si>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</si>
  <si>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</si>
  <si>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</si>
  <si>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</si>
  <si>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</si>
  <si>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</si>
  <si>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</si>
  <si>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</si>
  <si>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</si>
  <si>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</si>
  <si>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</si>
  <si>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</si>
  <si>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</si>
  <si>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</si>
  <si>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</si>
  <si>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</si>
  <si>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</si>
  <si>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</si>
  <si>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</si>
  <si>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</si>
  <si>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</si>
  <si>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</si>
  <si>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</si>
  <si>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</si>
  <si>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</si>
  <si>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</si>
  <si>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</si>
  <si>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</si>
  <si>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</si>
  <si>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</si>
  <si>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Banks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</si>
  <si>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</si>
  <si>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</si>
  <si>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</si>
  <si>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</si>
  <si>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</si>
  <si>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</si>
  <si>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</si>
  <si>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</si>
  <si>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</si>
  <si>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</si>
  <si>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 xml:space="preserve">Partially Revised Estimates.                                   </t>
    </r>
    <r>
      <rPr>
        <i/>
        <vertAlign val="superscript"/>
        <sz val="16"/>
        <rFont val="Times New Roman"/>
        <family val="1"/>
      </rPr>
      <t xml:space="preserve"> 2</t>
    </r>
    <r>
      <rPr>
        <i/>
        <sz val="16"/>
        <rFont val="Times New Roman"/>
        <family val="1"/>
      </rPr>
      <t xml:space="preserve"> Preliminary Estimates.</t>
    </r>
  </si>
  <si>
    <t>Source : Statistics Division.</t>
  </si>
  <si>
    <t>Table 34a: Transactions on the Stock Exchange of Mauritius: July 2014 to July 2015</t>
  </si>
  <si>
    <t>Official Market</t>
  </si>
  <si>
    <r>
      <t>SEMTRI</t>
    </r>
    <r>
      <rPr>
        <b/>
        <vertAlign val="superscript"/>
        <sz val="10"/>
        <rFont val="Arial"/>
        <family val="2"/>
      </rPr>
      <t>1</t>
    </r>
  </si>
  <si>
    <r>
      <t>SEM-7</t>
    </r>
    <r>
      <rPr>
        <b/>
        <sz val="10"/>
        <rFont val="Arial"/>
        <family val="2"/>
      </rPr>
      <t>/</t>
    </r>
  </si>
  <si>
    <t>SEMDEX</t>
  </si>
  <si>
    <t>Value of</t>
  </si>
  <si>
    <t>Volume of</t>
  </si>
  <si>
    <t>Sessions</t>
  </si>
  <si>
    <t>(in Rs terms)</t>
  </si>
  <si>
    <t>(in US$ terms)</t>
  </si>
  <si>
    <r>
      <t xml:space="preserve">SEM10 </t>
    </r>
    <r>
      <rPr>
        <b/>
        <vertAlign val="superscript"/>
        <sz val="10"/>
        <rFont val="Arial"/>
        <family val="2"/>
      </rPr>
      <t>2</t>
    </r>
  </si>
  <si>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</si>
  <si>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</si>
  <si>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</si>
  <si>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</si>
  <si>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 As from 2 October 2014, the SEM-7 has been replaced by the SEM-10. </t>
    </r>
  </si>
  <si>
    <t>The opening level of the SEM-10 was set at the closing level of the SEM-7 index on 1 October 2014.</t>
  </si>
  <si>
    <t>Source: The Stock Exchange of Mauritius Ltd.</t>
  </si>
  <si>
    <t>Table 34b: Transactions by Foreign Investors on the Stock Exchange of Mauritius: July 2014 to July 2015</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</si>
  <si>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</si>
  <si>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</si>
  <si>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</si>
  <si>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</si>
  <si>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</si>
  <si>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</si>
  <si>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</si>
  <si>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</si>
  <si>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</si>
  <si>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</si>
  <si>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</si>
  <si>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</si>
  <si>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</si>
  <si>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</si>
  <si>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</si>
  <si>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</si>
  <si>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</si>
  <si>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</si>
  <si>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</si>
  <si>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</si>
  <si>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</si>
  <si>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</si>
  <si>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</si>
  <si>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</si>
  <si>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</si>
  <si>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</si>
  <si>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</si>
  <si>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</si>
  <si>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</si>
  <si>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</si>
  <si>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</si>
  <si>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</si>
  <si>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</si>
  <si>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t>Table 14: Assets and Liabilities of Non-Bank Deposit Taking Leasing Companies *: June 2014 to May 2015</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</si>
  <si>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</si>
  <si>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</si>
  <si>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</si>
  <si>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</si>
  <si>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</si>
  <si>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</si>
  <si>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</si>
  <si>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</si>
  <si>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</si>
  <si>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</si>
  <si>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</si>
  <si>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to March 2015</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</si>
  <si>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</si>
  <si>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</si>
  <si>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</si>
  <si>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</si>
  <si>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</si>
  <si>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</si>
  <si>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</si>
  <si>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</si>
  <si>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</si>
  <si>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</si>
  <si>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</si>
  <si>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</si>
  <si>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</si>
  <si>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</si>
  <si>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</si>
  <si>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</si>
  <si>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t xml:space="preserve"> Table 17 : Currency in Circulation: July 2014 to July 2015</t>
  </si>
  <si>
    <t xml:space="preserve">End  </t>
  </si>
  <si>
    <t>BANKNOTES</t>
  </si>
  <si>
    <t>COINS</t>
  </si>
  <si>
    <t>Demonetized</t>
  </si>
  <si>
    <t xml:space="preserve">  Comme-</t>
  </si>
  <si>
    <t>Gold</t>
  </si>
  <si>
    <t>NOTES</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</si>
  <si>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</si>
  <si>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</si>
  <si>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</si>
  <si>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</si>
  <si>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</si>
  <si>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</si>
  <si>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</si>
  <si>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</si>
  <si>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</si>
  <si>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</si>
  <si>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</si>
  <si>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</si>
  <si>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</si>
  <si>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</si>
  <si>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</si>
  <si>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</si>
  <si>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</si>
  <si>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</si>
  <si>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</si>
  <si>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</si>
  <si>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</si>
  <si>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</si>
  <si>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</si>
  <si>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27a: Transactions on the Interbank Money Market: July 2014 to July 2015</t>
  </si>
  <si>
    <t>Amount Transacted</t>
  </si>
  <si>
    <t>Daily</t>
  </si>
  <si>
    <t xml:space="preserve">  Bank </t>
  </si>
  <si>
    <r>
      <t>Average</t>
    </r>
    <r>
      <rPr>
        <b/>
        <vertAlign val="superscript"/>
        <sz val="11"/>
        <rFont val="Times New Roman"/>
        <family val="1"/>
      </rPr>
      <t>1</t>
    </r>
  </si>
  <si>
    <t>W.A.I</t>
  </si>
  <si>
    <r>
      <t>Rate</t>
    </r>
    <r>
      <rPr>
        <b/>
        <vertAlign val="superscript"/>
        <sz val="11"/>
        <rFont val="Times New Roman"/>
        <family val="1"/>
      </rPr>
      <t>3 *</t>
    </r>
  </si>
  <si>
    <t xml:space="preserve"> Rates  </t>
  </si>
  <si>
    <r>
      <t>Rate</t>
    </r>
    <r>
      <rPr>
        <b/>
        <vertAlign val="superscript"/>
        <sz val="11"/>
        <rFont val="Times New Roman"/>
        <family val="1"/>
      </rPr>
      <t>2</t>
    </r>
  </si>
  <si>
    <t>01-02 July</t>
  </si>
  <si>
    <t>03-09 July</t>
  </si>
  <si>
    <t>10-16 July</t>
  </si>
  <si>
    <t>17-23 July</t>
  </si>
  <si>
    <t>24-30 July</t>
  </si>
  <si>
    <t>9.00 - 10.75</t>
  </si>
  <si>
    <t>9.00 - 10.00</t>
  </si>
  <si>
    <t>9.00- 12.00</t>
  </si>
  <si>
    <t>6.00-10.00</t>
  </si>
  <si>
    <t>6.75-7.50</t>
  </si>
  <si>
    <t>6.00-8.00</t>
  </si>
  <si>
    <t>6.00-8.25</t>
  </si>
  <si>
    <t>6.00-8.50</t>
  </si>
  <si>
    <t>7.25-9.00</t>
  </si>
  <si>
    <t>6.50-7.50</t>
  </si>
  <si>
    <t>6.50-7.75</t>
  </si>
  <si>
    <t>6.50-7.35</t>
  </si>
  <si>
    <t>6.75-7.25</t>
  </si>
  <si>
    <t>6.25-7.00</t>
  </si>
  <si>
    <t>5.50-11.50</t>
  </si>
  <si>
    <t>5.25-7.25</t>
  </si>
  <si>
    <t>5.75-7.25</t>
  </si>
  <si>
    <t>4.00-7.00</t>
  </si>
  <si>
    <t>4.50-9.125</t>
  </si>
  <si>
    <t>4.00-9.125</t>
  </si>
  <si>
    <t>4.00-5.50</t>
  </si>
  <si>
    <t>2.00-5.00</t>
  </si>
  <si>
    <t>2.50-6.50</t>
  </si>
  <si>
    <t>2.75-4.50</t>
  </si>
  <si>
    <t>2.75-6.25</t>
  </si>
  <si>
    <t>2.90-5.50</t>
  </si>
  <si>
    <t>2.00-5.25</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</si>
  <si>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</si>
  <si>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</si>
  <si>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</si>
  <si>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</si>
  <si>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</si>
  <si>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</si>
  <si>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</si>
  <si>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</si>
  <si>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</si>
  <si>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</si>
  <si>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</si>
  <si>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</si>
  <si>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</si>
  <si>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</si>
  <si>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</si>
  <si>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</si>
  <si>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</si>
  <si>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</si>
  <si>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</si>
  <si>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2.50-10.00</t>
  </si>
  <si>
    <t>3.50-10.00</t>
  </si>
  <si>
    <t>3.50-5.50</t>
  </si>
  <si>
    <t>3.50-8.50</t>
  </si>
  <si>
    <t>5.50-11.00</t>
  </si>
  <si>
    <t>6.50-12.75</t>
  </si>
  <si>
    <t>7.50-10.50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</si>
  <si>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</si>
  <si>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</si>
  <si>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</si>
  <si>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</si>
  <si>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</si>
  <si>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</si>
  <si>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</si>
  <si>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</si>
  <si>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</si>
  <si>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</si>
  <si>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</si>
  <si>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</si>
  <si>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</si>
  <si>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</si>
  <si>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</si>
  <si>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</si>
  <si>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</si>
  <si>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</si>
  <si>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</si>
  <si>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4.95-7.25</t>
  </si>
  <si>
    <t>4.30-7.25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</si>
  <si>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</si>
  <si>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</si>
  <si>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</si>
  <si>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</si>
  <si>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</si>
  <si>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</si>
  <si>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</si>
  <si>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</si>
  <si>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</si>
  <si>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</si>
  <si>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</si>
  <si>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</si>
  <si>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</si>
  <si>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</si>
  <si>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</si>
  <si>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</si>
  <si>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</si>
  <si>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</si>
  <si>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</si>
  <si>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</si>
  <si>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</si>
  <si>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</si>
  <si>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</si>
  <si>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</si>
  <si>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</si>
  <si>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</si>
  <si>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</si>
  <si>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</si>
  <si>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</si>
  <si>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</si>
  <si>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</si>
  <si>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</si>
  <si>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</si>
  <si>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</si>
  <si>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</si>
  <si>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</si>
  <si>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</si>
  <si>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</si>
  <si>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</si>
  <si>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</si>
  <si>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</si>
  <si>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</si>
  <si>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</si>
  <si>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</si>
  <si>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</si>
  <si>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</si>
  <si>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</si>
  <si>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</si>
  <si>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</si>
  <si>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</si>
  <si>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</si>
  <si>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</si>
  <si>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</si>
  <si>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</si>
  <si>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</si>
  <si>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</si>
  <si>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</si>
  <si>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</si>
  <si>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</si>
  <si>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</si>
  <si>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r>
      <t>1</t>
    </r>
    <r>
      <rPr>
        <i/>
        <sz val="11"/>
        <rFont val="Times New Roman"/>
        <family val="1"/>
      </rPr>
      <t xml:space="preserve"> For transactions days only.</t>
    </r>
  </si>
  <si>
    <r>
      <t>2</t>
    </r>
    <r>
      <rPr>
        <i/>
        <sz val="11"/>
        <rFont val="Times New Roman"/>
        <family val="1"/>
      </rPr>
      <t xml:space="preserve"> Interbank Weighted Average Interest Rate.</t>
    </r>
  </si>
  <si>
    <t>Figures may not add up to totals due to rounding</t>
  </si>
  <si>
    <t xml:space="preserve">Table 27b: Overnight Transactions on the Interbank Money Market: July 2014 to July 2015  </t>
  </si>
  <si>
    <t>Interest Rate</t>
  </si>
  <si>
    <t>8.00-8.50</t>
  </si>
  <si>
    <t>8.75-9.00</t>
  </si>
  <si>
    <t>8.75-9.50</t>
  </si>
  <si>
    <t>8.75-9.25</t>
  </si>
  <si>
    <t>8.25-8.75</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</si>
  <si>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</si>
  <si>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</si>
  <si>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</si>
  <si>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</si>
  <si>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</si>
  <si>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</si>
  <si>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</si>
  <si>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</si>
  <si>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</si>
  <si>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</si>
  <si>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</si>
  <si>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</si>
  <si>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</si>
  <si>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</si>
  <si>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</si>
  <si>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</si>
  <si>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</si>
  <si>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</si>
  <si>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</si>
  <si>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</si>
  <si>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</si>
  <si>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</si>
  <si>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</si>
  <si>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</si>
  <si>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</si>
  <si>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</si>
  <si>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</si>
  <si>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</si>
  <si>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</si>
  <si>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</si>
  <si>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</si>
  <si>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</si>
  <si>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</si>
  <si>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</si>
  <si>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</si>
  <si>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</si>
  <si>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</si>
  <si>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</si>
  <si>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</si>
  <si>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</si>
  <si>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</si>
  <si>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</si>
  <si>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</si>
  <si>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2.60-3.75</t>
  </si>
  <si>
    <t>1.25-1.65</t>
  </si>
  <si>
    <t>1.10-1.30</t>
  </si>
  <si>
    <t>0.60-0.70</t>
  </si>
  <si>
    <t>1.50-2.00</t>
  </si>
  <si>
    <t>1.40-2.15</t>
  </si>
  <si>
    <t>Table 33: Sectorwise Distribution of Credit to Non Residents: March 2015</t>
  </si>
  <si>
    <t>Loans and Other Financing in Foreign Currencies Outside Mauritius</t>
  </si>
  <si>
    <t>Foreign Bills Purchased &amp; Discounted</t>
  </si>
  <si>
    <t>Investment in Foreign Securities</t>
  </si>
  <si>
    <t>Corporate Shares</t>
  </si>
  <si>
    <t>Fixed Dated Securities</t>
  </si>
  <si>
    <t>Overdraft</t>
  </si>
  <si>
    <t>Personal and Professional</t>
  </si>
  <si>
    <t>Source: Off-Site  Division, Supervision Department.</t>
  </si>
  <si>
    <t>Table 36: Gross Official International Reserves: July 2014 to July 2015</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</si>
  <si>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</si>
  <si>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</si>
  <si>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</si>
  <si>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</si>
  <si>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</si>
  <si>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t>
  </si>
  <si>
    <t>Assets of</t>
  </si>
  <si>
    <t>Bank of Mauritius</t>
  </si>
  <si>
    <r>
      <t>Gold</t>
    </r>
    <r>
      <rPr>
        <b/>
        <vertAlign val="superscript"/>
        <sz val="10"/>
        <rFont val="Arial"/>
        <family val="2"/>
      </rPr>
      <t xml:space="preserve"> </t>
    </r>
  </si>
  <si>
    <t>SDR</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</si>
  <si>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</si>
  <si>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</si>
  <si>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</si>
  <si>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</si>
  <si>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</si>
  <si>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</si>
  <si>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</si>
  <si>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</si>
  <si>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</si>
  <si>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</si>
  <si>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</si>
  <si>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</si>
  <si>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</si>
  <si>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</si>
  <si>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</si>
  <si>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</si>
  <si>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</si>
  <si>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</si>
  <si>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</si>
  <si>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</si>
  <si>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</si>
  <si>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</si>
  <si>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</si>
  <si>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</si>
  <si>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</si>
  <si>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</si>
  <si>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</si>
  <si>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</si>
  <si>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rFont val="Arial"/>
        <family val="2"/>
      </rPr>
      <t xml:space="preserve"> </t>
    </r>
  </si>
  <si>
    <t xml:space="preserve">Aug-14 </t>
  </si>
  <si>
    <r>
      <t>Sep-14</t>
    </r>
    <r>
      <rPr>
        <b/>
        <vertAlign val="superscript"/>
        <sz val="10"/>
        <rFont val="Arial"/>
        <family val="2"/>
      </rPr>
      <t xml:space="preserve"> </t>
    </r>
  </si>
  <si>
    <r>
      <t>Oct-14</t>
    </r>
    <r>
      <rPr>
        <b/>
        <vertAlign val="superscript"/>
        <sz val="10"/>
        <rFont val="Arial"/>
        <family val="2"/>
      </rPr>
      <t xml:space="preserve"> </t>
    </r>
  </si>
  <si>
    <r>
      <t>Nov-14</t>
    </r>
    <r>
      <rPr>
        <b/>
        <vertAlign val="superscript"/>
        <sz val="10"/>
        <rFont val="Arial"/>
        <family val="2"/>
      </rPr>
      <t xml:space="preserve"> </t>
    </r>
  </si>
  <si>
    <r>
      <t>Dec-14</t>
    </r>
    <r>
      <rPr>
        <b/>
        <vertAlign val="superscript"/>
        <sz val="10"/>
        <rFont val="Arial"/>
        <family val="2"/>
      </rPr>
      <t xml:space="preserve"> </t>
    </r>
  </si>
  <si>
    <r>
      <t>Jan-15</t>
    </r>
    <r>
      <rPr>
        <b/>
        <vertAlign val="superscript"/>
        <sz val="10"/>
        <rFont val="Arial"/>
        <family val="2"/>
      </rPr>
      <t xml:space="preserve"> </t>
    </r>
  </si>
  <si>
    <t xml:space="preserve">Feb-15 </t>
  </si>
  <si>
    <t xml:space="preserve">Mar-15 </t>
  </si>
  <si>
    <r>
      <t xml:space="preserve">Apr-15 </t>
    </r>
    <r>
      <rPr>
        <sz val="10"/>
        <rFont val="MS Sans Serif"/>
      </rPr>
      <t/>
    </r>
  </si>
  <si>
    <t xml:space="preserve">May-15 </t>
  </si>
  <si>
    <t xml:space="preserve">Jun-15 </t>
  </si>
  <si>
    <r>
      <t xml:space="preserve">Jul-15 </t>
    </r>
    <r>
      <rPr>
        <b/>
        <vertAlign val="superscript"/>
        <sz val="10"/>
        <rFont val="Arial"/>
        <family val="2"/>
      </rPr>
      <t>2</t>
    </r>
  </si>
  <si>
    <r>
      <rPr>
        <i/>
        <vertAlign val="superscript"/>
        <sz val="10"/>
        <rFont val="Arial"/>
        <family val="2"/>
      </rPr>
      <t xml:space="preserve">1 </t>
    </r>
    <r>
      <rPr>
        <i/>
        <sz val="10"/>
        <rFont val="Arial"/>
        <family val="2"/>
      </rPr>
      <t>Valued at end-of-period exchange rate.</t>
    </r>
  </si>
  <si>
    <r>
      <t>2</t>
    </r>
    <r>
      <rPr>
        <i/>
        <sz val="10"/>
        <rFont val="Arial"/>
        <family val="2"/>
      </rPr>
      <t xml:space="preserve"> Provisional.</t>
    </r>
  </si>
  <si>
    <t>* Based on imports of goods (f.o.b.) and non-factor services for calendar year 2014.</t>
  </si>
  <si>
    <t>Table 37: Transactions on the Interbank Foreign Exchange Market:</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</si>
  <si>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</si>
  <si>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</si>
  <si>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</si>
  <si>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</si>
  <si>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</si>
  <si>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</si>
  <si>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</si>
  <si>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</si>
  <si>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</si>
  <si>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</si>
  <si>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</si>
  <si>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</si>
  <si>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</si>
  <si>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5"/>
        <rFont val="Times New Roman"/>
        <family val="1"/>
      </rPr>
      <t>1</t>
    </r>
  </si>
  <si>
    <t>(Rs/US$)</t>
  </si>
  <si>
    <t>01 Jul - 03 Jul</t>
  </si>
  <si>
    <t>35.2750-35.3875</t>
  </si>
  <si>
    <t>06 Jul - 10 Jul</t>
  </si>
  <si>
    <t>35.4250-35.6150</t>
  </si>
  <si>
    <t>13 Jul - 17 Jul</t>
  </si>
  <si>
    <t>35.4875-35.5625</t>
  </si>
  <si>
    <t>20 Jul - 24 Jul</t>
  </si>
  <si>
    <t>35.6000-35.7250</t>
  </si>
  <si>
    <t>27 Jul - 31 Jul</t>
  </si>
  <si>
    <t>35.5400-35.6400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</si>
  <si>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</si>
  <si>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</si>
  <si>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</si>
  <si>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</si>
  <si>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</si>
  <si>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</si>
  <si>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</si>
  <si>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</si>
  <si>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</si>
  <si>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</si>
  <si>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</si>
  <si>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</si>
  <si>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</si>
  <si>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</si>
  <si>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</si>
  <si>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</si>
  <si>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</si>
  <si>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</si>
  <si>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</si>
  <si>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</si>
  <si>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</si>
  <si>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</si>
  <si>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</si>
  <si>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</si>
  <si>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</si>
  <si>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</si>
  <si>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</si>
  <si>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</si>
  <si>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</si>
  <si>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</si>
  <si>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</si>
  <si>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</si>
  <si>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</si>
  <si>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</si>
  <si>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</si>
  <si>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</si>
  <si>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</si>
  <si>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</si>
  <si>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</si>
  <si>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</si>
  <si>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</si>
  <si>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</si>
  <si>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</si>
  <si>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</si>
  <si>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</si>
  <si>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</si>
  <si>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</si>
  <si>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</si>
  <si>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</si>
  <si>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</si>
  <si>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</si>
  <si>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</si>
  <si>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</si>
  <si>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</si>
  <si>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</si>
  <si>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</si>
  <si>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</si>
  <si>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</si>
  <si>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</si>
  <si>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</si>
  <si>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</si>
  <si>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</si>
  <si>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</si>
  <si>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</si>
  <si>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</si>
  <si>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</si>
  <si>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</si>
  <si>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</si>
  <si>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</si>
  <si>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</si>
  <si>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</si>
  <si>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</si>
  <si>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</si>
  <si>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</si>
  <si>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</si>
  <si>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</si>
  <si>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</si>
  <si>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</si>
  <si>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</si>
  <si>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</si>
  <si>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</si>
  <si>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</si>
  <si>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</si>
  <si>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</si>
  <si>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</si>
  <si>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</si>
  <si>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</si>
  <si>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</si>
  <si>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</si>
  <si>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</si>
  <si>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</si>
  <si>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</si>
  <si>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</si>
  <si>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</si>
  <si>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</si>
  <si>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</si>
  <si>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</si>
  <si>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</si>
  <si>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</si>
  <si>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</si>
  <si>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</si>
  <si>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</si>
  <si>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</si>
  <si>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</si>
  <si>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</si>
  <si>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</si>
  <si>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</si>
  <si>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</si>
  <si>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</si>
  <si>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</si>
  <si>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</si>
  <si>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</si>
  <si>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</si>
  <si>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</si>
  <si>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</si>
  <si>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</si>
  <si>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</si>
  <si>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</si>
  <si>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</si>
  <si>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</si>
  <si>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</si>
  <si>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</si>
  <si>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</si>
  <si>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</si>
  <si>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</si>
  <si>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</si>
  <si>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</si>
  <si>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</si>
  <si>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</si>
  <si>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</si>
  <si>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</si>
  <si>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</si>
  <si>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</si>
  <si>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</si>
  <si>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</si>
  <si>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</si>
  <si>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</si>
  <si>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</si>
  <si>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</si>
  <si>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</si>
  <si>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</si>
  <si>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</si>
  <si>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</si>
  <si>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</si>
  <si>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</si>
  <si>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</si>
  <si>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</si>
  <si>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</si>
  <si>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</si>
  <si>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</si>
  <si>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</si>
  <si>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</si>
  <si>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</si>
  <si>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</si>
  <si>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</si>
  <si>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</si>
  <si>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</si>
  <si>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</si>
  <si>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</si>
  <si>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</si>
  <si>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</si>
  <si>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</si>
  <si>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</si>
  <si>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</si>
  <si>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</si>
  <si>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</si>
  <si>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</si>
  <si>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</si>
  <si>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</si>
  <si>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</si>
  <si>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</si>
  <si>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</si>
  <si>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</si>
  <si>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</si>
  <si>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</si>
  <si>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</si>
  <si>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</si>
  <si>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</si>
  <si>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</si>
  <si>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</si>
  <si>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</si>
  <si>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</si>
  <si>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</si>
  <si>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</si>
  <si>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</si>
  <si>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</si>
  <si>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</si>
  <si>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</si>
  <si>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</si>
  <si>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</si>
  <si>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</si>
  <si>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</si>
  <si>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</si>
  <si>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</si>
  <si>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</si>
  <si>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</si>
  <si>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</si>
  <si>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</si>
  <si>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</si>
  <si>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</si>
  <si>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</si>
  <si>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</si>
  <si>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r>
      <t>1</t>
    </r>
    <r>
      <rPr>
        <i/>
        <sz val="9"/>
        <rFont val="Times New Roman"/>
        <family val="1"/>
      </rPr>
      <t>The Rs/US$ ask rate is based on the average of daily wholesale Rs/US$ ask rates of four major banks</t>
    </r>
  </si>
  <si>
    <t># Includes purchases of foreign currencies other than US dollar and intervention carried out by BOM.</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</si>
  <si>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</si>
  <si>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</si>
  <si>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</si>
  <si>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</si>
  <si>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</si>
  <si>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</si>
  <si>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</si>
  <si>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</si>
  <si>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</si>
  <si>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</si>
  <si>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</si>
  <si>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</si>
  <si>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</si>
  <si>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</si>
  <si>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2015 have been restated</t>
  </si>
  <si>
    <t>Number of Customers</t>
  </si>
  <si>
    <t>Value of Transactions: *(Rs mn)</t>
  </si>
  <si>
    <t xml:space="preserve">Average Value of Transactions** (Rs mn) </t>
  </si>
  <si>
    <t>* Figures for October 2014 restated</t>
  </si>
  <si>
    <t>**Average monthly transactions during a calendar year up to the month of reporting.</t>
  </si>
  <si>
    <t>Table 52a: Electronic Banking Transactions: June 2014 to June 2015</t>
  </si>
  <si>
    <t>Table 52b: Internet Banking Transactions: June 2014 to June 2015</t>
  </si>
  <si>
    <t>Table 1: Selected Economic Indicators: 2005 to 2015</t>
  </si>
  <si>
    <t>Unit</t>
  </si>
  <si>
    <r>
      <t xml:space="preserve">1. Population-Republic of Mauritius </t>
    </r>
    <r>
      <rPr>
        <b/>
        <vertAlign val="superscript"/>
        <sz val="12"/>
        <rFont val="Times New Roman"/>
        <family val="1"/>
      </rPr>
      <t>1</t>
    </r>
  </si>
  <si>
    <t>Mid-year</t>
  </si>
  <si>
    <r>
      <t xml:space="preserve">1,228,254 </t>
    </r>
    <r>
      <rPr>
        <vertAlign val="superscript"/>
        <sz val="11"/>
        <rFont val="Times New Roman"/>
        <family val="1"/>
      </rPr>
      <t>2</t>
    </r>
  </si>
  <si>
    <r>
      <t xml:space="preserve">1,233,996 </t>
    </r>
    <r>
      <rPr>
        <vertAlign val="superscript"/>
        <sz val="11"/>
        <rFont val="Times New Roman"/>
        <family val="1"/>
      </rPr>
      <t>2</t>
    </r>
  </si>
  <si>
    <r>
      <t xml:space="preserve">1,239,630 </t>
    </r>
    <r>
      <rPr>
        <vertAlign val="superscript"/>
        <sz val="11"/>
        <rFont val="Times New Roman"/>
        <family val="1"/>
      </rPr>
      <t>2</t>
    </r>
  </si>
  <si>
    <r>
      <t xml:space="preserve">1,244,121 </t>
    </r>
    <r>
      <rPr>
        <vertAlign val="superscript"/>
        <sz val="11"/>
        <rFont val="Times New Roman"/>
        <family val="1"/>
      </rPr>
      <t>2</t>
    </r>
  </si>
  <si>
    <r>
      <t xml:space="preserve">1,247,429 </t>
    </r>
    <r>
      <rPr>
        <vertAlign val="superscript"/>
        <sz val="11"/>
        <rFont val="Times New Roman"/>
        <family val="1"/>
      </rPr>
      <t>2</t>
    </r>
  </si>
  <si>
    <r>
      <t xml:space="preserve">1,250,400 </t>
    </r>
    <r>
      <rPr>
        <vertAlign val="superscript"/>
        <sz val="11"/>
        <rFont val="Times New Roman"/>
        <family val="1"/>
      </rPr>
      <t>2</t>
    </r>
  </si>
  <si>
    <r>
      <t xml:space="preserve">1,252,404 </t>
    </r>
    <r>
      <rPr>
        <vertAlign val="superscript"/>
        <sz val="11"/>
        <rFont val="Times New Roman"/>
        <family val="1"/>
      </rPr>
      <t>2</t>
    </r>
  </si>
  <si>
    <r>
      <t xml:space="preserve">1,255,882 </t>
    </r>
    <r>
      <rPr>
        <vertAlign val="superscript"/>
        <sz val="11"/>
        <rFont val="Times New Roman"/>
        <family val="1"/>
      </rPr>
      <t>2</t>
    </r>
  </si>
  <si>
    <r>
      <t xml:space="preserve">1,258,653 </t>
    </r>
    <r>
      <rPr>
        <vertAlign val="superscript"/>
        <sz val="11"/>
        <rFont val="Times New Roman"/>
        <family val="1"/>
      </rPr>
      <t>2</t>
    </r>
  </si>
  <si>
    <r>
      <t xml:space="preserve">1,260,934 </t>
    </r>
    <r>
      <rPr>
        <vertAlign val="superscript"/>
        <sz val="11"/>
        <rFont val="Times New Roman"/>
        <family val="1"/>
      </rPr>
      <t>3</t>
    </r>
  </si>
  <si>
    <t>n.a.</t>
  </si>
  <si>
    <t>2. Tourist Arrivals*</t>
  </si>
  <si>
    <t>Calendar Year</t>
  </si>
  <si>
    <t>964,642</t>
  </si>
  <si>
    <t>965,441</t>
  </si>
  <si>
    <t>993,106</t>
  </si>
  <si>
    <t xml:space="preserve">1,038,968 </t>
  </si>
  <si>
    <r>
      <t>1,100,000</t>
    </r>
    <r>
      <rPr>
        <vertAlign val="superscript"/>
        <sz val="11"/>
        <rFont val="Times New Roman"/>
        <family val="1"/>
      </rPr>
      <t>4</t>
    </r>
  </si>
  <si>
    <t>3. Tourism Earnings</t>
  </si>
  <si>
    <t>42,717</t>
  </si>
  <si>
    <t>44,378</t>
  </si>
  <si>
    <t xml:space="preserve">40,557 </t>
  </si>
  <si>
    <t xml:space="preserve">44,304 </t>
  </si>
  <si>
    <r>
      <t>48,500</t>
    </r>
    <r>
      <rPr>
        <vertAlign val="superscript"/>
        <sz val="11"/>
        <rFont val="Times New Roman"/>
        <family val="1"/>
      </rPr>
      <t>4</t>
    </r>
  </si>
  <si>
    <r>
      <t>4. Real GDP Growth Rate*</t>
    </r>
    <r>
      <rPr>
        <b/>
        <vertAlign val="superscript"/>
        <sz val="12"/>
        <rFont val="Times New Roman"/>
        <family val="1"/>
      </rPr>
      <t xml:space="preserve"> 5</t>
    </r>
  </si>
  <si>
    <r>
      <t>3.2</t>
    </r>
    <r>
      <rPr>
        <vertAlign val="superscript"/>
        <sz val="11"/>
        <rFont val="Times New Roman"/>
        <family val="1"/>
      </rPr>
      <t>2</t>
    </r>
  </si>
  <si>
    <r>
      <t xml:space="preserve">3.5 </t>
    </r>
    <r>
      <rPr>
        <vertAlign val="superscript"/>
        <sz val="11"/>
        <rFont val="Times New Roman"/>
        <family val="1"/>
      </rPr>
      <t>2</t>
    </r>
  </si>
  <si>
    <r>
      <t>3.8</t>
    </r>
    <r>
      <rPr>
        <vertAlign val="superscript"/>
        <sz val="11"/>
        <rFont val="Times New Roman"/>
        <family val="1"/>
      </rPr>
      <t>4</t>
    </r>
  </si>
  <si>
    <r>
      <t xml:space="preserve">5. Gross Domestic Product (at market prices)* </t>
    </r>
    <r>
      <rPr>
        <b/>
        <vertAlign val="superscript"/>
        <sz val="12"/>
        <rFont val="Times New Roman"/>
        <family val="1"/>
      </rPr>
      <t>5</t>
    </r>
  </si>
  <si>
    <t>323,011</t>
  </si>
  <si>
    <r>
      <t>366,195</t>
    </r>
    <r>
      <rPr>
        <vertAlign val="superscript"/>
        <sz val="11"/>
        <rFont val="Times New Roman"/>
        <family val="1"/>
      </rPr>
      <t>2</t>
    </r>
  </si>
  <si>
    <r>
      <t>386,059</t>
    </r>
    <r>
      <rPr>
        <vertAlign val="superscript"/>
        <sz val="11"/>
        <rFont val="Times New Roman"/>
        <family val="1"/>
      </rPr>
      <t>2</t>
    </r>
  </si>
  <si>
    <r>
      <t>411,963</t>
    </r>
    <r>
      <rPr>
        <vertAlign val="superscript"/>
        <sz val="11"/>
        <rFont val="Times New Roman"/>
        <family val="1"/>
      </rPr>
      <t>4</t>
    </r>
  </si>
  <si>
    <r>
      <t xml:space="preserve">6. Gross National Income (at market prices)* </t>
    </r>
    <r>
      <rPr>
        <b/>
        <vertAlign val="superscript"/>
        <sz val="12"/>
        <rFont val="Times New Roman"/>
        <family val="1"/>
      </rPr>
      <t>5</t>
    </r>
  </si>
  <si>
    <t xml:space="preserve">323,849^ </t>
  </si>
  <si>
    <r>
      <t>344,934^</t>
    </r>
    <r>
      <rPr>
        <vertAlign val="superscript"/>
        <sz val="11"/>
        <rFont val="Times New Roman"/>
        <family val="1"/>
      </rPr>
      <t xml:space="preserve"> </t>
    </r>
  </si>
  <si>
    <r>
      <t>366,850^</t>
    </r>
    <r>
      <rPr>
        <vertAlign val="superscript"/>
        <sz val="11"/>
        <rFont val="Times New Roman"/>
        <family val="1"/>
      </rPr>
      <t>2</t>
    </r>
  </si>
  <si>
    <r>
      <t>376,971^</t>
    </r>
    <r>
      <rPr>
        <vertAlign val="superscript"/>
        <sz val="11"/>
        <rFont val="Times New Roman"/>
        <family val="1"/>
      </rPr>
      <t xml:space="preserve"> 2</t>
    </r>
  </si>
  <si>
    <r>
      <t>409,468^</t>
    </r>
    <r>
      <rPr>
        <vertAlign val="superscript"/>
        <sz val="11"/>
        <rFont val="Times New Roman"/>
        <family val="1"/>
      </rPr>
      <t xml:space="preserve"> 4</t>
    </r>
  </si>
  <si>
    <r>
      <t xml:space="preserve">7. GNI Per Capita (at market prices)* </t>
    </r>
    <r>
      <rPr>
        <b/>
        <vertAlign val="superscript"/>
        <sz val="12"/>
        <rFont val="Times New Roman"/>
        <family val="1"/>
      </rPr>
      <t>5</t>
    </r>
  </si>
  <si>
    <t xml:space="preserve">Calendar Year </t>
  </si>
  <si>
    <t xml:space="preserve">258,225^ </t>
  </si>
  <si>
    <t xml:space="preserve">274,304^ </t>
  </si>
  <si>
    <r>
      <t>291,188^</t>
    </r>
    <r>
      <rPr>
        <vertAlign val="superscript"/>
        <sz val="11"/>
        <rFont val="Times New Roman"/>
        <family val="1"/>
      </rPr>
      <t>2</t>
    </r>
  </si>
  <si>
    <r>
      <t>298,897^</t>
    </r>
    <r>
      <rPr>
        <vertAlign val="superscript"/>
        <sz val="11"/>
        <rFont val="Times New Roman"/>
        <family val="1"/>
      </rPr>
      <t xml:space="preserve"> 2</t>
    </r>
  </si>
  <si>
    <r>
      <t>324,015^</t>
    </r>
    <r>
      <rPr>
        <vertAlign val="superscript"/>
        <sz val="11"/>
        <rFont val="Times New Roman"/>
        <family val="1"/>
      </rPr>
      <t xml:space="preserve"> 4</t>
    </r>
  </si>
  <si>
    <t>8. Headline Inflation Rate*</t>
  </si>
  <si>
    <t>Year ended June</t>
  </si>
  <si>
    <t>9. Headline Inflation Rate*</t>
  </si>
  <si>
    <r>
      <t>10. Unemployment Rate*</t>
    </r>
    <r>
      <rPr>
        <b/>
        <vertAlign val="superscript"/>
        <sz val="12"/>
        <rFont val="Times New Roman"/>
        <family val="1"/>
      </rPr>
      <t xml:space="preserve"> </t>
    </r>
  </si>
  <si>
    <t xml:space="preserve">8.0 </t>
  </si>
  <si>
    <t xml:space="preserve">7.8 </t>
  </si>
  <si>
    <r>
      <t>8.0</t>
    </r>
    <r>
      <rPr>
        <vertAlign val="superscript"/>
        <sz val="11"/>
        <rFont val="Times New Roman"/>
        <family val="1"/>
      </rPr>
      <t>4</t>
    </r>
  </si>
  <si>
    <r>
      <t xml:space="preserve">11. Current Account Balance </t>
    </r>
    <r>
      <rPr>
        <b/>
        <vertAlign val="superscript"/>
        <sz val="12"/>
        <rFont val="Times New Roman"/>
        <family val="1"/>
      </rPr>
      <t>7</t>
    </r>
  </si>
  <si>
    <t>-6,322</t>
  </si>
  <si>
    <t xml:space="preserve">-10,188 </t>
  </si>
  <si>
    <t>-17,415</t>
  </si>
  <si>
    <r>
      <t>-22,232</t>
    </r>
    <r>
      <rPr>
        <sz val="10"/>
        <rFont val="Arial"/>
        <family val="2"/>
      </rPr>
      <t/>
    </r>
  </si>
  <si>
    <t>-24,771</t>
  </si>
  <si>
    <t xml:space="preserve">-24,655 </t>
  </si>
  <si>
    <t xml:space="preserve">-34,405 </t>
  </si>
  <si>
    <t xml:space="preserve">-36,021 </t>
  </si>
  <si>
    <r>
      <t xml:space="preserve">-29,698 </t>
    </r>
    <r>
      <rPr>
        <vertAlign val="superscript"/>
        <sz val="11"/>
        <rFont val="Times New Roman"/>
        <family val="1"/>
      </rPr>
      <t>2</t>
    </r>
  </si>
  <si>
    <r>
      <t>-20,212</t>
    </r>
    <r>
      <rPr>
        <vertAlign val="superscript"/>
        <sz val="11"/>
        <rFont val="Times New Roman"/>
        <family val="1"/>
      </rPr>
      <t xml:space="preserve"> 2</t>
    </r>
  </si>
  <si>
    <r>
      <t xml:space="preserve">12. Current Account Balance </t>
    </r>
    <r>
      <rPr>
        <b/>
        <vertAlign val="superscript"/>
        <sz val="12"/>
        <rFont val="Times New Roman"/>
        <family val="1"/>
      </rPr>
      <t>7</t>
    </r>
  </si>
  <si>
    <t xml:space="preserve">-9,570 </t>
  </si>
  <si>
    <t xml:space="preserve">-19,399 </t>
  </si>
  <si>
    <t>-13,248</t>
  </si>
  <si>
    <t>-30,985</t>
  </si>
  <si>
    <t xml:space="preserve">-44,630 </t>
  </si>
  <si>
    <t xml:space="preserve">-25,059 </t>
  </si>
  <si>
    <r>
      <t xml:space="preserve">-23,124 </t>
    </r>
    <r>
      <rPr>
        <vertAlign val="superscript"/>
        <sz val="11"/>
        <rFont val="Times New Roman"/>
        <family val="1"/>
      </rPr>
      <t>2</t>
    </r>
  </si>
  <si>
    <r>
      <t>-21,395</t>
    </r>
    <r>
      <rPr>
        <vertAlign val="superscript"/>
        <sz val="11"/>
        <rFont val="Times New Roman"/>
        <family val="1"/>
      </rPr>
      <t xml:space="preserve"> 2</t>
    </r>
  </si>
  <si>
    <r>
      <t>13. Overall Balance of Payments</t>
    </r>
    <r>
      <rPr>
        <b/>
        <vertAlign val="superscript"/>
        <sz val="12"/>
        <rFont val="Times New Roman"/>
        <family val="1"/>
      </rPr>
      <t xml:space="preserve"> </t>
    </r>
  </si>
  <si>
    <t>-3,133</t>
  </si>
  <si>
    <t>-3,019</t>
  </si>
  <si>
    <t xml:space="preserve">+9,694 </t>
  </si>
  <si>
    <t xml:space="preserve">+8,399 </t>
  </si>
  <si>
    <t xml:space="preserve">+2,692 </t>
  </si>
  <si>
    <t xml:space="preserve">+20,335 </t>
  </si>
  <si>
    <t>+15,939</t>
  </si>
  <si>
    <r>
      <t>14. Overall Balance of Payments</t>
    </r>
    <r>
      <rPr>
        <b/>
        <vertAlign val="superscript"/>
        <sz val="12"/>
        <rFont val="Times New Roman"/>
        <family val="1"/>
      </rPr>
      <t xml:space="preserve"> </t>
    </r>
  </si>
  <si>
    <t>-4,888</t>
  </si>
  <si>
    <t xml:space="preserve">+6, 177 </t>
  </si>
  <si>
    <t xml:space="preserve">+5,247 </t>
  </si>
  <si>
    <t xml:space="preserve">+6,041 </t>
  </si>
  <si>
    <t xml:space="preserve">+16,580 </t>
  </si>
  <si>
    <r>
      <t>15. Gross Official International Reserves</t>
    </r>
    <r>
      <rPr>
        <b/>
        <vertAlign val="superscript"/>
        <sz val="12"/>
        <rFont val="Times New Roman"/>
        <family val="1"/>
      </rPr>
      <t xml:space="preserve"> 8</t>
    </r>
  </si>
  <si>
    <t>End-June</t>
  </si>
  <si>
    <t>16. Total Imports (c.i.f.)*</t>
  </si>
  <si>
    <t>134,882</t>
  </si>
  <si>
    <t xml:space="preserve">147,815 </t>
  </si>
  <si>
    <t xml:space="preserve">160,996 </t>
  </si>
  <si>
    <t xml:space="preserve">165,594 </t>
  </si>
  <si>
    <t xml:space="preserve">172,023 </t>
  </si>
  <si>
    <r>
      <t>185,000</t>
    </r>
    <r>
      <rPr>
        <vertAlign val="superscript"/>
        <sz val="11"/>
        <rFont val="Times New Roman"/>
        <family val="1"/>
      </rPr>
      <t>4</t>
    </r>
  </si>
  <si>
    <t xml:space="preserve">17. Total Exports (f.o.b.)* </t>
  </si>
  <si>
    <r>
      <t>69,550</t>
    </r>
    <r>
      <rPr>
        <vertAlign val="superscript"/>
        <sz val="11"/>
        <rFont val="Times New Roman"/>
        <family val="1"/>
      </rPr>
      <t xml:space="preserve"> </t>
    </r>
  </si>
  <si>
    <t xml:space="preserve">73, 586 </t>
  </si>
  <si>
    <t xml:space="preserve">79,658 </t>
  </si>
  <si>
    <t xml:space="preserve">88,048 </t>
  </si>
  <si>
    <t xml:space="preserve">95,191 </t>
  </si>
  <si>
    <r>
      <t>106,000</t>
    </r>
    <r>
      <rPr>
        <vertAlign val="superscript"/>
        <sz val="11"/>
        <rFont val="Times New Roman"/>
        <family val="1"/>
      </rPr>
      <t>4</t>
    </r>
  </si>
  <si>
    <t>18. Ratio of Budget Deficit to GDP at market prices**</t>
  </si>
  <si>
    <t>@</t>
  </si>
  <si>
    <t>-5.3</t>
  </si>
  <si>
    <t xml:space="preserve">-4.3 </t>
  </si>
  <si>
    <t>-2.7</t>
  </si>
  <si>
    <t>-3.0</t>
  </si>
  <si>
    <t>-3.2</t>
  </si>
  <si>
    <t xml:space="preserve">-3.2  </t>
  </si>
  <si>
    <t>-1.8</t>
  </si>
  <si>
    <t>-3.5</t>
  </si>
  <si>
    <r>
      <t xml:space="preserve">-3.2 </t>
    </r>
    <r>
      <rPr>
        <vertAlign val="superscript"/>
        <sz val="11"/>
        <rFont val="Times New Roman"/>
        <family val="1"/>
      </rPr>
      <t>3</t>
    </r>
  </si>
  <si>
    <t>19. External Debt: Budgetary Central Government</t>
  </si>
  <si>
    <t>#</t>
  </si>
  <si>
    <t>47,162</t>
  </si>
  <si>
    <r>
      <t>51,319</t>
    </r>
    <r>
      <rPr>
        <vertAlign val="superscript"/>
        <sz val="11"/>
        <rFont val="Times New Roman"/>
        <family val="1"/>
      </rPr>
      <t>2</t>
    </r>
  </si>
  <si>
    <t>20. Ratio of BCG External Debt to GDP at market prices**</t>
  </si>
  <si>
    <t>21. Internal Debt: Budgetary Central Government</t>
  </si>
  <si>
    <t>149,960</t>
  </si>
  <si>
    <r>
      <t>165,285</t>
    </r>
    <r>
      <rPr>
        <vertAlign val="superscript"/>
        <sz val="11"/>
        <rFont val="Times New Roman"/>
        <family val="1"/>
      </rPr>
      <t>2</t>
    </r>
  </si>
  <si>
    <t>22. Ratio of BCG Internal Debt to GDP at market prices**</t>
  </si>
  <si>
    <r>
      <t xml:space="preserve">23. Banks'  Claims on Private Sector (CPS) </t>
    </r>
    <r>
      <rPr>
        <b/>
        <vertAlign val="superscript"/>
        <sz val="12"/>
        <rFont val="Times New Roman"/>
        <family val="1"/>
      </rPr>
      <t>6</t>
    </r>
  </si>
  <si>
    <r>
      <t xml:space="preserve">24. Growth Rate of CPS </t>
    </r>
    <r>
      <rPr>
        <b/>
        <vertAlign val="superscript"/>
        <sz val="10"/>
        <color indexed="18"/>
        <rFont val="Arial"/>
        <family val="2"/>
      </rPr>
      <t/>
    </r>
  </si>
  <si>
    <t>25. Currency Outside Depository Corporations</t>
  </si>
  <si>
    <r>
      <t xml:space="preserve">26. Total Private Sector Rupee Deposits with Banks </t>
    </r>
    <r>
      <rPr>
        <b/>
        <vertAlign val="superscript"/>
        <sz val="12"/>
        <rFont val="Times New Roman"/>
        <family val="1"/>
      </rPr>
      <t>6</t>
    </r>
  </si>
  <si>
    <t>27. Broad Money Liabilities (BML)</t>
  </si>
  <si>
    <t>28. Growth Rate of BML</t>
  </si>
  <si>
    <r>
      <t xml:space="preserve">29. Claims on Other Sectors by Depository Corporations </t>
    </r>
    <r>
      <rPr>
        <b/>
        <vertAlign val="superscript"/>
        <sz val="12"/>
        <rFont val="Times New Roman"/>
        <family val="1"/>
      </rPr>
      <t>9</t>
    </r>
  </si>
  <si>
    <r>
      <t xml:space="preserve">30. Growth Rate of Claims on Other Sectors by Depository Corporations </t>
    </r>
    <r>
      <rPr>
        <b/>
        <vertAlign val="superscript"/>
        <sz val="12"/>
        <rFont val="Times New Roman"/>
        <family val="1"/>
      </rPr>
      <t>9</t>
    </r>
  </si>
  <si>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</si>
  <si>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r>
      <rPr>
        <i/>
        <vertAlign val="superscript"/>
        <sz val="11"/>
        <rFont val="Times New Roman"/>
        <family val="1"/>
      </rPr>
      <t>4</t>
    </r>
    <r>
      <rPr>
        <i/>
        <sz val="11"/>
        <rFont val="Times New Roman"/>
        <family val="1"/>
      </rPr>
      <t xml:space="preserve"> Forecast.</t>
    </r>
  </si>
  <si>
    <r>
      <t>5</t>
    </r>
    <r>
      <rPr>
        <i/>
        <sz val="11"/>
        <rFont val="Times New Roman"/>
        <family val="1"/>
      </rPr>
      <t xml:space="preserve"> The National Accounts data are based on the 2007 Census of Economic Activities.</t>
    </r>
  </si>
  <si>
    <r>
      <t xml:space="preserve">^ </t>
    </r>
    <r>
      <rPr>
        <i/>
        <sz val="11"/>
        <rFont val="Times New Roman"/>
        <family val="1"/>
      </rPr>
      <t>Exclusive of net primary income of GBC1s from the rest of the world</t>
    </r>
  </si>
  <si>
    <r>
      <t>6</t>
    </r>
    <r>
      <rPr>
        <i/>
        <sz val="11"/>
        <rFont val="Times New Roman"/>
        <family val="1"/>
      </rPr>
      <t xml:space="preserve"> Data as from 2005 onwards refer to all banks and are not strictly comparable with prior years' data. </t>
    </r>
  </si>
  <si>
    <r>
      <t xml:space="preserve">7 </t>
    </r>
    <r>
      <rPr>
        <i/>
        <sz val="11"/>
        <rFont val="Times New Roman"/>
        <family val="1"/>
      </rPr>
      <t xml:space="preserve">As from 2010, balance of payments includes cross-border transactions of GBC1s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</si>
  <si>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</si>
  <si>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9</t>
    </r>
    <r>
      <rPr>
        <i/>
        <sz val="11"/>
        <rFont val="Times New Roman"/>
        <family val="1"/>
      </rPr>
      <t xml:space="preserve"> As from  2010, data are no longer adjusted for claims on Global Business Licence holders and are not strictly comparable with prior data. </t>
    </r>
  </si>
  <si>
    <t>@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</si>
  <si>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</si>
  <si>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</si>
  <si>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 As from 2009, data refer to end-December, instead of end-June for previous years.</t>
  </si>
  <si>
    <t>n.a.: not available</t>
  </si>
  <si>
    <t xml:space="preserve">* Source:  Statistics  Mauritius.     </t>
  </si>
  <si>
    <t>**Source: Ministry of Finance and Economic Development.</t>
  </si>
  <si>
    <t>Table 2: Bank of Mauritius Assets and Liabilities as at end July 2015-Provisional</t>
  </si>
  <si>
    <t xml:space="preserve">Rupees        </t>
  </si>
  <si>
    <t>CAPITAL AND RESERVES</t>
  </si>
  <si>
    <t>Authorised and Paid up Capital</t>
  </si>
  <si>
    <t>Income and Expenditure Account</t>
  </si>
  <si>
    <t>*</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</si>
  <si>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</si>
  <si>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</si>
  <si>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</si>
  <si>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</si>
  <si>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</si>
  <si>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</si>
  <si>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</si>
  <si>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</si>
  <si>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Less:</t>
  </si>
  <si>
    <t>Notes in Circulation</t>
  </si>
  <si>
    <t>Coin in Circulation</t>
  </si>
  <si>
    <t>Demand Deposits:</t>
  </si>
  <si>
    <t xml:space="preserve">       Government</t>
  </si>
  <si>
    <t xml:space="preserve">       Other Financial Institutions </t>
  </si>
  <si>
    <t xml:space="preserve">       Others</t>
  </si>
  <si>
    <t>Bank of Mauritius Instruments</t>
  </si>
  <si>
    <t>Provisions and Other Liabilities</t>
  </si>
  <si>
    <t>*- After Appropriation to Reserves</t>
  </si>
</sst>
</file>

<file path=xl/styles.xml><?xml version="1.0" encoding="utf-8"?>
<styleSheet xmlns="http://schemas.openxmlformats.org/spreadsheetml/2006/main" xmlns:mc="http://schemas.openxmlformats.org/markup-compatibility/2006" xmlns:x14ac="http://schemas.microsoft.com/office/spreadsheetml/2009/9/ac" mc:Ignorable="x14ac">
  <numFmts count="136">
    <numFmt numFmtId="5" formatCode="&quot;£&quot;#,##0;\-&quot;£&quot;#,##0"/>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mmmm\ yyyy"/>
    <numFmt numFmtId="171" formatCode="d\-mmmm\-yyyy"/>
    <numFmt numFmtId="172" formatCode="[$-409]mmm\-yy;@"/>
    <numFmt numFmtId="173" formatCode="#,##0_ ;[Red]\-#,##0\ "/>
    <numFmt numFmtId="174" formatCode="&quot;Rs &quot;#,##0.00_);[Red]\(&quot;Rs &quot;#,##0.00\)"/>
    <numFmt numFmtId="175" formatCode="&quot;Rs &quot;#,##0_);\(&quot;Rs &quot;#,##0\)"/>
    <numFmt numFmtId="176" formatCode="&quot;$&quot;#,##0;[Red]\-&quot;$&quot;#,##0"/>
    <numFmt numFmtId="177" formatCode="#,##0.00_);\(#,##0.00\);&quot;- &quot;"/>
    <numFmt numFmtId="178" formatCode="#,##0.00&quot; kr&quot;;[Red]&quot;-&quot;#,##0.00&quot; kr&quot;"/>
    <numFmt numFmtId="179" formatCode="_ * #,##0.00_ ;_ * \-#,##0.00_ ;_ * &quot;-&quot;??_ ;_ @_ "/>
    <numFmt numFmtId="180" formatCode="_ * #,##0_ ;_ * \-#,##0_ ;_ * &quot;-&quot;_ ;_ @_ "/>
    <numFmt numFmtId="181" formatCode="0.0_)\%;\(0.0\)\%;0.0_)\%;@_)_%"/>
    <numFmt numFmtId="182" formatCode="#,##0.0_)_%;\(#,##0.0\)_%;0.0_)_%;@_)_%"/>
    <numFmt numFmtId="183" formatCode="#,##0.0_);\(#,##0.0\);#,##0.0_);@_)"/>
    <numFmt numFmtId="184" formatCode="&quot;$&quot;_(#,##0.00_);&quot;$&quot;\(#,##0.00\);&quot;$&quot;_(0.00_);@_)"/>
    <numFmt numFmtId="185" formatCode="#,##0.00_);\(#,##0.00\);0.00_);@_)"/>
    <numFmt numFmtId="186" formatCode="0.000000"/>
    <numFmt numFmtId="187" formatCode="\€_(#,##0.00_);\€\(#,##0.00\);\€_(0.00_);@_)"/>
    <numFmt numFmtId="188" formatCode="#,##0_)\x;\(#,##0\)\x;0_)\x;@_)_x"/>
    <numFmt numFmtId="189" formatCode="#,##0_)_x;\(#,##0\)_x;0_)_x;@_)_x"/>
    <numFmt numFmtId="190" formatCode="#\ ??/32"/>
    <numFmt numFmtId="191" formatCode="&quot;$&quot;#,##0"/>
    <numFmt numFmtId="192" formatCode="&quot;$&quot;#,##0_);[Red]\(&quot;$&quot;#,##0\);&quot;-&quot;"/>
    <numFmt numFmtId="193" formatCode="&quot;Rs &quot;#,##0_);[Red]\(&quot;Rs &quot;#,##0\);&quot;-&quot;"/>
    <numFmt numFmtId="194" formatCode="&quot;$&quot;#,##0_%_);\(&quot;$&quot;#,##0\)_%;&quot;$&quot;#,##0_%_);@_%_)"/>
    <numFmt numFmtId="195" formatCode="General_)"/>
    <numFmt numFmtId="196" formatCode="0.000%"/>
    <numFmt numFmtId="197" formatCode="&quot;$&quot;#.##"/>
    <numFmt numFmtId="198" formatCode="&quot;Rs &quot;#.##"/>
    <numFmt numFmtId="199" formatCode="#,##0.00;\-#,##0.00;&quot;-&quot;"/>
    <numFmt numFmtId="200" formatCode="#,##0%;\-#,##0%;&quot;- &quot;"/>
    <numFmt numFmtId="201" formatCode="#,##0.0%;\-#,##0.0%;&quot;- &quot;"/>
    <numFmt numFmtId="202" formatCode="#,##0.00%;\-#,##0.00%;&quot;- &quot;"/>
    <numFmt numFmtId="203" formatCode="#,##0;\-#,##0;&quot;-&quot;"/>
    <numFmt numFmtId="204" formatCode="#,##0.0;\-#,##0.0;&quot;-&quot;"/>
    <numFmt numFmtId="205" formatCode="_(&quot;$&quot;* #,##0.0_);_(&quot;$&quot;* \(#,##0.0\);_(&quot;$&quot;* \-_);_(@_)"/>
    <numFmt numFmtId="206" formatCode="_(* #,##0_);_(* \(#,##0\);_(* &quot;-&quot;??_);_(@_)"/>
    <numFmt numFmtId="207" formatCode="_(&quot;£&quot;* #,##0_);_(&quot;£&quot;* \(#,##0\);_(&quot;£&quot;* &quot;-&quot;_);_(@_)"/>
    <numFmt numFmtId="208" formatCode="0000"/>
    <numFmt numFmtId="209" formatCode="_-* #,##0.00_-;_-* #,##0.00\-;_-* &quot;-&quot;??_-;_-@_-"/>
    <numFmt numFmtId="210" formatCode="#,##0\ ;\(#,##0\)"/>
    <numFmt numFmtId="211" formatCode="\£#,##0_);[Red]\(\£#,##0\)"/>
    <numFmt numFmtId="212" formatCode="_-&quot;$&quot;* #,##0.00_-;\-&quot;$&quot;* #,##0.00_-;_-&quot;$&quot;* &quot;-&quot;??_-;_-@_-"/>
    <numFmt numFmtId="213" formatCode="_(&quot;Rs &quot;* #,##0.00_);_(&quot;Rs &quot;* \(#,##0.00\);_(&quot;Rs &quot;* &quot;-&quot;??_);_(@_)"/>
    <numFmt numFmtId="214" formatCode="0.00&quot;%&quot;"/>
    <numFmt numFmtId="215" formatCode="0&quot;%&quot;"/>
    <numFmt numFmtId="216" formatCode="dd\-mmm\-yy_)"/>
    <numFmt numFmtId="217" formatCode="[$-409]d\-mmm\-yy;@"/>
    <numFmt numFmtId="218" formatCode="#,##0&quot;?&quot;_);[Red]\(#,##0&quot;?&quot;\)"/>
    <numFmt numFmtId="219" formatCode="0.000"/>
    <numFmt numFmtId="220" formatCode="_-[$€-2]* #,##0.00_-;\-[$€-2]* #,##0.00_-;_-[$€-2]* &quot;-&quot;??_-"/>
    <numFmt numFmtId="221" formatCode="0.000000_)"/>
    <numFmt numFmtId="222" formatCode="_(\ #,##0.0_%_);_(\ \(#,##0.0_%\);_(\ &quot; - &quot;_%_);_(@_)"/>
    <numFmt numFmtId="223" formatCode="_(\ #,##0.0%_);_(\ \(#,##0.0%\);_(\ &quot; - &quot;\%_);_(@_)"/>
    <numFmt numFmtId="224" formatCode="#,##0_);\(#,##0\);&quot; - &quot;_);@_)"/>
    <numFmt numFmtId="225" formatCode="\ #,##0.0_);\(#,##0.0\);&quot; - &quot;_);@_)"/>
    <numFmt numFmtId="226" formatCode="\ #,##0.00_);\(#,##0.00\);&quot; - &quot;_);@_)"/>
    <numFmt numFmtId="227" formatCode="\ #,##0.000_);\(#,##0.000\);&quot; - &quot;_);@_)"/>
    <numFmt numFmtId="228" formatCode="#,##0;\(#,##0\);&quot;-&quot;"/>
    <numFmt numFmtId="229" formatCode="d\ mmmm\ yyyy"/>
    <numFmt numFmtId="230" formatCode="#,##0;[Red]\(#,##0\);0"/>
    <numFmt numFmtId="231" formatCode="mm/dd/yyyy"/>
    <numFmt numFmtId="232" formatCode="dd\-mmm\-yy\ hh:mm:ss"/>
    <numFmt numFmtId="233" formatCode="0.0000"/>
    <numFmt numFmtId="234" formatCode="#,##0.0"/>
    <numFmt numFmtId="235" formatCode="[Red]&quot;stale hdle&quot;;[Red]\-0;[Red]&quot;stale hdle&quot;"/>
    <numFmt numFmtId="236" formatCode="#,##0\ ;\(#,##0\);\ \-\ \ \ \ "/>
    <numFmt numFmtId="237" formatCode="#,##0.000;\(#,##0.000\)"/>
    <numFmt numFmtId="238" formatCode="_-* #,##0\ _€_-;\-* #,##0\ _€_-;_-* &quot;-&quot;\ _€_-;_-@_-"/>
    <numFmt numFmtId="239" formatCode="_-* #,##0.00\ _€_-;\-* #,##0.00\ _€_-;_-* &quot;-&quot;??\ _€_-;_-@_-"/>
    <numFmt numFmtId="240" formatCode="#,###,###.000"/>
    <numFmt numFmtId="241" formatCode="###,###,##0.0"/>
    <numFmt numFmtId="242" formatCode="_-* #,##0\ &quot;€&quot;_-;\-* #,##0\ &quot;€&quot;_-;_-* &quot;-&quot;\ &quot;€&quot;_-;_-@_-"/>
    <numFmt numFmtId="243" formatCode="_-* #,##0.00\ &quot;€&quot;_-;\-* #,##0.00\ &quot;€&quot;_-;_-* &quot;-&quot;??\ &quot;€&quot;_-;_-@_-"/>
    <numFmt numFmtId="244" formatCode="_ * #,##0.00\ _ ;_ * \(#,##0.00\)_ ;_ * &quot;-&quot;??_ ;_ @_ "/>
    <numFmt numFmtId="245" formatCode="0.00_)"/>
    <numFmt numFmtId="246" formatCode="#,##0.0\ ;\(#,##0.0\)"/>
    <numFmt numFmtId="247" formatCode="#,##0\ \ \ ;\(#,##0\)\ \ "/>
    <numFmt numFmtId="248" formatCode="0%;\(0%\)"/>
    <numFmt numFmtId="249" formatCode="#,##0.0\%_);\(#,##0.0\%\);#,##0.0\%_);@_)"/>
    <numFmt numFmtId="250" formatCode="#,##0.0_);\(#,##0.0\)"/>
    <numFmt numFmtId="251" formatCode="mm/dd/yy"/>
    <numFmt numFmtId="252" formatCode="0.0000%"/>
    <numFmt numFmtId="253" formatCode="m/d/yy\ h:mm:ss"/>
    <numFmt numFmtId="254" formatCode="[$-409]d\-mmm\-yyyy;@"/>
    <numFmt numFmtId="255" formatCode="#,###,;\(#,###,\)"/>
    <numFmt numFmtId="256" formatCode="#,##0.0000"/>
    <numFmt numFmtId="257" formatCode="0.0"/>
    <numFmt numFmtId="258" formatCode="0.00;\-0.00"/>
    <numFmt numFmtId="259" formatCode="d\-mmm\-yyyy"/>
    <numFmt numFmtId="260" formatCode="\ \ @"/>
    <numFmt numFmtId="261" formatCode="\ \ \ \ @"/>
    <numFmt numFmtId="262" formatCode="###\ ###\ ###\ ###\ ##0;\(###\ ###\ ###\ ###\ ##0\)"/>
    <numFmt numFmtId="263" formatCode="#.##%"/>
    <numFmt numFmtId="264" formatCode="#,##0.00;[Red]#,##0.00"/>
    <numFmt numFmtId="265" formatCode="0.0%"/>
    <numFmt numFmtId="266" formatCode="mmmm\-yy"/>
    <numFmt numFmtId="267" formatCode="d\ mmm"/>
    <numFmt numFmtId="268" formatCode="_(* #,##0.0_);_(* \(#,##0.0\);_(* &quot;-&quot;??_);_(@_)"/>
    <numFmt numFmtId="269" formatCode="#,##0.000"/>
    <numFmt numFmtId="270" formatCode="#,##0.0,,"/>
    <numFmt numFmtId="271" formatCode="0."/>
    <numFmt numFmtId="272" formatCode="0.0."/>
    <numFmt numFmtId="273" formatCode="#,##0;\(#,##0\)"/>
    <numFmt numFmtId="274" formatCode="#,##0.0_);[Red]\(#,##0.0\)"/>
    <numFmt numFmtId="275" formatCode="#,##0.000_);[Red]\(#,##0.000\)"/>
    <numFmt numFmtId="276" formatCode="#,##0.0;[Red]\-#,##0.0"/>
    <numFmt numFmtId="277" formatCode="[$-409]dd\-mmm\-yy;@"/>
    <numFmt numFmtId="278" formatCode="[$-409]mmmm\-yy;@"/>
    <numFmt numFmtId="279" formatCode="dd\ mmmm"/>
    <numFmt numFmtId="280" formatCode="\(0\)"/>
    <numFmt numFmtId="281" formatCode="&quot;+&quot;#,##0.0"/>
    <numFmt numFmtId="282" formatCode="0.00000"/>
    <numFmt numFmtId="283" formatCode="0.0_);\(0.0\)"/>
    <numFmt numFmtId="284" formatCode="[$-409]mmmmm;@"/>
    <numFmt numFmtId="285" formatCode="_-* #,##0_-;\-* #,##0_-;_-* &quot;-&quot;??_-;_-@_-"/>
    <numFmt numFmtId="286" formatCode="#,##0.00_ ;\-#,##0.00\ "/>
    <numFmt numFmtId="287" formatCode="#\ ###\ ##0;\-#\ ###;&quot;-&quot;"/>
    <numFmt numFmtId="288" formatCode="dd\-mmmm"/>
    <numFmt numFmtId="289" formatCode="mmm\ "/>
    <numFmt numFmtId="290" formatCode="[$-409]d\-mmm;@"/>
    <numFmt numFmtId="291" formatCode="#,##0.0_ ;\-#,##0.0\ "/>
    <numFmt numFmtId="292" formatCode="_-* #,##0.0_-;\-* #,##0.0_-;_-* &quot;-&quot;??_-;_-@_-"/>
    <numFmt numFmtId="293" formatCode="\+#,##0"/>
  </numFmts>
  <fonts count="399">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sz val="12"/>
      <name val="Times New Roman"/>
      <family val="1"/>
    </font>
    <font>
      <sz val="10"/>
      <name val="Times New Roman"/>
      <family val="1"/>
    </font>
    <font>
      <b/>
      <sz val="14"/>
      <name val="Arial"/>
      <family val="2"/>
    </font>
    <font>
      <b/>
      <sz val="14"/>
      <name val="Times New Roman"/>
      <family val="1"/>
    </font>
    <font>
      <sz val="14"/>
      <name val="Arial"/>
      <family val="2"/>
    </font>
    <font>
      <sz val="14"/>
      <name val="Times New Roman"/>
      <family val="1"/>
    </font>
    <font>
      <i/>
      <sz val="14"/>
      <name val="Arial"/>
      <family val="2"/>
    </font>
    <font>
      <b/>
      <sz val="12"/>
      <name val="Arial"/>
      <family val="2"/>
    </font>
    <font>
      <b/>
      <sz val="10"/>
      <name val="Arial"/>
      <family val="2"/>
    </font>
    <font>
      <b/>
      <sz val="11"/>
      <name val="Arial"/>
      <family val="2"/>
    </font>
    <font>
      <sz val="10"/>
      <name val="Arial"/>
      <family val="2"/>
    </font>
    <font>
      <b/>
      <i/>
      <sz val="10"/>
      <name val="Arial"/>
      <family val="2"/>
    </font>
    <font>
      <b/>
      <u/>
      <sz val="11"/>
      <name val="Arial"/>
      <family val="2"/>
    </font>
    <font>
      <i/>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3"/>
      <name val="Times New Roman"/>
      <family val="1"/>
    </font>
    <font>
      <b/>
      <sz val="10"/>
      <name val="Times New Roman"/>
      <family val="1"/>
    </font>
    <font>
      <i/>
      <sz val="10"/>
      <name val="Times New Roman"/>
      <family val="1"/>
    </font>
    <font>
      <b/>
      <sz val="11"/>
      <name val="Times New Roman"/>
      <family val="1"/>
    </font>
    <font>
      <sz val="11"/>
      <name val="Times New Roman"/>
      <family val="1"/>
    </font>
    <font>
      <sz val="10"/>
      <name val="Geneva"/>
    </font>
    <font>
      <sz val="10"/>
      <name val="Geneva"/>
      <family val="2"/>
    </font>
    <font>
      <sz val="11"/>
      <name val="??"/>
      <family val="1"/>
      <charset val="128"/>
    </font>
    <font>
      <b/>
      <u/>
      <sz val="10"/>
      <name val="Courier"/>
      <family val="3"/>
    </font>
    <font>
      <sz val="10"/>
      <name val="Helv"/>
    </font>
    <font>
      <sz val="10"/>
      <color indexed="8"/>
      <name val="Arial"/>
      <family val="2"/>
    </font>
    <font>
      <sz val="10"/>
      <name val="Ar_x0016_al"/>
    </font>
    <font>
      <b/>
      <sz val="22"/>
      <color indexed="18"/>
      <name val="Arial"/>
      <family val="2"/>
    </font>
    <font>
      <sz val="10"/>
      <name val="Gill Sans"/>
      <family val="2"/>
    </font>
    <font>
      <b/>
      <sz val="7"/>
      <name val="Arial"/>
      <family val="2"/>
    </font>
    <font>
      <sz val="7"/>
      <name val="Arial"/>
      <family val="2"/>
    </font>
    <font>
      <sz val="6"/>
      <name val="Arial"/>
      <family val="2"/>
    </font>
    <font>
      <sz val="8"/>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name val="ＭＳ 明朝"/>
      <family val="1"/>
      <charset val="128"/>
    </font>
    <font>
      <sz val="11"/>
      <name val="?? ??"/>
      <family val="1"/>
      <charset val="128"/>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10"/>
      <name val="–¾’©"/>
      <charset val="128"/>
    </font>
    <font>
      <sz val="11"/>
      <color indexed="8"/>
      <name val="Calibri"/>
      <family val="2"/>
    </font>
    <font>
      <sz val="11"/>
      <color indexed="9"/>
      <name val="Calibri"/>
      <family val="2"/>
    </font>
    <font>
      <sz val="10"/>
      <color indexed="12"/>
      <name val="Arial"/>
      <family val="2"/>
    </font>
    <font>
      <b/>
      <sz val="16"/>
      <name val="Arial"/>
      <family val="2"/>
    </font>
    <font>
      <sz val="8"/>
      <name val="Tahoma"/>
      <family val="2"/>
    </font>
    <font>
      <b/>
      <sz val="10"/>
      <color indexed="10"/>
      <name val="Arial"/>
      <family val="2"/>
    </font>
    <font>
      <sz val="8"/>
      <name val="Garamond"/>
      <family val="1"/>
    </font>
    <font>
      <sz val="12"/>
      <name val="Frutiger 45 Light"/>
      <family val="2"/>
    </font>
    <font>
      <sz val="11"/>
      <color indexed="20"/>
      <name val="Calibri"/>
      <family val="2"/>
    </font>
    <font>
      <b/>
      <sz val="10"/>
      <color indexed="9"/>
      <name val="MS Sans Serif"/>
      <family val="2"/>
    </font>
    <font>
      <b/>
      <sz val="10"/>
      <color indexed="12"/>
      <name val="Arial"/>
      <family val="2"/>
    </font>
    <font>
      <b/>
      <sz val="10"/>
      <color indexed="8"/>
      <name val="Arial"/>
      <family val="2"/>
    </font>
    <font>
      <sz val="8"/>
      <color indexed="12"/>
      <name val="Tms Rmn"/>
    </font>
    <font>
      <sz val="12"/>
      <name val="Tms Rmn"/>
    </font>
    <font>
      <sz val="8"/>
      <name val="Verdana"/>
      <family val="2"/>
    </font>
    <font>
      <b/>
      <sz val="12"/>
      <name val="Times New Roman"/>
      <family val="1"/>
    </font>
    <font>
      <b/>
      <u/>
      <sz val="8"/>
      <name val="CG Times (WN)"/>
    </font>
    <font>
      <b/>
      <sz val="10"/>
      <name val="MS Sans Serif"/>
      <family val="2"/>
    </font>
    <font>
      <sz val="8"/>
      <name val="Times New Roman"/>
      <family val="1"/>
    </font>
    <font>
      <b/>
      <sz val="9"/>
      <color indexed="12"/>
      <name val="Tahoma"/>
      <family val="2"/>
    </font>
    <font>
      <b/>
      <sz val="11"/>
      <color indexed="52"/>
      <name val="Calibri"/>
      <family val="2"/>
    </font>
    <font>
      <i/>
      <sz val="12"/>
      <name val="Frutiger 45 Light"/>
      <family val="2"/>
    </font>
    <font>
      <b/>
      <sz val="11"/>
      <color indexed="9"/>
      <name val="Calibri"/>
      <family val="2"/>
    </font>
    <font>
      <sz val="10"/>
      <color indexed="10"/>
      <name val="Arial"/>
      <family val="2"/>
    </font>
    <font>
      <sz val="8"/>
      <name val="Palatino"/>
      <family val="1"/>
    </font>
    <font>
      <b/>
      <i/>
      <sz val="10"/>
      <name val="Arial "/>
    </font>
    <font>
      <sz val="10"/>
      <name val="Barclays Sans"/>
      <family val="2"/>
    </font>
    <font>
      <sz val="10"/>
      <name val="Book Antiqua"/>
      <family val="1"/>
    </font>
    <font>
      <sz val="11"/>
      <name val="Arial"/>
      <family val="2"/>
    </font>
    <font>
      <sz val="9"/>
      <name val="Times New Roman"/>
      <family val="1"/>
    </font>
    <font>
      <sz val="10"/>
      <color indexed="0"/>
      <name val="MS Sans Serif"/>
      <family val="2"/>
    </font>
    <font>
      <sz val="10"/>
      <name val="BERNHARD"/>
    </font>
    <font>
      <sz val="10"/>
      <color indexed="15"/>
      <name val="Arial"/>
      <family val="2"/>
    </font>
    <font>
      <sz val="10"/>
      <color indexed="23"/>
      <name val="Arial"/>
      <family val="2"/>
    </font>
    <font>
      <sz val="9"/>
      <name val="TimesNewRomanPS"/>
    </font>
    <font>
      <sz val="10"/>
      <name val="MS Serif"/>
      <family val="1"/>
    </font>
    <font>
      <b/>
      <sz val="10"/>
      <color indexed="17"/>
      <name val="Arial"/>
      <family val="2"/>
    </font>
    <font>
      <sz val="10"/>
      <name val="Helvetica"/>
    </font>
    <font>
      <sz val="11"/>
      <color indexed="12"/>
      <name val="Book Antiqua"/>
      <family val="1"/>
    </font>
    <font>
      <sz val="10"/>
      <color indexed="12"/>
      <name val="CG Times (W1)"/>
    </font>
    <font>
      <b/>
      <sz val="10"/>
      <color indexed="9"/>
      <name val="Arial"/>
      <family val="2"/>
    </font>
    <font>
      <b/>
      <sz val="14"/>
      <color indexed="13"/>
      <name val="Arial"/>
      <family val="2"/>
    </font>
    <font>
      <sz val="1"/>
      <color indexed="8"/>
      <name val="Courier"/>
      <family val="3"/>
    </font>
    <font>
      <b/>
      <sz val="1"/>
      <color indexed="8"/>
      <name val="Courier"/>
      <family val="3"/>
    </font>
    <font>
      <sz val="10"/>
      <color indexed="16"/>
      <name val="MS Serif"/>
      <family val="1"/>
    </font>
    <font>
      <b/>
      <sz val="10"/>
      <color indexed="14"/>
      <name val="Arial"/>
      <family val="2"/>
    </font>
    <font>
      <i/>
      <sz val="11"/>
      <color indexed="23"/>
      <name val="Calibri"/>
      <family val="2"/>
    </font>
    <font>
      <sz val="10"/>
      <name val="Arial Narrow"/>
      <family val="2"/>
    </font>
    <font>
      <i/>
      <sz val="10"/>
      <name val="Arial Narrow"/>
      <family val="2"/>
    </font>
    <font>
      <b/>
      <sz val="10"/>
      <color indexed="32"/>
      <name val="Arial Narrow"/>
      <family val="2"/>
    </font>
    <font>
      <i/>
      <sz val="10"/>
      <color indexed="32"/>
      <name val="Arial Narrow"/>
      <family val="2"/>
    </font>
    <font>
      <b/>
      <sz val="12"/>
      <color indexed="55"/>
      <name val="Arial"/>
      <family val="2"/>
    </font>
    <font>
      <sz val="10"/>
      <color indexed="32"/>
      <name val="Arial Narrow"/>
      <family val="2"/>
    </font>
    <font>
      <sz val="12"/>
      <name val="Arial"/>
      <family val="2"/>
    </font>
    <font>
      <b/>
      <sz val="14"/>
      <color indexed="32"/>
      <name val="Arial"/>
      <family val="2"/>
    </font>
    <font>
      <sz val="8"/>
      <color indexed="32"/>
      <name val="Arial Narrow"/>
      <family val="2"/>
    </font>
    <font>
      <b/>
      <sz val="10"/>
      <name val="Arial Narrow"/>
      <family val="2"/>
    </font>
    <font>
      <b/>
      <i/>
      <sz val="10"/>
      <name val="Arial Narrow"/>
      <family val="2"/>
    </font>
    <font>
      <sz val="8"/>
      <color indexed="16"/>
      <name val="Helv"/>
    </font>
    <font>
      <sz val="10"/>
      <color indexed="24"/>
      <name val="Arial"/>
      <family val="2"/>
    </font>
    <font>
      <sz val="7"/>
      <name val="Palatino"/>
      <family val="1"/>
    </font>
    <font>
      <i/>
      <sz val="6.5"/>
      <name val="News Gothic"/>
      <family val="2"/>
    </font>
    <font>
      <b/>
      <sz val="18"/>
      <name val="Times New Roman"/>
      <family val="1"/>
    </font>
    <font>
      <sz val="11"/>
      <color indexed="17"/>
      <name val="Calibri"/>
      <family val="2"/>
    </font>
    <font>
      <b/>
      <sz val="10"/>
      <name val="Book Antiqua"/>
      <family val="1"/>
    </font>
    <font>
      <sz val="8"/>
      <name val="Arial"/>
      <family val="2"/>
      <charset val="162"/>
    </font>
    <font>
      <sz val="10"/>
      <color indexed="9"/>
      <name val="Arial"/>
      <family val="2"/>
    </font>
    <font>
      <sz val="6"/>
      <color indexed="16"/>
      <name val="Palatino"/>
      <family val="1"/>
    </font>
    <font>
      <b/>
      <sz val="8"/>
      <color indexed="8"/>
      <name val="Tahoma"/>
      <family val="2"/>
    </font>
    <font>
      <b/>
      <sz val="8"/>
      <color indexed="9"/>
      <name val="Tahoma"/>
      <family val="2"/>
    </font>
    <font>
      <b/>
      <u/>
      <sz val="8"/>
      <color indexed="8"/>
      <name val="Tahoma"/>
      <family val="2"/>
    </font>
    <font>
      <b/>
      <sz val="11"/>
      <name val="Book Antiqua"/>
      <family val="1"/>
    </font>
    <font>
      <b/>
      <sz val="15"/>
      <color indexed="56"/>
      <name val="Calibri"/>
      <family val="2"/>
    </font>
    <font>
      <b/>
      <sz val="13"/>
      <color indexed="56"/>
      <name val="Calibri"/>
      <family val="2"/>
    </font>
    <font>
      <b/>
      <sz val="11"/>
      <color indexed="56"/>
      <name val="Calibri"/>
      <family val="2"/>
    </font>
    <font>
      <sz val="10"/>
      <color indexed="63"/>
      <name val="Arial"/>
      <family val="2"/>
    </font>
    <font>
      <u/>
      <sz val="10"/>
      <color indexed="12"/>
      <name val="Arial"/>
      <family val="2"/>
    </font>
    <font>
      <u/>
      <sz val="11"/>
      <color indexed="12"/>
      <name val="Times New Roman"/>
      <family val="1"/>
    </font>
    <font>
      <sz val="11"/>
      <color indexed="62"/>
      <name val="Calibri"/>
      <family val="2"/>
    </font>
    <font>
      <i/>
      <sz val="10"/>
      <name val="Helv"/>
    </font>
    <font>
      <b/>
      <i/>
      <sz val="10"/>
      <name val="Times New Roman"/>
      <family val="1"/>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8"/>
      <name val="MS Sans Serif"/>
      <family val="2"/>
    </font>
    <font>
      <sz val="10"/>
      <color indexed="14"/>
      <name val="Arial"/>
      <family val="2"/>
    </font>
    <font>
      <sz val="11"/>
      <color indexed="52"/>
      <name val="Calibri"/>
      <family val="2"/>
    </font>
    <font>
      <b/>
      <sz val="14"/>
      <name val="Frutiger 87ExtraBlackCn"/>
      <family val="2"/>
    </font>
    <font>
      <sz val="26"/>
      <name val="Arial"/>
      <family val="2"/>
    </font>
    <font>
      <sz val="48"/>
      <name val="Arial"/>
      <family val="2"/>
    </font>
    <font>
      <b/>
      <sz val="100"/>
      <name val="Arial"/>
      <family val="2"/>
    </font>
    <font>
      <sz val="8"/>
      <color indexed="18"/>
      <name val="Arial"/>
      <family val="2"/>
    </font>
    <font>
      <sz val="10"/>
      <name val="Tms Rmn"/>
    </font>
    <font>
      <sz val="11"/>
      <color indexed="60"/>
      <name val="Calibri"/>
      <family val="2"/>
    </font>
    <font>
      <b/>
      <sz val="11"/>
      <color indexed="39"/>
      <name val="Arial"/>
      <family val="2"/>
    </font>
    <font>
      <sz val="7"/>
      <name val="Small Fonts"/>
      <family val="2"/>
    </font>
    <font>
      <sz val="8"/>
      <name val="Verdana Ref"/>
      <family val="2"/>
    </font>
    <font>
      <sz val="12"/>
      <name val="Helv"/>
    </font>
    <font>
      <b/>
      <i/>
      <sz val="16"/>
      <name val="Helv"/>
    </font>
    <font>
      <sz val="10"/>
      <name val="Courier"/>
      <family val="3"/>
    </font>
    <font>
      <sz val="10"/>
      <color theme="1"/>
      <name val="Arial"/>
      <family val="2"/>
    </font>
    <font>
      <sz val="10"/>
      <name val="Arial "/>
    </font>
    <font>
      <b/>
      <i/>
      <sz val="12"/>
      <name val="Frutiger 45 Light"/>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26"/>
      <name val="Times New Roman"/>
      <family val="1"/>
    </font>
    <font>
      <sz val="10"/>
      <color indexed="16"/>
      <name val="Helvetica-Black"/>
    </font>
    <font>
      <sz val="10"/>
      <name val="Arial"/>
      <family val="2"/>
      <charset val="162"/>
    </font>
    <font>
      <sz val="8"/>
      <name val="Helv"/>
    </font>
    <font>
      <sz val="12"/>
      <name val="NewCenturySchlbk"/>
      <family val="1"/>
    </font>
    <font>
      <b/>
      <sz val="10"/>
      <color indexed="8"/>
      <name val="Arial Narrow"/>
      <family val="2"/>
    </font>
    <font>
      <sz val="16"/>
      <color indexed="9"/>
      <name val="Tahoma"/>
      <family val="2"/>
    </font>
    <font>
      <b/>
      <sz val="12"/>
      <name val="Helv"/>
    </font>
    <font>
      <sz val="8"/>
      <color indexed="18"/>
      <name val="Helvetica"/>
      <family val="2"/>
    </font>
    <font>
      <b/>
      <sz val="10"/>
      <color indexed="17"/>
      <name val="MS Sans Serif"/>
      <family val="2"/>
    </font>
    <font>
      <sz val="8"/>
      <name val="Helv"/>
      <family val="2"/>
    </font>
    <font>
      <b/>
      <sz val="9"/>
      <name val="Arial"/>
      <family val="2"/>
    </font>
    <font>
      <sz val="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4"/>
      <name val="Arial Narrow"/>
      <family val="2"/>
    </font>
    <font>
      <sz val="9"/>
      <color indexed="48"/>
      <name val="Arial"/>
      <family val="2"/>
    </font>
    <font>
      <sz val="9"/>
      <color indexed="20"/>
      <name val="Arial"/>
      <family val="2"/>
    </font>
    <font>
      <sz val="9"/>
      <color indexed="8"/>
      <name val="Times New Roman"/>
      <family val="1"/>
    </font>
    <font>
      <b/>
      <sz val="6"/>
      <name val="Helv"/>
    </font>
    <font>
      <b/>
      <sz val="9"/>
      <name val="Times New Roman"/>
      <family val="1"/>
    </font>
    <font>
      <sz val="9"/>
      <name val="Tahoma"/>
      <family val="2"/>
    </font>
    <font>
      <sz val="10"/>
      <color indexed="15"/>
      <name val="Script 15cpi"/>
    </font>
    <font>
      <sz val="8"/>
      <color indexed="62"/>
      <name val="News Gothic"/>
      <family val="2"/>
    </font>
    <font>
      <b/>
      <sz val="8"/>
      <color indexed="8"/>
      <name val="Helv"/>
      <family val="2"/>
    </font>
    <font>
      <b/>
      <sz val="12"/>
      <name val="Frutiger 45 Light"/>
      <family val="2"/>
    </font>
    <font>
      <b/>
      <sz val="9"/>
      <name val="Palatino"/>
      <family val="1"/>
    </font>
    <font>
      <sz val="9"/>
      <color indexed="21"/>
      <name val="Helvetica-Black"/>
    </font>
    <font>
      <sz val="9"/>
      <name val="Helvetica-Black"/>
    </font>
    <font>
      <sz val="9"/>
      <name val="Arial"/>
      <family val="2"/>
    </font>
    <font>
      <b/>
      <u/>
      <sz val="8"/>
      <name val="Arial"/>
      <family val="2"/>
    </font>
    <font>
      <b/>
      <u/>
      <sz val="9"/>
      <name val="Arial"/>
      <family val="2"/>
    </font>
    <font>
      <b/>
      <sz val="18"/>
      <color indexed="56"/>
      <name val="Cambria"/>
      <family val="2"/>
    </font>
    <font>
      <b/>
      <sz val="12"/>
      <color indexed="62"/>
      <name val="News Gothic"/>
      <family val="2"/>
    </font>
    <font>
      <b/>
      <sz val="10"/>
      <name val="CG Times (WN)"/>
    </font>
    <font>
      <b/>
      <sz val="17"/>
      <name val="Helvetica"/>
    </font>
    <font>
      <b/>
      <sz val="11"/>
      <color indexed="23"/>
      <name val="Helvetica"/>
    </font>
    <font>
      <b/>
      <sz val="11"/>
      <color indexed="8"/>
      <name val="Calibri"/>
      <family val="2"/>
    </font>
    <font>
      <b/>
      <sz val="8"/>
      <name val="Helv"/>
    </font>
    <font>
      <sz val="14"/>
      <color indexed="9"/>
      <name val="Arial"/>
      <family val="2"/>
    </font>
    <font>
      <sz val="8"/>
      <color indexed="8"/>
      <name val="Arial"/>
      <family val="2"/>
    </font>
    <font>
      <b/>
      <sz val="14"/>
      <color indexed="11"/>
      <name val="Arial"/>
      <family val="2"/>
    </font>
    <font>
      <b/>
      <sz val="8"/>
      <name val="CG Times (WN)"/>
    </font>
    <font>
      <sz val="10"/>
      <name val="Frutiger"/>
    </font>
    <font>
      <sz val="12"/>
      <color indexed="11"/>
      <name val="Arial"/>
      <family val="2"/>
    </font>
    <font>
      <b/>
      <sz val="12"/>
      <color indexed="11"/>
      <name val="Arial"/>
      <family val="2"/>
    </font>
    <font>
      <sz val="10"/>
      <color indexed="11"/>
      <name val="Arial"/>
      <family val="2"/>
    </font>
    <font>
      <sz val="8"/>
      <name val="Wachovia Celeste"/>
      <family val="1"/>
    </font>
    <font>
      <b/>
      <sz val="16"/>
      <color indexed="10"/>
      <name val="Arial"/>
      <family val="2"/>
    </font>
    <font>
      <sz val="11"/>
      <color indexed="10"/>
      <name val="Calibri"/>
      <family val="2"/>
    </font>
    <font>
      <b/>
      <sz val="13"/>
      <name val="Arial"/>
      <family val="2"/>
    </font>
    <font>
      <sz val="13"/>
      <name val="Arial"/>
      <family val="2"/>
    </font>
    <font>
      <b/>
      <vertAlign val="superscript"/>
      <sz val="10"/>
      <name val="Arial"/>
      <family val="2"/>
    </font>
    <font>
      <vertAlign val="superscript"/>
      <sz val="10"/>
      <name val="Arial"/>
      <family val="2"/>
    </font>
    <font>
      <i/>
      <sz val="11"/>
      <name val="Arial"/>
      <family val="2"/>
    </font>
    <font>
      <i/>
      <sz val="9"/>
      <name val="Times New Roman"/>
      <family val="1"/>
    </font>
    <font>
      <i/>
      <vertAlign val="superscript"/>
      <sz val="9"/>
      <name val="Arial"/>
      <family val="2"/>
    </font>
    <font>
      <i/>
      <sz val="9"/>
      <name val="Arial"/>
      <family val="2"/>
    </font>
    <font>
      <i/>
      <sz val="11"/>
      <name val="Times New Roman"/>
      <family val="1"/>
    </font>
    <font>
      <b/>
      <sz val="11"/>
      <color indexed="41"/>
      <name val="Times New Roman"/>
      <family val="1"/>
    </font>
    <font>
      <b/>
      <sz val="12"/>
      <color indexed="41"/>
      <name val="Times New Roman"/>
      <family val="1"/>
    </font>
    <font>
      <sz val="11"/>
      <color theme="1"/>
      <name val="Times New Roman"/>
      <family val="1"/>
    </font>
    <font>
      <sz val="14"/>
      <color indexed="8"/>
      <name val="Times New Roman"/>
      <family val="1"/>
    </font>
    <font>
      <i/>
      <sz val="10"/>
      <color indexed="8"/>
      <name val="Arial"/>
      <family val="2"/>
    </font>
    <font>
      <b/>
      <sz val="12"/>
      <color indexed="8"/>
      <name val="Times New Roman"/>
      <family val="1"/>
    </font>
    <font>
      <b/>
      <sz val="15"/>
      <name val="Times New Roman"/>
      <family val="1"/>
    </font>
    <font>
      <b/>
      <sz val="12.5"/>
      <name val="Times New Roman"/>
      <family val="1"/>
    </font>
    <font>
      <sz val="12.5"/>
      <name val="Times New Roman"/>
      <family val="1"/>
    </font>
    <font>
      <vertAlign val="superscript"/>
      <sz val="12.5"/>
      <name val="Times New Roman"/>
      <family val="1"/>
    </font>
    <font>
      <sz val="12.5"/>
      <color theme="1"/>
      <name val="Times New Roman"/>
      <family val="1"/>
    </font>
    <font>
      <sz val="12.5"/>
      <name val="Arial"/>
      <family val="2"/>
    </font>
    <font>
      <sz val="12.5"/>
      <color theme="1"/>
      <name val="Calibri"/>
      <family val="2"/>
      <scheme val="minor"/>
    </font>
    <font>
      <sz val="12.5"/>
      <color indexed="10"/>
      <name val="Times New Roman"/>
      <family val="1"/>
    </font>
    <font>
      <i/>
      <sz val="12.5"/>
      <name val="Times New Roman"/>
      <family val="1"/>
    </font>
    <font>
      <sz val="9"/>
      <color indexed="10"/>
      <name val="Arial"/>
      <family val="2"/>
    </font>
    <font>
      <i/>
      <vertAlign val="superscript"/>
      <sz val="11"/>
      <name val="Times New Roman"/>
      <family val="1"/>
    </font>
    <font>
      <vertAlign val="superscript"/>
      <sz val="11"/>
      <name val="Times New Roman"/>
      <family val="1"/>
    </font>
    <font>
      <sz val="10"/>
      <color indexed="54"/>
      <name val="Times New Roman"/>
      <family val="1"/>
    </font>
    <font>
      <b/>
      <vertAlign val="superscript"/>
      <sz val="10"/>
      <name val="Trebuchet MS"/>
      <family val="2"/>
    </font>
    <font>
      <sz val="10"/>
      <color indexed="10"/>
      <name val="Times New Roman"/>
      <family val="1"/>
    </font>
    <font>
      <sz val="11"/>
      <color indexed="10"/>
      <name val="Times New Roman"/>
      <family val="1"/>
    </font>
    <font>
      <sz val="11"/>
      <color indexed="54"/>
      <name val="Times New Roman"/>
      <family val="1"/>
    </font>
    <font>
      <sz val="10"/>
      <name val="Arial"/>
      <family val="2"/>
    </font>
    <font>
      <b/>
      <vertAlign val="superscript"/>
      <sz val="12"/>
      <name val="Times New Roman"/>
      <family val="1"/>
    </font>
    <font>
      <sz val="10"/>
      <color indexed="23"/>
      <name val="Times New Roman"/>
      <family val="1"/>
    </font>
    <font>
      <b/>
      <sz val="13.5"/>
      <name val="Times New Roman"/>
      <family val="1"/>
    </font>
    <font>
      <b/>
      <u/>
      <sz val="10"/>
      <name val="Arial"/>
      <family val="2"/>
    </font>
    <font>
      <b/>
      <vertAlign val="superscript"/>
      <sz val="11"/>
      <name val="Times New Roman"/>
      <family val="1"/>
    </font>
    <font>
      <i/>
      <sz val="11"/>
      <color indexed="12"/>
      <name val="Times New Roman"/>
      <family val="1"/>
    </font>
    <font>
      <b/>
      <vertAlign val="superscript"/>
      <sz val="10"/>
      <name val="Times New Roman"/>
      <family val="1"/>
    </font>
    <font>
      <i/>
      <vertAlign val="superscript"/>
      <sz val="9"/>
      <name val="Times New Roman"/>
      <family val="1"/>
    </font>
    <font>
      <i/>
      <sz val="10"/>
      <color theme="1"/>
      <name val="Times New Roman"/>
      <family val="1"/>
    </font>
    <font>
      <b/>
      <sz val="11"/>
      <color indexed="12"/>
      <name val="Times New Roman"/>
      <family val="1"/>
    </font>
    <font>
      <b/>
      <vertAlign val="superscript"/>
      <sz val="14"/>
      <name val="Times New Roman"/>
      <family val="1"/>
    </font>
    <font>
      <i/>
      <vertAlign val="superscript"/>
      <sz val="11"/>
      <color theme="1"/>
      <name val="Times New Roman"/>
      <family val="1"/>
    </font>
    <font>
      <i/>
      <sz val="11"/>
      <color indexed="8"/>
      <name val="Times New Roman"/>
      <family val="1"/>
    </font>
    <font>
      <i/>
      <sz val="11"/>
      <color theme="1"/>
      <name val="Times New Roman"/>
      <family val="1"/>
    </font>
    <font>
      <sz val="11"/>
      <color indexed="23"/>
      <name val="Times New Roman"/>
      <family val="1"/>
    </font>
    <font>
      <sz val="12"/>
      <color indexed="23"/>
      <name val="Times New Roman"/>
      <family val="1"/>
    </font>
    <font>
      <sz val="11"/>
      <color indexed="22"/>
      <name val="Times New Roman"/>
      <family val="1"/>
    </font>
    <font>
      <sz val="14"/>
      <color indexed="23"/>
      <name val="Times New Roman"/>
      <family val="1"/>
    </font>
    <font>
      <i/>
      <sz val="11"/>
      <color indexed="23"/>
      <name val="Times New Roman"/>
      <family val="1"/>
    </font>
    <font>
      <i/>
      <sz val="11"/>
      <color indexed="23"/>
      <name val="Arial"/>
      <family val="2"/>
    </font>
    <font>
      <i/>
      <vertAlign val="superscript"/>
      <sz val="11"/>
      <color indexed="8"/>
      <name val="Times New Roman"/>
      <family val="1"/>
    </font>
    <font>
      <i/>
      <sz val="10"/>
      <color indexed="23"/>
      <name val="Times New Roman"/>
      <family val="1"/>
    </font>
    <font>
      <b/>
      <sz val="10"/>
      <color indexed="23"/>
      <name val="Times New Roman"/>
      <family val="1"/>
    </font>
    <font>
      <i/>
      <vertAlign val="superscript"/>
      <sz val="10"/>
      <color indexed="8"/>
      <name val="Times New Roman"/>
      <family val="1"/>
    </font>
    <font>
      <i/>
      <sz val="10"/>
      <color indexed="8"/>
      <name val="Times New Roman"/>
      <family val="1"/>
    </font>
    <font>
      <i/>
      <vertAlign val="superscript"/>
      <sz val="10"/>
      <color theme="1"/>
      <name val="Times New Roman"/>
      <family val="1"/>
    </font>
    <font>
      <b/>
      <sz val="16"/>
      <name val="Times New Roman"/>
      <family val="1"/>
    </font>
    <font>
      <b/>
      <vertAlign val="superscript"/>
      <sz val="16"/>
      <name val="Times New Roman"/>
      <family val="1"/>
    </font>
    <font>
      <sz val="17"/>
      <color indexed="23"/>
      <name val="Times New Roman"/>
      <family val="1"/>
    </font>
    <font>
      <b/>
      <sz val="17"/>
      <color indexed="23"/>
      <name val="Times New Roman"/>
      <family val="1"/>
    </font>
    <font>
      <sz val="16"/>
      <color indexed="23"/>
      <name val="Times New Roman"/>
      <family val="1"/>
    </font>
    <font>
      <sz val="15"/>
      <name val="Times New Roman"/>
      <family val="1"/>
    </font>
    <font>
      <vertAlign val="superscript"/>
      <sz val="14"/>
      <name val="Times New Roman"/>
      <family val="1"/>
    </font>
    <font>
      <i/>
      <sz val="14"/>
      <name val="Times New Roman"/>
      <family val="1"/>
    </font>
    <font>
      <i/>
      <vertAlign val="superscript"/>
      <sz val="9"/>
      <color indexed="8"/>
      <name val="Times New Roman"/>
      <family val="1"/>
    </font>
    <font>
      <i/>
      <sz val="9"/>
      <color indexed="8"/>
      <name val="Times New Roman"/>
      <family val="1"/>
    </font>
    <font>
      <b/>
      <vertAlign val="superscript"/>
      <sz val="15"/>
      <name val="Times New Roman"/>
      <family val="1"/>
    </font>
    <font>
      <b/>
      <sz val="10"/>
      <color indexed="23"/>
      <name val="Arial"/>
      <family val="2"/>
    </font>
    <font>
      <b/>
      <vertAlign val="superscript"/>
      <sz val="13"/>
      <name val="Times New Roman"/>
      <family val="1"/>
    </font>
    <font>
      <i/>
      <vertAlign val="superscript"/>
      <sz val="9"/>
      <color indexed="8"/>
      <name val="Arial"/>
      <family val="2"/>
    </font>
    <font>
      <i/>
      <sz val="9"/>
      <color indexed="8"/>
      <name val="Arial"/>
      <family val="2"/>
    </font>
    <font>
      <b/>
      <sz val="14"/>
      <color indexed="23"/>
      <name val="Arial"/>
      <family val="2"/>
    </font>
    <font>
      <sz val="13.5"/>
      <name val="Times New Roman"/>
      <family val="1"/>
    </font>
    <font>
      <i/>
      <sz val="13.5"/>
      <name val="Times New Roman"/>
      <family val="1"/>
    </font>
    <font>
      <b/>
      <i/>
      <sz val="13.5"/>
      <name val="Times New Roman"/>
      <family val="1"/>
    </font>
    <font>
      <b/>
      <i/>
      <sz val="11"/>
      <name val="Times New Roman"/>
      <family val="1"/>
    </font>
    <font>
      <sz val="11"/>
      <color indexed="9"/>
      <name val="Times New Roman"/>
      <family val="1"/>
    </font>
    <font>
      <b/>
      <sz val="9"/>
      <color indexed="81"/>
      <name val="Tahoma"/>
      <family val="2"/>
    </font>
    <font>
      <sz val="9"/>
      <color indexed="81"/>
      <name val="Tahoma"/>
      <family val="2"/>
    </font>
    <font>
      <i/>
      <vertAlign val="superscript"/>
      <sz val="12"/>
      <name val="Times New Roman"/>
      <family val="1"/>
    </font>
    <font>
      <b/>
      <i/>
      <sz val="14"/>
      <name val="Times New Roman"/>
      <family val="1"/>
    </font>
    <font>
      <vertAlign val="superscript"/>
      <sz val="12"/>
      <name val="Times New Roman"/>
      <family val="1"/>
    </font>
    <font>
      <vertAlign val="superscript"/>
      <sz val="10"/>
      <name val="Times New Roman"/>
      <family val="1"/>
    </font>
    <font>
      <b/>
      <vertAlign val="subscript"/>
      <sz val="14"/>
      <name val="Times New Roman"/>
      <family val="1"/>
    </font>
    <font>
      <i/>
      <vertAlign val="superscript"/>
      <sz val="14"/>
      <name val="Times New Roman"/>
      <family val="1"/>
    </font>
    <font>
      <sz val="16"/>
      <name val="Times New Roman"/>
      <family val="1"/>
    </font>
    <font>
      <sz val="16"/>
      <color theme="1"/>
      <name val="Times New Roman"/>
      <family val="1"/>
    </font>
    <font>
      <i/>
      <sz val="16"/>
      <name val="Times New Roman"/>
      <family val="1"/>
    </font>
    <font>
      <sz val="16"/>
      <color theme="1"/>
      <name val="Calibri"/>
      <family val="2"/>
      <scheme val="minor"/>
    </font>
    <font>
      <sz val="14"/>
      <color theme="1"/>
      <name val="Calibri"/>
      <family val="2"/>
      <scheme val="minor"/>
    </font>
    <font>
      <sz val="12"/>
      <color theme="1"/>
      <name val="Calibri"/>
      <family val="2"/>
      <scheme val="minor"/>
    </font>
    <font>
      <i/>
      <vertAlign val="superscript"/>
      <sz val="16"/>
      <name val="Times New Roman"/>
      <family val="1"/>
    </font>
    <font>
      <i/>
      <sz val="8"/>
      <name val="Arial"/>
      <family val="2"/>
    </font>
    <font>
      <i/>
      <vertAlign val="superscript"/>
      <sz val="10"/>
      <name val="Times New Roman"/>
      <family val="1"/>
    </font>
    <font>
      <sz val="12"/>
      <name val="Times New Roman"/>
      <family val="1"/>
    </font>
    <font>
      <b/>
      <vertAlign val="superscript"/>
      <sz val="11"/>
      <name val="Arial"/>
      <family val="2"/>
    </font>
    <font>
      <sz val="11"/>
      <color indexed="18"/>
      <name val="Arial"/>
      <family val="2"/>
    </font>
    <font>
      <sz val="12"/>
      <color indexed="18"/>
      <name val="Arial"/>
      <family val="2"/>
    </font>
    <font>
      <b/>
      <i/>
      <sz val="9"/>
      <name val="Arial"/>
      <family val="2"/>
    </font>
    <font>
      <sz val="9"/>
      <color indexed="18"/>
      <name val="Arial"/>
      <family val="2"/>
    </font>
    <font>
      <i/>
      <sz val="9"/>
      <color indexed="18"/>
      <name val="Arial"/>
      <family val="2"/>
    </font>
    <font>
      <sz val="12"/>
      <color indexed="18"/>
      <name val="Times New Roman"/>
      <family val="1"/>
    </font>
    <font>
      <sz val="10"/>
      <color indexed="18"/>
      <name val="Times New Roman"/>
      <family val="1"/>
    </font>
    <font>
      <sz val="11"/>
      <color indexed="18"/>
      <name val="Times New Roman"/>
      <family val="1"/>
    </font>
    <font>
      <i/>
      <sz val="11"/>
      <color indexed="18"/>
      <name val="Times New Roman"/>
      <family val="1"/>
    </font>
    <font>
      <sz val="14"/>
      <name val="Bookman Old Style"/>
      <family val="1"/>
    </font>
    <font>
      <sz val="12"/>
      <name val="Bookman Old Style"/>
      <family val="1"/>
    </font>
    <font>
      <sz val="10"/>
      <name val="Bookman Old Style"/>
      <family val="1"/>
    </font>
    <font>
      <sz val="9"/>
      <name val="Bookman Old Style"/>
      <family val="1"/>
    </font>
    <font>
      <i/>
      <sz val="10"/>
      <name val="Bookman Old Style"/>
      <family val="1"/>
    </font>
    <font>
      <i/>
      <sz val="7"/>
      <name val="Bookman Old Style"/>
      <family val="1"/>
    </font>
    <font>
      <b/>
      <sz val="10"/>
      <name val="Bookman Old Style"/>
      <family val="1"/>
    </font>
    <font>
      <i/>
      <sz val="11"/>
      <name val="Bookman Old Style"/>
      <family val="1"/>
    </font>
    <font>
      <b/>
      <sz val="10"/>
      <color rgb="FFFFFF00"/>
      <name val="Arial"/>
      <family val="2"/>
    </font>
    <font>
      <b/>
      <sz val="10"/>
      <color rgb="FFFF0000"/>
      <name val="Arial"/>
      <family val="2"/>
    </font>
    <font>
      <sz val="10"/>
      <color rgb="FFFF0000"/>
      <name val="Arial"/>
      <family val="2"/>
    </font>
    <font>
      <sz val="9"/>
      <name val="MS Sans Serif"/>
      <family val="2"/>
    </font>
    <font>
      <sz val="14"/>
      <color theme="1"/>
      <name val="Times New Roman"/>
      <family val="1"/>
    </font>
    <font>
      <sz val="10"/>
      <color indexed="18"/>
      <name val="Arial"/>
      <family val="2"/>
    </font>
    <font>
      <sz val="10"/>
      <color indexed="18"/>
      <name val="Arial Narrow"/>
      <family val="2"/>
    </font>
    <font>
      <sz val="8"/>
      <color indexed="10"/>
      <name val="Arial"/>
      <family val="2"/>
    </font>
    <font>
      <b/>
      <sz val="14"/>
      <color theme="1"/>
      <name val="Times New Roman"/>
      <family val="1"/>
    </font>
    <font>
      <b/>
      <vertAlign val="superscript"/>
      <sz val="14"/>
      <color theme="1"/>
      <name val="Times New Roman"/>
      <family val="1"/>
    </font>
    <font>
      <sz val="18"/>
      <color theme="1"/>
      <name val="Calibri"/>
      <family val="2"/>
      <scheme val="minor"/>
    </font>
    <font>
      <b/>
      <sz val="12"/>
      <color theme="1"/>
      <name val="Times New Roman"/>
      <family val="1"/>
    </font>
    <font>
      <sz val="12"/>
      <color theme="1"/>
      <name val="Times New Roman"/>
      <family val="1"/>
    </font>
    <font>
      <i/>
      <sz val="9"/>
      <color theme="1"/>
      <name val="Times New Roman"/>
      <family val="1"/>
    </font>
    <font>
      <i/>
      <vertAlign val="superscript"/>
      <sz val="9"/>
      <color theme="1"/>
      <name val="Times New Roman"/>
      <family val="1"/>
    </font>
    <font>
      <b/>
      <i/>
      <sz val="9"/>
      <color theme="1"/>
      <name val="Times New Roman"/>
      <family val="1"/>
    </font>
    <font>
      <i/>
      <sz val="11"/>
      <color theme="1"/>
      <name val="Calibri"/>
      <family val="2"/>
      <scheme val="minor"/>
    </font>
    <font>
      <b/>
      <sz val="20"/>
      <name val="Times New Roman"/>
      <family val="1"/>
    </font>
    <font>
      <i/>
      <sz val="15"/>
      <name val="Times New Roman"/>
      <family val="1"/>
    </font>
    <font>
      <i/>
      <sz val="18"/>
      <name val="Times New Roman"/>
      <family val="1"/>
    </font>
    <font>
      <b/>
      <vertAlign val="superscript"/>
      <sz val="18"/>
      <name val="Times New Roman"/>
      <family val="1"/>
    </font>
    <font>
      <b/>
      <i/>
      <sz val="15"/>
      <name val="Times New Roman"/>
      <family val="1"/>
    </font>
    <font>
      <b/>
      <i/>
      <sz val="16"/>
      <name val="Times New Roman"/>
      <family val="1"/>
    </font>
    <font>
      <i/>
      <vertAlign val="superscript"/>
      <sz val="8.5"/>
      <name val="Arial"/>
      <family val="2"/>
    </font>
    <font>
      <sz val="8.5"/>
      <name val="Arial"/>
      <family val="2"/>
    </font>
    <font>
      <i/>
      <sz val="8.5"/>
      <name val="Arial"/>
      <family val="2"/>
    </font>
    <font>
      <i/>
      <sz val="12"/>
      <name val="Arial"/>
      <family val="2"/>
    </font>
    <font>
      <b/>
      <sz val="11"/>
      <color indexed="8"/>
      <name val="Times New Roman"/>
      <family val="1"/>
    </font>
    <font>
      <sz val="10"/>
      <color indexed="62"/>
      <name val="Times New Roman"/>
      <family val="1"/>
    </font>
    <font>
      <b/>
      <sz val="10"/>
      <color indexed="62"/>
      <name val="Times New Roman"/>
      <family val="1"/>
    </font>
    <font>
      <i/>
      <vertAlign val="superscript"/>
      <sz val="10"/>
      <name val="Arial"/>
      <family val="2"/>
    </font>
    <font>
      <b/>
      <sz val="9.5"/>
      <name val="Times New Roman"/>
      <family val="1"/>
    </font>
    <font>
      <sz val="9.5"/>
      <name val="Times New Roman"/>
      <family val="1"/>
    </font>
    <font>
      <b/>
      <vertAlign val="superscript"/>
      <sz val="9.5"/>
      <name val="Times New Roman"/>
      <family val="1"/>
    </font>
    <font>
      <i/>
      <sz val="8"/>
      <name val="Times New Roman"/>
      <family val="1"/>
    </font>
    <font>
      <i/>
      <sz val="9.5"/>
      <name val="Times New Roman"/>
      <family val="1"/>
    </font>
    <font>
      <b/>
      <sz val="9"/>
      <name val="Bookman Old Style"/>
      <family val="1"/>
    </font>
    <font>
      <i/>
      <sz val="12"/>
      <color theme="1"/>
      <name val="Times New Roman"/>
      <family val="1"/>
    </font>
    <font>
      <sz val="11.5"/>
      <color indexed="8"/>
      <name val="Times New Roman"/>
      <family val="1"/>
    </font>
    <font>
      <sz val="11.5"/>
      <name val="Times New Roman"/>
      <family val="1"/>
    </font>
    <font>
      <sz val="11.5"/>
      <color theme="1"/>
      <name val="Times New Roman"/>
      <family val="1"/>
    </font>
    <font>
      <b/>
      <vertAlign val="superscript"/>
      <sz val="10"/>
      <color indexed="18"/>
      <name val="Arial"/>
      <family val="2"/>
    </font>
    <font>
      <i/>
      <vertAlign val="superscript"/>
      <sz val="9"/>
      <color indexed="18"/>
      <name val="Arial"/>
      <family val="2"/>
    </font>
    <font>
      <u/>
      <sz val="9"/>
      <name val="Arial"/>
      <family val="2"/>
    </font>
    <font>
      <sz val="11"/>
      <name val="MS Sans Serif"/>
      <family val="2"/>
    </font>
    <font>
      <b/>
      <sz val="11"/>
      <name val="MS Sans Serif"/>
      <family val="2"/>
    </font>
    <font>
      <i/>
      <sz val="10"/>
      <name val="MS Sans Serif"/>
      <family val="2"/>
    </font>
  </fonts>
  <fills count="150">
    <fill>
      <patternFill patternType="none"/>
    </fill>
    <fill>
      <patternFill patternType="gray125"/>
    </fill>
    <fill>
      <patternFill patternType="mediumGray">
        <fgColor indexed="22"/>
        <bgColor theme="0" tint="-0.14999847407452621"/>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8"/>
      </patternFill>
    </fill>
    <fill>
      <patternFill patternType="solid">
        <fgColor indexed="43"/>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44"/>
        <bgColor indexed="64"/>
      </patternFill>
    </fill>
    <fill>
      <patternFill patternType="solid">
        <fgColor indexed="9"/>
        <bgColor indexed="64"/>
      </patternFill>
    </fill>
    <fill>
      <patternFill patternType="solid"/>
    </fill>
    <fill>
      <patternFill patternType="solid">
        <fgColor indexed="58"/>
        <bgColor indexed="64"/>
      </patternFill>
    </fill>
    <fill>
      <patternFill patternType="solid">
        <fgColor indexed="55"/>
        <bgColor indexed="64"/>
      </patternFill>
    </fill>
    <fill>
      <patternFill patternType="solid">
        <fgColor indexed="46"/>
        <bgColor indexed="64"/>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8"/>
        <bgColor indexed="64"/>
      </patternFill>
    </fill>
    <fill>
      <patternFill patternType="solid">
        <fgColor indexed="8"/>
        <bgColor indexed="9"/>
      </patternFill>
    </fill>
    <fill>
      <patternFill patternType="mediumGray">
        <fgColor indexed="15"/>
      </patternFill>
    </fill>
    <fill>
      <patternFill patternType="darkGray">
        <fgColor indexed="22"/>
      </patternFill>
    </fill>
    <fill>
      <patternFill patternType="solid">
        <fgColor indexed="12"/>
      </patternFill>
    </fill>
    <fill>
      <patternFill patternType="solid">
        <fgColor indexed="22"/>
        <bgColor indexed="64"/>
      </patternFill>
    </fill>
    <fill>
      <patternFill patternType="solid">
        <fgColor indexed="24"/>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lightGray">
        <fgColor indexed="11"/>
        <bgColor indexed="9"/>
      </patternFill>
    </fill>
    <fill>
      <patternFill patternType="solid">
        <fgColor indexed="26"/>
        <bgColor indexed="9"/>
      </patternFill>
    </fill>
    <fill>
      <patternFill patternType="solid">
        <fgColor indexed="26"/>
      </patternFill>
    </fill>
    <fill>
      <patternFill patternType="solid">
        <fgColor indexed="42"/>
        <bgColor indexed="64"/>
      </patternFill>
    </fill>
    <fill>
      <patternFill patternType="solid">
        <fgColor indexed="40"/>
        <bgColor indexed="64"/>
      </patternFill>
    </fill>
    <fill>
      <patternFill patternType="solid">
        <fgColor indexed="57"/>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14"/>
        <bgColor indexed="64"/>
      </patternFill>
    </fill>
    <fill>
      <patternFill patternType="solid">
        <fgColor indexed="63"/>
        <bgColor indexed="64"/>
      </patternFill>
    </fill>
    <fill>
      <patternFill patternType="solid">
        <fgColor indexed="15"/>
      </patternFill>
    </fill>
    <fill>
      <patternFill patternType="solid">
        <fgColor indexed="16"/>
        <bgColor indexed="64"/>
      </patternFill>
    </fill>
    <fill>
      <patternFill patternType="lightGray"/>
    </fill>
    <fill>
      <patternFill patternType="solid">
        <fgColor indexed="22"/>
        <bgColor indexed="24"/>
      </patternFill>
    </fill>
    <fill>
      <patternFill patternType="solid">
        <fgColor indexed="32"/>
        <bgColor indexed="12"/>
      </patternFill>
    </fill>
    <fill>
      <patternFill patternType="solid">
        <fgColor indexed="8"/>
        <bgColor indexed="8"/>
      </patternFill>
    </fill>
    <fill>
      <patternFill patternType="mediumGray">
        <fgColor indexed="9"/>
        <bgColor theme="0"/>
      </patternFill>
    </fill>
    <fill>
      <patternFill patternType="darkGray">
        <fgColor indexed="22"/>
        <bgColor theme="0" tint="-0.14999847407452621"/>
      </patternFill>
    </fill>
    <fill>
      <patternFill patternType="darkGray">
        <fgColor indexed="22"/>
        <bgColor indexed="22"/>
      </patternFill>
    </fill>
    <fill>
      <patternFill patternType="solid">
        <fgColor indexed="22"/>
        <bgColor indexed="22"/>
      </patternFill>
    </fill>
    <fill>
      <patternFill patternType="lightGray">
        <fgColor indexed="22"/>
        <bgColor theme="0" tint="-0.14999847407452621"/>
      </patternFill>
    </fill>
    <fill>
      <patternFill patternType="lightGray">
        <fgColor indexed="22"/>
        <bgColor theme="0"/>
      </patternFill>
    </fill>
    <fill>
      <patternFill patternType="mediumGray">
        <fgColor indexed="22"/>
        <bgColor theme="0"/>
      </patternFill>
    </fill>
    <fill>
      <patternFill patternType="mediumGray">
        <fgColor indexed="22"/>
        <bgColor theme="2"/>
      </patternFill>
    </fill>
    <fill>
      <patternFill patternType="gray125">
        <fgColor indexed="22"/>
        <bgColor theme="0" tint="-0.14999847407452621"/>
      </patternFill>
    </fill>
    <fill>
      <patternFill patternType="solid">
        <fgColor theme="0"/>
        <bgColor indexed="22"/>
      </patternFill>
    </fill>
    <fill>
      <patternFill patternType="mediumGray">
        <fgColor indexed="22"/>
        <bgColor theme="0" tint="-4.9989318521683403E-2"/>
      </patternFill>
    </fill>
    <fill>
      <patternFill patternType="gray125">
        <fgColor indexed="22"/>
        <bgColor theme="2"/>
      </patternFill>
    </fill>
    <fill>
      <patternFill patternType="gray125">
        <fgColor indexed="22"/>
        <bgColor theme="0"/>
      </patternFill>
    </fill>
    <fill>
      <patternFill patternType="solid">
        <fgColor theme="0"/>
        <bgColor indexed="9"/>
      </patternFill>
    </fill>
    <fill>
      <patternFill patternType="solid">
        <fgColor theme="0" tint="-0.14999847407452621"/>
        <bgColor indexed="9"/>
      </patternFill>
    </fill>
    <fill>
      <patternFill patternType="solid">
        <fgColor theme="2"/>
        <bgColor indexed="64"/>
      </patternFill>
    </fill>
    <fill>
      <patternFill patternType="solid">
        <fgColor theme="0" tint="-0.14999847407452621"/>
        <bgColor indexed="22"/>
      </patternFill>
    </fill>
    <fill>
      <patternFill patternType="solid">
        <fgColor theme="0" tint="-0.14996795556505021"/>
        <bgColor indexed="22"/>
      </patternFill>
    </fill>
    <fill>
      <patternFill patternType="solid">
        <fgColor theme="0" tint="-0.14996795556505021"/>
        <bgColor indexed="64"/>
      </patternFill>
    </fill>
    <fill>
      <patternFill patternType="gray125">
        <fgColor indexed="22"/>
        <bgColor theme="0" tint="-4.9989318521683403E-2"/>
      </patternFill>
    </fill>
    <fill>
      <patternFill patternType="gray0625">
        <fgColor indexed="22"/>
        <bgColor theme="0"/>
      </patternFill>
    </fill>
    <fill>
      <patternFill patternType="solid">
        <fgColor theme="0"/>
        <bgColor theme="0"/>
      </patternFill>
    </fill>
    <fill>
      <patternFill patternType="gray125">
        <fgColor theme="0"/>
        <bgColor theme="0"/>
      </patternFill>
    </fill>
    <fill>
      <patternFill patternType="lightGray">
        <fgColor indexed="22"/>
        <bgColor theme="2"/>
      </patternFill>
    </fill>
    <fill>
      <patternFill patternType="lightGray">
        <bgColor theme="0" tint="-0.14999847407452621"/>
      </patternFill>
    </fill>
    <fill>
      <patternFill patternType="solid">
        <fgColor theme="0" tint="-0.14999847407452621"/>
        <bgColor indexed="41"/>
      </patternFill>
    </fill>
    <fill>
      <patternFill patternType="solid">
        <fgColor rgb="FFEEEEEE"/>
        <bgColor indexed="64"/>
      </patternFill>
    </fill>
    <fill>
      <patternFill patternType="lightGray">
        <fgColor indexed="22"/>
        <bgColor indexed="22"/>
      </patternFill>
    </fill>
    <fill>
      <patternFill patternType="solid">
        <fgColor theme="0" tint="-4.9989318521683403E-2"/>
        <bgColor indexed="64"/>
      </patternFill>
    </fill>
    <fill>
      <patternFill patternType="lightGray">
        <fgColor indexed="22"/>
        <bgColor indexed="9"/>
      </patternFill>
    </fill>
    <fill>
      <patternFill patternType="gray125">
        <bgColor theme="0"/>
      </patternFill>
    </fill>
  </fills>
  <borders count="332">
    <border>
      <left/>
      <right/>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64"/>
      </right>
      <top style="thick">
        <color indexed="64"/>
      </top>
      <bottom/>
      <diagonal/>
    </border>
    <border>
      <left/>
      <right style="thick">
        <color indexed="64"/>
      </right>
      <top/>
      <bottom/>
      <diagonal/>
    </border>
    <border>
      <left/>
      <right style="thick">
        <color indexed="64"/>
      </right>
      <top/>
      <bottom style="thick">
        <color indexed="64"/>
      </bottom>
      <diagonal/>
    </border>
    <border>
      <left/>
      <right/>
      <top/>
      <bottom style="thick">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style="thick">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top style="hair">
        <color indexed="8"/>
      </top>
      <bottom style="hair">
        <color indexed="8"/>
      </bottom>
      <diagonal/>
    </border>
    <border>
      <left/>
      <right/>
      <top/>
      <bottom style="medium">
        <color indexed="1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right/>
      <top/>
      <bottom style="thin">
        <color indexed="22"/>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style="thin">
        <color indexed="8"/>
      </right>
      <top style="thin">
        <color indexed="8"/>
      </top>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right/>
      <top style="thin">
        <color indexed="32"/>
      </top>
      <bottom style="thin">
        <color indexed="32"/>
      </bottom>
      <diagonal/>
    </border>
    <border>
      <left style="medium">
        <color indexed="64"/>
      </left>
      <right/>
      <top/>
      <bottom/>
      <diagonal/>
    </border>
    <border>
      <left/>
      <right/>
      <top style="thin">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55"/>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style="hair">
        <color indexed="64"/>
      </right>
      <top style="hair">
        <color indexed="64"/>
      </top>
      <bottom style="hair">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medium">
        <color indexed="64"/>
      </top>
      <bottom style="thin">
        <color indexed="64"/>
      </bottom>
      <diagonal/>
    </border>
    <border>
      <left style="thin">
        <color indexed="9"/>
      </left>
      <right style="thin">
        <color indexed="9"/>
      </right>
      <top style="thin">
        <color indexed="9"/>
      </top>
      <bottom style="thin">
        <color indexed="9"/>
      </bottom>
      <diagonal/>
    </border>
    <border>
      <left/>
      <right/>
      <top/>
      <bottom style="thin">
        <color indexed="18"/>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bottom style="double">
        <color indexed="64"/>
      </bottom>
      <diagonal/>
    </border>
    <border>
      <left style="thin">
        <color indexed="23"/>
      </left>
      <right style="thin">
        <color indexed="9"/>
      </right>
      <top/>
      <bottom/>
      <diagonal/>
    </border>
    <border>
      <left style="dotted">
        <color indexed="64"/>
      </left>
      <right style="dotted">
        <color indexed="64"/>
      </right>
      <top style="dotted">
        <color indexed="64"/>
      </top>
      <bottom style="dotted">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style="thick">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diagonal/>
    </border>
    <border>
      <left style="thick">
        <color indexed="64"/>
      </left>
      <right style="thick">
        <color indexed="64"/>
      </right>
      <top/>
      <bottom/>
      <diagonal/>
    </border>
    <border>
      <left style="medium">
        <color indexed="64"/>
      </left>
      <right style="medium">
        <color indexed="64"/>
      </right>
      <top style="medium">
        <color indexed="64"/>
      </top>
      <bottom/>
      <diagonal/>
    </border>
    <border>
      <left/>
      <right style="thick">
        <color indexed="64"/>
      </right>
      <top style="medium">
        <color indexed="64"/>
      </top>
      <bottom/>
      <diagonal/>
    </border>
    <border>
      <left style="thick">
        <color indexed="64"/>
      </left>
      <right style="thick">
        <color indexed="64"/>
      </right>
      <top/>
      <bottom style="thick">
        <color indexed="64"/>
      </bottom>
      <diagonal/>
    </border>
    <border>
      <left style="medium">
        <color indexed="64"/>
      </left>
      <right style="medium">
        <color indexed="64"/>
      </right>
      <top/>
      <bottom style="thick">
        <color indexed="64"/>
      </bottom>
      <diagonal/>
    </border>
    <border>
      <left style="thick">
        <color indexed="64"/>
      </left>
      <right style="medium">
        <color indexed="64"/>
      </right>
      <top/>
      <bottom/>
      <diagonal/>
    </border>
    <border>
      <left style="medium">
        <color indexed="64"/>
      </left>
      <right style="thick">
        <color indexed="64"/>
      </right>
      <top/>
      <bottom/>
      <diagonal/>
    </border>
    <border>
      <left style="thick">
        <color indexed="64"/>
      </left>
      <right style="medium">
        <color indexed="64"/>
      </right>
      <top/>
      <bottom style="thick">
        <color indexed="64"/>
      </bottom>
      <diagonal/>
    </border>
    <border>
      <left style="medium">
        <color indexed="64"/>
      </left>
      <right style="thick">
        <color indexed="64"/>
      </right>
      <top/>
      <bottom style="thick">
        <color indexed="64"/>
      </bottom>
      <diagonal/>
    </border>
    <border>
      <left style="thick">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style="medium">
        <color indexed="64"/>
      </right>
      <top/>
      <bottom style="thick">
        <color indexed="64"/>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medium">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right/>
      <top style="thick">
        <color indexed="64"/>
      </top>
      <bottom style="medium">
        <color indexed="64"/>
      </bottom>
      <diagonal/>
    </border>
    <border>
      <left/>
      <right style="medium">
        <color indexed="64"/>
      </right>
      <top style="thick">
        <color indexed="64"/>
      </top>
      <bottom/>
      <diagonal/>
    </border>
    <border>
      <left style="thin">
        <color indexed="64"/>
      </left>
      <right style="medium">
        <color indexed="64"/>
      </right>
      <top style="thick">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style="thick">
        <color indexed="64"/>
      </right>
      <top/>
      <bottom style="thin">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style="thick">
        <color indexed="64"/>
      </right>
      <top/>
      <bottom style="thin">
        <color indexed="64"/>
      </bottom>
      <diagonal/>
    </border>
    <border>
      <left/>
      <right/>
      <top style="medium">
        <color indexed="64"/>
      </top>
      <bottom/>
      <diagonal/>
    </border>
    <border>
      <left style="medium">
        <color indexed="64"/>
      </left>
      <right/>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style="medium">
        <color indexed="22"/>
      </left>
      <right style="thin">
        <color indexed="22"/>
      </right>
      <top style="thick">
        <color indexed="22"/>
      </top>
      <bottom/>
      <diagonal/>
    </border>
    <border>
      <left style="medium">
        <color indexed="22"/>
      </left>
      <right style="thin">
        <color indexed="22"/>
      </right>
      <top/>
      <bottom/>
      <diagonal/>
    </border>
    <border>
      <left/>
      <right style="medium">
        <color indexed="22"/>
      </right>
      <top/>
      <bottom style="thick">
        <color indexed="22"/>
      </bottom>
      <diagonal/>
    </border>
    <border>
      <left style="medium">
        <color indexed="22"/>
      </left>
      <right style="thin">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right style="double">
        <color indexed="64"/>
      </right>
      <top/>
      <bottom/>
      <diagonal/>
    </border>
    <border>
      <left style="medium">
        <color indexed="64"/>
      </left>
      <right/>
      <top style="medium">
        <color indexed="64"/>
      </top>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n">
        <color indexed="64"/>
      </left>
      <right/>
      <top/>
      <bottom style="medium">
        <color indexed="64"/>
      </bottom>
      <diagonal/>
    </border>
    <border>
      <left/>
      <right style="double">
        <color indexed="64"/>
      </right>
      <top style="thick">
        <color indexed="64"/>
      </top>
      <bottom/>
      <diagonal/>
    </border>
    <border>
      <left style="thick">
        <color indexed="64"/>
      </left>
      <right style="medium">
        <color indexed="64"/>
      </right>
      <top style="medium">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thick">
        <color indexed="64"/>
      </right>
      <top style="medium">
        <color indexed="64"/>
      </top>
      <bottom/>
      <diagonal/>
    </border>
    <border>
      <left/>
      <right style="double">
        <color indexed="64"/>
      </right>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right style="thick">
        <color indexed="64"/>
      </right>
      <top style="medium">
        <color indexed="64"/>
      </top>
      <bottom style="thick">
        <color indexed="64"/>
      </bottom>
      <diagonal/>
    </border>
    <border>
      <left style="double">
        <color indexed="64"/>
      </left>
      <right/>
      <top/>
      <bottom style="thick">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style="medium">
        <color indexed="64"/>
      </left>
      <right style="thick">
        <color indexed="64"/>
      </right>
      <top style="medium">
        <color indexed="64"/>
      </top>
      <bottom style="thick">
        <color indexed="64"/>
      </bottom>
      <diagonal/>
    </border>
    <border>
      <left style="thick">
        <color indexed="64"/>
      </left>
      <right/>
      <top/>
      <bottom style="thin">
        <color indexed="64"/>
      </bottom>
      <diagonal/>
    </border>
    <border>
      <left style="medium">
        <color indexed="64"/>
      </left>
      <right style="thick">
        <color indexed="64"/>
      </right>
      <top style="thick">
        <color indexed="64"/>
      </top>
      <bottom style="thick">
        <color indexed="64"/>
      </bottom>
      <diagonal/>
    </border>
    <border>
      <left style="medium">
        <color indexed="64"/>
      </left>
      <right style="medium">
        <color indexed="64"/>
      </right>
      <top style="double">
        <color indexed="64"/>
      </top>
      <bottom/>
      <diagonal/>
    </border>
    <border>
      <left style="thick">
        <color indexed="64"/>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thick">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n">
        <color indexed="64"/>
      </left>
      <right style="double">
        <color indexed="64"/>
      </right>
      <top/>
      <bottom style="thick">
        <color indexed="64"/>
      </bottom>
      <diagonal/>
    </border>
    <border>
      <left style="double">
        <color indexed="64"/>
      </left>
      <right style="medium">
        <color indexed="64"/>
      </right>
      <top/>
      <bottom style="thick">
        <color indexed="64"/>
      </bottom>
      <diagonal/>
    </border>
    <border>
      <left style="thick">
        <color indexed="64"/>
      </left>
      <right/>
      <top/>
      <bottom style="medium">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thin">
        <color indexed="64"/>
      </left>
      <right/>
      <top/>
      <bottom style="thin">
        <color indexed="64"/>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ck">
        <color indexed="64"/>
      </right>
      <top/>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style="thick">
        <color indexed="64"/>
      </right>
      <top/>
      <bottom style="medium">
        <color indexed="64"/>
      </bottom>
      <diagonal/>
    </border>
    <border>
      <left style="thick">
        <color indexed="64"/>
      </left>
      <right style="thick">
        <color indexed="64"/>
      </right>
      <top/>
      <bottom style="medium">
        <color indexed="64"/>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thin">
        <color indexed="64"/>
      </right>
      <top/>
      <bottom style="medium">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8"/>
      </left>
      <right style="thin">
        <color indexed="64"/>
      </right>
      <top style="thin">
        <color indexed="64"/>
      </top>
      <bottom style="thin">
        <color indexed="8"/>
      </bottom>
      <diagonal/>
    </border>
    <border>
      <left/>
      <right style="thin">
        <color indexed="64"/>
      </right>
      <top style="thin">
        <color indexed="64"/>
      </top>
      <bottom/>
      <diagonal/>
    </border>
    <border>
      <left style="thin">
        <color indexed="8"/>
      </left>
      <right style="thin">
        <color indexed="64"/>
      </right>
      <top/>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ck">
        <color indexed="64"/>
      </left>
      <right style="thin">
        <color indexed="64"/>
      </right>
      <top style="medium">
        <color indexed="64"/>
      </top>
      <bottom/>
      <diagonal/>
    </border>
    <border>
      <left style="thick">
        <color indexed="64"/>
      </left>
      <right style="thin">
        <color indexed="64"/>
      </right>
      <top style="medium">
        <color indexed="64"/>
      </top>
      <bottom style="medium">
        <color indexed="64"/>
      </bottom>
      <diagonal/>
    </border>
    <border>
      <left style="thick">
        <color indexed="64"/>
      </left>
      <right/>
      <top style="medium">
        <color indexed="64"/>
      </top>
      <bottom style="thick">
        <color indexed="64"/>
      </bottom>
      <diagonal/>
    </border>
    <border>
      <left style="thick">
        <color indexed="64"/>
      </left>
      <right style="thick">
        <color indexed="64"/>
      </right>
      <top style="double">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medium">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right style="thick">
        <color indexed="64"/>
      </right>
      <top/>
      <bottom style="double">
        <color indexed="64"/>
      </bottom>
      <diagonal/>
    </border>
    <border>
      <left style="thin">
        <color indexed="64"/>
      </left>
      <right style="medium">
        <color indexed="64"/>
      </right>
      <top style="medium">
        <color indexed="64"/>
      </top>
      <bottom style="thin">
        <color indexed="64"/>
      </bottom>
      <diagonal/>
    </border>
    <border>
      <left/>
      <right/>
      <top style="thin">
        <color indexed="64"/>
      </top>
      <bottom style="double">
        <color indexed="64"/>
      </bottom>
      <diagonal/>
    </border>
  </borders>
  <cellStyleXfs count="7912">
    <xf numFmtId="0" fontId="0" fillId="0" borderId="0"/>
    <xf numFmtId="40" fontId="5" fillId="0" borderId="0" applyFont="0" applyFill="0" applyBorder="0" applyAlignment="0" applyProtection="0"/>
    <xf numFmtId="0" fontId="16" fillId="0" borderId="0"/>
    <xf numFmtId="0" fontId="16" fillId="0" borderId="0">
      <alignment horizontal="left" wrapText="1"/>
    </xf>
    <xf numFmtId="0" fontId="16" fillId="0" borderId="0"/>
    <xf numFmtId="0" fontId="16" fillId="0" borderId="0"/>
    <xf numFmtId="164"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74" fontId="41" fillId="0" borderId="0" applyFont="0" applyFill="0" applyBorder="0" applyAlignment="0" applyProtection="0"/>
    <xf numFmtId="164" fontId="41" fillId="0" borderId="0" applyFont="0" applyFill="0" applyBorder="0" applyAlignment="0" applyProtection="0"/>
    <xf numFmtId="175" fontId="41" fillId="0" borderId="0" applyFont="0" applyFill="0" applyBorder="0" applyAlignment="0" applyProtection="0"/>
    <xf numFmtId="175"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5" fontId="41" fillId="0" borderId="0" applyFont="0" applyFill="0" applyBorder="0" applyAlignment="0" applyProtection="0"/>
    <xf numFmtId="164" fontId="41" fillId="0" borderId="0" applyFont="0" applyFill="0" applyBorder="0" applyAlignment="0" applyProtection="0"/>
    <xf numFmtId="5"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5" fontId="41" fillId="0" borderId="0" applyFont="0" applyFill="0" applyBorder="0" applyAlignment="0" applyProtection="0"/>
    <xf numFmtId="176" fontId="5" fillId="0" borderId="0">
      <alignment horizontal="left"/>
    </xf>
    <xf numFmtId="176" fontId="5" fillId="0" borderId="0">
      <alignment horizontal="left"/>
    </xf>
    <xf numFmtId="176" fontId="5" fillId="0" borderId="0">
      <alignment horizontal="left"/>
    </xf>
    <xf numFmtId="176" fontId="5" fillId="0" borderId="0">
      <alignment horizontal="left"/>
    </xf>
    <xf numFmtId="164" fontId="41" fillId="0" borderId="0" applyFont="0" applyFill="0" applyBorder="0" applyAlignment="0" applyProtection="0"/>
    <xf numFmtId="5" fontId="41" fillId="0" borderId="0" applyFont="0" applyFill="0" applyBorder="0" applyAlignment="0" applyProtection="0"/>
    <xf numFmtId="9" fontId="41" fillId="0" borderId="0" applyFont="0" applyFill="0" applyBorder="0" applyAlignment="0" applyProtection="0"/>
    <xf numFmtId="10" fontId="41" fillId="0" borderId="0" applyFont="0" applyFill="0" applyBorder="0" applyAlignment="0" applyProtection="0"/>
    <xf numFmtId="177" fontId="16" fillId="0" borderId="0" applyFont="0" applyFill="0" applyBorder="0" applyAlignment="0" applyProtection="0"/>
    <xf numFmtId="178" fontId="42" fillId="0" borderId="0" applyFont="0" applyFill="0" applyBorder="0" applyAlignment="0" applyProtection="0"/>
    <xf numFmtId="179" fontId="16" fillId="0" borderId="0" applyFont="0" applyFill="0" applyBorder="0" applyAlignment="0" applyProtection="0"/>
    <xf numFmtId="180" fontId="16" fillId="0" borderId="0" applyFont="0" applyFill="0" applyBorder="0" applyAlignment="0" applyProtection="0"/>
    <xf numFmtId="0" fontId="43" fillId="0" borderId="0"/>
    <xf numFmtId="0" fontId="7" fillId="0" borderId="0"/>
    <xf numFmtId="0" fontId="7" fillId="0" borderId="0"/>
    <xf numFmtId="17" fontId="44" fillId="0" borderId="0">
      <alignment horizontal="center"/>
    </xf>
    <xf numFmtId="181" fontId="16" fillId="0" borderId="0" applyFont="0" applyFill="0" applyBorder="0" applyAlignment="0" applyProtection="0"/>
    <xf numFmtId="182" fontId="16" fillId="0" borderId="0" applyFont="0" applyFill="0" applyBorder="0" applyAlignment="0" applyProtection="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xf numFmtId="0" fontId="16" fillId="0" borderId="0"/>
    <xf numFmtId="0" fontId="16" fillId="0"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vertical="top"/>
    </xf>
    <xf numFmtId="0" fontId="16" fillId="0" borderId="0">
      <alignment vertical="top"/>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36"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36" borderId="0"/>
    <xf numFmtId="0" fontId="16" fillId="0" borderId="0">
      <alignment horizontal="left" wrapText="1"/>
    </xf>
    <xf numFmtId="0" fontId="16" fillId="0" borderId="0">
      <alignment horizontal="left" wrapText="1"/>
    </xf>
    <xf numFmtId="0" fontId="45" fillId="0" borderId="0"/>
    <xf numFmtId="0" fontId="45" fillId="0"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lignment horizontal="left" wrapText="1"/>
    </xf>
    <xf numFmtId="0" fontId="16" fillId="0" borderId="0">
      <alignment horizontal="left" wrapText="1"/>
    </xf>
    <xf numFmtId="0" fontId="16" fillId="36" borderId="0"/>
    <xf numFmtId="0" fontId="16" fillId="36"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horizontal="left" wrapText="1"/>
    </xf>
    <xf numFmtId="0" fontId="16" fillId="0" borderId="0">
      <alignment horizontal="left" wrapText="1"/>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horizontal="left" wrapText="1"/>
    </xf>
    <xf numFmtId="0" fontId="16" fillId="0" borderId="0">
      <alignment horizontal="left" wrapText="1"/>
    </xf>
    <xf numFmtId="0" fontId="16" fillId="0" borderId="0">
      <alignment vertical="top"/>
    </xf>
    <xf numFmtId="0" fontId="16" fillId="0" borderId="0">
      <alignment vertical="top"/>
    </xf>
    <xf numFmtId="0" fontId="16" fillId="0" borderId="0">
      <alignment vertical="top"/>
    </xf>
    <xf numFmtId="0" fontId="16" fillId="0" borderId="0"/>
    <xf numFmtId="0" fontId="16" fillId="0"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vertical="top"/>
    </xf>
    <xf numFmtId="0" fontId="16" fillId="0" borderId="0">
      <alignment vertical="top"/>
    </xf>
    <xf numFmtId="0" fontId="16" fillId="0" borderId="0">
      <alignment vertical="top"/>
    </xf>
    <xf numFmtId="0" fontId="16" fillId="0" borderId="0"/>
    <xf numFmtId="0" fontId="16" fillId="0" borderId="0">
      <alignment horizontal="left" wrapText="1"/>
    </xf>
    <xf numFmtId="0" fontId="16" fillId="0" borderId="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xf numFmtId="0" fontId="16"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47" fillId="0" borderId="0">
      <alignment horizontal="left" wrapText="1"/>
    </xf>
    <xf numFmtId="183" fontId="16" fillId="0" borderId="0" applyFont="0" applyFill="0" applyBorder="0" applyAlignment="0" applyProtection="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xf numFmtId="0" fontId="16" fillId="0"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xf numFmtId="0" fontId="16" fillId="0"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184" fontId="16" fillId="0" borderId="0" applyFont="0" applyFill="0" applyBorder="0" applyAlignment="0" applyProtection="0"/>
    <xf numFmtId="185" fontId="16" fillId="0" borderId="0" applyFont="0" applyFill="0" applyBorder="0" applyAlignment="0" applyProtection="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186" fontId="16" fillId="0" borderId="0">
      <alignment horizontal="left" wrapText="1"/>
    </xf>
    <xf numFmtId="186"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46" fillId="0" borderId="0">
      <alignment vertical="top"/>
    </xf>
    <xf numFmtId="0" fontId="16" fillId="0" borderId="0">
      <alignment horizontal="left" wrapText="1"/>
    </xf>
    <xf numFmtId="0" fontId="16" fillId="0" borderId="0">
      <alignment horizontal="left" wrapText="1"/>
    </xf>
    <xf numFmtId="0" fontId="46" fillId="0" borderId="0">
      <alignment vertical="top"/>
    </xf>
    <xf numFmtId="0" fontId="4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xf numFmtId="0" fontId="16" fillId="0"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187" fontId="16" fillId="0" borderId="0" applyFont="0" applyFill="0" applyBorder="0" applyAlignment="0" applyProtection="0"/>
    <xf numFmtId="0" fontId="16" fillId="0" borderId="0">
      <alignment horizontal="left" wrapText="1"/>
    </xf>
    <xf numFmtId="0" fontId="16" fillId="0" borderId="0">
      <alignment horizontal="left" wrapText="1"/>
    </xf>
    <xf numFmtId="0" fontId="16" fillId="0" borderId="0">
      <alignment horizontal="left" wrapText="1"/>
    </xf>
    <xf numFmtId="0" fontId="16" fillId="36" borderId="0"/>
    <xf numFmtId="0" fontId="16" fillId="36"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47" fillId="0" borderId="0" applyNumberFormat="0" applyFill="0" applyBorder="0" applyAlignment="0" applyProtection="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36" borderId="0"/>
    <xf numFmtId="0" fontId="16" fillId="36"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36" borderId="0"/>
    <xf numFmtId="0" fontId="16" fillId="36" borderId="0"/>
    <xf numFmtId="0" fontId="16" fillId="0" borderId="0"/>
    <xf numFmtId="0" fontId="16" fillId="0" borderId="0"/>
    <xf numFmtId="0" fontId="16" fillId="0" borderId="0">
      <alignment horizontal="left" wrapText="1"/>
    </xf>
    <xf numFmtId="0" fontId="16" fillId="0" borderId="0"/>
    <xf numFmtId="0" fontId="16" fillId="0" borderId="0">
      <alignment horizontal="left" wrapText="1"/>
    </xf>
    <xf numFmtId="0" fontId="16" fillId="0"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48" fillId="0" borderId="0" applyNumberFormat="0" applyFill="0" applyBorder="0" applyAlignment="0" applyProtection="0"/>
    <xf numFmtId="0" fontId="16" fillId="37" borderId="0" applyNumberFormat="0" applyFont="0" applyAlignment="0" applyProtection="0"/>
    <xf numFmtId="0" fontId="49" fillId="0"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vertical="top"/>
    </xf>
    <xf numFmtId="0" fontId="16" fillId="0" borderId="0">
      <alignment vertical="top"/>
    </xf>
    <xf numFmtId="0" fontId="16" fillId="0" borderId="0">
      <alignment vertical="top"/>
    </xf>
    <xf numFmtId="0" fontId="49" fillId="0"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36" borderId="0"/>
    <xf numFmtId="0" fontId="16" fillId="36" borderId="0"/>
    <xf numFmtId="0" fontId="16" fillId="0" borderId="0">
      <alignment horizontal="left" wrapText="1"/>
    </xf>
    <xf numFmtId="0" fontId="16" fillId="36" borderId="0"/>
    <xf numFmtId="0" fontId="16" fillId="36"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xf numFmtId="0" fontId="16" fillId="0" borderId="0"/>
    <xf numFmtId="0" fontId="46" fillId="0" borderId="0">
      <alignment vertical="top"/>
    </xf>
    <xf numFmtId="0" fontId="46" fillId="0" borderId="0">
      <alignment vertical="top"/>
    </xf>
    <xf numFmtId="0" fontId="46"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9" fillId="0" borderId="0"/>
    <xf numFmtId="0" fontId="16" fillId="0" borderId="0"/>
    <xf numFmtId="0" fontId="16" fillId="0" borderId="0"/>
    <xf numFmtId="0" fontId="16" fillId="36" borderId="0"/>
    <xf numFmtId="0" fontId="16" fillId="36" borderId="0"/>
    <xf numFmtId="0" fontId="16" fillId="0" borderId="0">
      <alignment horizontal="left" wrapText="1"/>
    </xf>
    <xf numFmtId="0" fontId="16" fillId="0" borderId="0">
      <alignment horizontal="left" wrapText="1"/>
    </xf>
    <xf numFmtId="0" fontId="16" fillId="36" borderId="0"/>
    <xf numFmtId="0" fontId="16" fillId="36" borderId="0"/>
    <xf numFmtId="0" fontId="16" fillId="0" borderId="0">
      <alignment horizontal="left" wrapText="1"/>
    </xf>
    <xf numFmtId="0" fontId="49" fillId="0" borderId="0"/>
    <xf numFmtId="188" fontId="16" fillId="0" borderId="0" applyFont="0" applyFill="0" applyBorder="0" applyAlignment="0" applyProtection="0"/>
    <xf numFmtId="189" fontId="16" fillId="0" borderId="0" applyFont="0" applyFill="0" applyBorder="0" applyProtection="0">
      <alignment horizontal="right"/>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xf numFmtId="0" fontId="16"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xf numFmtId="0" fontId="16" fillId="0" borderId="0"/>
    <xf numFmtId="0" fontId="16" fillId="0" borderId="0"/>
    <xf numFmtId="0" fontId="16" fillId="0" borderId="0"/>
    <xf numFmtId="0" fontId="49" fillId="0" borderId="0"/>
    <xf numFmtId="0" fontId="16" fillId="0" borderId="0">
      <alignment horizontal="left" wrapText="1"/>
    </xf>
    <xf numFmtId="0" fontId="16" fillId="0" borderId="0">
      <alignment horizontal="left" wrapText="1"/>
    </xf>
    <xf numFmtId="0" fontId="16" fillId="0" borderId="0">
      <alignment horizontal="left" wrapText="1"/>
    </xf>
    <xf numFmtId="0" fontId="46" fillId="0" borderId="0">
      <alignment vertical="top"/>
    </xf>
    <xf numFmtId="0" fontId="46" fillId="0" borderId="0">
      <alignment vertical="top"/>
    </xf>
    <xf numFmtId="0" fontId="4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vertical="top"/>
    </xf>
    <xf numFmtId="0" fontId="16" fillId="0" borderId="0">
      <alignment vertical="top"/>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horizontal="left" wrapText="1"/>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vertical="top"/>
    </xf>
    <xf numFmtId="0" fontId="16"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50" fillId="38" borderId="0"/>
    <xf numFmtId="0" fontId="50" fillId="38" borderId="0"/>
    <xf numFmtId="0" fontId="51" fillId="38" borderId="0"/>
    <xf numFmtId="0" fontId="51" fillId="38" borderId="0"/>
    <xf numFmtId="0" fontId="50" fillId="38" borderId="0"/>
    <xf numFmtId="0" fontId="50" fillId="38" borderId="0"/>
    <xf numFmtId="0" fontId="52" fillId="0" borderId="0"/>
    <xf numFmtId="0" fontId="52" fillId="0" borderId="0"/>
    <xf numFmtId="0" fontId="52" fillId="0" borderId="0"/>
    <xf numFmtId="0" fontId="52" fillId="0" borderId="0"/>
    <xf numFmtId="0" fontId="53" fillId="0" borderId="0"/>
    <xf numFmtId="0" fontId="53" fillId="0" borderId="0"/>
    <xf numFmtId="0" fontId="51" fillId="0" borderId="0"/>
    <xf numFmtId="0" fontId="51" fillId="0" borderId="0"/>
    <xf numFmtId="0" fontId="54" fillId="0" borderId="0"/>
    <xf numFmtId="0" fontId="54" fillId="0" borderId="0"/>
    <xf numFmtId="0" fontId="54" fillId="0" borderId="0"/>
    <xf numFmtId="0" fontId="54" fillId="0" borderId="0"/>
    <xf numFmtId="0" fontId="55" fillId="0" borderId="0"/>
    <xf numFmtId="0" fontId="55" fillId="0" borderId="0"/>
    <xf numFmtId="0" fontId="51" fillId="38" borderId="0"/>
    <xf numFmtId="0" fontId="51" fillId="38" borderId="0"/>
    <xf numFmtId="0" fontId="50" fillId="38" borderId="0"/>
    <xf numFmtId="0" fontId="50" fillId="38" borderId="0"/>
    <xf numFmtId="0" fontId="56" fillId="39" borderId="0"/>
    <xf numFmtId="0" fontId="56" fillId="39" borderId="0"/>
    <xf numFmtId="0" fontId="57" fillId="40" borderId="0"/>
    <xf numFmtId="0" fontId="57" fillId="40" borderId="0"/>
    <xf numFmtId="0" fontId="57" fillId="40" borderId="0"/>
    <xf numFmtId="0" fontId="57" fillId="40" borderId="0"/>
    <xf numFmtId="0" fontId="54" fillId="0" borderId="0"/>
    <xf numFmtId="0" fontId="54" fillId="0" borderId="0"/>
    <xf numFmtId="0" fontId="55" fillId="0" borderId="0"/>
    <xf numFmtId="0" fontId="55" fillId="0" borderId="0"/>
    <xf numFmtId="0" fontId="58" fillId="0" borderId="0"/>
    <xf numFmtId="0" fontId="58"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0" fillId="38" borderId="0"/>
    <xf numFmtId="0" fontId="50" fillId="38" borderId="0"/>
    <xf numFmtId="0" fontId="51" fillId="38" borderId="0"/>
    <xf numFmtId="0" fontId="51" fillId="38" borderId="0"/>
    <xf numFmtId="0" fontId="53" fillId="0" borderId="0"/>
    <xf numFmtId="0" fontId="53" fillId="0" borderId="0"/>
    <xf numFmtId="0" fontId="61" fillId="39" borderId="0"/>
    <xf numFmtId="0" fontId="61" fillId="39" borderId="0"/>
    <xf numFmtId="0" fontId="61" fillId="39" borderId="0"/>
    <xf numFmtId="0" fontId="61" fillId="39" borderId="0"/>
    <xf numFmtId="0" fontId="61" fillId="39" borderId="0"/>
    <xf numFmtId="0" fontId="61" fillId="39" borderId="0"/>
    <xf numFmtId="0" fontId="56" fillId="39" borderId="0"/>
    <xf numFmtId="0" fontId="56" fillId="39" borderId="0"/>
    <xf numFmtId="0" fontId="57" fillId="40" borderId="0"/>
    <xf numFmtId="0" fontId="57" fillId="40" borderId="0"/>
    <xf numFmtId="0" fontId="57" fillId="40" borderId="0"/>
    <xf numFmtId="0" fontId="57" fillId="40" borderId="0"/>
    <xf numFmtId="0" fontId="57" fillId="40" borderId="0"/>
    <xf numFmtId="0" fontId="57" fillId="40" borderId="0"/>
    <xf numFmtId="0" fontId="54" fillId="0" borderId="0"/>
    <xf numFmtId="0" fontId="54" fillId="0" borderId="0"/>
    <xf numFmtId="0" fontId="55" fillId="0" borderId="0"/>
    <xf numFmtId="0" fontId="55" fillId="0" borderId="0"/>
    <xf numFmtId="0" fontId="58" fillId="0" borderId="0"/>
    <xf numFmtId="0" fontId="58"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0" fillId="38" borderId="0"/>
    <xf numFmtId="0" fontId="50" fillId="38" borderId="0"/>
    <xf numFmtId="0" fontId="51" fillId="38" borderId="0"/>
    <xf numFmtId="0" fontId="51" fillId="38" borderId="0"/>
    <xf numFmtId="0" fontId="53" fillId="0" borderId="0"/>
    <xf numFmtId="0" fontId="53" fillId="0" borderId="0"/>
    <xf numFmtId="0" fontId="53" fillId="39" borderId="0"/>
    <xf numFmtId="0" fontId="53" fillId="39" borderId="0"/>
    <xf numFmtId="0" fontId="56" fillId="39" borderId="0"/>
    <xf numFmtId="0" fontId="56" fillId="39" borderId="0"/>
    <xf numFmtId="0" fontId="16" fillId="36" borderId="0"/>
    <xf numFmtId="0" fontId="16" fillId="36" borderId="0"/>
    <xf numFmtId="0" fontId="62" fillId="0" borderId="0"/>
    <xf numFmtId="0" fontId="63" fillId="0" borderId="0"/>
    <xf numFmtId="0" fontId="63" fillId="0" borderId="0"/>
    <xf numFmtId="0" fontId="16" fillId="0" borderId="0"/>
    <xf numFmtId="0" fontId="16" fillId="0" borderId="0"/>
    <xf numFmtId="0" fontId="16" fillId="0" borderId="0">
      <alignment horizontal="left" wrapText="1"/>
    </xf>
    <xf numFmtId="0" fontId="49"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horizontal="left" wrapText="1"/>
    </xf>
    <xf numFmtId="0" fontId="16" fillId="0" borderId="0">
      <alignment horizontal="left" wrapText="1"/>
    </xf>
    <xf numFmtId="0" fontId="16" fillId="0" borderId="0"/>
    <xf numFmtId="0" fontId="16" fillId="0" borderId="0">
      <alignment vertical="top"/>
    </xf>
    <xf numFmtId="0" fontId="16" fillId="0" borderId="0">
      <alignment vertical="top"/>
    </xf>
    <xf numFmtId="0" fontId="16"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horizontal="left" wrapText="1"/>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16" fillId="0" borderId="0">
      <alignment horizontal="left" wrapText="1"/>
    </xf>
    <xf numFmtId="0" fontId="16" fillId="0" borderId="0">
      <alignment horizontal="left" wrapText="1"/>
    </xf>
    <xf numFmtId="0" fontId="46" fillId="0" borderId="0">
      <alignment vertical="top"/>
    </xf>
    <xf numFmtId="0" fontId="46" fillId="0" borderId="0">
      <alignment vertical="top"/>
    </xf>
    <xf numFmtId="0" fontId="16" fillId="0" borderId="0">
      <alignment horizontal="lef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horizontal="left" wrapText="1"/>
    </xf>
    <xf numFmtId="0" fontId="16" fillId="0" borderId="0">
      <alignment horizontal="lef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horizontal="lef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6" borderId="0"/>
    <xf numFmtId="0" fontId="16" fillId="36"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6" borderId="0"/>
    <xf numFmtId="0" fontId="16" fillId="36" borderId="0"/>
    <xf numFmtId="0" fontId="16" fillId="0" borderId="0"/>
    <xf numFmtId="0" fontId="16" fillId="0" borderId="0"/>
    <xf numFmtId="0" fontId="16" fillId="0"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horizontal="left" wrapText="1"/>
    </xf>
    <xf numFmtId="0" fontId="46" fillId="0" borderId="0">
      <alignment vertical="top"/>
    </xf>
    <xf numFmtId="0" fontId="46" fillId="0" borderId="0">
      <alignment vertical="top"/>
    </xf>
    <xf numFmtId="0" fontId="46" fillId="0" borderId="0">
      <alignment vertical="top"/>
    </xf>
    <xf numFmtId="0" fontId="16" fillId="0" borderId="0">
      <alignment horizontal="left" wrapText="1"/>
    </xf>
    <xf numFmtId="0" fontId="16" fillId="0" borderId="0"/>
    <xf numFmtId="0" fontId="16" fillId="0" borderId="0"/>
    <xf numFmtId="0" fontId="16" fillId="36" borderId="0"/>
    <xf numFmtId="0" fontId="16" fillId="36"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horizontal="lef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horizontal="left" wrapText="1"/>
    </xf>
    <xf numFmtId="0" fontId="16" fillId="36" borderId="0"/>
    <xf numFmtId="0" fontId="16" fillId="36" borderId="0"/>
    <xf numFmtId="0" fontId="16" fillId="0" borderId="0">
      <alignment horizontal="left" wrapText="1"/>
    </xf>
    <xf numFmtId="0" fontId="16" fillId="36" borderId="0"/>
    <xf numFmtId="0" fontId="16" fillId="36"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horizontal="left" wrapText="1"/>
    </xf>
    <xf numFmtId="0" fontId="16" fillId="0" borderId="0">
      <alignment horizontal="left" wrapText="1"/>
    </xf>
    <xf numFmtId="0" fontId="16" fillId="0" borderId="0">
      <alignment horizontal="left" wrapText="1"/>
    </xf>
    <xf numFmtId="0" fontId="47" fillId="0" borderId="0" applyNumberFormat="0" applyFill="0" applyBorder="0" applyAlignment="0" applyProtection="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vertical="top"/>
    </xf>
    <xf numFmtId="0" fontId="16" fillId="36" borderId="0"/>
    <xf numFmtId="0" fontId="16" fillId="36" borderId="0"/>
    <xf numFmtId="0" fontId="16" fillId="0" borderId="0">
      <alignment horizontal="left" wrapText="1"/>
    </xf>
    <xf numFmtId="0" fontId="16" fillId="0" borderId="0">
      <alignment vertical="top"/>
    </xf>
    <xf numFmtId="0" fontId="16" fillId="0" borderId="0">
      <alignment vertical="top"/>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36" borderId="0"/>
    <xf numFmtId="0" fontId="16" fillId="36"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64" fillId="0" borderId="0" applyNumberFormat="0" applyFill="0" applyBorder="0" applyProtection="0">
      <alignment vertical="top"/>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47" fillId="0" borderId="0">
      <alignment horizontal="left" wrapText="1"/>
    </xf>
    <xf numFmtId="0" fontId="47" fillId="0" borderId="0">
      <alignment horizontal="left" wrapText="1"/>
    </xf>
    <xf numFmtId="0" fontId="47" fillId="0" borderId="0">
      <alignment horizontal="left" wrapText="1"/>
    </xf>
    <xf numFmtId="0" fontId="47" fillId="0" borderId="0">
      <alignment horizontal="left" wrapText="1"/>
    </xf>
    <xf numFmtId="0" fontId="47" fillId="0" borderId="0">
      <alignment horizontal="left" wrapText="1"/>
    </xf>
    <xf numFmtId="0" fontId="47" fillId="0" borderId="0">
      <alignment horizontal="left" wrapText="1"/>
    </xf>
    <xf numFmtId="0" fontId="47" fillId="0" borderId="0">
      <alignment horizontal="left" wrapText="1"/>
    </xf>
    <xf numFmtId="0" fontId="16" fillId="0" borderId="0">
      <alignment horizontal="left" wrapText="1"/>
    </xf>
    <xf numFmtId="0" fontId="16" fillId="0" borderId="0">
      <alignment horizontal="left" wrapText="1"/>
    </xf>
    <xf numFmtId="0" fontId="16" fillId="0" borderId="0"/>
    <xf numFmtId="0" fontId="16" fillId="0" borderId="0"/>
    <xf numFmtId="0" fontId="16" fillId="0" borderId="0">
      <alignment horizontal="left" wrapText="1"/>
    </xf>
    <xf numFmtId="0" fontId="16" fillId="0" borderId="0">
      <alignment horizontal="left" wrapText="1"/>
    </xf>
    <xf numFmtId="0" fontId="16" fillId="0" borderId="0">
      <alignment horizontal="left" wrapText="1"/>
    </xf>
    <xf numFmtId="0" fontId="16" fillId="36" borderId="0"/>
    <xf numFmtId="0" fontId="16" fillId="36" borderId="0"/>
    <xf numFmtId="0" fontId="65" fillId="0" borderId="30" applyNumberFormat="0" applyFill="0" applyAlignment="0" applyProtection="0"/>
    <xf numFmtId="0" fontId="65" fillId="0" borderId="30" applyNumberFormat="0" applyFill="0" applyAlignment="0" applyProtection="0"/>
    <xf numFmtId="0" fontId="65" fillId="0" borderId="30" applyNumberFormat="0" applyFill="0" applyAlignment="0" applyProtection="0"/>
    <xf numFmtId="0" fontId="66" fillId="0" borderId="31" applyNumberFormat="0" applyFill="0" applyProtection="0">
      <alignment horizontal="center"/>
    </xf>
    <xf numFmtId="0" fontId="66" fillId="0" borderId="31" applyNumberFormat="0" applyFill="0" applyProtection="0">
      <alignment horizontal="center"/>
    </xf>
    <xf numFmtId="0" fontId="66" fillId="0" borderId="31" applyNumberFormat="0" applyFill="0" applyProtection="0">
      <alignment horizontal="center"/>
    </xf>
    <xf numFmtId="0" fontId="66" fillId="0" borderId="0" applyNumberFormat="0" applyFill="0" applyBorder="0" applyProtection="0">
      <alignment horizontal="left"/>
    </xf>
    <xf numFmtId="0" fontId="16" fillId="0" borderId="0">
      <alignment horizontal="left" wrapText="1"/>
    </xf>
    <xf numFmtId="0" fontId="16" fillId="0" borderId="0">
      <alignment horizontal="left" wrapText="1"/>
    </xf>
    <xf numFmtId="0" fontId="16" fillId="0" borderId="0">
      <alignment horizontal="left" wrapText="1"/>
    </xf>
    <xf numFmtId="0" fontId="67" fillId="0" borderId="0" applyNumberFormat="0" applyFill="0" applyBorder="0" applyProtection="0">
      <alignment horizontal="centerContinuous"/>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46" fillId="0" borderId="0">
      <alignment vertical="top"/>
    </xf>
    <xf numFmtId="0" fontId="46" fillId="0" borderId="0">
      <alignment vertical="top"/>
    </xf>
    <xf numFmtId="0" fontId="46" fillId="0" borderId="0">
      <alignment vertical="top"/>
    </xf>
    <xf numFmtId="0" fontId="16" fillId="0" borderId="0"/>
    <xf numFmtId="0" fontId="16"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xf numFmtId="0" fontId="16" fillId="0" borderId="0"/>
    <xf numFmtId="0" fontId="16" fillId="0" borderId="0"/>
    <xf numFmtId="0" fontId="16" fillId="0" borderId="0"/>
    <xf numFmtId="0" fontId="16" fillId="36" borderId="0"/>
    <xf numFmtId="0" fontId="16" fillId="0" borderId="0"/>
    <xf numFmtId="0" fontId="16" fillId="0" borderId="0"/>
    <xf numFmtId="0" fontId="16" fillId="36" borderId="0"/>
    <xf numFmtId="0" fontId="16" fillId="36" borderId="0"/>
    <xf numFmtId="0" fontId="16" fillId="36" borderId="0"/>
    <xf numFmtId="0" fontId="16" fillId="0" borderId="0"/>
    <xf numFmtId="0" fontId="16" fillId="0" borderId="0"/>
    <xf numFmtId="0" fontId="16" fillId="36" borderId="0"/>
    <xf numFmtId="0" fontId="16" fillId="36" borderId="0"/>
    <xf numFmtId="0" fontId="16" fillId="0" borderId="0"/>
    <xf numFmtId="0" fontId="16" fillId="0" borderId="0"/>
    <xf numFmtId="0" fontId="6" fillId="0" borderId="0" applyFont="0" applyFill="0" applyBorder="0" applyAlignment="0" applyProtection="0"/>
    <xf numFmtId="0" fontId="6" fillId="0" borderId="0" applyFont="0" applyFill="0" applyBorder="0" applyAlignment="0" applyProtection="0"/>
    <xf numFmtId="0" fontId="16" fillId="0" borderId="0">
      <alignment vertical="top"/>
    </xf>
    <xf numFmtId="0" fontId="16" fillId="0" borderId="0">
      <alignment vertical="top"/>
    </xf>
    <xf numFmtId="0" fontId="68" fillId="0" borderId="0"/>
    <xf numFmtId="0" fontId="69" fillId="4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69" fillId="3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69" fillId="4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9" fillId="43"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9"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9" fillId="45"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9"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9" fillId="47"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9" fillId="4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9"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9" fillId="5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90" fontId="56" fillId="0" borderId="0">
      <alignment horizontal="center"/>
    </xf>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69" fillId="5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69" fillId="5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69"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69" fillId="55"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6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69" fillId="46"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69" fillId="47"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69" fillId="57"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69" fillId="52"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69" fillId="5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9" fillId="5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70" fillId="60" borderId="0" applyNumberFormat="0" applyBorder="0" applyAlignment="0" applyProtection="0"/>
    <xf numFmtId="0" fontId="70" fillId="40" borderId="0" applyNumberFormat="0" applyBorder="0" applyAlignment="0" applyProtection="0"/>
    <xf numFmtId="0" fontId="35" fillId="14" borderId="0" applyNumberFormat="0" applyBorder="0" applyAlignment="0" applyProtection="0"/>
    <xf numFmtId="0" fontId="70" fillId="53" borderId="0" applyNumberFormat="0" applyBorder="0" applyAlignment="0" applyProtection="0"/>
    <xf numFmtId="0" fontId="70" fillId="54" borderId="0" applyNumberFormat="0" applyBorder="0" applyAlignment="0" applyProtection="0"/>
    <xf numFmtId="0" fontId="35" fillId="18" borderId="0" applyNumberFormat="0" applyBorder="0" applyAlignment="0" applyProtection="0"/>
    <xf numFmtId="0" fontId="70" fillId="55" borderId="0" applyNumberFormat="0" applyBorder="0" applyAlignment="0" applyProtection="0"/>
    <xf numFmtId="0" fontId="70" fillId="56" borderId="0" applyNumberFormat="0" applyBorder="0" applyAlignment="0" applyProtection="0"/>
    <xf numFmtId="0" fontId="35" fillId="22" borderId="0" applyNumberFormat="0" applyBorder="0" applyAlignment="0" applyProtection="0"/>
    <xf numFmtId="0" fontId="70" fillId="61" borderId="0" applyNumberFormat="0" applyBorder="0" applyAlignment="0" applyProtection="0"/>
    <xf numFmtId="0" fontId="70" fillId="62" borderId="0" applyNumberFormat="0" applyBorder="0" applyAlignment="0" applyProtection="0"/>
    <xf numFmtId="0" fontId="35" fillId="26" borderId="0" applyNumberFormat="0" applyBorder="0" applyAlignment="0" applyProtection="0"/>
    <xf numFmtId="0" fontId="70" fillId="63" borderId="0" applyNumberFormat="0" applyBorder="0" applyAlignment="0" applyProtection="0"/>
    <xf numFmtId="0" fontId="70" fillId="64" borderId="0" applyNumberFormat="0" applyBorder="0" applyAlignment="0" applyProtection="0"/>
    <xf numFmtId="0" fontId="35" fillId="30" borderId="0" applyNumberFormat="0" applyBorder="0" applyAlignment="0" applyProtection="0"/>
    <xf numFmtId="0" fontId="70" fillId="65" borderId="0" applyNumberFormat="0" applyBorder="0" applyAlignment="0" applyProtection="0"/>
    <xf numFmtId="0" fontId="70" fillId="66" borderId="0" applyNumberFormat="0" applyBorder="0" applyAlignment="0" applyProtection="0"/>
    <xf numFmtId="0" fontId="35" fillId="34" borderId="0" applyNumberFormat="0" applyBorder="0" applyAlignment="0" applyProtection="0"/>
    <xf numFmtId="0" fontId="70" fillId="67" borderId="0" applyNumberFormat="0" applyBorder="0" applyAlignment="0" applyProtection="0"/>
    <xf numFmtId="0" fontId="70" fillId="68" borderId="0" applyNumberFormat="0" applyBorder="0" applyAlignment="0" applyProtection="0"/>
    <xf numFmtId="0" fontId="35" fillId="11" borderId="0" applyNumberFormat="0" applyBorder="0" applyAlignment="0" applyProtection="0"/>
    <xf numFmtId="0" fontId="70" fillId="69" borderId="0" applyNumberFormat="0" applyBorder="0" applyAlignment="0" applyProtection="0"/>
    <xf numFmtId="0" fontId="70" fillId="70" borderId="0" applyNumberFormat="0" applyBorder="0" applyAlignment="0" applyProtection="0"/>
    <xf numFmtId="0" fontId="35" fillId="15" borderId="0" applyNumberFormat="0" applyBorder="0" applyAlignment="0" applyProtection="0"/>
    <xf numFmtId="0" fontId="70" fillId="71" borderId="0" applyNumberFormat="0" applyBorder="0" applyAlignment="0" applyProtection="0"/>
    <xf numFmtId="0" fontId="70" fillId="72" borderId="0" applyNumberFormat="0" applyBorder="0" applyAlignment="0" applyProtection="0"/>
    <xf numFmtId="0" fontId="35" fillId="19" borderId="0" applyNumberFormat="0" applyBorder="0" applyAlignment="0" applyProtection="0"/>
    <xf numFmtId="0" fontId="70" fillId="61" borderId="0" applyNumberFormat="0" applyBorder="0" applyAlignment="0" applyProtection="0"/>
    <xf numFmtId="0" fontId="70" fillId="62" borderId="0" applyNumberFormat="0" applyBorder="0" applyAlignment="0" applyProtection="0"/>
    <xf numFmtId="0" fontId="35" fillId="23" borderId="0" applyNumberFormat="0" applyBorder="0" applyAlignment="0" applyProtection="0"/>
    <xf numFmtId="0" fontId="35" fillId="27" borderId="0" applyNumberFormat="0" applyBorder="0" applyAlignment="0" applyProtection="0"/>
    <xf numFmtId="0" fontId="70" fillId="64" borderId="0" applyNumberFormat="0" applyBorder="0" applyAlignment="0" applyProtection="0"/>
    <xf numFmtId="0" fontId="35" fillId="27" borderId="0" applyNumberFormat="0" applyBorder="0" applyAlignment="0" applyProtection="0"/>
    <xf numFmtId="0" fontId="70" fillId="73" borderId="0" applyNumberFormat="0" applyBorder="0" applyAlignment="0" applyProtection="0"/>
    <xf numFmtId="0" fontId="70" fillId="74" borderId="0" applyNumberFormat="0" applyBorder="0" applyAlignment="0" applyProtection="0"/>
    <xf numFmtId="0" fontId="35" fillId="31" borderId="0" applyNumberFormat="0" applyBorder="0" applyAlignment="0" applyProtection="0"/>
    <xf numFmtId="1" fontId="5" fillId="0" borderId="0"/>
    <xf numFmtId="0" fontId="71" fillId="0" borderId="0" applyNumberFormat="0" applyFill="0" applyBorder="0" applyAlignment="0">
      <protection locked="0"/>
    </xf>
    <xf numFmtId="0" fontId="16" fillId="0" borderId="0" applyFill="0" applyBorder="0" applyProtection="0">
      <protection locked="0"/>
    </xf>
    <xf numFmtId="0" fontId="72" fillId="75" borderId="7"/>
    <xf numFmtId="191" fontId="73" fillId="76" borderId="32" applyFont="0" applyFill="0" applyBorder="0" applyProtection="0">
      <alignment vertical="center"/>
    </xf>
    <xf numFmtId="0" fontId="74" fillId="0" borderId="0" applyNumberFormat="0" applyFill="0" applyBorder="0" applyAlignment="0">
      <alignment horizontal="right"/>
    </xf>
    <xf numFmtId="0" fontId="75" fillId="0" borderId="33">
      <alignment horizontal="center"/>
    </xf>
    <xf numFmtId="0" fontId="76" fillId="0" borderId="12">
      <alignment horizontal="left" vertical="center" wrapText="1"/>
    </xf>
    <xf numFmtId="0" fontId="16" fillId="0" borderId="0"/>
    <xf numFmtId="17" fontId="16" fillId="0" borderId="0" applyFont="0" applyFill="0" applyBorder="0" applyProtection="0">
      <alignment horizontal="left"/>
    </xf>
    <xf numFmtId="0" fontId="16" fillId="0" borderId="0" applyFont="0" applyFill="0" applyBorder="0" applyProtection="0">
      <alignment horizontal="left"/>
    </xf>
    <xf numFmtId="0" fontId="40" fillId="39" borderId="0" applyAlignment="0"/>
    <xf numFmtId="0" fontId="25" fillId="5" borderId="0" applyNumberFormat="0" applyBorder="0" applyAlignment="0" applyProtection="0"/>
    <xf numFmtId="0" fontId="25" fillId="5" borderId="0" applyNumberFormat="0" applyBorder="0" applyAlignment="0" applyProtection="0"/>
    <xf numFmtId="0" fontId="77" fillId="43" borderId="0" applyNumberFormat="0" applyBorder="0" applyAlignment="0" applyProtection="0"/>
    <xf numFmtId="0" fontId="25" fillId="5" borderId="0" applyNumberFormat="0" applyBorder="0" applyAlignment="0" applyProtection="0"/>
    <xf numFmtId="0" fontId="78" fillId="77" borderId="0" applyNumberFormat="0" applyBorder="0">
      <alignment horizontal="left"/>
    </xf>
    <xf numFmtId="0" fontId="79" fillId="0" borderId="0" applyNumberFormat="0" applyFill="0" applyBorder="0" applyAlignment="0">
      <alignment horizontal="right"/>
    </xf>
    <xf numFmtId="38" fontId="80" fillId="39" borderId="0"/>
    <xf numFmtId="0" fontId="16" fillId="78" borderId="0" applyNumberFormat="0" applyFont="0" applyBorder="0" applyAlignment="0" applyProtection="0"/>
    <xf numFmtId="192" fontId="7" fillId="0" borderId="0" applyFont="0" applyFill="0" applyBorder="0" applyAlignment="0" applyProtection="0"/>
    <xf numFmtId="192" fontId="7" fillId="0" borderId="0" applyFont="0" applyFill="0" applyBorder="0" applyAlignment="0" applyProtection="0"/>
    <xf numFmtId="193" fontId="7" fillId="0" borderId="0" applyFon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83" fillId="79" borderId="0" applyBorder="0">
      <alignment horizontal="left" vertical="center" indent="1"/>
    </xf>
    <xf numFmtId="0" fontId="14" fillId="0" borderId="0" applyNumberFormat="0" applyFill="0" applyBorder="0" applyAlignment="0">
      <alignment horizontal="left"/>
    </xf>
    <xf numFmtId="0" fontId="84" fillId="0" borderId="12" applyNumberFormat="0" applyFill="0" applyAlignment="0" applyProtection="0"/>
    <xf numFmtId="0" fontId="14" fillId="0" borderId="0" applyNumberFormat="0" applyFill="0" applyBorder="0" applyAlignment="0">
      <alignment horizontal="left"/>
    </xf>
    <xf numFmtId="194" fontId="7" fillId="0" borderId="0">
      <alignment horizontal="center"/>
    </xf>
    <xf numFmtId="15" fontId="85" fillId="0" borderId="0" applyNumberFormat="0">
      <alignment horizontal="center"/>
    </xf>
    <xf numFmtId="164" fontId="86" fillId="0" borderId="34" applyAlignment="0" applyProtection="0"/>
    <xf numFmtId="164" fontId="86" fillId="0" borderId="34" applyAlignment="0" applyProtection="0"/>
    <xf numFmtId="164" fontId="86" fillId="0" borderId="34" applyAlignment="0" applyProtection="0"/>
    <xf numFmtId="164" fontId="86" fillId="0" borderId="34" applyAlignment="0" applyProtection="0"/>
    <xf numFmtId="164" fontId="86" fillId="0" borderId="34" applyAlignment="0" applyProtection="0"/>
    <xf numFmtId="164" fontId="86" fillId="0" borderId="34" applyAlignment="0" applyProtection="0"/>
    <xf numFmtId="175" fontId="86" fillId="0" borderId="34" applyAlignment="0" applyProtection="0"/>
    <xf numFmtId="164" fontId="86" fillId="0" borderId="34" applyAlignment="0" applyProtection="0"/>
    <xf numFmtId="175" fontId="86" fillId="0" borderId="34" applyAlignment="0" applyProtection="0"/>
    <xf numFmtId="164" fontId="86" fillId="0" borderId="34" applyAlignment="0" applyProtection="0"/>
    <xf numFmtId="175" fontId="86" fillId="0" borderId="34" applyAlignment="0" applyProtection="0"/>
    <xf numFmtId="0" fontId="87" fillId="0" borderId="35" applyNumberFormat="0" applyFont="0" applyFill="0" applyAlignment="0" applyProtection="0"/>
    <xf numFmtId="195" fontId="16" fillId="0" borderId="36" applyNumberFormat="0" applyFill="0" applyAlignment="0" applyProtection="0"/>
    <xf numFmtId="0" fontId="41" fillId="0" borderId="12" applyNumberFormat="0" applyFont="0" applyFill="0" applyAlignment="0" applyProtection="0"/>
    <xf numFmtId="0" fontId="41" fillId="0" borderId="37" applyNumberFormat="0" applyFont="0" applyFill="0" applyAlignment="0" applyProtection="0"/>
    <xf numFmtId="0" fontId="41" fillId="0" borderId="38" applyNumberFormat="0" applyFont="0" applyFill="0" applyAlignment="0" applyProtection="0"/>
    <xf numFmtId="0" fontId="41" fillId="0" borderId="34" applyNumberFormat="0" applyFont="0" applyFill="0" applyAlignment="0" applyProtection="0"/>
    <xf numFmtId="0" fontId="41" fillId="0" borderId="34" applyNumberFormat="0" applyFont="0" applyFill="0" applyAlignment="0" applyProtection="0"/>
    <xf numFmtId="0" fontId="41" fillId="0" borderId="34" applyNumberFormat="0" applyFont="0" applyFill="0" applyAlignment="0" applyProtection="0"/>
    <xf numFmtId="0" fontId="41" fillId="0" borderId="34" applyNumberFormat="0" applyFont="0" applyFill="0" applyAlignment="0" applyProtection="0"/>
    <xf numFmtId="0" fontId="41" fillId="0" borderId="34" applyNumberFormat="0" applyFont="0" applyFill="0" applyAlignment="0" applyProtection="0"/>
    <xf numFmtId="164" fontId="86" fillId="0" borderId="34" applyAlignment="0" applyProtection="0"/>
    <xf numFmtId="0" fontId="6" fillId="0" borderId="0" applyFont="0" applyFill="0" applyBorder="0" applyAlignment="0" applyProtection="0"/>
    <xf numFmtId="196" fontId="88" fillId="80" borderId="0"/>
    <xf numFmtId="197" fontId="42" fillId="0" borderId="0" applyFill="0" applyBorder="0" applyAlignment="0"/>
    <xf numFmtId="197" fontId="42" fillId="0" borderId="0" applyFill="0" applyBorder="0" applyAlignment="0"/>
    <xf numFmtId="198" fontId="42" fillId="0" borderId="0" applyFill="0" applyBorder="0" applyAlignment="0"/>
    <xf numFmtId="199" fontId="46" fillId="0" borderId="0" applyFill="0" applyBorder="0" applyAlignment="0"/>
    <xf numFmtId="200" fontId="46" fillId="0" borderId="0" applyFill="0" applyBorder="0" applyAlignment="0"/>
    <xf numFmtId="201" fontId="46" fillId="0" borderId="0" applyFill="0" applyBorder="0" applyAlignment="0"/>
    <xf numFmtId="202" fontId="46" fillId="0" borderId="0" applyFill="0" applyBorder="0" applyAlignment="0"/>
    <xf numFmtId="203" fontId="46" fillId="0" borderId="0" applyFill="0" applyBorder="0" applyAlignment="0"/>
    <xf numFmtId="204" fontId="46" fillId="0" borderId="0" applyFill="0" applyBorder="0" applyAlignment="0"/>
    <xf numFmtId="199" fontId="46" fillId="0" borderId="0" applyFill="0" applyBorder="0" applyAlignment="0"/>
    <xf numFmtId="0" fontId="89" fillId="81" borderId="39" applyNumberFormat="0" applyAlignment="0" applyProtection="0"/>
    <xf numFmtId="0" fontId="89" fillId="82" borderId="39" applyNumberFormat="0" applyAlignment="0" applyProtection="0"/>
    <xf numFmtId="0" fontId="29" fillId="8" borderId="18" applyNumberFormat="0" applyAlignment="0" applyProtection="0"/>
    <xf numFmtId="0" fontId="90" fillId="0" borderId="0">
      <alignment wrapText="1"/>
    </xf>
    <xf numFmtId="0" fontId="91" fillId="83" borderId="40" applyNumberFormat="0" applyAlignment="0" applyProtection="0"/>
    <xf numFmtId="0" fontId="91" fillId="84" borderId="40" applyNumberFormat="0" applyAlignment="0" applyProtection="0"/>
    <xf numFmtId="0" fontId="31" fillId="9" borderId="21" applyNumberFormat="0" applyAlignment="0" applyProtection="0"/>
    <xf numFmtId="3" fontId="92" fillId="76" borderId="33" applyFont="0" applyFill="0" applyProtection="0">
      <alignment horizontal="right"/>
    </xf>
    <xf numFmtId="0" fontId="53" fillId="0" borderId="0" applyNumberFormat="0" applyFill="0" applyBorder="0" applyAlignment="0" applyProtection="0"/>
    <xf numFmtId="41" fontId="16" fillId="0" borderId="0" applyFont="0" applyFill="0" applyBorder="0" applyAlignment="0" applyProtection="0"/>
    <xf numFmtId="0" fontId="45" fillId="0" borderId="41"/>
    <xf numFmtId="205" fontId="16" fillId="0" borderId="0"/>
    <xf numFmtId="205" fontId="16" fillId="0" borderId="0"/>
    <xf numFmtId="205" fontId="16" fillId="0" borderId="0"/>
    <xf numFmtId="205" fontId="16" fillId="0" borderId="0"/>
    <xf numFmtId="205" fontId="16" fillId="0" borderId="0"/>
    <xf numFmtId="205" fontId="16" fillId="0" borderId="0"/>
    <xf numFmtId="205" fontId="16" fillId="0" borderId="0"/>
    <xf numFmtId="203" fontId="16" fillId="0" borderId="0" applyFont="0" applyFill="0" applyBorder="0" applyAlignment="0" applyProtection="0"/>
    <xf numFmtId="0" fontId="9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0" fontId="16" fillId="0" borderId="0"/>
    <xf numFmtId="169" fontId="94"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79" fontId="16"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179" fontId="16" fillId="0" borderId="0" applyFont="0" applyFill="0" applyBorder="0" applyAlignment="0" applyProtection="0"/>
    <xf numFmtId="16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95"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0" fontId="16" fillId="0" borderId="0"/>
    <xf numFmtId="169" fontId="16" fillId="0" borderId="0" applyFont="0" applyFill="0" applyBorder="0" applyAlignment="0" applyProtection="0"/>
    <xf numFmtId="179" fontId="69" fillId="0" borderId="0" applyFont="0" applyFill="0" applyBorder="0" applyAlignment="0" applyProtection="0"/>
    <xf numFmtId="179" fontId="69" fillId="0" borderId="0" applyFont="0" applyFill="0" applyBorder="0" applyAlignment="0" applyProtection="0"/>
    <xf numFmtId="179" fontId="69" fillId="0" borderId="0" applyFont="0" applyFill="0" applyBorder="0" applyAlignment="0" applyProtection="0"/>
    <xf numFmtId="179" fontId="69" fillId="0" borderId="0" applyFont="0" applyFill="0" applyBorder="0" applyAlignment="0" applyProtection="0"/>
    <xf numFmtId="179" fontId="69"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9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4" fillId="0" borderId="0" applyFont="0" applyFill="0" applyBorder="0" applyAlignment="0" applyProtection="0"/>
    <xf numFmtId="0" fontId="16" fillId="0" borderId="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206" fontId="16"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79" fontId="16" fillId="0" borderId="0" applyFont="0" applyFill="0" applyBorder="0" applyAlignment="0" applyProtection="0"/>
    <xf numFmtId="169" fontId="16" fillId="0" borderId="0" applyFont="0" applyFill="0" applyBorder="0" applyAlignment="0" applyProtection="0"/>
    <xf numFmtId="179" fontId="16"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45" fillId="0" borderId="0" applyFont="0" applyFill="0" applyBorder="0" applyAlignment="0" applyProtection="0"/>
    <xf numFmtId="169" fontId="16" fillId="0" borderId="0" applyFont="0" applyFill="0" applyBorder="0" applyAlignment="0" applyProtection="0"/>
    <xf numFmtId="43" fontId="4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9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69" fillId="0" borderId="0" applyFont="0" applyFill="0" applyBorder="0" applyAlignment="0" applyProtection="0"/>
    <xf numFmtId="169" fontId="16" fillId="0" borderId="0" applyFont="0" applyFill="0" applyBorder="0" applyAlignment="0" applyProtection="0"/>
    <xf numFmtId="43" fontId="69" fillId="0" borderId="0" applyFont="0" applyFill="0" applyBorder="0" applyAlignment="0" applyProtection="0"/>
    <xf numFmtId="169" fontId="4"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69" fillId="0" borderId="0" applyFont="0" applyFill="0" applyBorder="0" applyAlignment="0" applyProtection="0"/>
    <xf numFmtId="43" fontId="16" fillId="0" borderId="0" applyFont="0" applyFill="0" applyBorder="0" applyAlignment="0" applyProtection="0"/>
    <xf numFmtId="43" fontId="6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69" fillId="0" borderId="0" applyFont="0" applyFill="0" applyBorder="0" applyAlignment="0" applyProtection="0"/>
    <xf numFmtId="0" fontId="93" fillId="0" borderId="0" applyFont="0" applyFill="0" applyBorder="0" applyAlignment="0" applyProtection="0">
      <alignment horizontal="right"/>
    </xf>
    <xf numFmtId="0" fontId="93" fillId="0" borderId="0" applyFont="0" applyFill="0" applyBorder="0" applyAlignment="0" applyProtection="0">
      <alignment horizontal="right"/>
    </xf>
    <xf numFmtId="0" fontId="93" fillId="0" borderId="0" applyFont="0" applyFill="0" applyBorder="0" applyAlignment="0" applyProtection="0">
      <alignment horizontal="right"/>
    </xf>
    <xf numFmtId="0" fontId="9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0" fontId="93" fillId="0" borderId="0" applyFont="0" applyFill="0" applyBorder="0" applyAlignment="0" applyProtection="0">
      <alignment horizontal="right"/>
    </xf>
    <xf numFmtId="169" fontId="16" fillId="0" borderId="0" applyFont="0" applyFill="0" applyBorder="0" applyAlignment="0" applyProtection="0"/>
    <xf numFmtId="180"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69"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69" fontId="69" fillId="0" borderId="0" applyFont="0" applyFill="0" applyBorder="0" applyAlignment="0" applyProtection="0"/>
    <xf numFmtId="179" fontId="69" fillId="0" borderId="0" applyFont="0" applyFill="0" applyBorder="0" applyAlignment="0" applyProtection="0"/>
    <xf numFmtId="16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69" fontId="69" fillId="0" borderId="0" applyFont="0" applyFill="0" applyBorder="0" applyAlignment="0" applyProtection="0"/>
    <xf numFmtId="179" fontId="69" fillId="0" borderId="0" applyFont="0" applyFill="0" applyBorder="0" applyAlignment="0" applyProtection="0"/>
    <xf numFmtId="179" fontId="69" fillId="0" borderId="0" applyFont="0" applyFill="0" applyBorder="0" applyAlignment="0" applyProtection="0"/>
    <xf numFmtId="179" fontId="69" fillId="0" borderId="0" applyFont="0" applyFill="0" applyBorder="0" applyAlignment="0" applyProtection="0"/>
    <xf numFmtId="179" fontId="69" fillId="0" borderId="0" applyFont="0" applyFill="0" applyBorder="0" applyAlignment="0" applyProtection="0"/>
    <xf numFmtId="0" fontId="93" fillId="0" borderId="0" applyFont="0" applyFill="0" applyBorder="0" applyAlignment="0" applyProtection="0">
      <alignment horizontal="right"/>
    </xf>
    <xf numFmtId="179" fontId="16"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6" fillId="0" borderId="0" applyFont="0" applyFill="0" applyBorder="0" applyAlignment="0" applyProtection="0">
      <alignment vertical="top"/>
    </xf>
    <xf numFmtId="0" fontId="93" fillId="0" borderId="0" applyFont="0" applyFill="0" applyBorder="0" applyAlignment="0" applyProtection="0">
      <alignment horizontal="right"/>
    </xf>
    <xf numFmtId="169" fontId="16" fillId="0" borderId="0" applyFont="0" applyFill="0" applyBorder="0" applyAlignment="0" applyProtection="0"/>
    <xf numFmtId="0" fontId="16" fillId="0" borderId="0"/>
    <xf numFmtId="169" fontId="16" fillId="0" borderId="0" applyFont="0" applyFill="0" applyBorder="0" applyAlignment="0" applyProtection="0"/>
    <xf numFmtId="169" fontId="16" fillId="0" borderId="0" applyFont="0" applyFill="0" applyBorder="0" applyAlignment="0" applyProtection="0"/>
    <xf numFmtId="164" fontId="16" fillId="0" borderId="0" applyFont="0" applyFill="0" applyBorder="0" applyAlignment="0" applyProtection="0"/>
    <xf numFmtId="179" fontId="69" fillId="0" borderId="0" applyFont="0" applyFill="0" applyBorder="0" applyAlignment="0" applyProtection="0"/>
    <xf numFmtId="43" fontId="16" fillId="0" borderId="0" applyFont="0" applyFill="0" applyBorder="0" applyAlignment="0" applyProtection="0"/>
    <xf numFmtId="0" fontId="93" fillId="0" borderId="0" applyFont="0" applyFill="0" applyBorder="0" applyAlignment="0" applyProtection="0">
      <alignment horizontal="right"/>
    </xf>
    <xf numFmtId="164" fontId="16" fillId="0" borderId="0" applyFont="0" applyFill="0" applyBorder="0" applyAlignment="0" applyProtection="0"/>
    <xf numFmtId="0" fontId="93" fillId="0" borderId="0" applyFont="0" applyFill="0" applyBorder="0" applyAlignment="0" applyProtection="0">
      <alignment horizontal="right"/>
    </xf>
    <xf numFmtId="169"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94" fillId="0" borderId="0" applyFont="0" applyFill="0" applyBorder="0" applyAlignment="0" applyProtection="0"/>
    <xf numFmtId="169" fontId="94"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9" fontId="16"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16" fillId="0" borderId="0" applyFont="0" applyFill="0" applyBorder="0" applyAlignment="0" applyProtection="0"/>
    <xf numFmtId="4" fontId="45" fillId="0" borderId="0" applyFont="0" applyFill="0" applyBorder="0" applyAlignment="0" applyProtection="0"/>
    <xf numFmtId="0" fontId="69" fillId="0" borderId="0" applyFont="0" applyFill="0" applyBorder="0" applyAlignment="0" applyProtection="0"/>
    <xf numFmtId="0" fontId="6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6" fillId="0" borderId="0" applyFont="0" applyFill="0" applyBorder="0" applyAlignment="0" applyProtection="0"/>
    <xf numFmtId="179"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9" fontId="16" fillId="0" borderId="0" applyFont="0" applyFill="0" applyBorder="0" applyAlignment="0" applyProtection="0"/>
    <xf numFmtId="179" fontId="16" fillId="0" borderId="0" applyFont="0" applyFill="0" applyBorder="0" applyAlignment="0" applyProtection="0"/>
    <xf numFmtId="169" fontId="1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207" fontId="1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4" fontId="1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97" fillId="0" borderId="0" applyFont="0" applyFill="0" applyBorder="0" applyAlignment="0" applyProtection="0"/>
    <xf numFmtId="179" fontId="97" fillId="0" borderId="0" applyFont="0" applyFill="0" applyBorder="0" applyAlignment="0" applyProtection="0"/>
    <xf numFmtId="43" fontId="16" fillId="0" borderId="0" applyFont="0" applyFill="0" applyBorder="0" applyAlignment="0" applyProtection="0"/>
    <xf numFmtId="207" fontId="16" fillId="0" borderId="0" applyFont="0" applyFill="0" applyBorder="0" applyAlignment="0" applyProtection="0"/>
    <xf numFmtId="0" fontId="16" fillId="0" borderId="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0" fontId="5" fillId="0" borderId="0" applyFont="0" applyFill="0" applyBorder="0" applyAlignment="0" applyProtection="0"/>
    <xf numFmtId="4" fontId="45" fillId="0" borderId="0" applyFont="0" applyFill="0" applyBorder="0" applyAlignment="0" applyProtection="0"/>
    <xf numFmtId="169" fontId="69" fillId="0" borderId="0" applyFont="0" applyFill="0" applyBorder="0" applyAlignment="0" applyProtection="0"/>
    <xf numFmtId="169"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9" fontId="4" fillId="0" borderId="0" applyFont="0" applyFill="0" applyBorder="0" applyAlignment="0" applyProtection="0"/>
    <xf numFmtId="17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16" fillId="0" borderId="0" applyFont="0" applyFill="0" applyBorder="0" applyAlignment="0" applyProtection="0"/>
    <xf numFmtId="179" fontId="69" fillId="0" borderId="0" applyFont="0" applyFill="0" applyBorder="0" applyAlignment="0" applyProtection="0"/>
    <xf numFmtId="43" fontId="16" fillId="0" borderId="0" applyFont="0" applyFill="0" applyBorder="0" applyAlignment="0" applyProtection="0"/>
    <xf numFmtId="169" fontId="4"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9" fontId="69" fillId="0" borderId="0" applyFont="0" applyFill="0" applyBorder="0" applyAlignment="0" applyProtection="0"/>
    <xf numFmtId="169" fontId="69" fillId="0" borderId="0" applyFont="0" applyFill="0" applyBorder="0" applyAlignment="0" applyProtection="0"/>
    <xf numFmtId="169" fontId="16" fillId="0" borderId="0" applyFont="0" applyFill="0" applyBorder="0" applyAlignment="0" applyProtection="0"/>
    <xf numFmtId="179" fontId="69"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79" fontId="69" fillId="0" borderId="0" applyFont="0" applyFill="0" applyBorder="0" applyAlignment="0" applyProtection="0"/>
    <xf numFmtId="169" fontId="69" fillId="0" borderId="0" applyFont="0" applyFill="0" applyBorder="0" applyAlignment="0" applyProtection="0"/>
    <xf numFmtId="179" fontId="69" fillId="0" borderId="0" applyFont="0" applyFill="0" applyBorder="0" applyAlignment="0" applyProtection="0"/>
    <xf numFmtId="43" fontId="16" fillId="0" borderId="0" applyFont="0" applyFill="0" applyBorder="0" applyAlignment="0" applyProtection="0"/>
    <xf numFmtId="179" fontId="69" fillId="0" borderId="0" applyFont="0" applyFill="0" applyBorder="0" applyAlignment="0" applyProtection="0"/>
    <xf numFmtId="169" fontId="69" fillId="0" borderId="0" applyFont="0" applyFill="0" applyBorder="0" applyAlignment="0" applyProtection="0"/>
    <xf numFmtId="179" fontId="69" fillId="0" borderId="0" applyFont="0" applyFill="0" applyBorder="0" applyAlignment="0" applyProtection="0"/>
    <xf numFmtId="169" fontId="69" fillId="0" borderId="0" applyFont="0" applyFill="0" applyBorder="0" applyAlignment="0" applyProtection="0"/>
    <xf numFmtId="179" fontId="69" fillId="0" borderId="0" applyFont="0" applyFill="0" applyBorder="0" applyAlignment="0" applyProtection="0"/>
    <xf numFmtId="169" fontId="69" fillId="0" borderId="0" applyFont="0" applyFill="0" applyBorder="0" applyAlignment="0" applyProtection="0"/>
    <xf numFmtId="179" fontId="69" fillId="0" borderId="0" applyFont="0" applyFill="0" applyBorder="0" applyAlignment="0" applyProtection="0"/>
    <xf numFmtId="169" fontId="69" fillId="0" borderId="0" applyFont="0" applyFill="0" applyBorder="0" applyAlignment="0" applyProtection="0"/>
    <xf numFmtId="169" fontId="16" fillId="0" borderId="0" applyFont="0" applyFill="0" applyBorder="0" applyAlignment="0" applyProtection="0"/>
    <xf numFmtId="169" fontId="69"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4" fillId="0" borderId="0" applyFont="0" applyFill="0" applyBorder="0" applyAlignment="0" applyProtection="0"/>
    <xf numFmtId="169" fontId="16"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4" fillId="0" borderId="0" applyFont="0" applyFill="0" applyBorder="0" applyAlignment="0" applyProtection="0"/>
    <xf numFmtId="169" fontId="16"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4" fillId="0" borderId="0" applyFont="0" applyFill="0" applyBorder="0" applyAlignment="0" applyProtection="0"/>
    <xf numFmtId="169" fontId="16"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4" fillId="0" borderId="0" applyFont="0" applyFill="0" applyBorder="0" applyAlignment="0" applyProtection="0"/>
    <xf numFmtId="169" fontId="16"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4" fillId="0" borderId="0" applyFont="0" applyFill="0" applyBorder="0" applyAlignment="0" applyProtection="0"/>
    <xf numFmtId="169" fontId="16" fillId="0" borderId="0" applyFont="0" applyFill="0" applyBorder="0" applyAlignment="0" applyProtection="0"/>
    <xf numFmtId="169" fontId="4"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4" fillId="0" borderId="0" applyFont="0" applyFill="0" applyBorder="0" applyAlignment="0" applyProtection="0"/>
    <xf numFmtId="169" fontId="16" fillId="0" borderId="0" applyFont="0" applyFill="0" applyBorder="0" applyAlignment="0" applyProtection="0"/>
    <xf numFmtId="169" fontId="4"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69" fillId="0" borderId="0" applyFont="0" applyFill="0" applyBorder="0" applyAlignment="0" applyProtection="0"/>
    <xf numFmtId="0" fontId="16" fillId="0" borderId="0"/>
    <xf numFmtId="169" fontId="16" fillId="0" borderId="0" applyFont="0" applyFill="0" applyBorder="0" applyAlignment="0" applyProtection="0"/>
    <xf numFmtId="169" fontId="69"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98"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69" fillId="0" borderId="0" applyFont="0" applyFill="0" applyBorder="0" applyAlignment="0" applyProtection="0"/>
    <xf numFmtId="0" fontId="16" fillId="0" borderId="0"/>
    <xf numFmtId="0" fontId="16" fillId="0" borderId="0"/>
    <xf numFmtId="0" fontId="16" fillId="0" borderId="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9" fontId="69" fillId="0" borderId="0" applyFont="0" applyFill="0" applyBorder="0" applyAlignment="0" applyProtection="0"/>
    <xf numFmtId="0" fontId="16" fillId="0" borderId="0"/>
    <xf numFmtId="0" fontId="16" fillId="0" borderId="0"/>
    <xf numFmtId="4" fontId="45" fillId="0" borderId="0" applyFont="0" applyFill="0" applyBorder="0" applyAlignment="0" applyProtection="0"/>
    <xf numFmtId="0" fontId="16" fillId="0" borderId="0"/>
    <xf numFmtId="0" fontId="16" fillId="0" borderId="0"/>
    <xf numFmtId="4" fontId="45" fillId="0" borderId="0" applyFont="0" applyFill="0" applyBorder="0" applyAlignment="0" applyProtection="0"/>
    <xf numFmtId="0" fontId="16" fillId="0" borderId="0"/>
    <xf numFmtId="0" fontId="16" fillId="0" borderId="0"/>
    <xf numFmtId="4" fontId="45" fillId="0" borderId="0" applyFont="0" applyFill="0" applyBorder="0" applyAlignment="0" applyProtection="0"/>
    <xf numFmtId="0" fontId="16" fillId="0" borderId="0"/>
    <xf numFmtId="0" fontId="16" fillId="0" borderId="0"/>
    <xf numFmtId="4" fontId="45" fillId="0" borderId="0" applyFont="0" applyFill="0" applyBorder="0" applyAlignment="0" applyProtection="0"/>
    <xf numFmtId="0" fontId="16" fillId="0" borderId="0"/>
    <xf numFmtId="0" fontId="16" fillId="0" borderId="0"/>
    <xf numFmtId="4" fontId="4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08" fontId="69" fillId="0" borderId="0" applyFont="0" applyFill="0" applyBorder="0" applyAlignment="0" applyProtection="0"/>
    <xf numFmtId="43" fontId="16" fillId="0" borderId="0" applyFont="0" applyFill="0" applyBorder="0" applyAlignment="0" applyProtection="0"/>
    <xf numFmtId="208" fontId="69" fillId="0" borderId="0" applyFont="0" applyFill="0" applyBorder="0" applyAlignment="0" applyProtection="0"/>
    <xf numFmtId="208" fontId="69" fillId="0" borderId="0" applyFont="0" applyFill="0" applyBorder="0" applyAlignment="0" applyProtection="0"/>
    <xf numFmtId="208" fontId="69" fillId="0" borderId="0" applyFont="0" applyFill="0" applyBorder="0" applyAlignment="0" applyProtection="0"/>
    <xf numFmtId="208" fontId="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09" fontId="16" fillId="0" borderId="0" applyFont="0" applyFill="0" applyBorder="0" applyAlignment="0" applyProtection="0"/>
    <xf numFmtId="169"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209" fontId="16" fillId="0" borderId="0" applyFont="0" applyFill="0" applyBorder="0" applyAlignment="0" applyProtection="0"/>
    <xf numFmtId="209" fontId="16" fillId="0" borderId="0" applyFont="0" applyFill="0" applyBorder="0" applyAlignment="0" applyProtection="0"/>
    <xf numFmtId="209" fontId="16" fillId="0" borderId="0" applyFont="0" applyFill="0" applyBorder="0" applyAlignment="0" applyProtection="0"/>
    <xf numFmtId="209" fontId="16"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99" fillId="0" borderId="0" applyNumberFormat="0" applyFill="0" applyBorder="0" applyAlignment="0" applyProtection="0"/>
    <xf numFmtId="0" fontId="100" fillId="0" borderId="0"/>
    <xf numFmtId="0" fontId="45" fillId="0" borderId="0"/>
    <xf numFmtId="0" fontId="99" fillId="0" borderId="0" applyNumberFormat="0" applyFill="0" applyBorder="0" applyAlignment="0" applyProtection="0"/>
    <xf numFmtId="0" fontId="100" fillId="0" borderId="0"/>
    <xf numFmtId="0" fontId="45" fillId="0" borderId="0"/>
    <xf numFmtId="0" fontId="45" fillId="0" borderId="0"/>
    <xf numFmtId="0" fontId="101" fillId="85" borderId="0" applyBorder="0">
      <alignment horizontal="left"/>
    </xf>
    <xf numFmtId="0" fontId="102" fillId="86" borderId="0" applyNumberFormat="0" applyBorder="0">
      <alignment horizontal="left"/>
    </xf>
    <xf numFmtId="41" fontId="16" fillId="0" borderId="0" applyFont="0" applyFill="0" applyBorder="0" applyAlignment="0" applyProtection="0"/>
    <xf numFmtId="41" fontId="16" fillId="0" borderId="0" applyFont="0" applyFill="0" applyBorder="0" applyAlignment="0" applyProtection="0"/>
    <xf numFmtId="195" fontId="39" fillId="0" borderId="0" applyFill="0" applyBorder="0">
      <alignment horizontal="left"/>
    </xf>
    <xf numFmtId="0" fontId="16" fillId="0" borderId="0"/>
    <xf numFmtId="0" fontId="103" fillId="87" borderId="0"/>
    <xf numFmtId="10" fontId="16" fillId="0" borderId="0"/>
    <xf numFmtId="0" fontId="104" fillId="0" borderId="0" applyNumberFormat="0" applyAlignment="0">
      <alignment horizontal="left"/>
    </xf>
    <xf numFmtId="210" fontId="105" fillId="0" borderId="0"/>
    <xf numFmtId="0" fontId="45" fillId="0" borderId="41"/>
    <xf numFmtId="211" fontId="106" fillId="0" borderId="0"/>
    <xf numFmtId="199" fontId="16" fillId="0" borderId="0" applyFont="0" applyFill="0" applyBorder="0" applyAlignment="0" applyProtection="0"/>
    <xf numFmtId="165" fontId="107" fillId="0" borderId="42">
      <protection locked="0"/>
    </xf>
    <xf numFmtId="0" fontId="93" fillId="0" borderId="0" applyFont="0" applyFill="0" applyBorder="0" applyAlignment="0" applyProtection="0">
      <alignment horizontal="right"/>
    </xf>
    <xf numFmtId="168" fontId="4" fillId="0" borderId="0" applyFont="0" applyFill="0" applyBorder="0" applyAlignment="0" applyProtection="0"/>
    <xf numFmtId="168" fontId="4" fillId="0" borderId="0" applyFont="0" applyFill="0" applyBorder="0" applyAlignment="0" applyProtection="0"/>
    <xf numFmtId="212" fontId="16" fillId="0" borderId="0" applyFont="0" applyFill="0" applyBorder="0" applyAlignment="0" applyProtection="0"/>
    <xf numFmtId="44" fontId="16" fillId="0" borderId="0" applyFont="0" applyFill="0" applyBorder="0" applyAlignment="0" applyProtection="0"/>
    <xf numFmtId="0" fontId="93" fillId="0" borderId="0" applyFont="0" applyFill="0" applyBorder="0" applyAlignment="0" applyProtection="0">
      <alignment horizontal="right"/>
    </xf>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4" fontId="16" fillId="0" borderId="0" applyFont="0" applyFill="0" applyBorder="0" applyAlignment="0" applyProtection="0"/>
    <xf numFmtId="21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212" fontId="1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8" fontId="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8" fontId="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8" fontId="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0" fontId="99" fillId="0" borderId="0" applyNumberFormat="0" applyFill="0" applyBorder="0" applyAlignment="0" applyProtection="0"/>
    <xf numFmtId="0" fontId="6" fillId="0" borderId="0" applyFont="0" applyFill="0" applyBorder="0" applyAlignment="0" applyProtection="0"/>
    <xf numFmtId="0" fontId="5" fillId="39" borderId="43" applyNumberFormat="0" applyFont="0" applyBorder="0" applyAlignment="0" applyProtection="0"/>
    <xf numFmtId="10" fontId="16" fillId="0" borderId="0" applyFont="0" applyFill="0" applyBorder="0" applyProtection="0">
      <alignment horizontal="center"/>
    </xf>
    <xf numFmtId="214" fontId="16" fillId="0" borderId="0" applyFont="0" applyFill="0" applyBorder="0" applyProtection="0"/>
    <xf numFmtId="215" fontId="16" fillId="0" borderId="0" applyFont="0" applyFill="0" applyBorder="0" applyProtection="0"/>
    <xf numFmtId="216" fontId="108" fillId="0" borderId="37" applyNumberFormat="0" applyFill="0" applyBorder="0" applyAlignment="0">
      <protection locked="0"/>
    </xf>
    <xf numFmtId="0" fontId="79" fillId="0" borderId="0" applyNumberFormat="0" applyBorder="0" applyAlignment="0">
      <alignment horizontal="center"/>
    </xf>
    <xf numFmtId="0" fontId="79" fillId="88" borderId="0" applyNumberFormat="0" applyBorder="0" applyAlignment="0">
      <alignment horizontal="center"/>
    </xf>
    <xf numFmtId="0" fontId="109" fillId="89" borderId="0" applyNumberFormat="0" applyBorder="0" applyAlignment="0"/>
    <xf numFmtId="0" fontId="110" fillId="89" borderId="0">
      <alignment horizontal="centerContinuous"/>
    </xf>
    <xf numFmtId="210" fontId="79" fillId="0" borderId="0">
      <protection locked="0"/>
    </xf>
    <xf numFmtId="210" fontId="79" fillId="0" borderId="0">
      <alignment horizontal="center"/>
      <protection locked="0"/>
    </xf>
    <xf numFmtId="14" fontId="37" fillId="0" borderId="0"/>
    <xf numFmtId="0" fontId="45" fillId="0" borderId="0"/>
    <xf numFmtId="0" fontId="93" fillId="0" borderId="0" applyFont="0" applyFill="0" applyBorder="0" applyAlignment="0" applyProtection="0"/>
    <xf numFmtId="14" fontId="46" fillId="0" borderId="0" applyFill="0" applyBorder="0" applyAlignment="0"/>
    <xf numFmtId="14" fontId="37" fillId="0" borderId="0"/>
    <xf numFmtId="217" fontId="7" fillId="0" borderId="0"/>
    <xf numFmtId="14" fontId="16" fillId="0" borderId="0"/>
    <xf numFmtId="14" fontId="16" fillId="0" borderId="0"/>
    <xf numFmtId="38" fontId="5" fillId="0" borderId="44">
      <alignment vertical="center"/>
    </xf>
    <xf numFmtId="41" fontId="16" fillId="0" borderId="0" applyFont="0" applyFill="0" applyBorder="0" applyAlignment="0" applyProtection="0"/>
    <xf numFmtId="43" fontId="16" fillId="0" borderId="0" applyFont="0" applyFill="0" applyBorder="0" applyAlignment="0" applyProtection="0"/>
    <xf numFmtId="0" fontId="111" fillId="0" borderId="0">
      <protection locked="0"/>
    </xf>
    <xf numFmtId="218" fontId="16" fillId="0" borderId="0"/>
    <xf numFmtId="0" fontId="93" fillId="0" borderId="45" applyNumberFormat="0" applyFont="0" applyFill="0" applyAlignment="0" applyProtection="0"/>
    <xf numFmtId="219" fontId="16" fillId="0" borderId="0">
      <alignment horizontal="right"/>
    </xf>
    <xf numFmtId="49" fontId="16" fillId="0" borderId="0">
      <alignment horizontal="left"/>
    </xf>
    <xf numFmtId="0" fontId="82" fillId="0" borderId="0" applyNumberFormat="0" applyFill="0" applyBorder="0" applyAlignment="0" applyProtection="0"/>
    <xf numFmtId="0" fontId="112" fillId="0" borderId="0">
      <protection locked="0"/>
    </xf>
    <xf numFmtId="0" fontId="112" fillId="0" borderId="0">
      <protection locked="0"/>
    </xf>
    <xf numFmtId="203" fontId="71" fillId="0" borderId="0" applyFill="0" applyBorder="0" applyAlignment="0"/>
    <xf numFmtId="199" fontId="71" fillId="0" borderId="0" applyFill="0" applyBorder="0" applyAlignment="0"/>
    <xf numFmtId="203" fontId="71" fillId="0" borderId="0" applyFill="0" applyBorder="0" applyAlignment="0"/>
    <xf numFmtId="204" fontId="71" fillId="0" borderId="0" applyFill="0" applyBorder="0" applyAlignment="0"/>
    <xf numFmtId="199" fontId="71" fillId="0" borderId="0" applyFill="0" applyBorder="0" applyAlignment="0"/>
    <xf numFmtId="0" fontId="113" fillId="0" borderId="0" applyNumberFormat="0" applyAlignment="0">
      <alignment horizontal="left"/>
    </xf>
    <xf numFmtId="0" fontId="103" fillId="0" borderId="0" applyFill="0"/>
    <xf numFmtId="220" fontId="16" fillId="0" borderId="0" applyFont="0" applyFill="0" applyBorder="0" applyAlignment="0" applyProtection="0"/>
    <xf numFmtId="220" fontId="16" fillId="0" borderId="0" applyFont="0" applyFill="0" applyBorder="0" applyAlignment="0" applyProtection="0"/>
    <xf numFmtId="221" fontId="114" fillId="0" borderId="0"/>
    <xf numFmtId="0" fontId="115" fillId="0" borderId="0" applyNumberFormat="0" applyFill="0" applyBorder="0" applyAlignment="0" applyProtection="0"/>
    <xf numFmtId="0" fontId="33" fillId="0" borderId="0" applyNumberFormat="0" applyFill="0" applyBorder="0" applyAlignment="0" applyProtection="0"/>
    <xf numFmtId="0" fontId="6" fillId="0" borderId="0" applyNumberFormat="0" applyFill="0" applyBorder="0" applyAlignment="0" applyProtection="0"/>
    <xf numFmtId="49" fontId="116" fillId="0" borderId="0" applyNumberFormat="0" applyFill="0" applyBorder="0" applyProtection="0">
      <alignment horizontal="center" vertical="top"/>
    </xf>
    <xf numFmtId="222" fontId="117" fillId="0" borderId="0" applyBorder="0">
      <alignment horizontal="right" vertical="top"/>
    </xf>
    <xf numFmtId="223" fontId="116" fillId="0" borderId="0" applyBorder="0">
      <alignment horizontal="right" vertical="top"/>
    </xf>
    <xf numFmtId="223" fontId="117" fillId="0" borderId="0" applyBorder="0">
      <alignment horizontal="right" vertical="top"/>
    </xf>
    <xf numFmtId="224" fontId="116" fillId="0" borderId="0" applyFill="0" applyBorder="0">
      <alignment horizontal="right" vertical="top"/>
    </xf>
    <xf numFmtId="225" fontId="116" fillId="0" borderId="0" applyFill="0" applyBorder="0">
      <alignment horizontal="right" vertical="top"/>
    </xf>
    <xf numFmtId="226" fontId="116" fillId="0" borderId="0" applyFill="0" applyBorder="0">
      <alignment horizontal="right" vertical="top"/>
    </xf>
    <xf numFmtId="227" fontId="116" fillId="0" borderId="0" applyFill="0" applyBorder="0">
      <alignment horizontal="right" vertical="top"/>
    </xf>
    <xf numFmtId="0" fontId="118" fillId="0" borderId="0">
      <alignment horizontal="left"/>
    </xf>
    <xf numFmtId="0" fontId="118" fillId="0" borderId="46">
      <alignment horizontal="right" wrapText="1"/>
    </xf>
    <xf numFmtId="228" fontId="119" fillId="0" borderId="46">
      <alignment horizontal="left"/>
    </xf>
    <xf numFmtId="0" fontId="10" fillId="0" borderId="0">
      <alignment vertical="center"/>
    </xf>
    <xf numFmtId="229" fontId="10" fillId="0" borderId="0">
      <alignment horizontal="left" vertical="center"/>
    </xf>
    <xf numFmtId="230" fontId="120" fillId="0" borderId="0">
      <alignment vertical="center"/>
    </xf>
    <xf numFmtId="0" fontId="8" fillId="0" borderId="0">
      <alignment vertical="center"/>
    </xf>
    <xf numFmtId="228" fontId="119" fillId="0" borderId="46">
      <alignment horizontal="left"/>
    </xf>
    <xf numFmtId="228" fontId="116" fillId="0" borderId="0">
      <alignment horizontal="center"/>
    </xf>
    <xf numFmtId="228" fontId="121" fillId="0" borderId="46">
      <alignment horizontal="center"/>
    </xf>
    <xf numFmtId="41" fontId="116" fillId="0" borderId="46" applyFill="0" applyBorder="0" applyProtection="0">
      <alignment horizontal="right" vertical="top"/>
    </xf>
    <xf numFmtId="229" fontId="122" fillId="0" borderId="0">
      <alignment horizontal="left" vertical="center"/>
    </xf>
    <xf numFmtId="228" fontId="122" fillId="0" borderId="0"/>
    <xf numFmtId="228" fontId="72" fillId="0" borderId="0"/>
    <xf numFmtId="228" fontId="123" fillId="0" borderId="0"/>
    <xf numFmtId="228" fontId="16" fillId="0" borderId="0"/>
    <xf numFmtId="228" fontId="16" fillId="0" borderId="0"/>
    <xf numFmtId="228" fontId="124" fillId="0" borderId="0">
      <alignment horizontal="left" vertical="top"/>
    </xf>
    <xf numFmtId="0" fontId="116" fillId="0" borderId="0" applyFill="0" applyBorder="0">
      <alignment horizontal="left" vertical="top" wrapText="1"/>
    </xf>
    <xf numFmtId="0" fontId="125" fillId="0" borderId="0">
      <alignment horizontal="left" vertical="top" wrapText="1"/>
    </xf>
    <xf numFmtId="0" fontId="126" fillId="0" borderId="0">
      <alignment horizontal="left" vertical="top" wrapText="1"/>
    </xf>
    <xf numFmtId="0" fontId="117" fillId="0" borderId="0">
      <alignment horizontal="left" vertical="top" wrapText="1"/>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7" fontId="16" fillId="0" borderId="0"/>
    <xf numFmtId="231" fontId="16" fillId="0" borderId="0"/>
    <xf numFmtId="0" fontId="16" fillId="0" borderId="0"/>
    <xf numFmtId="0" fontId="66" fillId="0" borderId="47" applyNumberFormat="0" applyFill="0" applyBorder="0" applyAlignment="0"/>
    <xf numFmtId="0" fontId="111" fillId="0" borderId="0">
      <protection locked="0"/>
    </xf>
    <xf numFmtId="0" fontId="111" fillId="0" borderId="0">
      <protection locked="0"/>
    </xf>
    <xf numFmtId="164" fontId="127" fillId="0" borderId="0" applyBorder="0">
      <alignment horizontal="right"/>
    </xf>
    <xf numFmtId="191" fontId="7" fillId="0" borderId="0"/>
    <xf numFmtId="2" fontId="128" fillId="0" borderId="0" applyFont="0" applyFill="0" applyBorder="0" applyAlignment="0" applyProtection="0"/>
    <xf numFmtId="0" fontId="129" fillId="0" borderId="0" applyFill="0" applyBorder="0" applyProtection="0">
      <alignment horizontal="left"/>
    </xf>
    <xf numFmtId="0" fontId="130" fillId="0" borderId="0">
      <alignment horizontal="left"/>
    </xf>
    <xf numFmtId="0" fontId="87" fillId="0" borderId="0" applyFill="0" applyBorder="0" applyProtection="0">
      <alignment horizontal="left"/>
    </xf>
    <xf numFmtId="0" fontId="16" fillId="39" borderId="0" applyFont="0" applyAlignment="0"/>
    <xf numFmtId="232" fontId="16" fillId="0" borderId="0" applyFont="0" applyFill="0" applyBorder="0" applyAlignment="0" applyProtection="0"/>
    <xf numFmtId="0" fontId="71" fillId="0" borderId="0" applyFont="0" applyFill="0" applyBorder="0" applyAlignment="0" applyProtection="0"/>
    <xf numFmtId="233" fontId="16" fillId="0" borderId="0" applyFont="0" applyFill="0" applyBorder="0" applyAlignment="0" applyProtection="0"/>
    <xf numFmtId="0" fontId="103" fillId="87" borderId="0">
      <alignment horizontal="left"/>
    </xf>
    <xf numFmtId="0" fontId="45" fillId="0" borderId="0" applyFont="0" applyFill="0" applyBorder="0" applyAlignment="0" applyProtection="0"/>
    <xf numFmtId="234" fontId="131" fillId="0" borderId="0">
      <alignment horizontal="center"/>
    </xf>
    <xf numFmtId="0" fontId="24" fillId="4" borderId="0" applyNumberFormat="0" applyBorder="0" applyAlignment="0" applyProtection="0"/>
    <xf numFmtId="0" fontId="24" fillId="4" borderId="0" applyNumberFormat="0" applyBorder="0" applyAlignment="0" applyProtection="0"/>
    <xf numFmtId="0" fontId="132" fillId="45" borderId="0" applyNumberFormat="0" applyBorder="0" applyAlignment="0" applyProtection="0"/>
    <xf numFmtId="0" fontId="24" fillId="4" borderId="0" applyNumberFormat="0" applyBorder="0" applyAlignment="0" applyProtection="0"/>
    <xf numFmtId="0" fontId="133" fillId="0" borderId="0" applyFont="0" applyFill="0" applyBorder="0" applyAlignment="0">
      <alignment horizontal="left"/>
    </xf>
    <xf numFmtId="38" fontId="134" fillId="90" borderId="0" applyNumberFormat="0" applyBorder="0" applyAlignment="0" applyProtection="0"/>
    <xf numFmtId="0" fontId="14" fillId="79" borderId="13" applyAlignment="0" applyProtection="0"/>
    <xf numFmtId="0" fontId="16" fillId="90" borderId="33" applyNumberFormat="0" applyFont="0" applyBorder="0" applyAlignment="0" applyProtection="0">
      <alignment horizontal="center"/>
    </xf>
    <xf numFmtId="0" fontId="14" fillId="90" borderId="25"/>
    <xf numFmtId="0" fontId="16" fillId="91" borderId="43" applyNumberFormat="0" applyFont="0" applyBorder="0" applyAlignment="0"/>
    <xf numFmtId="235" fontId="135" fillId="85" borderId="0" applyBorder="0" applyAlignment="0"/>
    <xf numFmtId="0" fontId="93" fillId="0" borderId="0" applyFont="0" applyFill="0" applyBorder="0" applyAlignment="0" applyProtection="0">
      <alignment horizontal="right"/>
    </xf>
    <xf numFmtId="0" fontId="136" fillId="0" borderId="0" applyProtection="0">
      <alignment horizontal="right"/>
    </xf>
    <xf numFmtId="191" fontId="137" fillId="90" borderId="48" applyBorder="0">
      <alignment horizontal="left" vertical="center" indent="1"/>
    </xf>
    <xf numFmtId="191" fontId="138" fillId="85" borderId="37" applyBorder="0" applyAlignment="0">
      <alignment horizontal="left" vertical="center" indent="1"/>
    </xf>
    <xf numFmtId="0" fontId="13" fillId="0" borderId="29" applyNumberFormat="0" applyAlignment="0" applyProtection="0">
      <alignment horizontal="left" vertical="center"/>
    </xf>
    <xf numFmtId="0" fontId="13" fillId="0" borderId="13">
      <alignment horizontal="left" vertical="center"/>
    </xf>
    <xf numFmtId="0" fontId="137" fillId="0" borderId="35" applyNumberFormat="0" applyFill="0">
      <alignment horizontal="centerContinuous" vertical="top"/>
    </xf>
    <xf numFmtId="0" fontId="139" fillId="76" borderId="49" applyNumberFormat="0" applyBorder="0">
      <alignment horizontal="left" vertical="center" indent="1"/>
    </xf>
    <xf numFmtId="0" fontId="140" fillId="82" borderId="33">
      <alignment horizontal="centerContinuous"/>
    </xf>
    <xf numFmtId="0" fontId="141" fillId="0" borderId="50" applyNumberFormat="0" applyFill="0" applyAlignment="0" applyProtection="0"/>
    <xf numFmtId="0" fontId="21" fillId="0" borderId="15" applyNumberFormat="0" applyFill="0" applyAlignment="0" applyProtection="0"/>
    <xf numFmtId="0" fontId="142" fillId="0" borderId="51" applyNumberFormat="0" applyFill="0" applyAlignment="0" applyProtection="0"/>
    <xf numFmtId="0" fontId="22" fillId="0" borderId="16" applyNumberFormat="0" applyFill="0" applyAlignment="0" applyProtection="0"/>
    <xf numFmtId="0" fontId="143" fillId="0" borderId="52" applyNumberFormat="0" applyFill="0" applyAlignment="0" applyProtection="0"/>
    <xf numFmtId="0" fontId="23" fillId="0" borderId="17" applyNumberFormat="0" applyFill="0" applyAlignment="0" applyProtection="0"/>
    <xf numFmtId="0" fontId="143" fillId="0" borderId="0" applyNumberFormat="0" applyFill="0" applyBorder="0" applyAlignment="0" applyProtection="0"/>
    <xf numFmtId="0" fontId="23" fillId="0" borderId="0" applyNumberFormat="0" applyFill="0" applyBorder="0" applyAlignment="0" applyProtection="0"/>
    <xf numFmtId="0" fontId="144" fillId="86" borderId="0" applyNumberFormat="0" applyBorder="0" applyAlignment="0"/>
    <xf numFmtId="3" fontId="16" fillId="92" borderId="33" applyFont="0" applyProtection="0">
      <alignment horizontal="right"/>
    </xf>
    <xf numFmtId="10" fontId="16" fillId="92" borderId="33" applyFont="0" applyProtection="0">
      <alignment horizontal="right"/>
    </xf>
    <xf numFmtId="0" fontId="16" fillId="92" borderId="32" applyNumberFormat="0" applyFont="0" applyBorder="0" applyAlignment="0" applyProtection="0">
      <alignment horizontal="left"/>
    </xf>
    <xf numFmtId="37" fontId="14" fillId="0" borderId="0"/>
    <xf numFmtId="37" fontId="14" fillId="0" borderId="0"/>
    <xf numFmtId="0" fontId="145" fillId="0" borderId="0" applyNumberFormat="0" applyFill="0" applyBorder="0" applyAlignment="0" applyProtection="0">
      <alignment vertical="top"/>
      <protection locked="0"/>
    </xf>
    <xf numFmtId="236" fontId="146" fillId="76" borderId="0" applyNumberFormat="0" applyFont="0" applyBorder="0" applyAlignment="0" applyProtection="0">
      <alignment horizontal="left" indent="1"/>
      <protection hidden="1"/>
    </xf>
    <xf numFmtId="10" fontId="134" fillId="93" borderId="33" applyNumberFormat="0" applyBorder="0" applyAlignment="0" applyProtection="0"/>
    <xf numFmtId="0" fontId="147" fillId="50" borderId="39" applyNumberFormat="0" applyAlignment="0" applyProtection="0"/>
    <xf numFmtId="0" fontId="147" fillId="51" borderId="39" applyNumberFormat="0" applyAlignment="0" applyProtection="0"/>
    <xf numFmtId="0" fontId="27" fillId="7" borderId="18" applyNumberFormat="0" applyAlignment="0" applyProtection="0"/>
    <xf numFmtId="3" fontId="16" fillId="94" borderId="33" applyFont="0">
      <alignment horizontal="right"/>
      <protection locked="0"/>
    </xf>
    <xf numFmtId="237" fontId="16" fillId="0" borderId="0"/>
    <xf numFmtId="0" fontId="148" fillId="0" borderId="0" applyNumberFormat="0">
      <protection locked="0"/>
    </xf>
    <xf numFmtId="0" fontId="149" fillId="0" borderId="0"/>
    <xf numFmtId="0" fontId="133" fillId="0" borderId="0"/>
    <xf numFmtId="41" fontId="16" fillId="0" borderId="0" applyFont="0" applyFill="0" applyBorder="0" applyAlignment="0" applyProtection="0"/>
    <xf numFmtId="43" fontId="16" fillId="0" borderId="0" applyFont="0" applyFill="0" applyBorder="0" applyAlignment="0" applyProtection="0"/>
    <xf numFmtId="38" fontId="150" fillId="0" borderId="0"/>
    <xf numFmtId="38" fontId="151" fillId="0" borderId="0"/>
    <xf numFmtId="38" fontId="152" fillId="0" borderId="0"/>
    <xf numFmtId="38" fontId="153" fillId="0" borderId="0"/>
    <xf numFmtId="0" fontId="40" fillId="0" borderId="0"/>
    <xf numFmtId="0" fontId="40" fillId="0" borderId="0"/>
    <xf numFmtId="0" fontId="154" fillId="90" borderId="0"/>
    <xf numFmtId="0" fontId="155" fillId="0" borderId="0" applyNumberFormat="0" applyFill="0" applyBorder="0">
      <alignment horizontal="right"/>
    </xf>
    <xf numFmtId="0" fontId="155" fillId="0" borderId="0" applyNumberFormat="0" applyFill="0" applyBorder="0">
      <alignment horizontal="right"/>
    </xf>
    <xf numFmtId="164" fontId="127" fillId="0" borderId="13">
      <alignment horizontal="right"/>
    </xf>
    <xf numFmtId="0" fontId="145" fillId="0" borderId="0" applyNumberFormat="0" applyFill="0" applyBorder="0" applyAlignment="0" applyProtection="0">
      <alignment vertical="top"/>
      <protection locked="0"/>
    </xf>
    <xf numFmtId="194" fontId="7" fillId="0" borderId="12">
      <alignment horizontal="right"/>
    </xf>
    <xf numFmtId="194" fontId="7" fillId="0" borderId="0">
      <alignment horizontal="right"/>
    </xf>
    <xf numFmtId="194" fontId="7" fillId="0" borderId="0">
      <alignment horizontal="left"/>
    </xf>
    <xf numFmtId="203" fontId="156" fillId="0" borderId="0" applyFill="0" applyBorder="0" applyAlignment="0"/>
    <xf numFmtId="199" fontId="156" fillId="0" borderId="0" applyFill="0" applyBorder="0" applyAlignment="0"/>
    <xf numFmtId="203" fontId="156" fillId="0" borderId="0" applyFill="0" applyBorder="0" applyAlignment="0"/>
    <xf numFmtId="204" fontId="156" fillId="0" borderId="0" applyFill="0" applyBorder="0" applyAlignment="0"/>
    <xf numFmtId="199" fontId="156" fillId="0" borderId="0" applyFill="0" applyBorder="0" applyAlignment="0"/>
    <xf numFmtId="0" fontId="157" fillId="0" borderId="53" applyNumberFormat="0" applyFill="0" applyAlignment="0" applyProtection="0"/>
    <xf numFmtId="0" fontId="30" fillId="0" borderId="20" applyNumberFormat="0" applyFill="0" applyAlignment="0" applyProtection="0"/>
    <xf numFmtId="169" fontId="13" fillId="90" borderId="0" applyNumberFormat="0" applyFont="0" applyBorder="0" applyAlignment="0"/>
    <xf numFmtId="0" fontId="16" fillId="90" borderId="0"/>
    <xf numFmtId="0" fontId="158" fillId="0" borderId="0"/>
    <xf numFmtId="0" fontId="159" fillId="0" borderId="0" applyNumberFormat="0" applyFill="0" applyBorder="0" applyAlignment="0" applyProtection="0"/>
    <xf numFmtId="0" fontId="160" fillId="0" borderId="0" applyNumberFormat="0" applyFill="0" applyBorder="0" applyAlignment="0" applyProtection="0"/>
    <xf numFmtId="0" fontId="161" fillId="0" borderId="0" applyNumberFormat="0" applyFill="0" applyBorder="0" applyAlignment="0" applyProtection="0"/>
    <xf numFmtId="0" fontId="53" fillId="90" borderId="0"/>
    <xf numFmtId="0" fontId="53" fillId="0" borderId="0"/>
    <xf numFmtId="0" fontId="162" fillId="0" borderId="54">
      <alignment horizontal="left"/>
    </xf>
    <xf numFmtId="0" fontId="46" fillId="0" borderId="55">
      <alignment horizontal="center"/>
    </xf>
    <xf numFmtId="0" fontId="53" fillId="90" borderId="0"/>
    <xf numFmtId="37" fontId="127" fillId="0" borderId="0" applyBorder="0">
      <alignment horizontal="right"/>
    </xf>
    <xf numFmtId="167" fontId="16" fillId="0" borderId="0" applyFont="0" applyFill="0" applyBorder="0" applyAlignment="0" applyProtection="0"/>
    <xf numFmtId="169" fontId="16" fillId="0" borderId="0" applyFont="0" applyFill="0" applyBorder="0" applyAlignment="0" applyProtection="0"/>
    <xf numFmtId="180" fontId="16" fillId="0" borderId="0" applyFont="0" applyFill="0" applyBorder="0" applyAlignment="0" applyProtection="0"/>
    <xf numFmtId="179" fontId="16" fillId="0" borderId="0" applyFont="0" applyFill="0" applyBorder="0" applyAlignment="0" applyProtection="0"/>
    <xf numFmtId="238" fontId="16" fillId="0" borderId="0" applyFont="0" applyFill="0" applyBorder="0" applyAlignment="0" applyProtection="0"/>
    <xf numFmtId="239" fontId="16" fillId="0" borderId="0" applyFont="0" applyFill="0" applyBorder="0" applyAlignment="0" applyProtection="0"/>
    <xf numFmtId="38" fontId="16" fillId="0" borderId="0" applyBorder="0"/>
    <xf numFmtId="14" fontId="41" fillId="0" borderId="0" applyFont="0" applyFill="0" applyBorder="0" applyAlignment="0" applyProtection="0"/>
    <xf numFmtId="0" fontId="103" fillId="87" borderId="0">
      <alignment horizontal="left"/>
    </xf>
    <xf numFmtId="10" fontId="5" fillId="95" borderId="43" applyBorder="0">
      <alignment horizontal="center"/>
      <protection locked="0"/>
    </xf>
    <xf numFmtId="240" fontId="163" fillId="0" borderId="0" applyFont="0" applyFill="0" applyBorder="0" applyAlignment="0" applyProtection="0"/>
    <xf numFmtId="241" fontId="163" fillId="0" borderId="0" applyFont="0" applyFill="0" applyBorder="0" applyAlignment="0" applyProtection="0"/>
    <xf numFmtId="242" fontId="16" fillId="0" borderId="0" applyFont="0" applyFill="0" applyBorder="0" applyAlignment="0" applyProtection="0"/>
    <xf numFmtId="243" fontId="16" fillId="0" borderId="0" applyFont="0" applyFill="0" applyBorder="0" applyAlignment="0" applyProtection="0"/>
    <xf numFmtId="0" fontId="111" fillId="0" borderId="0">
      <protection locked="0"/>
    </xf>
    <xf numFmtId="38" fontId="46" fillId="39" borderId="0"/>
    <xf numFmtId="0" fontId="93" fillId="0" borderId="0" applyFont="0" applyFill="0" applyBorder="0" applyAlignment="0" applyProtection="0">
      <alignment horizontal="right"/>
    </xf>
    <xf numFmtId="38" fontId="14" fillId="0" borderId="0"/>
    <xf numFmtId="244" fontId="16" fillId="0" borderId="0"/>
    <xf numFmtId="244" fontId="16" fillId="0" borderId="0"/>
    <xf numFmtId="0" fontId="26" fillId="6" borderId="0" applyNumberFormat="0" applyBorder="0" applyAlignment="0" applyProtection="0"/>
    <xf numFmtId="0" fontId="26" fillId="6" borderId="0" applyNumberFormat="0" applyBorder="0" applyAlignment="0" applyProtection="0"/>
    <xf numFmtId="0" fontId="164" fillId="37" borderId="0" applyNumberFormat="0" applyBorder="0" applyAlignment="0" applyProtection="0"/>
    <xf numFmtId="0" fontId="26" fillId="6" borderId="0" applyNumberFormat="0" applyBorder="0" applyAlignment="0" applyProtection="0"/>
    <xf numFmtId="0" fontId="165" fillId="90" borderId="56" applyNumberFormat="0" applyFont="0" applyFill="0" applyAlignment="0" applyProtection="0">
      <alignment horizontal="center"/>
    </xf>
    <xf numFmtId="37" fontId="166" fillId="0" borderId="0"/>
    <xf numFmtId="0" fontId="14" fillId="39" borderId="0" applyNumberFormat="0" applyFont="0" applyFill="0" applyBorder="0" applyAlignment="0"/>
    <xf numFmtId="10" fontId="46" fillId="39" borderId="0"/>
    <xf numFmtId="1" fontId="5" fillId="0" borderId="0">
      <alignment horizontal="left"/>
    </xf>
    <xf numFmtId="0" fontId="167" fillId="90" borderId="0">
      <alignment horizontal="right"/>
    </xf>
    <xf numFmtId="0" fontId="168" fillId="0" borderId="0"/>
    <xf numFmtId="0" fontId="16" fillId="0" borderId="0"/>
    <xf numFmtId="245" fontId="169" fillId="0" borderId="0"/>
    <xf numFmtId="0" fontId="168" fillId="0" borderId="57"/>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4" fillId="0" borderId="0"/>
    <xf numFmtId="0" fontId="16" fillId="0" borderId="0"/>
    <xf numFmtId="0" fontId="16"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5" fillId="0" borderId="0"/>
    <xf numFmtId="0" fontId="95" fillId="0" borderId="0"/>
    <xf numFmtId="0" fontId="95" fillId="0" borderId="0"/>
    <xf numFmtId="0" fontId="95" fillId="0" borderId="0"/>
    <xf numFmtId="0" fontId="9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5" fillId="0" borderId="0"/>
    <xf numFmtId="0" fontId="95" fillId="0" borderId="0"/>
    <xf numFmtId="0" fontId="95" fillId="0" borderId="0"/>
    <xf numFmtId="0" fontId="95" fillId="0" borderId="0"/>
    <xf numFmtId="0" fontId="95"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4" fillId="0" borderId="0"/>
    <xf numFmtId="0" fontId="4" fillId="0" borderId="0"/>
    <xf numFmtId="0" fontId="4" fillId="0" borderId="0"/>
    <xf numFmtId="0" fontId="16" fillId="0" borderId="0"/>
    <xf numFmtId="0" fontId="16" fillId="0" borderId="0"/>
    <xf numFmtId="0" fontId="16" fillId="0" borderId="0"/>
    <xf numFmtId="0" fontId="4" fillId="0" borderId="0"/>
    <xf numFmtId="0" fontId="4" fillId="0" borderId="0"/>
    <xf numFmtId="0" fontId="6" fillId="0" borderId="0"/>
    <xf numFmtId="0" fontId="4" fillId="0" borderId="0"/>
    <xf numFmtId="0" fontId="4" fillId="0" borderId="0"/>
    <xf numFmtId="0" fontId="4" fillId="0" borderId="0"/>
    <xf numFmtId="0" fontId="16" fillId="0" borderId="0"/>
    <xf numFmtId="0" fontId="16" fillId="0" borderId="0"/>
    <xf numFmtId="0" fontId="16" fillId="0" borderId="0"/>
    <xf numFmtId="0" fontId="5" fillId="0" borderId="0"/>
    <xf numFmtId="0" fontId="6" fillId="0" borderId="0"/>
    <xf numFmtId="0" fontId="16" fillId="0" borderId="0"/>
    <xf numFmtId="0" fontId="16"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16" fillId="0" borderId="0"/>
    <xf numFmtId="0" fontId="16" fillId="0" borderId="0"/>
    <xf numFmtId="0" fontId="16" fillId="0" borderId="0"/>
    <xf numFmtId="0" fontId="16" fillId="0" borderId="0"/>
    <xf numFmtId="0" fontId="4" fillId="0" borderId="0"/>
    <xf numFmtId="0" fontId="4" fillId="0" borderId="0"/>
    <xf numFmtId="0" fontId="45" fillId="0" borderId="0"/>
    <xf numFmtId="0" fontId="46" fillId="0" borderId="0">
      <alignment vertical="top"/>
    </xf>
    <xf numFmtId="0" fontId="4" fillId="0" borderId="0"/>
    <xf numFmtId="0" fontId="4" fillId="0" borderId="0"/>
    <xf numFmtId="0" fontId="46" fillId="0" borderId="0">
      <alignment vertical="top"/>
    </xf>
    <xf numFmtId="0" fontId="16" fillId="0" borderId="0"/>
    <xf numFmtId="0" fontId="16" fillId="0" borderId="0"/>
    <xf numFmtId="0" fontId="7" fillId="0" borderId="0">
      <alignment vertical="top"/>
    </xf>
    <xf numFmtId="0" fontId="4" fillId="0" borderId="0"/>
    <xf numFmtId="0" fontId="7" fillId="0" borderId="0">
      <alignment vertical="top"/>
    </xf>
    <xf numFmtId="0" fontId="7" fillId="0" borderId="0">
      <alignment vertical="top"/>
    </xf>
    <xf numFmtId="0" fontId="45" fillId="0" borderId="0">
      <alignment horizontal="left" vertical="top" wrapText="1"/>
    </xf>
    <xf numFmtId="0" fontId="16" fillId="0" borderId="0"/>
    <xf numFmtId="0" fontId="16" fillId="0" borderId="0"/>
    <xf numFmtId="0" fontId="4" fillId="0" borderId="0"/>
    <xf numFmtId="39" fontId="170" fillId="0" borderId="0"/>
    <xf numFmtId="0" fontId="16" fillId="0" borderId="0"/>
    <xf numFmtId="0" fontId="69" fillId="0" borderId="0"/>
    <xf numFmtId="0" fontId="16" fillId="0" borderId="0"/>
    <xf numFmtId="0" fontId="69" fillId="0" borderId="0"/>
    <xf numFmtId="0" fontId="16" fillId="0" borderId="0"/>
    <xf numFmtId="39" fontId="170" fillId="0" borderId="0"/>
    <xf numFmtId="39" fontId="170" fillId="0" borderId="0"/>
    <xf numFmtId="0" fontId="69" fillId="0" borderId="0"/>
    <xf numFmtId="0" fontId="69" fillId="0" borderId="0"/>
    <xf numFmtId="0" fontId="4" fillId="0" borderId="0"/>
    <xf numFmtId="0" fontId="4" fillId="0" borderId="0"/>
    <xf numFmtId="0" fontId="4" fillId="0" borderId="0"/>
    <xf numFmtId="0" fontId="4"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71" fillId="0" borderId="0"/>
    <xf numFmtId="0" fontId="171"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16" fillId="0" borderId="0"/>
    <xf numFmtId="0" fontId="16" fillId="0" borderId="0"/>
    <xf numFmtId="0" fontId="16"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95"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4" fillId="0" borderId="0"/>
    <xf numFmtId="0" fontId="95" fillId="0" borderId="0"/>
    <xf numFmtId="0" fontId="95" fillId="0" borderId="0"/>
    <xf numFmtId="0" fontId="95" fillId="0" borderId="0"/>
    <xf numFmtId="0" fontId="95" fillId="0" borderId="0"/>
    <xf numFmtId="0" fontId="95" fillId="0" borderId="0"/>
    <xf numFmtId="0" fontId="6" fillId="0" borderId="0"/>
    <xf numFmtId="0" fontId="16" fillId="0" borderId="0"/>
    <xf numFmtId="0" fontId="16" fillId="0" borderId="0"/>
    <xf numFmtId="0" fontId="16" fillId="0" borderId="0"/>
    <xf numFmtId="0" fontId="4" fillId="0" borderId="0"/>
    <xf numFmtId="0" fontId="4" fillId="0" borderId="0"/>
    <xf numFmtId="0" fontId="4"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46" fillId="0" borderId="0">
      <alignment vertical="top"/>
    </xf>
    <xf numFmtId="0" fontId="16" fillId="0" borderId="0"/>
    <xf numFmtId="0" fontId="16" fillId="0" borderId="0"/>
    <xf numFmtId="0" fontId="69" fillId="0" borderId="0"/>
    <xf numFmtId="0" fontId="16" fillId="0" borderId="0"/>
    <xf numFmtId="0" fontId="69" fillId="0" borderId="0"/>
    <xf numFmtId="0" fontId="16" fillId="0" borderId="0"/>
    <xf numFmtId="0" fontId="69" fillId="0" borderId="0"/>
    <xf numFmtId="0" fontId="16" fillId="0" borderId="0"/>
    <xf numFmtId="0" fontId="69" fillId="0" borderId="0"/>
    <xf numFmtId="0" fontId="16" fillId="0" borderId="0"/>
    <xf numFmtId="0" fontId="69" fillId="0" borderId="0"/>
    <xf numFmtId="0" fontId="16" fillId="0" borderId="0"/>
    <xf numFmtId="0" fontId="97" fillId="0" borderId="0"/>
    <xf numFmtId="0" fontId="16" fillId="0" borderId="0"/>
    <xf numFmtId="0" fontId="16" fillId="0" borderId="0"/>
    <xf numFmtId="0" fontId="95" fillId="0" borderId="0"/>
    <xf numFmtId="0" fontId="69" fillId="0" borderId="0"/>
    <xf numFmtId="0" fontId="95"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171" fillId="0" borderId="0"/>
    <xf numFmtId="0" fontId="95" fillId="0" borderId="0"/>
    <xf numFmtId="0" fontId="171" fillId="0" borderId="0"/>
    <xf numFmtId="0" fontId="95" fillId="0" borderId="0"/>
    <xf numFmtId="0" fontId="4" fillId="0" borderId="0"/>
    <xf numFmtId="0" fontId="95" fillId="0" borderId="0"/>
    <xf numFmtId="0" fontId="4" fillId="0" borderId="0"/>
    <xf numFmtId="0" fontId="95" fillId="0" borderId="0"/>
    <xf numFmtId="0" fontId="95"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16" fillId="0" borderId="0"/>
    <xf numFmtId="0" fontId="16" fillId="0" borderId="0"/>
    <xf numFmtId="0" fontId="46" fillId="0" borderId="0">
      <alignment vertical="top"/>
    </xf>
    <xf numFmtId="0" fontId="69" fillId="0" borderId="0"/>
    <xf numFmtId="0" fontId="69" fillId="0" borderId="0"/>
    <xf numFmtId="0" fontId="69" fillId="0" borderId="0"/>
    <xf numFmtId="0" fontId="16" fillId="0" borderId="0"/>
    <xf numFmtId="0" fontId="4" fillId="0" borderId="0"/>
    <xf numFmtId="0" fontId="46" fillId="0" borderId="0">
      <alignment vertical="top"/>
    </xf>
    <xf numFmtId="0" fontId="16" fillId="0" borderId="0"/>
    <xf numFmtId="0" fontId="16" fillId="0" borderId="0"/>
    <xf numFmtId="0" fontId="16" fillId="0" borderId="0"/>
    <xf numFmtId="0" fontId="16" fillId="0" borderId="0"/>
    <xf numFmtId="0" fontId="69" fillId="0" borderId="0"/>
    <xf numFmtId="0" fontId="46" fillId="0" borderId="0">
      <alignment vertical="top"/>
    </xf>
    <xf numFmtId="0" fontId="69" fillId="0" borderId="0"/>
    <xf numFmtId="0" fontId="46" fillId="0" borderId="0">
      <alignment vertical="top"/>
    </xf>
    <xf numFmtId="0" fontId="16" fillId="0" borderId="0"/>
    <xf numFmtId="0" fontId="16" fillId="0" borderId="0"/>
    <xf numFmtId="0" fontId="4" fillId="0" borderId="0"/>
    <xf numFmtId="0" fontId="4" fillId="0" borderId="0"/>
    <xf numFmtId="0" fontId="69" fillId="0" borderId="0"/>
    <xf numFmtId="0" fontId="16" fillId="0" borderId="0"/>
    <xf numFmtId="0" fontId="16" fillId="0" borderId="0"/>
    <xf numFmtId="0" fontId="16" fillId="0" borderId="0"/>
    <xf numFmtId="0" fontId="16" fillId="0" borderId="0"/>
    <xf numFmtId="0" fontId="16" fillId="0" borderId="0"/>
    <xf numFmtId="0" fontId="4" fillId="0" borderId="0"/>
    <xf numFmtId="0" fontId="69"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45" fillId="0" borderId="0"/>
    <xf numFmtId="0" fontId="16" fillId="0" borderId="0"/>
    <xf numFmtId="0" fontId="69" fillId="0" borderId="0"/>
    <xf numFmtId="0" fontId="16" fillId="0" borderId="0"/>
    <xf numFmtId="0" fontId="69" fillId="0" borderId="0"/>
    <xf numFmtId="0" fontId="16" fillId="0" borderId="0"/>
    <xf numFmtId="0" fontId="171" fillId="0" borderId="0"/>
    <xf numFmtId="0" fontId="16" fillId="0" borderId="0"/>
    <xf numFmtId="0" fontId="171" fillId="0" borderId="0"/>
    <xf numFmtId="0" fontId="16" fillId="0" borderId="0"/>
    <xf numFmtId="0" fontId="95" fillId="0" borderId="0"/>
    <xf numFmtId="0" fontId="95" fillId="0" borderId="0"/>
    <xf numFmtId="0" fontId="95" fillId="0" borderId="0"/>
    <xf numFmtId="0" fontId="95" fillId="0" borderId="0"/>
    <xf numFmtId="0" fontId="95" fillId="0" borderId="0"/>
    <xf numFmtId="0" fontId="5" fillId="0" borderId="0"/>
    <xf numFmtId="0" fontId="172" fillId="0" borderId="0"/>
    <xf numFmtId="39" fontId="170"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16" fillId="0" borderId="0"/>
    <xf numFmtId="0" fontId="95" fillId="0" borderId="0"/>
    <xf numFmtId="0" fontId="95" fillId="0" borderId="0"/>
    <xf numFmtId="0" fontId="95" fillId="0" borderId="0"/>
    <xf numFmtId="0" fontId="95" fillId="0" borderId="0"/>
    <xf numFmtId="0" fontId="4" fillId="0" borderId="0"/>
    <xf numFmtId="0" fontId="95"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4"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39" fontId="170" fillId="0" borderId="0"/>
    <xf numFmtId="0" fontId="95"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95" fillId="0" borderId="0"/>
    <xf numFmtId="0" fontId="95" fillId="0" borderId="0"/>
    <xf numFmtId="0" fontId="95" fillId="0" borderId="0"/>
    <xf numFmtId="0" fontId="4" fillId="0" borderId="0"/>
    <xf numFmtId="0" fontId="95" fillId="0" borderId="0"/>
    <xf numFmtId="0" fontId="4" fillId="0" borderId="0"/>
    <xf numFmtId="0" fontId="95" fillId="0" borderId="0"/>
    <xf numFmtId="0" fontId="4" fillId="0" borderId="0"/>
    <xf numFmtId="0" fontId="4" fillId="0" borderId="0"/>
    <xf numFmtId="0" fontId="16" fillId="0" borderId="0"/>
    <xf numFmtId="0" fontId="4" fillId="0" borderId="0"/>
    <xf numFmtId="0" fontId="4" fillId="0" borderId="0"/>
    <xf numFmtId="0" fontId="4" fillId="0" borderId="0"/>
    <xf numFmtId="0" fontId="69" fillId="0" borderId="0"/>
    <xf numFmtId="0" fontId="16" fillId="0" borderId="0"/>
    <xf numFmtId="0" fontId="16" fillId="0" borderId="0">
      <alignment vertical="top"/>
    </xf>
    <xf numFmtId="0" fontId="69" fillId="0" borderId="0"/>
    <xf numFmtId="0" fontId="16" fillId="0" borderId="0">
      <alignment vertical="top"/>
    </xf>
    <xf numFmtId="0" fontId="69" fillId="0" borderId="0"/>
    <xf numFmtId="0" fontId="69" fillId="0" borderId="0"/>
    <xf numFmtId="0" fontId="69" fillId="0" borderId="0"/>
    <xf numFmtId="0" fontId="69" fillId="0" borderId="0"/>
    <xf numFmtId="0" fontId="69" fillId="0" borderId="0"/>
    <xf numFmtId="0" fontId="16" fillId="0" borderId="0"/>
    <xf numFmtId="0" fontId="95" fillId="0" borderId="0"/>
    <xf numFmtId="0" fontId="4" fillId="0" borderId="0"/>
    <xf numFmtId="0" fontId="95" fillId="0" borderId="0"/>
    <xf numFmtId="0" fontId="4" fillId="0" borderId="0"/>
    <xf numFmtId="0" fontId="95" fillId="0" borderId="0"/>
    <xf numFmtId="0" fontId="4" fillId="0" borderId="0"/>
    <xf numFmtId="0" fontId="95" fillId="0" borderId="0"/>
    <xf numFmtId="0" fontId="4" fillId="0" borderId="0"/>
    <xf numFmtId="0" fontId="16" fillId="0" borderId="0"/>
    <xf numFmtId="0" fontId="4" fillId="0" borderId="0"/>
    <xf numFmtId="0" fontId="16" fillId="0" borderId="0"/>
    <xf numFmtId="0" fontId="4" fillId="0" borderId="0"/>
    <xf numFmtId="0" fontId="16" fillId="0" borderId="0"/>
    <xf numFmtId="0" fontId="4" fillId="0" borderId="0"/>
    <xf numFmtId="0" fontId="16" fillId="0" borderId="0"/>
    <xf numFmtId="0" fontId="4" fillId="0" borderId="0"/>
    <xf numFmtId="0" fontId="16" fillId="0" borderId="0"/>
    <xf numFmtId="0" fontId="4" fillId="0" borderId="0"/>
    <xf numFmtId="0" fontId="16" fillId="0" borderId="0"/>
    <xf numFmtId="0" fontId="4" fillId="0" borderId="0"/>
    <xf numFmtId="0" fontId="5"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4" fillId="0" borderId="0"/>
    <xf numFmtId="0" fontId="4" fillId="0" borderId="0"/>
    <xf numFmtId="0" fontId="4" fillId="0" borderId="0"/>
    <xf numFmtId="0" fontId="4" fillId="0" borderId="0"/>
    <xf numFmtId="0" fontId="69" fillId="0" borderId="0"/>
    <xf numFmtId="0" fontId="16" fillId="0" borderId="0"/>
    <xf numFmtId="0" fontId="4" fillId="0" borderId="0"/>
    <xf numFmtId="0" fontId="16" fillId="0" borderId="0"/>
    <xf numFmtId="0" fontId="4" fillId="0" borderId="0"/>
    <xf numFmtId="0" fontId="16" fillId="0" borderId="0"/>
    <xf numFmtId="0" fontId="16" fillId="0" borderId="0"/>
    <xf numFmtId="0" fontId="16" fillId="0" borderId="0"/>
    <xf numFmtId="0" fontId="16" fillId="0" borderId="0"/>
    <xf numFmtId="0" fontId="16" fillId="0" borderId="0"/>
    <xf numFmtId="0" fontId="4" fillId="0" borderId="0"/>
    <xf numFmtId="0" fontId="95" fillId="0" borderId="0"/>
    <xf numFmtId="0" fontId="4" fillId="0" borderId="0"/>
    <xf numFmtId="0" fontId="95" fillId="0" borderId="0"/>
    <xf numFmtId="0" fontId="4" fillId="0" borderId="0"/>
    <xf numFmtId="0" fontId="95" fillId="0" borderId="0"/>
    <xf numFmtId="0" fontId="4" fillId="0" borderId="0"/>
    <xf numFmtId="0" fontId="95" fillId="0" borderId="0"/>
    <xf numFmtId="0" fontId="4" fillId="0" borderId="0"/>
    <xf numFmtId="0" fontId="95" fillId="0" borderId="0"/>
    <xf numFmtId="0" fontId="4" fillId="0" borderId="0"/>
    <xf numFmtId="0" fontId="16" fillId="0" borderId="0"/>
    <xf numFmtId="0" fontId="4" fillId="0" borderId="0"/>
    <xf numFmtId="0" fontId="16" fillId="0" borderId="0"/>
    <xf numFmtId="0" fontId="4" fillId="0" borderId="0"/>
    <xf numFmtId="0" fontId="4" fillId="0" borderId="0"/>
    <xf numFmtId="0" fontId="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16"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3" fillId="0" borderId="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16" fillId="96" borderId="58" applyNumberFormat="0" applyAlignment="0" applyProtection="0"/>
    <xf numFmtId="0" fontId="69" fillId="10" borderId="22" applyNumberFormat="0" applyFont="0" applyAlignment="0" applyProtection="0"/>
    <xf numFmtId="0" fontId="69" fillId="10" borderId="22" applyNumberFormat="0" applyFont="0" applyAlignment="0" applyProtection="0"/>
    <xf numFmtId="0" fontId="16" fillId="97" borderId="58" applyNumberFormat="0" applyFont="0" applyAlignment="0" applyProtection="0"/>
    <xf numFmtId="0" fontId="69" fillId="97" borderId="58" applyNumberFormat="0" applyFont="0" applyAlignment="0" applyProtection="0"/>
    <xf numFmtId="0" fontId="4" fillId="10" borderId="22" applyNumberFormat="0" applyFont="0" applyAlignment="0" applyProtection="0"/>
    <xf numFmtId="0" fontId="69" fillId="10" borderId="22" applyNumberFormat="0" applyFont="0" applyAlignment="0" applyProtection="0"/>
    <xf numFmtId="0" fontId="4" fillId="10" borderId="22" applyNumberFormat="0" applyFont="0" applyAlignment="0" applyProtection="0"/>
    <xf numFmtId="0" fontId="4" fillId="10" borderId="22" applyNumberFormat="0" applyFont="0" applyAlignment="0" applyProtection="0"/>
    <xf numFmtId="0" fontId="4" fillId="10" borderId="22" applyNumberFormat="0" applyFont="0" applyAlignment="0" applyProtection="0"/>
    <xf numFmtId="0" fontId="4" fillId="10" borderId="22" applyNumberFormat="0" applyFont="0" applyAlignment="0" applyProtection="0"/>
    <xf numFmtId="0" fontId="69" fillId="10" borderId="22" applyNumberFormat="0" applyFont="0" applyAlignment="0" applyProtection="0"/>
    <xf numFmtId="0" fontId="4" fillId="10" borderId="22" applyNumberFormat="0" applyFont="0" applyAlignment="0" applyProtection="0"/>
    <xf numFmtId="0" fontId="4" fillId="10" borderId="22" applyNumberFormat="0" applyFont="0" applyAlignment="0" applyProtection="0"/>
    <xf numFmtId="0" fontId="4"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16" fillId="97" borderId="58"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4"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4"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 fillId="97" borderId="58"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4"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4"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69" fillId="10" borderId="22" applyNumberFormat="0" applyFont="0" applyAlignment="0" applyProtection="0"/>
    <xf numFmtId="0" fontId="148" fillId="0" borderId="9"/>
    <xf numFmtId="37" fontId="16" fillId="0" borderId="0"/>
    <xf numFmtId="37" fontId="16" fillId="0" borderId="0"/>
    <xf numFmtId="246" fontId="53" fillId="0" borderId="0" applyNumberFormat="0" applyFill="0" applyBorder="0" applyAlignment="0" applyProtection="0"/>
    <xf numFmtId="0" fontId="56" fillId="0" borderId="0" applyNumberFormat="0" applyFill="0" applyBorder="0" applyAlignment="0" applyProtection="0"/>
    <xf numFmtId="247" fontId="96" fillId="0" borderId="0" applyNumberFormat="0" applyFill="0" applyBorder="0" applyAlignment="0" applyProtection="0"/>
    <xf numFmtId="169" fontId="16" fillId="0" borderId="0" applyFont="0" applyFill="0" applyBorder="0" applyAlignment="0" applyProtection="0"/>
    <xf numFmtId="167" fontId="16" fillId="0" borderId="0" applyFont="0" applyFill="0" applyBorder="0" applyAlignment="0" applyProtection="0"/>
    <xf numFmtId="0" fontId="173" fillId="0" borderId="28">
      <alignment horizontal="left" wrapText="1" indent="1"/>
    </xf>
    <xf numFmtId="0" fontId="96" fillId="0" borderId="45"/>
    <xf numFmtId="3" fontId="16" fillId="98" borderId="33">
      <alignment horizontal="right"/>
      <protection locked="0"/>
    </xf>
    <xf numFmtId="0" fontId="174" fillId="81" borderId="59" applyNumberFormat="0" applyAlignment="0" applyProtection="0"/>
    <xf numFmtId="0" fontId="174" fillId="82" borderId="59" applyNumberFormat="0" applyAlignment="0" applyProtection="0"/>
    <xf numFmtId="0" fontId="28" fillId="8" borderId="19" applyNumberFormat="0" applyAlignment="0" applyProtection="0"/>
    <xf numFmtId="40" fontId="175" fillId="76" borderId="0">
      <alignment horizontal="right"/>
    </xf>
    <xf numFmtId="0" fontId="176" fillId="93" borderId="0">
      <alignment horizontal="center"/>
    </xf>
    <xf numFmtId="0" fontId="177" fillId="76" borderId="0">
      <alignment horizontal="right"/>
    </xf>
    <xf numFmtId="0" fontId="178" fillId="76" borderId="38"/>
    <xf numFmtId="0" fontId="178" fillId="76" borderId="38"/>
    <xf numFmtId="0" fontId="179" fillId="0" borderId="0" applyBorder="0">
      <alignment horizontal="centerContinuous"/>
    </xf>
    <xf numFmtId="0" fontId="178" fillId="0" borderId="0" applyBorder="0">
      <alignment horizontal="centerContinuous"/>
    </xf>
    <xf numFmtId="0" fontId="180" fillId="0" borderId="0" applyBorder="0">
      <alignment horizontal="centerContinuous"/>
    </xf>
    <xf numFmtId="0" fontId="181" fillId="0" borderId="0" applyBorder="0">
      <alignment horizontal="centerContinuous"/>
    </xf>
    <xf numFmtId="0" fontId="182" fillId="0" borderId="0" applyFill="0" applyBorder="0" applyProtection="0">
      <alignment horizontal="left"/>
    </xf>
    <xf numFmtId="0" fontId="131" fillId="0" borderId="0" applyFill="0" applyBorder="0" applyProtection="0">
      <alignment horizontal="left"/>
    </xf>
    <xf numFmtId="1" fontId="183" fillId="0" borderId="0" applyProtection="0">
      <alignment horizontal="right" vertical="center"/>
    </xf>
    <xf numFmtId="0" fontId="7" fillId="0" borderId="0">
      <alignment horizontal="center" wrapText="1"/>
    </xf>
    <xf numFmtId="10" fontId="5" fillId="0" borderId="0" applyFont="0" applyFill="0" applyBorder="0" applyAlignment="0" applyProtection="0"/>
    <xf numFmtId="9" fontId="7" fillId="0" borderId="0" applyFont="0" applyFill="0" applyBorder="0" applyAlignment="0" applyProtection="0"/>
    <xf numFmtId="10" fontId="7" fillId="0" borderId="0" applyFont="0" applyFill="0" applyBorder="0" applyAlignment="0" applyProtection="0"/>
    <xf numFmtId="202" fontId="16" fillId="0" borderId="0" applyFont="0" applyFill="0" applyBorder="0" applyAlignment="0" applyProtection="0"/>
    <xf numFmtId="248" fontId="16" fillId="0" borderId="0" applyFont="0" applyFill="0" applyBorder="0" applyAlignment="0" applyProtection="0"/>
    <xf numFmtId="10" fontId="18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7" fillId="0" borderId="0" applyFont="0" applyFill="0" applyBorder="0" applyAlignment="0" applyProtection="0"/>
    <xf numFmtId="9" fontId="6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9" fillId="0" borderId="0" applyFont="0" applyFill="0" applyBorder="0" applyAlignment="0" applyProtection="0"/>
    <xf numFmtId="9" fontId="16" fillId="0" borderId="0" applyFont="0" applyFill="0" applyBorder="0" applyAlignment="0" applyProtection="0"/>
    <xf numFmtId="9" fontId="9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10" fontId="45" fillId="0" borderId="0" applyFont="0" applyFill="0" applyBorder="0" applyAlignment="0" applyProtection="0"/>
    <xf numFmtId="10" fontId="4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94" fillId="0" borderId="0" applyFont="0" applyFill="0" applyBorder="0" applyAlignment="0" applyProtection="0"/>
    <xf numFmtId="9" fontId="46" fillId="0" borderId="0" applyFont="0" applyFill="0" applyBorder="0" applyAlignment="0" applyProtection="0"/>
    <xf numFmtId="9" fontId="9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49" fontId="87" fillId="0" borderId="0" applyFont="0" applyFill="0" applyBorder="0" applyProtection="0">
      <alignment horizontal="right"/>
    </xf>
    <xf numFmtId="10" fontId="16" fillId="0" borderId="60" applyFont="0" applyFill="0" applyBorder="0" applyAlignment="0" applyProtection="0"/>
    <xf numFmtId="9" fontId="16" fillId="0" borderId="0"/>
    <xf numFmtId="10" fontId="185" fillId="0" borderId="0"/>
    <xf numFmtId="9" fontId="16" fillId="0" borderId="0"/>
    <xf numFmtId="9" fontId="16" fillId="0" borderId="0"/>
    <xf numFmtId="9" fontId="16" fillId="0" borderId="0"/>
    <xf numFmtId="0" fontId="111" fillId="0" borderId="0">
      <protection locked="0"/>
    </xf>
    <xf numFmtId="203" fontId="92" fillId="0" borderId="0" applyFill="0" applyBorder="0" applyAlignment="0"/>
    <xf numFmtId="199" fontId="92" fillId="0" borderId="0" applyFill="0" applyBorder="0" applyAlignment="0"/>
    <xf numFmtId="203" fontId="92" fillId="0" borderId="0" applyFill="0" applyBorder="0" applyAlignment="0"/>
    <xf numFmtId="204" fontId="92" fillId="0" borderId="0" applyFill="0" applyBorder="0" applyAlignment="0"/>
    <xf numFmtId="199" fontId="92" fillId="0" borderId="0" applyFill="0" applyBorder="0" applyAlignment="0"/>
    <xf numFmtId="0" fontId="186" fillId="99" borderId="0">
      <alignment horizontal="center"/>
      <protection locked="0"/>
    </xf>
    <xf numFmtId="0" fontId="187" fillId="90" borderId="0"/>
    <xf numFmtId="0" fontId="188" fillId="79" borderId="0">
      <alignment horizontal="left" indent="1"/>
    </xf>
    <xf numFmtId="0" fontId="16" fillId="39" borderId="0" applyNumberFormat="0" applyBorder="0"/>
    <xf numFmtId="0" fontId="5" fillId="0" borderId="0" applyNumberFormat="0" applyFont="0" applyFill="0" applyBorder="0" applyAlignment="0" applyProtection="0">
      <alignment horizontal="left"/>
    </xf>
    <xf numFmtId="4" fontId="5" fillId="0" borderId="0" applyFont="0" applyFill="0" applyBorder="0" applyAlignment="0" applyProtection="0"/>
    <xf numFmtId="0" fontId="86" fillId="0" borderId="35">
      <alignment horizontal="center"/>
    </xf>
    <xf numFmtId="0" fontId="7" fillId="0" borderId="0">
      <alignment vertical="top"/>
    </xf>
    <xf numFmtId="250" fontId="7" fillId="0" borderId="0">
      <alignment vertical="top"/>
    </xf>
    <xf numFmtId="250" fontId="7" fillId="0" borderId="0">
      <alignment vertical="top"/>
    </xf>
    <xf numFmtId="250" fontId="7" fillId="0" borderId="0">
      <alignment vertical="top"/>
    </xf>
    <xf numFmtId="0" fontId="7" fillId="0" borderId="0">
      <alignment vertical="top"/>
    </xf>
    <xf numFmtId="0" fontId="7" fillId="0" borderId="0">
      <alignment vertical="top"/>
    </xf>
    <xf numFmtId="38" fontId="189" fillId="0" borderId="0"/>
    <xf numFmtId="3" fontId="190" fillId="0" borderId="61">
      <alignment horizontal="center"/>
      <protection locked="0"/>
    </xf>
    <xf numFmtId="0" fontId="135" fillId="85" borderId="0"/>
    <xf numFmtId="2" fontId="191" fillId="0" borderId="0">
      <alignment horizontal="left"/>
    </xf>
    <xf numFmtId="251" fontId="192" fillId="0" borderId="0" applyNumberFormat="0" applyFill="0" applyBorder="0" applyAlignment="0" applyProtection="0">
      <alignment horizontal="left"/>
    </xf>
    <xf numFmtId="0" fontId="16" fillId="0" borderId="0"/>
    <xf numFmtId="252" fontId="16" fillId="0" borderId="0" applyFont="0" applyFill="0" applyBorder="0" applyAlignment="0" applyProtection="0"/>
    <xf numFmtId="0" fontId="16" fillId="0" borderId="62" applyNumberFormat="0" applyFont="0" applyFill="0" applyAlignment="0" applyProtection="0"/>
    <xf numFmtId="0" fontId="16" fillId="0" borderId="63" applyNumberFormat="0" applyFont="0" applyFill="0" applyAlignment="0" applyProtection="0"/>
    <xf numFmtId="0" fontId="16" fillId="0" borderId="64" applyNumberFormat="0" applyFont="0" applyFill="0" applyAlignment="0" applyProtection="0"/>
    <xf numFmtId="0" fontId="16" fillId="0" borderId="65" applyNumberFormat="0" applyFont="0" applyFill="0" applyAlignment="0" applyProtection="0"/>
    <xf numFmtId="0" fontId="16" fillId="0" borderId="66" applyNumberFormat="0" applyFont="0" applyFill="0" applyAlignment="0" applyProtection="0"/>
    <xf numFmtId="0" fontId="16" fillId="39" borderId="0" applyNumberFormat="0" applyFont="0" applyBorder="0" applyAlignment="0" applyProtection="0"/>
    <xf numFmtId="0" fontId="16" fillId="0" borderId="67" applyNumberFormat="0" applyFont="0" applyFill="0" applyAlignment="0" applyProtection="0"/>
    <xf numFmtId="0" fontId="16" fillId="0" borderId="68" applyNumberFormat="0" applyFont="0" applyFill="0" applyAlignment="0" applyProtection="0"/>
    <xf numFmtId="46" fontId="16" fillId="0" borderId="0" applyFont="0" applyFill="0" applyBorder="0" applyAlignment="0" applyProtection="0"/>
    <xf numFmtId="0" fontId="46" fillId="0" borderId="0" applyNumberFormat="0" applyFill="0" applyBorder="0" applyAlignment="0" applyProtection="0"/>
    <xf numFmtId="0" fontId="16" fillId="0" borderId="69" applyNumberFormat="0" applyFont="0" applyFill="0" applyAlignment="0" applyProtection="0"/>
    <xf numFmtId="0" fontId="16" fillId="0" borderId="70" applyNumberFormat="0" applyFont="0" applyFill="0" applyAlignment="0" applyProtection="0"/>
    <xf numFmtId="0" fontId="16" fillId="0" borderId="58" applyNumberFormat="0" applyFont="0" applyFill="0" applyAlignment="0" applyProtection="0"/>
    <xf numFmtId="0" fontId="16" fillId="0" borderId="71" applyNumberFormat="0" applyFont="0" applyFill="0" applyAlignment="0" applyProtection="0"/>
    <xf numFmtId="0" fontId="16" fillId="0" borderId="58" applyNumberFormat="0" applyFont="0" applyFill="0" applyAlignment="0" applyProtection="0"/>
    <xf numFmtId="0" fontId="16" fillId="0" borderId="0" applyNumberFormat="0" applyFont="0" applyFill="0" applyBorder="0" applyProtection="0">
      <alignment horizontal="center"/>
    </xf>
    <xf numFmtId="0" fontId="10" fillId="0" borderId="0" applyNumberFormat="0" applyFill="0" applyBorder="0" applyAlignment="0" applyProtection="0"/>
    <xf numFmtId="0" fontId="19" fillId="0" borderId="0" applyNumberFormat="0" applyFill="0" applyBorder="0" applyAlignment="0" applyProtection="0"/>
    <xf numFmtId="0" fontId="193" fillId="0" borderId="0" applyNumberFormat="0" applyFill="0" applyBorder="0" applyProtection="0">
      <alignment horizontal="left"/>
    </xf>
    <xf numFmtId="0" fontId="16" fillId="39" borderId="0" applyNumberFormat="0" applyFont="0" applyBorder="0" applyAlignment="0" applyProtection="0"/>
    <xf numFmtId="0" fontId="194" fillId="0" borderId="0" applyNumberFormat="0" applyFill="0" applyBorder="0" applyAlignment="0" applyProtection="0"/>
    <xf numFmtId="0" fontId="46" fillId="0" borderId="0" applyNumberFormat="0" applyFill="0" applyBorder="0" applyAlignment="0" applyProtection="0"/>
    <xf numFmtId="0" fontId="16" fillId="0" borderId="41" applyNumberFormat="0" applyFont="0" applyFill="0" applyAlignment="0" applyProtection="0"/>
    <xf numFmtId="0" fontId="16" fillId="0" borderId="72" applyNumberFormat="0" applyFont="0" applyFill="0" applyAlignment="0" applyProtection="0"/>
    <xf numFmtId="253" fontId="16" fillId="0" borderId="0" applyFont="0" applyFill="0" applyBorder="0" applyAlignment="0" applyProtection="0"/>
    <xf numFmtId="0" fontId="16" fillId="0" borderId="73" applyNumberFormat="0" applyFont="0" applyFill="0" applyAlignment="0" applyProtection="0"/>
    <xf numFmtId="0" fontId="16" fillId="0" borderId="74" applyNumberFormat="0" applyFont="0" applyFill="0" applyAlignment="0" applyProtection="0"/>
    <xf numFmtId="0" fontId="16" fillId="0" borderId="75" applyNumberFormat="0" applyFont="0" applyFill="0" applyAlignment="0" applyProtection="0"/>
    <xf numFmtId="0" fontId="16" fillId="0" borderId="76" applyNumberFormat="0" applyFont="0" applyFill="0" applyAlignment="0" applyProtection="0"/>
    <xf numFmtId="0" fontId="16" fillId="0" borderId="42" applyNumberFormat="0" applyFont="0" applyFill="0" applyAlignment="0" applyProtection="0"/>
    <xf numFmtId="38" fontId="185" fillId="0" borderId="0"/>
    <xf numFmtId="194" fontId="7" fillId="0" borderId="0">
      <alignment horizontal="center"/>
    </xf>
    <xf numFmtId="0" fontId="135" fillId="100" borderId="33"/>
    <xf numFmtId="4" fontId="195" fillId="101" borderId="77" applyNumberFormat="0" applyProtection="0">
      <alignment vertical="center"/>
    </xf>
    <xf numFmtId="4" fontId="195" fillId="101" borderId="77" applyNumberFormat="0" applyProtection="0">
      <alignment vertical="center"/>
    </xf>
    <xf numFmtId="4" fontId="196" fillId="101" borderId="77" applyNumberFormat="0" applyProtection="0">
      <alignment vertical="center"/>
    </xf>
    <xf numFmtId="4" fontId="196" fillId="101" borderId="77" applyNumberFormat="0" applyProtection="0">
      <alignment vertical="center"/>
    </xf>
    <xf numFmtId="4" fontId="197" fillId="101" borderId="77" applyNumberFormat="0" applyProtection="0">
      <alignment horizontal="left" vertical="center" indent="1"/>
    </xf>
    <xf numFmtId="4" fontId="197" fillId="101" borderId="77" applyNumberFormat="0" applyProtection="0">
      <alignment horizontal="left" vertical="center" indent="1"/>
    </xf>
    <xf numFmtId="0" fontId="80" fillId="101" borderId="77" applyNumberFormat="0" applyProtection="0">
      <alignment horizontal="left" vertical="top" indent="1"/>
    </xf>
    <xf numFmtId="4" fontId="197" fillId="102" borderId="0" applyNumberFormat="0" applyProtection="0">
      <alignment horizontal="left" vertical="center" indent="1"/>
    </xf>
    <xf numFmtId="4" fontId="197" fillId="102" borderId="0" applyNumberFormat="0" applyProtection="0">
      <alignment horizontal="left" vertical="center" indent="1"/>
    </xf>
    <xf numFmtId="4" fontId="197" fillId="103" borderId="77" applyNumberFormat="0" applyProtection="0">
      <alignment horizontal="right" vertical="center"/>
    </xf>
    <xf numFmtId="4" fontId="197" fillId="103" borderId="77" applyNumberFormat="0" applyProtection="0">
      <alignment horizontal="right" vertical="center"/>
    </xf>
    <xf numFmtId="4" fontId="197" fillId="104" borderId="77" applyNumberFormat="0" applyProtection="0">
      <alignment horizontal="right" vertical="center"/>
    </xf>
    <xf numFmtId="4" fontId="197" fillId="104" borderId="77" applyNumberFormat="0" applyProtection="0">
      <alignment horizontal="right" vertical="center"/>
    </xf>
    <xf numFmtId="4" fontId="197" fillId="105" borderId="77" applyNumberFormat="0" applyProtection="0">
      <alignment horizontal="right" vertical="center"/>
    </xf>
    <xf numFmtId="4" fontId="197" fillId="105" borderId="77" applyNumberFormat="0" applyProtection="0">
      <alignment horizontal="right" vertical="center"/>
    </xf>
    <xf numFmtId="4" fontId="197" fillId="98" borderId="77" applyNumberFormat="0" applyProtection="0">
      <alignment horizontal="right" vertical="center"/>
    </xf>
    <xf numFmtId="4" fontId="197" fillId="98" borderId="77" applyNumberFormat="0" applyProtection="0">
      <alignment horizontal="right" vertical="center"/>
    </xf>
    <xf numFmtId="4" fontId="197" fillId="106" borderId="77" applyNumberFormat="0" applyProtection="0">
      <alignment horizontal="right" vertical="center"/>
    </xf>
    <xf numFmtId="4" fontId="197" fillId="106" borderId="77" applyNumberFormat="0" applyProtection="0">
      <alignment horizontal="right" vertical="center"/>
    </xf>
    <xf numFmtId="4" fontId="197" fillId="92" borderId="77" applyNumberFormat="0" applyProtection="0">
      <alignment horizontal="right" vertical="center"/>
    </xf>
    <xf numFmtId="4" fontId="197" fillId="92" borderId="77" applyNumberFormat="0" applyProtection="0">
      <alignment horizontal="right" vertical="center"/>
    </xf>
    <xf numFmtId="4" fontId="197" fillId="107" borderId="77" applyNumberFormat="0" applyProtection="0">
      <alignment horizontal="right" vertical="center"/>
    </xf>
    <xf numFmtId="4" fontId="197" fillId="107" borderId="77" applyNumberFormat="0" applyProtection="0">
      <alignment horizontal="right" vertical="center"/>
    </xf>
    <xf numFmtId="4" fontId="197" fillId="100" borderId="77" applyNumberFormat="0" applyProtection="0">
      <alignment horizontal="right" vertical="center"/>
    </xf>
    <xf numFmtId="4" fontId="197" fillId="100" borderId="77" applyNumberFormat="0" applyProtection="0">
      <alignment horizontal="right" vertical="center"/>
    </xf>
    <xf numFmtId="4" fontId="197" fillId="108" borderId="77" applyNumberFormat="0" applyProtection="0">
      <alignment horizontal="right" vertical="center"/>
    </xf>
    <xf numFmtId="4" fontId="197" fillId="108" borderId="77" applyNumberFormat="0" applyProtection="0">
      <alignment horizontal="right" vertical="center"/>
    </xf>
    <xf numFmtId="4" fontId="195" fillId="109" borderId="78" applyNumberFormat="0" applyProtection="0">
      <alignment horizontal="left" vertical="center" indent="1"/>
    </xf>
    <xf numFmtId="4" fontId="195" fillId="109" borderId="78" applyNumberFormat="0" applyProtection="0">
      <alignment horizontal="left" vertical="center" indent="1"/>
    </xf>
    <xf numFmtId="4" fontId="195" fillId="75" borderId="0" applyNumberFormat="0" applyProtection="0">
      <alignment horizontal="left" vertical="center" indent="1"/>
    </xf>
    <xf numFmtId="4" fontId="195" fillId="75" borderId="0" applyNumberFormat="0" applyProtection="0">
      <alignment horizontal="left" vertical="center" indent="1"/>
    </xf>
    <xf numFmtId="4" fontId="195" fillId="102" borderId="0" applyNumberFormat="0" applyProtection="0">
      <alignment horizontal="left" vertical="center" indent="1"/>
    </xf>
    <xf numFmtId="4" fontId="195" fillId="102" borderId="0" applyNumberFormat="0" applyProtection="0">
      <alignment horizontal="left" vertical="center" indent="1"/>
    </xf>
    <xf numFmtId="4" fontId="197" fillId="75" borderId="77" applyNumberFormat="0" applyProtection="0">
      <alignment horizontal="right" vertical="center"/>
    </xf>
    <xf numFmtId="4" fontId="197" fillId="75" borderId="77" applyNumberFormat="0" applyProtection="0">
      <alignment horizontal="right" vertical="center"/>
    </xf>
    <xf numFmtId="4" fontId="46" fillId="75" borderId="0" applyNumberFormat="0" applyProtection="0">
      <alignment horizontal="left" vertical="center" indent="1"/>
    </xf>
    <xf numFmtId="4" fontId="46" fillId="75" borderId="0" applyNumberFormat="0" applyProtection="0">
      <alignment horizontal="left" vertical="center" indent="1"/>
    </xf>
    <xf numFmtId="4" fontId="46" fillId="102" borderId="0" applyNumberFormat="0" applyProtection="0">
      <alignment horizontal="left" vertical="center" indent="1"/>
    </xf>
    <xf numFmtId="4" fontId="46" fillId="102" borderId="0" applyNumberFormat="0" applyProtection="0">
      <alignment horizontal="left" vertical="center" indent="1"/>
    </xf>
    <xf numFmtId="0" fontId="16" fillId="102" borderId="77" applyNumberFormat="0" applyProtection="0">
      <alignment horizontal="left" vertical="center" indent="1"/>
    </xf>
    <xf numFmtId="0" fontId="16" fillId="102" borderId="77" applyNumberFormat="0" applyProtection="0">
      <alignment horizontal="left" vertical="center" indent="1"/>
    </xf>
    <xf numFmtId="0" fontId="16" fillId="102" borderId="77" applyNumberFormat="0" applyProtection="0">
      <alignment horizontal="left" vertical="top" indent="1"/>
    </xf>
    <xf numFmtId="0" fontId="16" fillId="102" borderId="77" applyNumberFormat="0" applyProtection="0">
      <alignment horizontal="left" vertical="top" indent="1"/>
    </xf>
    <xf numFmtId="0" fontId="16" fillId="99" borderId="77" applyNumberFormat="0" applyProtection="0">
      <alignment horizontal="left" vertical="center" indent="1"/>
    </xf>
    <xf numFmtId="0" fontId="16" fillId="99" borderId="77" applyNumberFormat="0" applyProtection="0">
      <alignment horizontal="left" vertical="center" indent="1"/>
    </xf>
    <xf numFmtId="0" fontId="16" fillId="99" borderId="77" applyNumberFormat="0" applyProtection="0">
      <alignment horizontal="left" vertical="top" indent="1"/>
    </xf>
    <xf numFmtId="0" fontId="16" fillId="99" borderId="77" applyNumberFormat="0" applyProtection="0">
      <alignment horizontal="left" vertical="top" indent="1"/>
    </xf>
    <xf numFmtId="0" fontId="16" fillId="75" borderId="77" applyNumberFormat="0" applyProtection="0">
      <alignment horizontal="left" vertical="center" indent="1"/>
    </xf>
    <xf numFmtId="0" fontId="16" fillId="75" borderId="77" applyNumberFormat="0" applyProtection="0">
      <alignment horizontal="left" vertical="center" indent="1"/>
    </xf>
    <xf numFmtId="0" fontId="16" fillId="75" borderId="77" applyNumberFormat="0" applyProtection="0">
      <alignment horizontal="left" vertical="top" indent="1"/>
    </xf>
    <xf numFmtId="0" fontId="16" fillId="75" borderId="77" applyNumberFormat="0" applyProtection="0">
      <alignment horizontal="left" vertical="top" indent="1"/>
    </xf>
    <xf numFmtId="0" fontId="16" fillId="110" borderId="77" applyNumberFormat="0" applyProtection="0">
      <alignment horizontal="left" vertical="center" indent="1"/>
    </xf>
    <xf numFmtId="0" fontId="16" fillId="110" borderId="77" applyNumberFormat="0" applyProtection="0">
      <alignment horizontal="left" vertical="center" indent="1"/>
    </xf>
    <xf numFmtId="0" fontId="16" fillId="110" borderId="77" applyNumberFormat="0" applyProtection="0">
      <alignment horizontal="left" vertical="top" indent="1"/>
    </xf>
    <xf numFmtId="0" fontId="16" fillId="110" borderId="77" applyNumberFormat="0" applyProtection="0">
      <alignment horizontal="left" vertical="top" indent="1"/>
    </xf>
    <xf numFmtId="4" fontId="197" fillId="110" borderId="77" applyNumberFormat="0" applyProtection="0">
      <alignment vertical="center"/>
    </xf>
    <xf numFmtId="4" fontId="197" fillId="110" borderId="77" applyNumberFormat="0" applyProtection="0">
      <alignment vertical="center"/>
    </xf>
    <xf numFmtId="4" fontId="198" fillId="110" borderId="77" applyNumberFormat="0" applyProtection="0">
      <alignment vertical="center"/>
    </xf>
    <xf numFmtId="4" fontId="198" fillId="110" borderId="77" applyNumberFormat="0" applyProtection="0">
      <alignment vertical="center"/>
    </xf>
    <xf numFmtId="4" fontId="195" fillId="75" borderId="79" applyNumberFormat="0" applyProtection="0">
      <alignment horizontal="left" vertical="center" indent="1"/>
    </xf>
    <xf numFmtId="4" fontId="195" fillId="75" borderId="79" applyNumberFormat="0" applyProtection="0">
      <alignment horizontal="left" vertical="center" indent="1"/>
    </xf>
    <xf numFmtId="0" fontId="46" fillId="93" borderId="77" applyNumberFormat="0" applyProtection="0">
      <alignment horizontal="left" vertical="top" indent="1"/>
    </xf>
    <xf numFmtId="4" fontId="197" fillId="110" borderId="77" applyNumberFormat="0" applyProtection="0">
      <alignment horizontal="right" vertical="center"/>
    </xf>
    <xf numFmtId="4" fontId="197" fillId="110" borderId="77" applyNumberFormat="0" applyProtection="0">
      <alignment horizontal="right" vertical="center"/>
    </xf>
    <xf numFmtId="4" fontId="198" fillId="110" borderId="77" applyNumberFormat="0" applyProtection="0">
      <alignment horizontal="right" vertical="center"/>
    </xf>
    <xf numFmtId="4" fontId="198" fillId="110" borderId="77" applyNumberFormat="0" applyProtection="0">
      <alignment horizontal="right" vertical="center"/>
    </xf>
    <xf numFmtId="4" fontId="195" fillId="75" borderId="77" applyNumberFormat="0" applyProtection="0">
      <alignment horizontal="left" vertical="center" indent="1"/>
    </xf>
    <xf numFmtId="4" fontId="195" fillId="75" borderId="77" applyNumberFormat="0" applyProtection="0">
      <alignment horizontal="left" vertical="center" indent="1"/>
    </xf>
    <xf numFmtId="0" fontId="46" fillId="99" borderId="77" applyNumberFormat="0" applyProtection="0">
      <alignment horizontal="left" vertical="top" indent="1"/>
    </xf>
    <xf numFmtId="4" fontId="199" fillId="99" borderId="79" applyNumberFormat="0" applyProtection="0">
      <alignment horizontal="left" vertical="center" indent="1"/>
    </xf>
    <xf numFmtId="4" fontId="199" fillId="99" borderId="79" applyNumberFormat="0" applyProtection="0">
      <alignment horizontal="left" vertical="center" indent="1"/>
    </xf>
    <xf numFmtId="4" fontId="200" fillId="110" borderId="77" applyNumberFormat="0" applyProtection="0">
      <alignment horizontal="right" vertical="center"/>
    </xf>
    <xf numFmtId="4" fontId="200" fillId="110" borderId="77" applyNumberFormat="0" applyProtection="0">
      <alignment horizontal="right" vertical="center"/>
    </xf>
    <xf numFmtId="0" fontId="163" fillId="0" borderId="80"/>
    <xf numFmtId="254" fontId="53" fillId="0" borderId="27" applyFont="0" applyFill="0" applyBorder="0" applyAlignment="0" applyProtection="0"/>
    <xf numFmtId="0" fontId="201" fillId="0" borderId="2"/>
    <xf numFmtId="0" fontId="202" fillId="111" borderId="0"/>
    <xf numFmtId="0" fontId="203" fillId="111" borderId="0"/>
    <xf numFmtId="0" fontId="7" fillId="112" borderId="0" applyNumberFormat="0" applyFont="0" applyBorder="0" applyAlignment="0" applyProtection="0"/>
    <xf numFmtId="255" fontId="204" fillId="0" borderId="0" applyFont="0" applyFill="0" applyBorder="0" applyAlignment="0" applyProtection="0"/>
    <xf numFmtId="3" fontId="16" fillId="76" borderId="33" applyFont="0" applyProtection="0">
      <alignment horizontal="right"/>
    </xf>
    <xf numFmtId="10" fontId="16" fillId="76" borderId="33" applyFont="0">
      <alignment horizontal="right"/>
    </xf>
    <xf numFmtId="9" fontId="16" fillId="76" borderId="33" applyFont="0" applyProtection="0">
      <alignment horizontal="right"/>
    </xf>
    <xf numFmtId="256" fontId="205" fillId="0" borderId="0"/>
    <xf numFmtId="38" fontId="206" fillId="0" borderId="0"/>
    <xf numFmtId="0" fontId="5" fillId="0" borderId="0"/>
    <xf numFmtId="0" fontId="16" fillId="0" borderId="0"/>
    <xf numFmtId="0" fontId="7" fillId="0" borderId="0"/>
    <xf numFmtId="15" fontId="16" fillId="0" borderId="0" applyFont="0" applyFill="0" applyBorder="0" applyAlignment="0" applyProtection="0"/>
    <xf numFmtId="3" fontId="16" fillId="90" borderId="13" applyBorder="0"/>
    <xf numFmtId="0" fontId="207" fillId="80" borderId="0"/>
    <xf numFmtId="211" fontId="45" fillId="0" borderId="0" applyFont="0" applyFill="0" applyBorder="0" applyAlignment="0" applyProtection="0"/>
    <xf numFmtId="0" fontId="16" fillId="0" borderId="0"/>
    <xf numFmtId="0" fontId="53" fillId="90" borderId="0"/>
    <xf numFmtId="0" fontId="16" fillId="0" borderId="0">
      <alignment horizontal="left" wrapText="1"/>
    </xf>
    <xf numFmtId="0" fontId="16" fillId="0" borderId="0"/>
    <xf numFmtId="0" fontId="16" fillId="0" borderId="0"/>
    <xf numFmtId="0" fontId="16" fillId="0" borderId="0"/>
    <xf numFmtId="0" fontId="16" fillId="0" borderId="0">
      <alignment horizontal="left" wrapText="1"/>
    </xf>
    <xf numFmtId="0" fontId="16" fillId="0" borderId="0"/>
    <xf numFmtId="41" fontId="16" fillId="0" borderId="0" applyFont="0" applyFill="0" applyBorder="0" applyAlignment="0" applyProtection="0"/>
    <xf numFmtId="41" fontId="16" fillId="0" borderId="0" applyFont="0" applyFill="0" applyBorder="0" applyAlignment="0" applyProtection="0"/>
    <xf numFmtId="167" fontId="16" fillId="0" borderId="0" applyFont="0" applyFill="0" applyBorder="0" applyAlignment="0" applyProtection="0"/>
    <xf numFmtId="41"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0" fontId="16" fillId="0" borderId="0" applyFont="0" applyFill="0" applyBorder="0" applyAlignment="0" applyProtection="0"/>
    <xf numFmtId="167" fontId="16" fillId="0" borderId="0" applyFont="0" applyFill="0" applyBorder="0" applyAlignment="0" applyProtection="0"/>
    <xf numFmtId="41" fontId="16" fillId="0" borderId="0" applyFont="0" applyFill="0" applyBorder="0" applyAlignment="0" applyProtection="0"/>
    <xf numFmtId="0" fontId="51" fillId="0" borderId="0" applyNumberFormat="0" applyFill="0" applyBorder="0" applyAlignment="0" applyProtection="0"/>
    <xf numFmtId="167"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0" fontId="109" fillId="112" borderId="81" applyNumberFormat="0" applyProtection="0">
      <alignment horizontal="center" wrapText="1"/>
    </xf>
    <xf numFmtId="167" fontId="16" fillId="0" borderId="0" applyFont="0" applyFill="0" applyBorder="0" applyAlignment="0" applyProtection="0"/>
    <xf numFmtId="41"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0" fontId="16" fillId="76" borderId="33" applyNumberFormat="0" applyFont="0" applyFill="0" applyAlignment="0" applyProtection="0"/>
    <xf numFmtId="41" fontId="16" fillId="0" borderId="0" applyFont="0" applyFill="0" applyBorder="0" applyAlignment="0" applyProtection="0"/>
    <xf numFmtId="41" fontId="16" fillId="0" borderId="0" applyFont="0" applyFill="0" applyBorder="0" applyAlignment="0" applyProtection="0"/>
    <xf numFmtId="4" fontId="16" fillId="76" borderId="33" applyFont="0" applyFill="0" applyAlignment="0" applyProtection="0"/>
    <xf numFmtId="41" fontId="16" fillId="0" borderId="0" applyFont="0" applyFill="0" applyBorder="0" applyAlignment="0" applyProtection="0"/>
    <xf numFmtId="167"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167" fontId="16" fillId="0" borderId="0" applyFont="0" applyFill="0" applyBorder="0" applyAlignment="0" applyProtection="0"/>
    <xf numFmtId="41"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167" fontId="16" fillId="0" borderId="0" applyFont="0" applyFill="0" applyBorder="0" applyAlignment="0" applyProtection="0"/>
    <xf numFmtId="41" fontId="16" fillId="0" borderId="0" applyFont="0" applyFill="0" applyBorder="0" applyAlignment="0" applyProtection="0"/>
    <xf numFmtId="167" fontId="16" fillId="0" borderId="0" applyFont="0" applyFill="0" applyBorder="0" applyAlignment="0" applyProtection="0"/>
    <xf numFmtId="3" fontId="53" fillId="0" borderId="0" applyFill="0" applyBorder="0" applyAlignment="0" applyProtection="0"/>
    <xf numFmtId="257" fontId="53" fillId="0" borderId="0" applyFill="0" applyBorder="0" applyProtection="0">
      <alignment horizontal="center"/>
    </xf>
    <xf numFmtId="167" fontId="16" fillId="0" borderId="0" applyFont="0" applyFill="0" applyBorder="0" applyAlignment="0" applyProtection="0"/>
    <xf numFmtId="41" fontId="16" fillId="0" borderId="0" applyFont="0" applyFill="0" applyBorder="0" applyAlignment="0" applyProtection="0"/>
    <xf numFmtId="0" fontId="53" fillId="0" borderId="0" applyNumberFormat="0" applyFill="0" applyBorder="0" applyProtection="0">
      <alignment horizontal="center"/>
    </xf>
    <xf numFmtId="233" fontId="53" fillId="0" borderId="0" applyFill="0" applyBorder="0" applyAlignment="0" applyProtection="0"/>
    <xf numFmtId="41" fontId="16" fillId="0" borderId="0" applyFont="0" applyFill="0" applyBorder="0" applyAlignment="0" applyProtection="0"/>
    <xf numFmtId="167"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167" fontId="16" fillId="0" borderId="0" applyFont="0" applyFill="0" applyBorder="0" applyAlignment="0" applyProtection="0"/>
    <xf numFmtId="41"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167" fontId="16" fillId="0" borderId="0" applyFont="0" applyFill="0" applyBorder="0" applyAlignment="0" applyProtection="0"/>
    <xf numFmtId="41"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0" fontId="208" fillId="113" borderId="0"/>
    <xf numFmtId="0" fontId="162" fillId="0" borderId="58"/>
    <xf numFmtId="0" fontId="131" fillId="0" borderId="0"/>
    <xf numFmtId="0" fontId="209" fillId="0" borderId="82">
      <alignment horizontal="left"/>
    </xf>
    <xf numFmtId="0" fontId="131" fillId="0" borderId="0"/>
    <xf numFmtId="210" fontId="80" fillId="0" borderId="33"/>
    <xf numFmtId="40" fontId="210" fillId="0" borderId="0" applyBorder="0">
      <alignment horizontal="right"/>
    </xf>
    <xf numFmtId="210" fontId="80" fillId="0" borderId="0"/>
    <xf numFmtId="0" fontId="211" fillId="0" borderId="83">
      <alignment vertical="center" wrapText="1"/>
    </xf>
    <xf numFmtId="9" fontId="16" fillId="104" borderId="84" applyFont="0" applyProtection="0">
      <alignment horizontal="right"/>
    </xf>
    <xf numFmtId="0" fontId="16" fillId="104" borderId="33" applyNumberFormat="0" applyFont="0" applyAlignment="0" applyProtection="0"/>
    <xf numFmtId="0" fontId="193" fillId="0" borderId="0" applyFill="0" applyBorder="0" applyProtection="0">
      <alignment horizontal="center" vertical="center"/>
    </xf>
    <xf numFmtId="0" fontId="212" fillId="0" borderId="0" applyBorder="0" applyProtection="0">
      <alignment vertical="center"/>
    </xf>
    <xf numFmtId="0" fontId="212" fillId="0" borderId="12" applyBorder="0" applyProtection="0">
      <alignment horizontal="right" vertical="center"/>
    </xf>
    <xf numFmtId="0" fontId="213" fillId="114" borderId="0" applyBorder="0" applyProtection="0">
      <alignment horizontal="centerContinuous" vertical="center"/>
    </xf>
    <xf numFmtId="0" fontId="213" fillId="85" borderId="12" applyBorder="0" applyProtection="0">
      <alignment horizontal="centerContinuous" vertical="center"/>
    </xf>
    <xf numFmtId="0" fontId="56" fillId="0" borderId="0" applyBorder="0" applyProtection="0">
      <alignment horizontal="left"/>
    </xf>
    <xf numFmtId="0" fontId="193" fillId="0" borderId="0" applyFill="0" applyBorder="0" applyProtection="0"/>
    <xf numFmtId="0" fontId="214" fillId="0" borderId="0" applyFill="0" applyBorder="0" applyProtection="0">
      <alignment horizontal="left"/>
    </xf>
    <xf numFmtId="0" fontId="129" fillId="0" borderId="37" applyFill="0" applyBorder="0" applyProtection="0">
      <alignment horizontal="left" vertical="top"/>
    </xf>
    <xf numFmtId="0" fontId="215" fillId="0" borderId="0">
      <alignment horizontal="center"/>
    </xf>
    <xf numFmtId="15" fontId="215" fillId="0" borderId="0">
      <alignment horizontal="center"/>
    </xf>
    <xf numFmtId="3" fontId="215" fillId="0" borderId="0">
      <alignment horizontal="center"/>
    </xf>
    <xf numFmtId="258" fontId="215" fillId="0" borderId="0">
      <alignment horizontal="center"/>
    </xf>
    <xf numFmtId="0" fontId="216" fillId="0" borderId="0">
      <alignment horizontal="center"/>
    </xf>
    <xf numFmtId="259" fontId="16" fillId="0" borderId="0"/>
    <xf numFmtId="0" fontId="87" fillId="39" borderId="0">
      <protection locked="0"/>
    </xf>
    <xf numFmtId="49" fontId="46" fillId="0" borderId="0" applyFill="0" applyBorder="0" applyAlignment="0"/>
    <xf numFmtId="260" fontId="46" fillId="0" borderId="0" applyFill="0" applyBorder="0" applyAlignment="0"/>
    <xf numFmtId="261" fontId="46" fillId="0" borderId="0" applyFill="0" applyBorder="0" applyAlignment="0"/>
    <xf numFmtId="0" fontId="41" fillId="0" borderId="0" applyNumberFormat="0" applyFont="0" applyFill="0" applyBorder="0" applyProtection="0">
      <alignment horizontal="left" vertical="top" wrapText="1"/>
    </xf>
    <xf numFmtId="0" fontId="87" fillId="39" borderId="0">
      <protection locked="0"/>
    </xf>
    <xf numFmtId="49" fontId="16" fillId="0" borderId="0"/>
    <xf numFmtId="262" fontId="16" fillId="0" borderId="0"/>
    <xf numFmtId="0" fontId="217" fillId="0" borderId="0" applyNumberFormat="0" applyFill="0" applyBorder="0" applyAlignment="0" applyProtection="0"/>
    <xf numFmtId="0" fontId="218" fillId="0" borderId="0" applyNumberFormat="0" applyFill="0" applyBorder="0" applyAlignment="0" applyProtection="0"/>
    <xf numFmtId="0" fontId="20" fillId="0" borderId="0" applyNumberFormat="0" applyFill="0" applyBorder="0" applyAlignment="0" applyProtection="0"/>
    <xf numFmtId="0" fontId="219" fillId="0" borderId="0">
      <alignment horizontal="left"/>
    </xf>
    <xf numFmtId="37" fontId="220" fillId="0" borderId="0" applyNumberFormat="0">
      <alignment horizontal="center"/>
    </xf>
    <xf numFmtId="0" fontId="193" fillId="0" borderId="0" applyNumberFormat="0" applyFill="0" applyBorder="0" applyAlignment="0" applyProtection="0"/>
    <xf numFmtId="37" fontId="37" fillId="0" borderId="0" applyNumberFormat="0">
      <alignment horizontal="center"/>
    </xf>
    <xf numFmtId="0" fontId="221" fillId="113" borderId="0">
      <alignment horizontal="centerContinuous"/>
    </xf>
    <xf numFmtId="0" fontId="222" fillId="82" borderId="0" applyNumberFormat="0" applyBorder="0" applyAlignment="0">
      <alignment horizontal="center"/>
    </xf>
    <xf numFmtId="38" fontId="189" fillId="0" borderId="0"/>
    <xf numFmtId="0" fontId="223" fillId="0" borderId="85" applyNumberFormat="0" applyFill="0" applyAlignment="0" applyProtection="0"/>
    <xf numFmtId="0" fontId="34" fillId="0" borderId="23" applyNumberFormat="0" applyFill="0" applyAlignment="0" applyProtection="0"/>
    <xf numFmtId="191" fontId="7" fillId="0" borderId="86">
      <alignment horizontal="right"/>
    </xf>
    <xf numFmtId="38" fontId="224" fillId="115" borderId="33"/>
    <xf numFmtId="0" fontId="80" fillId="116" borderId="87" applyProtection="0">
      <alignment horizontal="left"/>
    </xf>
    <xf numFmtId="0" fontId="225" fillId="103" borderId="0" applyNumberFormat="0" applyBorder="0"/>
    <xf numFmtId="0" fontId="56" fillId="117" borderId="25" applyFill="0" applyAlignment="0">
      <alignment horizontal="center" vertical="center"/>
    </xf>
    <xf numFmtId="263" fontId="53" fillId="93" borderId="25" applyFont="0" applyFill="0">
      <alignment horizontal="right"/>
    </xf>
    <xf numFmtId="0" fontId="109" fillId="117" borderId="25">
      <alignment horizontal="center" vertical="center"/>
    </xf>
    <xf numFmtId="263" fontId="226" fillId="93" borderId="25">
      <alignment horizontal="right"/>
    </xf>
    <xf numFmtId="0" fontId="71" fillId="0" borderId="47" applyNumberFormat="0" applyBorder="0">
      <protection locked="0"/>
    </xf>
    <xf numFmtId="37" fontId="227" fillId="85" borderId="0"/>
    <xf numFmtId="37" fontId="228" fillId="0" borderId="12">
      <alignment horizontal="center"/>
    </xf>
    <xf numFmtId="0" fontId="229" fillId="0" borderId="25">
      <alignment horizontal="center"/>
    </xf>
    <xf numFmtId="169" fontId="16" fillId="0" borderId="0" applyNumberFormat="0" applyFont="0" applyBorder="0" applyAlignment="0">
      <protection locked="0"/>
    </xf>
    <xf numFmtId="2" fontId="227" fillId="85" borderId="0" applyNumberFormat="0" applyFill="0" applyBorder="0" applyAlignment="0" applyProtection="0"/>
    <xf numFmtId="264" fontId="230" fillId="85" borderId="0" applyNumberFormat="0" applyFill="0" applyBorder="0" applyAlignment="0" applyProtection="0"/>
    <xf numFmtId="37" fontId="231" fillId="118" borderId="0" applyNumberFormat="0" applyFill="0" applyBorder="0" applyAlignment="0"/>
    <xf numFmtId="0" fontId="232" fillId="85" borderId="0" applyNumberFormat="0" applyBorder="0" applyAlignment="0"/>
    <xf numFmtId="251" fontId="16" fillId="0" borderId="0"/>
    <xf numFmtId="265" fontId="233" fillId="76" borderId="37">
      <alignment horizontal="center"/>
    </xf>
    <xf numFmtId="10" fontId="16" fillId="0" borderId="0">
      <alignment horizontal="center"/>
    </xf>
    <xf numFmtId="10" fontId="16" fillId="0" borderId="0">
      <alignment horizontal="center"/>
    </xf>
    <xf numFmtId="0" fontId="16" fillId="110" borderId="0">
      <alignment horizontal="left"/>
    </xf>
    <xf numFmtId="0" fontId="16" fillId="110" borderId="0">
      <alignment horizontal="left"/>
    </xf>
    <xf numFmtId="0" fontId="16" fillId="110" borderId="0">
      <alignment horizontal="left"/>
    </xf>
    <xf numFmtId="10" fontId="16" fillId="0" borderId="0">
      <alignment horizontal="center"/>
    </xf>
    <xf numFmtId="10" fontId="16" fillId="0" borderId="0">
      <alignment horizontal="center"/>
    </xf>
    <xf numFmtId="0" fontId="16" fillId="110" borderId="0">
      <alignment horizontal="left"/>
    </xf>
    <xf numFmtId="10" fontId="16" fillId="0" borderId="0">
      <alignment horizontal="center"/>
    </xf>
    <xf numFmtId="10" fontId="16" fillId="0" borderId="0">
      <alignment horizontal="center"/>
    </xf>
    <xf numFmtId="265" fontId="233" fillId="76" borderId="37">
      <alignment horizontal="center"/>
    </xf>
    <xf numFmtId="265" fontId="233" fillId="76" borderId="37">
      <alignment horizontal="center"/>
    </xf>
    <xf numFmtId="166" fontId="16" fillId="0" borderId="0" applyFont="0" applyFill="0" applyBorder="0" applyAlignment="0" applyProtection="0"/>
    <xf numFmtId="166" fontId="16" fillId="0" borderId="0" applyFont="0" applyFill="0" applyBorder="0" applyAlignment="0" applyProtection="0"/>
    <xf numFmtId="168" fontId="16" fillId="0" borderId="0" applyFont="0" applyFill="0" applyBorder="0" applyAlignment="0" applyProtection="0"/>
    <xf numFmtId="42" fontId="16" fillId="0" borderId="0" applyFont="0" applyFill="0" applyBorder="0" applyAlignment="0" applyProtection="0"/>
    <xf numFmtId="44" fontId="16" fillId="0" borderId="0" applyFont="0" applyFill="0" applyBorder="0" applyAlignment="0" applyProtection="0"/>
    <xf numFmtId="0" fontId="234" fillId="39" borderId="0"/>
    <xf numFmtId="0" fontId="235" fillId="0" borderId="0" applyNumberFormat="0" applyFill="0" applyBorder="0" applyAlignment="0" applyProtection="0"/>
    <xf numFmtId="0" fontId="32" fillId="0" borderId="0" applyNumberFormat="0" applyFill="0" applyBorder="0" applyAlignment="0" applyProtection="0"/>
    <xf numFmtId="0" fontId="215" fillId="90" borderId="0"/>
    <xf numFmtId="0" fontId="14" fillId="0" borderId="88" applyNumberFormat="0"/>
    <xf numFmtId="14" fontId="7" fillId="0" borderId="0" applyFont="0" applyFill="0" applyBorder="0" applyProtection="0"/>
    <xf numFmtId="195" fontId="87" fillId="0" borderId="0" applyFont="0" applyFill="0" applyBorder="0" applyProtection="0">
      <alignment horizontal="right"/>
    </xf>
    <xf numFmtId="0" fontId="103" fillId="0" borderId="0"/>
    <xf numFmtId="177" fontId="16" fillId="0" borderId="0" applyFont="0" applyFill="0" applyBorder="0" applyAlignment="0" applyProtection="0"/>
    <xf numFmtId="177" fontId="16" fillId="0" borderId="0" applyFont="0" applyFill="0" applyBorder="0" applyAlignment="0" applyProtection="0"/>
    <xf numFmtId="0" fontId="97" fillId="0" borderId="0"/>
    <xf numFmtId="0" fontId="5" fillId="0" borderId="0"/>
    <xf numFmtId="0" fontId="5" fillId="0" borderId="0"/>
    <xf numFmtId="0" fontId="5" fillId="0" borderId="0"/>
    <xf numFmtId="0" fontId="268" fillId="0" borderId="0"/>
    <xf numFmtId="9" fontId="268" fillId="0" borderId="0" applyFont="0" applyFill="0" applyBorder="0" applyAlignment="0" applyProtection="0"/>
    <xf numFmtId="43" fontId="268" fillId="0" borderId="0" applyFont="0" applyFill="0" applyBorder="0" applyAlignment="0" applyProtection="0"/>
    <xf numFmtId="0" fontId="5" fillId="0" borderId="0"/>
    <xf numFmtId="0" fontId="3" fillId="0" borderId="0"/>
    <xf numFmtId="0" fontId="16" fillId="0" borderId="0"/>
    <xf numFmtId="0" fontId="7" fillId="0" borderId="0"/>
    <xf numFmtId="0" fontId="16" fillId="0" borderId="0"/>
    <xf numFmtId="0" fontId="3" fillId="0" borderId="0"/>
    <xf numFmtId="40" fontId="5" fillId="0" borderId="0" applyFont="0" applyFill="0" applyBorder="0" applyAlignment="0" applyProtection="0"/>
    <xf numFmtId="0" fontId="333" fillId="0" borderId="0"/>
    <xf numFmtId="0" fontId="333" fillId="0" borderId="0"/>
    <xf numFmtId="0" fontId="6" fillId="0" borderId="0"/>
    <xf numFmtId="0" fontId="3" fillId="0" borderId="0"/>
    <xf numFmtId="0" fontId="3" fillId="0" borderId="0"/>
    <xf numFmtId="0" fontId="3" fillId="0" borderId="0"/>
    <xf numFmtId="0" fontId="16" fillId="0" borderId="0"/>
    <xf numFmtId="43" fontId="16" fillId="0" borderId="0" applyFont="0" applyFill="0" applyBorder="0" applyAlignment="0" applyProtection="0"/>
    <xf numFmtId="0" fontId="16" fillId="0" borderId="0"/>
    <xf numFmtId="0" fontId="3" fillId="0" borderId="0"/>
    <xf numFmtId="0" fontId="3" fillId="0" borderId="0"/>
    <xf numFmtId="0" fontId="3" fillId="0" borderId="0"/>
    <xf numFmtId="169" fontId="268" fillId="0" borderId="0" applyFont="0" applyFill="0" applyBorder="0" applyAlignment="0" applyProtection="0"/>
    <xf numFmtId="0" fontId="5" fillId="0" borderId="0"/>
    <xf numFmtId="0" fontId="2" fillId="0" borderId="0"/>
    <xf numFmtId="0" fontId="2" fillId="0" borderId="0"/>
    <xf numFmtId="43" fontId="2" fillId="0" borderId="0" applyFont="0" applyFill="0" applyBorder="0" applyAlignment="0" applyProtection="0"/>
    <xf numFmtId="169"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0" fontId="16" fillId="0" borderId="0"/>
    <xf numFmtId="0" fontId="1" fillId="0" borderId="0"/>
    <xf numFmtId="0" fontId="1" fillId="0" borderId="0"/>
  </cellStyleXfs>
  <cellXfs count="3490">
    <xf numFmtId="0" fontId="0" fillId="0" borderId="0" xfId="0"/>
    <xf numFmtId="0" fontId="6" fillId="0" borderId="0" xfId="0" applyFont="1"/>
    <xf numFmtId="38" fontId="7" fillId="0" borderId="0" xfId="1" applyNumberFormat="1" applyFont="1"/>
    <xf numFmtId="38" fontId="6" fillId="0" borderId="0" xfId="0" applyNumberFormat="1" applyFont="1"/>
    <xf numFmtId="0" fontId="8" fillId="0" borderId="0" xfId="0" applyFont="1"/>
    <xf numFmtId="38" fontId="8" fillId="0" borderId="0" xfId="1" applyNumberFormat="1" applyFont="1"/>
    <xf numFmtId="0" fontId="9" fillId="0" borderId="0" xfId="0" applyFont="1"/>
    <xf numFmtId="0" fontId="10" fillId="0" borderId="0" xfId="0" applyFont="1" applyBorder="1"/>
    <xf numFmtId="38" fontId="10" fillId="0" borderId="0" xfId="1" applyNumberFormat="1" applyFont="1" applyBorder="1"/>
    <xf numFmtId="0" fontId="11" fillId="0" borderId="0" xfId="0" applyFont="1"/>
    <xf numFmtId="0" fontId="11" fillId="0" borderId="0" xfId="0" applyFont="1" applyBorder="1"/>
    <xf numFmtId="38" fontId="10" fillId="0" borderId="0" xfId="1" applyNumberFormat="1" applyFont="1"/>
    <xf numFmtId="0" fontId="10" fillId="0" borderId="5" xfId="0" applyFont="1" applyBorder="1"/>
    <xf numFmtId="37" fontId="10" fillId="0" borderId="5" xfId="0" applyNumberFormat="1" applyFont="1" applyBorder="1"/>
    <xf numFmtId="37" fontId="8" fillId="0" borderId="5" xfId="0" applyNumberFormat="1" applyFont="1" applyBorder="1"/>
    <xf numFmtId="38" fontId="10" fillId="0" borderId="7" xfId="1" applyNumberFormat="1" applyFont="1" applyBorder="1"/>
    <xf numFmtId="37" fontId="10" fillId="0" borderId="6" xfId="0" applyNumberFormat="1" applyFont="1" applyBorder="1"/>
    <xf numFmtId="38" fontId="11" fillId="0" borderId="0" xfId="1" applyNumberFormat="1" applyFont="1"/>
    <xf numFmtId="0" fontId="12" fillId="0" borderId="0" xfId="0" applyFont="1"/>
    <xf numFmtId="0" fontId="13" fillId="0" borderId="0" xfId="0" applyFont="1"/>
    <xf numFmtId="0" fontId="10" fillId="2" borderId="1" xfId="0" applyFont="1" applyFill="1" applyBorder="1"/>
    <xf numFmtId="170" fontId="18" fillId="2" borderId="8" xfId="1" applyNumberFormat="1" applyFont="1" applyFill="1" applyBorder="1" applyAlignment="1">
      <alignment horizontal="center"/>
    </xf>
    <xf numFmtId="170" fontId="18" fillId="2" borderId="4" xfId="0" applyNumberFormat="1" applyFont="1" applyFill="1" applyBorder="1" applyAlignment="1">
      <alignment horizontal="center"/>
    </xf>
    <xf numFmtId="0" fontId="10" fillId="2" borderId="2" xfId="0" applyFont="1" applyFill="1" applyBorder="1"/>
    <xf numFmtId="38" fontId="15" fillId="2" borderId="0" xfId="1" applyNumberFormat="1" applyFont="1" applyFill="1" applyAlignment="1">
      <alignment horizontal="center"/>
    </xf>
    <xf numFmtId="0" fontId="15" fillId="2" borderId="5" xfId="0" applyFont="1" applyFill="1" applyBorder="1" applyAlignment="1">
      <alignment horizontal="center"/>
    </xf>
    <xf numFmtId="0" fontId="15" fillId="2" borderId="2" xfId="0" applyFont="1" applyFill="1" applyBorder="1"/>
    <xf numFmtId="0" fontId="15" fillId="2" borderId="2" xfId="0" applyFont="1" applyFill="1" applyBorder="1" applyAlignment="1">
      <alignment horizontal="left"/>
    </xf>
    <xf numFmtId="0" fontId="10" fillId="2" borderId="3" xfId="0" applyFont="1" applyFill="1" applyBorder="1"/>
    <xf numFmtId="0" fontId="16" fillId="2" borderId="2" xfId="0" applyFont="1" applyFill="1" applyBorder="1"/>
    <xf numFmtId="38" fontId="16" fillId="0" borderId="0" xfId="1" applyNumberFormat="1" applyFont="1"/>
    <xf numFmtId="38" fontId="16" fillId="0" borderId="0" xfId="1" applyNumberFormat="1" applyFont="1" applyBorder="1"/>
    <xf numFmtId="38" fontId="16" fillId="0" borderId="11" xfId="1" applyNumberFormat="1" applyFont="1" applyBorder="1"/>
    <xf numFmtId="38" fontId="16" fillId="0" borderId="9" xfId="1" applyNumberFormat="1" applyFont="1" applyBorder="1"/>
    <xf numFmtId="38" fontId="16" fillId="0" borderId="10" xfId="1" applyNumberFormat="1" applyFont="1" applyBorder="1"/>
    <xf numFmtId="38" fontId="16" fillId="0" borderId="12" xfId="1" applyNumberFormat="1" applyFont="1" applyBorder="1"/>
    <xf numFmtId="0" fontId="17" fillId="2" borderId="2" xfId="0" applyFont="1" applyFill="1" applyBorder="1"/>
    <xf numFmtId="0" fontId="14" fillId="2" borderId="2" xfId="0" applyFont="1" applyFill="1" applyBorder="1"/>
    <xf numFmtId="38" fontId="16" fillId="0" borderId="13" xfId="1" applyNumberFormat="1" applyFont="1" applyBorder="1"/>
    <xf numFmtId="38" fontId="14" fillId="0" borderId="14" xfId="1" applyNumberFormat="1" applyFont="1" applyBorder="1"/>
    <xf numFmtId="38" fontId="14" fillId="0" borderId="0" xfId="1" applyNumberFormat="1" applyFont="1" applyBorder="1"/>
    <xf numFmtId="171" fontId="16" fillId="2" borderId="2" xfId="0" applyNumberFormat="1" applyFont="1" applyFill="1" applyBorder="1" applyAlignment="1">
      <alignment horizontal="left"/>
    </xf>
    <xf numFmtId="0" fontId="11" fillId="3" borderId="0" xfId="0" applyFont="1" applyFill="1"/>
    <xf numFmtId="0" fontId="19" fillId="0" borderId="0" xfId="0" applyFont="1"/>
    <xf numFmtId="0" fontId="9" fillId="35" borderId="0" xfId="2" applyFont="1" applyFill="1" applyAlignment="1">
      <alignment vertical="center"/>
    </xf>
    <xf numFmtId="0" fontId="36" fillId="35" borderId="0" xfId="2" applyFont="1" applyFill="1" applyAlignment="1">
      <alignment vertical="center"/>
    </xf>
    <xf numFmtId="0" fontId="7" fillId="35" borderId="0" xfId="2" applyFont="1" applyFill="1" applyAlignment="1">
      <alignment vertical="center"/>
    </xf>
    <xf numFmtId="0" fontId="37" fillId="35" borderId="0" xfId="2" applyFont="1" applyFill="1" applyAlignment="1">
      <alignment vertical="center"/>
    </xf>
    <xf numFmtId="0" fontId="38" fillId="35" borderId="0" xfId="2" applyFont="1" applyFill="1" applyAlignment="1">
      <alignment horizontal="right" vertical="center"/>
    </xf>
    <xf numFmtId="0" fontId="39" fillId="3" borderId="24" xfId="2" applyFont="1" applyFill="1" applyBorder="1" applyAlignment="1">
      <alignment horizontal="center" vertical="center" wrapText="1"/>
    </xf>
    <xf numFmtId="0" fontId="39" fillId="3" borderId="25" xfId="2" applyFont="1" applyFill="1" applyBorder="1" applyAlignment="1">
      <alignment horizontal="center" vertical="center" wrapText="1"/>
    </xf>
    <xf numFmtId="0" fontId="39" fillId="3" borderId="26" xfId="2" applyFont="1" applyFill="1" applyBorder="1" applyAlignment="1">
      <alignment horizontal="center" vertical="center" wrapText="1"/>
    </xf>
    <xf numFmtId="0" fontId="7" fillId="35" borderId="0" xfId="2" applyFont="1" applyFill="1" applyAlignment="1">
      <alignment horizontal="center" vertical="center" wrapText="1"/>
    </xf>
    <xf numFmtId="172" fontId="39" fillId="3" borderId="27" xfId="2" applyNumberFormat="1" applyFont="1" applyFill="1" applyBorder="1" applyAlignment="1">
      <alignment horizontal="center" vertical="center"/>
    </xf>
    <xf numFmtId="3" fontId="40" fillId="35" borderId="27" xfId="2" applyNumberFormat="1" applyFont="1" applyFill="1" applyBorder="1" applyAlignment="1">
      <alignment horizontal="center" vertical="center"/>
    </xf>
    <xf numFmtId="173" fontId="39" fillId="35" borderId="27" xfId="2" applyNumberFormat="1" applyFont="1" applyFill="1" applyBorder="1" applyAlignment="1">
      <alignment horizontal="center" vertical="center"/>
    </xf>
    <xf numFmtId="4" fontId="7" fillId="35" borderId="0" xfId="2" applyNumberFormat="1" applyFont="1" applyFill="1" applyAlignment="1">
      <alignment vertical="center"/>
    </xf>
    <xf numFmtId="172" fontId="39" fillId="3" borderId="28" xfId="2" applyNumberFormat="1" applyFont="1" applyFill="1" applyBorder="1" applyAlignment="1">
      <alignment horizontal="center" vertical="center"/>
    </xf>
    <xf numFmtId="3" fontId="40" fillId="35" borderId="28" xfId="2" applyNumberFormat="1" applyFont="1" applyFill="1" applyBorder="1" applyAlignment="1">
      <alignment horizontal="center" vertical="center"/>
    </xf>
    <xf numFmtId="173" fontId="39" fillId="35" borderId="28" xfId="2" applyNumberFormat="1" applyFont="1" applyFill="1" applyBorder="1" applyAlignment="1">
      <alignment horizontal="center" vertical="center"/>
    </xf>
    <xf numFmtId="0" fontId="38" fillId="35" borderId="0" xfId="2" applyFont="1" applyFill="1" applyAlignment="1">
      <alignment vertical="center"/>
    </xf>
    <xf numFmtId="0" fontId="6" fillId="35" borderId="0" xfId="2" applyFont="1" applyFill="1" applyAlignment="1">
      <alignment vertical="center"/>
    </xf>
    <xf numFmtId="0" fontId="39" fillId="3" borderId="25" xfId="2" applyFont="1" applyFill="1" applyBorder="1" applyAlignment="1">
      <alignment vertical="center"/>
    </xf>
    <xf numFmtId="0" fontId="39" fillId="3" borderId="29" xfId="2" applyFont="1" applyFill="1" applyBorder="1" applyAlignment="1">
      <alignment horizontal="center" vertical="center" wrapText="1"/>
    </xf>
    <xf numFmtId="0" fontId="39" fillId="3" borderId="27" xfId="2" applyFont="1" applyFill="1" applyBorder="1" applyAlignment="1">
      <alignment horizontal="center" vertical="center"/>
    </xf>
    <xf numFmtId="3" fontId="7" fillId="35" borderId="0" xfId="2" applyNumberFormat="1" applyFont="1" applyFill="1" applyAlignment="1">
      <alignment vertical="center"/>
    </xf>
    <xf numFmtId="0" fontId="40" fillId="35" borderId="27" xfId="2" applyFont="1" applyFill="1" applyBorder="1" applyAlignment="1">
      <alignment horizontal="center" vertical="center"/>
    </xf>
    <xf numFmtId="0" fontId="39" fillId="3" borderId="25" xfId="2" applyFont="1" applyFill="1" applyBorder="1" applyAlignment="1">
      <alignment horizontal="center" vertical="center"/>
    </xf>
    <xf numFmtId="3" fontId="39" fillId="3" borderId="25" xfId="2" applyNumberFormat="1" applyFont="1" applyFill="1" applyBorder="1" applyAlignment="1">
      <alignment horizontal="center" vertical="center"/>
    </xf>
    <xf numFmtId="3" fontId="39" fillId="3" borderId="26" xfId="2" applyNumberFormat="1" applyFont="1" applyFill="1" applyBorder="1" applyAlignment="1">
      <alignment horizontal="center" vertical="center"/>
    </xf>
    <xf numFmtId="3" fontId="37" fillId="35" borderId="0" xfId="2" applyNumberFormat="1" applyFont="1" applyFill="1" applyAlignment="1">
      <alignment vertical="center"/>
    </xf>
    <xf numFmtId="0" fontId="236" fillId="35" borderId="0" xfId="6829" applyFont="1" applyFill="1" applyBorder="1" applyAlignment="1">
      <alignment vertical="center"/>
    </xf>
    <xf numFmtId="0" fontId="237" fillId="35" borderId="0" xfId="6829" applyFont="1" applyFill="1" applyBorder="1" applyAlignment="1">
      <alignment vertical="center"/>
    </xf>
    <xf numFmtId="0" fontId="237" fillId="119" borderId="0" xfId="6829" applyFont="1" applyFill="1" applyBorder="1" applyAlignment="1">
      <alignment horizontal="right" vertical="center"/>
    </xf>
    <xf numFmtId="0" fontId="97" fillId="119" borderId="0" xfId="6829" applyFont="1" applyFill="1" applyBorder="1" applyAlignment="1">
      <alignment horizontal="centerContinuous" vertical="center"/>
    </xf>
    <xf numFmtId="0" fontId="16" fillId="35" borderId="0" xfId="6829" applyFont="1" applyFill="1" applyBorder="1" applyAlignment="1">
      <alignment vertical="center"/>
    </xf>
    <xf numFmtId="234" fontId="97" fillId="35" borderId="0" xfId="6829" applyNumberFormat="1" applyFont="1" applyFill="1" applyBorder="1" applyAlignment="1">
      <alignment horizontal="center" vertical="center"/>
    </xf>
    <xf numFmtId="0" fontId="14" fillId="120" borderId="89" xfId="6829" applyFont="1" applyFill="1" applyBorder="1" applyAlignment="1">
      <alignment horizontal="center" vertical="center"/>
    </xf>
    <xf numFmtId="0" fontId="14" fillId="120" borderId="90" xfId="6829" applyFont="1" applyFill="1" applyBorder="1" applyAlignment="1">
      <alignment horizontal="center" vertical="center"/>
    </xf>
    <xf numFmtId="0" fontId="14" fillId="120" borderId="91" xfId="6829" applyFont="1" applyFill="1" applyBorder="1" applyAlignment="1">
      <alignment horizontal="center" vertical="center"/>
    </xf>
    <xf numFmtId="0" fontId="16" fillId="35" borderId="0" xfId="6829" applyFont="1" applyFill="1" applyAlignment="1">
      <alignment vertical="center"/>
    </xf>
    <xf numFmtId="0" fontId="14" fillId="120" borderId="92" xfId="6829" applyFont="1" applyFill="1" applyBorder="1" applyAlignment="1">
      <alignment horizontal="center" vertical="center"/>
    </xf>
    <xf numFmtId="0" fontId="14" fillId="120" borderId="9" xfId="6829" applyFont="1" applyFill="1" applyBorder="1" applyAlignment="1">
      <alignment horizontal="center" vertical="center"/>
    </xf>
    <xf numFmtId="0" fontId="14" fillId="120" borderId="93" xfId="6829" applyFont="1" applyFill="1" applyBorder="1" applyAlignment="1">
      <alignment horizontal="center" vertical="center"/>
    </xf>
    <xf numFmtId="0" fontId="14" fillId="120" borderId="10" xfId="6829" applyFont="1" applyFill="1" applyBorder="1" applyAlignment="1">
      <alignment horizontal="center" vertical="center"/>
    </xf>
    <xf numFmtId="0" fontId="14" fillId="120" borderId="94" xfId="6829" applyFont="1" applyFill="1" applyBorder="1" applyAlignment="1">
      <alignment horizontal="center" vertical="center"/>
    </xf>
    <xf numFmtId="0" fontId="15" fillId="120" borderId="95" xfId="6829" applyFont="1" applyFill="1" applyBorder="1" applyAlignment="1">
      <alignment horizontal="center" vertical="center"/>
    </xf>
    <xf numFmtId="0" fontId="97" fillId="2" borderId="12" xfId="6829" applyFont="1" applyFill="1" applyBorder="1" applyAlignment="1">
      <alignment horizontal="centerContinuous" vertical="center"/>
    </xf>
    <xf numFmtId="0" fontId="97" fillId="2" borderId="12" xfId="6829" applyFont="1" applyFill="1" applyBorder="1" applyAlignment="1">
      <alignment horizontal="right" vertical="center"/>
    </xf>
    <xf numFmtId="0" fontId="240" fillId="2" borderId="12" xfId="6829" applyFont="1" applyFill="1" applyBorder="1" applyAlignment="1">
      <alignment horizontal="right" vertical="center"/>
    </xf>
    <xf numFmtId="0" fontId="97" fillId="2" borderId="13" xfId="6829" applyFont="1" applyFill="1" applyBorder="1" applyAlignment="1">
      <alignment horizontal="centerContinuous" vertical="center"/>
    </xf>
    <xf numFmtId="0" fontId="240" fillId="2" borderId="33" xfId="6829" applyFont="1" applyFill="1" applyBorder="1" applyAlignment="1">
      <alignment horizontal="centerContinuous" vertical="center"/>
    </xf>
    <xf numFmtId="0" fontId="240" fillId="2" borderId="96" xfId="6829" applyFont="1" applyFill="1" applyBorder="1" applyAlignment="1">
      <alignment horizontal="centerContinuous" vertical="center"/>
    </xf>
    <xf numFmtId="0" fontId="97" fillId="35" borderId="0" xfId="6829" applyFont="1" applyFill="1" applyAlignment="1">
      <alignment vertical="center"/>
    </xf>
    <xf numFmtId="0" fontId="97" fillId="35" borderId="0" xfId="6829" applyFont="1" applyFill="1" applyBorder="1" applyAlignment="1">
      <alignment vertical="center"/>
    </xf>
    <xf numFmtId="266" fontId="15" fillId="121" borderId="97" xfId="6829" quotePrefix="1" applyNumberFormat="1" applyFont="1" applyFill="1" applyBorder="1" applyAlignment="1">
      <alignment horizontal="center" vertical="center"/>
    </xf>
    <xf numFmtId="0" fontId="97" fillId="35" borderId="0" xfId="6829" applyFont="1" applyFill="1" applyBorder="1" applyAlignment="1">
      <alignment horizontal="center" vertical="center"/>
    </xf>
    <xf numFmtId="234" fontId="97" fillId="35" borderId="43" xfId="6829" applyNumberFormat="1" applyFont="1" applyFill="1" applyBorder="1" applyAlignment="1">
      <alignment horizontal="center" vertical="center"/>
    </xf>
    <xf numFmtId="234" fontId="97" fillId="35" borderId="11" xfId="6829" applyNumberFormat="1" applyFont="1" applyFill="1" applyBorder="1" applyAlignment="1">
      <alignment horizontal="center" vertical="center"/>
    </xf>
    <xf numFmtId="234" fontId="97" fillId="35" borderId="98" xfId="6829" applyNumberFormat="1" applyFont="1" applyFill="1" applyBorder="1" applyAlignment="1">
      <alignment horizontal="center" vertical="center"/>
    </xf>
    <xf numFmtId="267" fontId="7" fillId="122" borderId="92" xfId="6829" applyNumberFormat="1" applyFont="1" applyFill="1" applyBorder="1" applyAlignment="1">
      <alignment horizontal="right"/>
    </xf>
    <xf numFmtId="4" fontId="16" fillId="35" borderId="38" xfId="6829" applyNumberFormat="1" applyFont="1" applyFill="1" applyBorder="1" applyAlignment="1">
      <alignment horizontal="center" vertical="center"/>
    </xf>
    <xf numFmtId="2" fontId="16" fillId="35" borderId="9" xfId="6829" applyNumberFormat="1" applyFont="1" applyFill="1" applyBorder="1" applyAlignment="1">
      <alignment horizontal="center" vertical="center"/>
    </xf>
    <xf numFmtId="2" fontId="16" fillId="35" borderId="96" xfId="6829" applyNumberFormat="1" applyFont="1" applyFill="1" applyBorder="1" applyAlignment="1">
      <alignment horizontal="center" vertical="center"/>
    </xf>
    <xf numFmtId="2" fontId="97" fillId="35" borderId="0" xfId="6829" applyNumberFormat="1" applyFont="1" applyFill="1" applyBorder="1" applyAlignment="1">
      <alignment vertical="center"/>
    </xf>
    <xf numFmtId="4" fontId="16" fillId="35" borderId="9" xfId="6829" applyNumberFormat="1" applyFont="1" applyFill="1" applyBorder="1" applyAlignment="1">
      <alignment horizontal="center" vertical="center"/>
    </xf>
    <xf numFmtId="4" fontId="16" fillId="35" borderId="10" xfId="6829" applyNumberFormat="1" applyFont="1" applyFill="1" applyBorder="1" applyAlignment="1">
      <alignment horizontal="center" vertical="center"/>
    </xf>
    <xf numFmtId="2" fontId="16" fillId="35" borderId="10" xfId="6829" applyNumberFormat="1" applyFont="1" applyFill="1" applyBorder="1" applyAlignment="1">
      <alignment horizontal="center" vertical="center"/>
    </xf>
    <xf numFmtId="2" fontId="16" fillId="35" borderId="94" xfId="6829" applyNumberFormat="1" applyFont="1" applyFill="1" applyBorder="1" applyAlignment="1">
      <alignment horizontal="center" vertical="center"/>
    </xf>
    <xf numFmtId="4" fontId="16" fillId="35" borderId="0" xfId="6829" applyNumberFormat="1" applyFont="1" applyFill="1" applyBorder="1" applyAlignment="1">
      <alignment horizontal="center" vertical="center"/>
    </xf>
    <xf numFmtId="17" fontId="15" fillId="121" borderId="92" xfId="6829" applyNumberFormat="1" applyFont="1" applyFill="1" applyBorder="1" applyAlignment="1">
      <alignment horizontal="right" vertical="center"/>
    </xf>
    <xf numFmtId="3" fontId="16" fillId="35" borderId="0" xfId="6829" applyNumberFormat="1" applyFont="1" applyFill="1" applyBorder="1" applyAlignment="1">
      <alignment horizontal="center" vertical="center"/>
    </xf>
    <xf numFmtId="3" fontId="16" fillId="35" borderId="9" xfId="6829" applyNumberFormat="1" applyFont="1" applyFill="1" applyBorder="1" applyAlignment="1">
      <alignment horizontal="center" vertical="center"/>
    </xf>
    <xf numFmtId="2" fontId="16" fillId="35" borderId="0" xfId="6829" applyNumberFormat="1" applyFont="1" applyFill="1" applyBorder="1" applyAlignment="1">
      <alignment horizontal="center" vertical="center"/>
    </xf>
    <xf numFmtId="4" fontId="16" fillId="35" borderId="93" xfId="6829" applyNumberFormat="1" applyFont="1" applyFill="1" applyBorder="1" applyAlignment="1">
      <alignment horizontal="center" vertical="center"/>
    </xf>
    <xf numFmtId="0" fontId="241" fillId="35" borderId="0" xfId="6829" applyFont="1" applyFill="1" applyAlignment="1">
      <alignment vertical="center"/>
    </xf>
    <xf numFmtId="4" fontId="241" fillId="35" borderId="0" xfId="6829" applyNumberFormat="1" applyFont="1" applyFill="1" applyAlignment="1">
      <alignment vertical="center"/>
    </xf>
    <xf numFmtId="0" fontId="241" fillId="35" borderId="0" xfId="6829" applyFont="1" applyFill="1" applyBorder="1" applyAlignment="1">
      <alignment vertical="center"/>
    </xf>
    <xf numFmtId="3" fontId="241" fillId="35" borderId="0" xfId="6829" applyNumberFormat="1" applyFont="1" applyFill="1" applyAlignment="1">
      <alignment vertical="center"/>
    </xf>
    <xf numFmtId="3" fontId="16" fillId="35" borderId="38" xfId="6829" applyNumberFormat="1" applyFont="1" applyFill="1" applyBorder="1" applyAlignment="1">
      <alignment horizontal="center" vertical="center"/>
    </xf>
    <xf numFmtId="234" fontId="16" fillId="35" borderId="9" xfId="6829" applyNumberFormat="1" applyFont="1" applyFill="1" applyBorder="1" applyAlignment="1">
      <alignment horizontal="center" vertical="center"/>
    </xf>
    <xf numFmtId="4" fontId="16" fillId="35" borderId="96" xfId="6829" applyNumberFormat="1" applyFont="1" applyFill="1" applyBorder="1" applyAlignment="1">
      <alignment horizontal="center" vertical="center"/>
    </xf>
    <xf numFmtId="17" fontId="15" fillId="121" borderId="99" xfId="6829" applyNumberFormat="1" applyFont="1" applyFill="1" applyBorder="1" applyAlignment="1">
      <alignment horizontal="right" vertical="center"/>
    </xf>
    <xf numFmtId="3" fontId="16" fillId="35" borderId="100" xfId="6829" applyNumberFormat="1" applyFont="1" applyFill="1" applyBorder="1" applyAlignment="1">
      <alignment horizontal="center" vertical="center"/>
    </xf>
    <xf numFmtId="3" fontId="16" fillId="35" borderId="101" xfId="6829" applyNumberFormat="1" applyFont="1" applyFill="1" applyBorder="1" applyAlignment="1">
      <alignment horizontal="center" vertical="center"/>
    </xf>
    <xf numFmtId="2" fontId="16" fillId="35" borderId="101" xfId="6829" applyNumberFormat="1" applyFont="1" applyFill="1" applyBorder="1" applyAlignment="1">
      <alignment horizontal="center" vertical="center"/>
    </xf>
    <xf numFmtId="257" fontId="16" fillId="35" borderId="101" xfId="6829" applyNumberFormat="1" applyFont="1" applyFill="1" applyBorder="1" applyAlignment="1">
      <alignment horizontal="center" vertical="center"/>
    </xf>
    <xf numFmtId="4" fontId="16" fillId="35" borderId="102" xfId="6829" applyNumberFormat="1" applyFont="1" applyFill="1" applyBorder="1" applyAlignment="1">
      <alignment horizontal="center" vertical="center"/>
    </xf>
    <xf numFmtId="0" fontId="242" fillId="35" borderId="0" xfId="6829" applyFont="1" applyFill="1" applyAlignment="1">
      <alignment horizontal="left" vertical="center"/>
    </xf>
    <xf numFmtId="0" fontId="243" fillId="35" borderId="0" xfId="6829" applyFont="1" applyFill="1" applyAlignment="1">
      <alignment horizontal="left" vertical="center"/>
    </xf>
    <xf numFmtId="0" fontId="242" fillId="35" borderId="0" xfId="6829" applyFont="1" applyFill="1" applyBorder="1" applyAlignment="1">
      <alignment horizontal="left" vertical="center"/>
    </xf>
    <xf numFmtId="3" fontId="241" fillId="35" borderId="0" xfId="6829" applyNumberFormat="1" applyFont="1" applyFill="1" applyBorder="1" applyAlignment="1">
      <alignment vertical="center"/>
    </xf>
    <xf numFmtId="0" fontId="243" fillId="35" borderId="0" xfId="6829" applyFont="1" applyFill="1" applyAlignment="1">
      <alignment vertical="center"/>
    </xf>
    <xf numFmtId="0" fontId="243" fillId="35" borderId="0" xfId="6829" applyFont="1" applyFill="1" applyBorder="1" applyAlignment="1">
      <alignment vertical="center"/>
    </xf>
    <xf numFmtId="3" fontId="243" fillId="35" borderId="0" xfId="6829" applyNumberFormat="1" applyFont="1" applyFill="1" applyAlignment="1">
      <alignment vertical="center"/>
    </xf>
    <xf numFmtId="0" fontId="19" fillId="35" borderId="0" xfId="6829" applyFont="1" applyFill="1" applyAlignment="1">
      <alignment vertical="center"/>
    </xf>
    <xf numFmtId="0" fontId="9" fillId="35" borderId="0" xfId="7876" applyFont="1" applyFill="1" applyBorder="1" applyAlignment="1" applyProtection="1">
      <alignment horizontal="left" vertical="center"/>
    </xf>
    <xf numFmtId="0" fontId="92" fillId="35" borderId="0" xfId="7876" applyFont="1" applyFill="1" applyBorder="1" applyAlignment="1">
      <alignment vertical="center"/>
    </xf>
    <xf numFmtId="0" fontId="92" fillId="35" borderId="0" xfId="7876" applyFont="1" applyFill="1" applyBorder="1" applyAlignment="1" applyProtection="1">
      <alignment vertical="center"/>
    </xf>
    <xf numFmtId="4" fontId="92" fillId="35" borderId="0" xfId="7876" applyNumberFormat="1" applyFont="1" applyFill="1" applyBorder="1" applyAlignment="1">
      <alignment vertical="center"/>
    </xf>
    <xf numFmtId="0" fontId="4" fillId="35" borderId="0" xfId="6815" applyFill="1"/>
    <xf numFmtId="0" fontId="16" fillId="35" borderId="0" xfId="7876" applyFont="1" applyFill="1" applyBorder="1" applyAlignment="1">
      <alignment vertical="center"/>
    </xf>
    <xf numFmtId="4" fontId="16" fillId="35" borderId="0" xfId="7876" applyNumberFormat="1" applyFont="1" applyFill="1" applyBorder="1" applyAlignment="1">
      <alignment vertical="center"/>
    </xf>
    <xf numFmtId="0" fontId="6" fillId="123" borderId="103" xfId="7876" applyFont="1" applyFill="1" applyBorder="1" applyAlignment="1">
      <alignment vertical="center"/>
    </xf>
    <xf numFmtId="0" fontId="84" fillId="123" borderId="1" xfId="7876" applyFont="1" applyFill="1" applyBorder="1" applyAlignment="1">
      <alignment horizontal="center" vertical="center"/>
    </xf>
    <xf numFmtId="0" fontId="84" fillId="123" borderId="104" xfId="7876" applyFont="1" applyFill="1" applyBorder="1" applyAlignment="1">
      <alignment horizontal="center" vertical="center"/>
    </xf>
    <xf numFmtId="4" fontId="84" fillId="123" borderId="105" xfId="7876" applyNumberFormat="1" applyFont="1" applyFill="1" applyBorder="1" applyAlignment="1">
      <alignment horizontal="centerContinuous" vertical="center"/>
    </xf>
    <xf numFmtId="4" fontId="84" fillId="123" borderId="103" xfId="7876" applyNumberFormat="1" applyFont="1" applyFill="1" applyBorder="1" applyAlignment="1">
      <alignment horizontal="centerContinuous" vertical="center"/>
    </xf>
    <xf numFmtId="0" fontId="84" fillId="123" borderId="106" xfId="7876" applyFont="1" applyFill="1" applyBorder="1" applyAlignment="1" applyProtection="1">
      <alignment horizontal="centerContinuous" vertical="center"/>
    </xf>
    <xf numFmtId="0" fontId="84" fillId="123" borderId="2" xfId="7876" applyFont="1" applyFill="1" applyBorder="1" applyAlignment="1" applyProtection="1">
      <alignment horizontal="center" vertical="center"/>
    </xf>
    <xf numFmtId="0" fontId="84" fillId="123" borderId="27" xfId="7876" applyFont="1" applyFill="1" applyBorder="1" applyAlignment="1" applyProtection="1">
      <alignment horizontal="center" vertical="center"/>
    </xf>
    <xf numFmtId="0" fontId="84" fillId="123" borderId="107" xfId="7876" applyFont="1" applyFill="1" applyBorder="1" applyAlignment="1" applyProtection="1">
      <alignment horizontal="center" vertical="center"/>
    </xf>
    <xf numFmtId="0" fontId="84" fillId="123" borderId="108" xfId="7876" applyFont="1" applyFill="1" applyBorder="1" applyAlignment="1" applyProtection="1">
      <alignment horizontal="center" vertical="center"/>
    </xf>
    <xf numFmtId="0" fontId="6" fillId="123" borderId="109" xfId="7876" applyFont="1" applyFill="1" applyBorder="1" applyAlignment="1">
      <alignment vertical="center"/>
    </xf>
    <xf numFmtId="0" fontId="84" fillId="123" borderId="3" xfId="7876" applyFont="1" applyFill="1" applyBorder="1" applyAlignment="1" applyProtection="1">
      <alignment horizontal="center" vertical="center"/>
    </xf>
    <xf numFmtId="0" fontId="84" fillId="123" borderId="110" xfId="7876" applyFont="1" applyFill="1" applyBorder="1" applyAlignment="1" applyProtection="1">
      <alignment horizontal="center" vertical="center"/>
    </xf>
    <xf numFmtId="0" fontId="84" fillId="123" borderId="6" xfId="7876" applyFont="1" applyFill="1" applyBorder="1" applyAlignment="1" applyProtection="1">
      <alignment horizontal="center" vertical="center"/>
    </xf>
    <xf numFmtId="17" fontId="37" fillId="124" borderId="2" xfId="7876" applyNumberFormat="1" applyFont="1" applyFill="1" applyBorder="1" applyAlignment="1" applyProtection="1">
      <alignment horizontal="left" vertical="center"/>
    </xf>
    <xf numFmtId="37" fontId="40" fillId="35" borderId="111" xfId="7876" applyNumberFormat="1" applyFont="1" applyFill="1" applyBorder="1" applyAlignment="1" applyProtection="1">
      <alignment horizontal="center"/>
    </xf>
    <xf numFmtId="37" fontId="40" fillId="35" borderId="27" xfId="7876" applyNumberFormat="1" applyFont="1" applyFill="1" applyBorder="1" applyAlignment="1" applyProtection="1">
      <alignment horizontal="center"/>
    </xf>
    <xf numFmtId="37" fontId="39" fillId="35" borderId="27" xfId="7876" applyNumberFormat="1" applyFont="1" applyFill="1" applyBorder="1" applyAlignment="1" applyProtection="1">
      <alignment horizontal="center"/>
    </xf>
    <xf numFmtId="37" fontId="39" fillId="35" borderId="5" xfId="7876" applyNumberFormat="1" applyFont="1" applyFill="1" applyBorder="1" applyAlignment="1" applyProtection="1">
      <alignment horizontal="center"/>
    </xf>
    <xf numFmtId="17" fontId="37" fillId="124" borderId="106" xfId="7876" applyNumberFormat="1" applyFont="1" applyFill="1" applyBorder="1" applyAlignment="1" applyProtection="1">
      <alignment horizontal="left" vertical="center"/>
    </xf>
    <xf numFmtId="37" fontId="40" fillId="35" borderId="2" xfId="7876" applyNumberFormat="1" applyFont="1" applyFill="1" applyBorder="1" applyAlignment="1" applyProtection="1">
      <alignment horizontal="center"/>
    </xf>
    <xf numFmtId="37" fontId="40" fillId="35" borderId="2" xfId="7876" applyNumberFormat="1" applyFont="1" applyFill="1" applyBorder="1" applyAlignment="1" applyProtection="1">
      <alignment horizontal="center" vertical="center"/>
    </xf>
    <xf numFmtId="37" fontId="40" fillId="35" borderId="27" xfId="7876" applyNumberFormat="1" applyFont="1" applyFill="1" applyBorder="1" applyAlignment="1" applyProtection="1">
      <alignment horizontal="center" vertical="center"/>
    </xf>
    <xf numFmtId="37" fontId="39" fillId="35" borderId="27" xfId="7876" applyNumberFormat="1" applyFont="1" applyFill="1" applyBorder="1" applyAlignment="1" applyProtection="1">
      <alignment horizontal="center" vertical="center"/>
    </xf>
    <xf numFmtId="37" fontId="39" fillId="35" borderId="5" xfId="7876" applyNumberFormat="1" applyFont="1" applyFill="1" applyBorder="1" applyAlignment="1" applyProtection="1">
      <alignment horizontal="center" vertical="center"/>
    </xf>
    <xf numFmtId="17" fontId="84" fillId="123" borderId="106" xfId="7876" applyNumberFormat="1" applyFont="1" applyFill="1" applyBorder="1" applyAlignment="1" applyProtection="1">
      <alignment horizontal="left" vertical="center"/>
    </xf>
    <xf numFmtId="37" fontId="40" fillId="35" borderId="0" xfId="7876" applyNumberFormat="1" applyFont="1" applyFill="1" applyBorder="1" applyAlignment="1" applyProtection="1">
      <alignment horizontal="center" vertical="center"/>
    </xf>
    <xf numFmtId="37" fontId="40" fillId="35" borderId="96" xfId="7876" applyNumberFormat="1" applyFont="1" applyFill="1" applyBorder="1" applyAlignment="1" applyProtection="1">
      <alignment horizontal="center" vertical="center"/>
    </xf>
    <xf numFmtId="37" fontId="39" fillId="35" borderId="112" xfId="7876" applyNumberFormat="1" applyFont="1" applyFill="1" applyBorder="1" applyAlignment="1" applyProtection="1">
      <alignment horizontal="center" vertical="center"/>
    </xf>
    <xf numFmtId="37" fontId="40" fillId="35" borderId="111" xfId="7876" applyNumberFormat="1" applyFont="1" applyFill="1" applyBorder="1" applyAlignment="1" applyProtection="1">
      <alignment horizontal="center" vertical="center"/>
    </xf>
    <xf numFmtId="17" fontId="84" fillId="123" borderId="111" xfId="7876" applyNumberFormat="1" applyFont="1" applyFill="1" applyBorder="1" applyAlignment="1" applyProtection="1">
      <alignment horizontal="left" vertical="center"/>
    </xf>
    <xf numFmtId="17" fontId="84" fillId="123" borderId="109" xfId="7876" applyNumberFormat="1" applyFont="1" applyFill="1" applyBorder="1" applyAlignment="1" applyProtection="1">
      <alignment horizontal="left" vertical="center"/>
    </xf>
    <xf numFmtId="37" fontId="40" fillId="35" borderId="113" xfId="7876" applyNumberFormat="1" applyFont="1" applyFill="1" applyBorder="1" applyAlignment="1" applyProtection="1">
      <alignment horizontal="center" vertical="center"/>
    </xf>
    <xf numFmtId="37" fontId="40" fillId="35" borderId="110" xfId="7876" applyNumberFormat="1" applyFont="1" applyFill="1" applyBorder="1" applyAlignment="1" applyProtection="1">
      <alignment horizontal="center" vertical="center"/>
    </xf>
    <xf numFmtId="37" fontId="39" fillId="35" borderId="110" xfId="7876" applyNumberFormat="1" applyFont="1" applyFill="1" applyBorder="1" applyAlignment="1" applyProtection="1">
      <alignment horizontal="center" vertical="center"/>
    </xf>
    <xf numFmtId="37" fontId="39" fillId="35" borderId="114" xfId="7876" applyNumberFormat="1" applyFont="1" applyFill="1" applyBorder="1" applyAlignment="1" applyProtection="1">
      <alignment horizontal="center" vertical="center"/>
    </xf>
    <xf numFmtId="0" fontId="244" fillId="35" borderId="0" xfId="7877" applyFont="1" applyFill="1" applyAlignment="1">
      <alignment vertical="center"/>
    </xf>
    <xf numFmtId="0" fontId="19" fillId="35" borderId="0" xfId="7877" applyFont="1" applyFill="1" applyAlignment="1">
      <alignment vertical="center"/>
    </xf>
    <xf numFmtId="0" fontId="9" fillId="35" borderId="0" xfId="6846" applyFont="1" applyFill="1" applyAlignment="1">
      <alignment vertical="center"/>
    </xf>
    <xf numFmtId="0" fontId="97" fillId="35" borderId="0" xfId="6846" applyFont="1" applyFill="1"/>
    <xf numFmtId="0" fontId="4" fillId="35" borderId="0" xfId="6687" applyFont="1" applyFill="1"/>
    <xf numFmtId="0" fontId="9" fillId="35" borderId="0" xfId="6846" applyFont="1" applyFill="1" applyAlignment="1">
      <alignment vertical="center" textRotation="135"/>
    </xf>
    <xf numFmtId="0" fontId="16" fillId="35" borderId="0" xfId="6846" applyFill="1"/>
    <xf numFmtId="0" fontId="4" fillId="35" borderId="0" xfId="6687" applyFill="1"/>
    <xf numFmtId="0" fontId="245" fillId="2" borderId="103" xfId="6846" applyFont="1" applyFill="1" applyBorder="1" applyAlignment="1">
      <alignment vertical="center"/>
    </xf>
    <xf numFmtId="0" fontId="39" fillId="2" borderId="115" xfId="6846" applyFont="1" applyFill="1" applyBorder="1" applyAlignment="1">
      <alignment vertical="center"/>
    </xf>
    <xf numFmtId="0" fontId="39" fillId="2" borderId="104" xfId="6846" applyFont="1" applyFill="1" applyBorder="1" applyAlignment="1">
      <alignment vertical="center"/>
    </xf>
    <xf numFmtId="0" fontId="14" fillId="35" borderId="0" xfId="6846" applyFont="1" applyFill="1" applyAlignment="1">
      <alignment horizontal="center" vertical="center"/>
    </xf>
    <xf numFmtId="0" fontId="246" fillId="2" borderId="109" xfId="6846" applyFont="1" applyFill="1" applyBorder="1" applyAlignment="1">
      <alignment horizontal="center" vertical="center" wrapText="1"/>
    </xf>
    <xf numFmtId="0" fontId="84" fillId="2" borderId="113" xfId="6846" applyFont="1" applyFill="1" applyBorder="1" applyAlignment="1">
      <alignment horizontal="center" vertical="center" wrapText="1"/>
    </xf>
    <xf numFmtId="0" fontId="84" fillId="2" borderId="110" xfId="6846" applyFont="1" applyFill="1" applyBorder="1" applyAlignment="1">
      <alignment horizontal="center" vertical="center" wrapText="1"/>
    </xf>
    <xf numFmtId="0" fontId="84" fillId="2" borderId="114" xfId="6846" applyFont="1" applyFill="1" applyBorder="1" applyAlignment="1">
      <alignment horizontal="center" vertical="center" wrapText="1"/>
    </xf>
    <xf numFmtId="0" fontId="14" fillId="35" borderId="0" xfId="6846" applyFont="1" applyFill="1" applyAlignment="1">
      <alignment horizontal="center" vertical="center" wrapText="1"/>
    </xf>
    <xf numFmtId="17" fontId="84" fillId="125" borderId="106" xfId="6846" applyNumberFormat="1" applyFont="1" applyFill="1" applyBorder="1" applyAlignment="1">
      <alignment horizontal="left" vertical="center"/>
    </xf>
    <xf numFmtId="3" fontId="6" fillId="35" borderId="2" xfId="6846" applyNumberFormat="1" applyFont="1" applyFill="1" applyBorder="1" applyAlignment="1">
      <alignment horizontal="center" vertical="center"/>
    </xf>
    <xf numFmtId="3" fontId="6" fillId="35" borderId="27" xfId="6846" applyNumberFormat="1" applyFont="1" applyFill="1" applyBorder="1" applyAlignment="1">
      <alignment horizontal="center" vertical="center"/>
    </xf>
    <xf numFmtId="3" fontId="6" fillId="35" borderId="5" xfId="6846" applyNumberFormat="1" applyFont="1" applyFill="1" applyBorder="1" applyAlignment="1">
      <alignment horizontal="center" vertical="center"/>
    </xf>
    <xf numFmtId="3" fontId="6" fillId="35" borderId="111" xfId="6846" applyNumberFormat="1" applyFont="1" applyFill="1" applyBorder="1" applyAlignment="1">
      <alignment horizontal="center" vertical="center"/>
    </xf>
    <xf numFmtId="3" fontId="6" fillId="35" borderId="112" xfId="6846" applyNumberFormat="1" applyFont="1" applyFill="1" applyBorder="1" applyAlignment="1">
      <alignment horizontal="center" vertical="center"/>
    </xf>
    <xf numFmtId="17" fontId="84" fillId="2" borderId="106" xfId="6846" applyNumberFormat="1" applyFont="1" applyFill="1" applyBorder="1" applyAlignment="1">
      <alignment horizontal="left" vertical="center"/>
    </xf>
    <xf numFmtId="3" fontId="6" fillId="35" borderId="0" xfId="6846" applyNumberFormat="1" applyFont="1" applyFill="1" applyBorder="1" applyAlignment="1">
      <alignment horizontal="center" vertical="center"/>
    </xf>
    <xf numFmtId="17" fontId="84" fillId="2" borderId="2" xfId="6846" applyNumberFormat="1" applyFont="1" applyFill="1" applyBorder="1" applyAlignment="1">
      <alignment horizontal="left" vertical="center"/>
    </xf>
    <xf numFmtId="17" fontId="84" fillId="2" borderId="109" xfId="6846" applyNumberFormat="1" applyFont="1" applyFill="1" applyBorder="1" applyAlignment="1">
      <alignment horizontal="left" vertical="center"/>
    </xf>
    <xf numFmtId="3" fontId="6" fillId="35" borderId="118" xfId="6846" applyNumberFormat="1" applyFont="1" applyFill="1" applyBorder="1" applyAlignment="1">
      <alignment horizontal="center" vertical="center"/>
    </xf>
    <xf numFmtId="3" fontId="6" fillId="35" borderId="110" xfId="6846" applyNumberFormat="1" applyFont="1" applyFill="1" applyBorder="1" applyAlignment="1">
      <alignment horizontal="center" vertical="center"/>
    </xf>
    <xf numFmtId="3" fontId="6" fillId="35" borderId="114" xfId="6846" applyNumberFormat="1" applyFont="1" applyFill="1" applyBorder="1" applyAlignment="1">
      <alignment horizontal="center" vertical="center"/>
    </xf>
    <xf numFmtId="3" fontId="16" fillId="35" borderId="0" xfId="6846" applyNumberFormat="1" applyFill="1" applyBorder="1" applyAlignment="1">
      <alignment horizontal="right" vertical="center"/>
    </xf>
    <xf numFmtId="0" fontId="153" fillId="35" borderId="0" xfId="6846" applyFont="1" applyFill="1" applyAlignment="1">
      <alignment vertical="center"/>
    </xf>
    <xf numFmtId="0" fontId="6" fillId="35" borderId="0" xfId="6846" applyFont="1" applyFill="1"/>
    <xf numFmtId="0" fontId="247" fillId="35" borderId="0" xfId="6687" applyFont="1" applyFill="1"/>
    <xf numFmtId="0" fontId="9" fillId="35" borderId="0" xfId="6693" applyFont="1" applyFill="1" applyAlignment="1">
      <alignment vertical="center"/>
    </xf>
    <xf numFmtId="0" fontId="248" fillId="35" borderId="0" xfId="6693" applyFont="1" applyFill="1" applyAlignment="1">
      <alignment vertical="center"/>
    </xf>
    <xf numFmtId="0" fontId="46" fillId="35" borderId="0" xfId="6693" applyFont="1" applyFill="1" applyAlignment="1">
      <alignment vertical="center"/>
    </xf>
    <xf numFmtId="0" fontId="4" fillId="35" borderId="0" xfId="6693" applyFill="1" applyAlignment="1">
      <alignment vertical="center"/>
    </xf>
    <xf numFmtId="0" fontId="249" fillId="35" borderId="0" xfId="6693" applyFont="1" applyFill="1" applyAlignment="1">
      <alignment horizontal="right" vertical="center"/>
    </xf>
    <xf numFmtId="0" fontId="80" fillId="3" borderId="119" xfId="6693" applyFont="1" applyFill="1" applyBorder="1" applyAlignment="1">
      <alignment horizontal="center" vertical="center" wrapText="1"/>
    </xf>
    <xf numFmtId="0" fontId="250" fillId="3" borderId="120" xfId="6693" applyFont="1" applyFill="1" applyBorder="1" applyAlignment="1">
      <alignment horizontal="center" vertical="center" wrapText="1"/>
    </xf>
    <xf numFmtId="0" fontId="250" fillId="3" borderId="121" xfId="6693" applyFont="1" applyFill="1" applyBorder="1" applyAlignment="1">
      <alignment horizontal="center" vertical="center" wrapText="1"/>
    </xf>
    <xf numFmtId="0" fontId="80" fillId="35" borderId="0" xfId="6693" applyFont="1" applyFill="1" applyAlignment="1">
      <alignment horizontal="center" vertical="center"/>
    </xf>
    <xf numFmtId="0" fontId="223" fillId="35" borderId="0" xfId="6693" applyFont="1" applyFill="1" applyAlignment="1">
      <alignment horizontal="center" vertical="center"/>
    </xf>
    <xf numFmtId="17" fontId="80" fillId="35" borderId="122" xfId="6693" applyNumberFormat="1" applyFont="1" applyFill="1" applyBorder="1" applyAlignment="1">
      <alignment horizontal="center" vertical="center" wrapText="1"/>
    </xf>
    <xf numFmtId="206" fontId="46" fillId="35" borderId="123" xfId="6072" applyNumberFormat="1" applyFont="1" applyFill="1" applyBorder="1" applyAlignment="1">
      <alignment horizontal="right" vertical="center" wrapText="1"/>
    </xf>
    <xf numFmtId="206" fontId="46" fillId="35" borderId="124" xfId="6072" applyNumberFormat="1" applyFont="1" applyFill="1" applyBorder="1" applyAlignment="1">
      <alignment horizontal="right" vertical="center" wrapText="1"/>
    </xf>
    <xf numFmtId="206" fontId="46" fillId="35" borderId="125" xfId="6072" applyNumberFormat="1" applyFont="1" applyFill="1" applyBorder="1" applyAlignment="1">
      <alignment horizontal="right" vertical="center" wrapText="1"/>
    </xf>
    <xf numFmtId="17" fontId="80" fillId="35" borderId="126" xfId="6693" applyNumberFormat="1" applyFont="1" applyFill="1" applyBorder="1" applyAlignment="1">
      <alignment horizontal="center" vertical="center" wrapText="1"/>
    </xf>
    <xf numFmtId="206" fontId="46" fillId="35" borderId="127" xfId="6072" applyNumberFormat="1" applyFont="1" applyFill="1" applyBorder="1" applyAlignment="1">
      <alignment horizontal="right" vertical="center" wrapText="1"/>
    </xf>
    <xf numFmtId="206" fontId="46" fillId="35" borderId="128" xfId="6072" applyNumberFormat="1" applyFont="1" applyFill="1" applyBorder="1" applyAlignment="1">
      <alignment horizontal="right" vertical="center" wrapText="1"/>
    </xf>
    <xf numFmtId="206" fontId="46" fillId="35" borderId="129" xfId="6072" applyNumberFormat="1" applyFont="1" applyFill="1" applyBorder="1" applyAlignment="1">
      <alignment horizontal="right" vertical="center" wrapText="1"/>
    </xf>
    <xf numFmtId="17" fontId="80" fillId="35" borderId="130" xfId="6693" applyNumberFormat="1" applyFont="1" applyFill="1" applyBorder="1" applyAlignment="1">
      <alignment horizontal="center" vertical="center" wrapText="1"/>
    </xf>
    <xf numFmtId="206" fontId="46" fillId="35" borderId="131" xfId="6072" applyNumberFormat="1" applyFont="1" applyFill="1" applyBorder="1" applyAlignment="1">
      <alignment horizontal="right" vertical="center" wrapText="1"/>
    </xf>
    <xf numFmtId="206" fontId="46" fillId="35" borderId="132" xfId="6072" applyNumberFormat="1" applyFont="1" applyFill="1" applyBorder="1" applyAlignment="1">
      <alignment horizontal="right" vertical="center" wrapText="1"/>
    </xf>
    <xf numFmtId="17" fontId="80" fillId="35" borderId="133" xfId="6693" applyNumberFormat="1" applyFont="1" applyFill="1" applyBorder="1" applyAlignment="1">
      <alignment horizontal="center" vertical="center" wrapText="1"/>
    </xf>
    <xf numFmtId="206" fontId="46" fillId="35" borderId="134" xfId="6072" applyNumberFormat="1" applyFont="1" applyFill="1" applyBorder="1" applyAlignment="1">
      <alignment horizontal="right" vertical="center" wrapText="1"/>
    </xf>
    <xf numFmtId="206" fontId="46" fillId="35" borderId="135" xfId="6072" applyNumberFormat="1" applyFont="1" applyFill="1" applyBorder="1" applyAlignment="1">
      <alignment horizontal="right" vertical="center" wrapText="1"/>
    </xf>
    <xf numFmtId="0" fontId="4" fillId="35" borderId="0" xfId="6693" applyFill="1" applyBorder="1" applyAlignment="1">
      <alignment vertical="center"/>
    </xf>
    <xf numFmtId="0" fontId="19" fillId="35" borderId="0" xfId="6693" applyFont="1" applyFill="1" applyAlignment="1">
      <alignment vertical="center"/>
    </xf>
    <xf numFmtId="0" fontId="249" fillId="35" borderId="0" xfId="6693" applyFont="1" applyFill="1" applyAlignment="1">
      <alignment vertical="center"/>
    </xf>
    <xf numFmtId="0" fontId="46" fillId="35" borderId="0" xfId="6693" applyFont="1" applyFill="1" applyBorder="1" applyAlignment="1">
      <alignment vertical="center"/>
    </xf>
    <xf numFmtId="0" fontId="14" fillId="35" borderId="0" xfId="6827" applyFont="1" applyFill="1"/>
    <xf numFmtId="0" fontId="16" fillId="35" borderId="0" xfId="6827" applyFill="1"/>
    <xf numFmtId="0" fontId="16" fillId="35" borderId="0" xfId="6827" applyFont="1" applyFill="1"/>
    <xf numFmtId="0" fontId="251" fillId="35" borderId="0" xfId="6827" applyFont="1" applyFill="1"/>
    <xf numFmtId="0" fontId="243" fillId="35" borderId="0" xfId="6827" applyFont="1" applyFill="1" applyAlignment="1">
      <alignment horizontal="center"/>
    </xf>
    <xf numFmtId="0" fontId="19" fillId="35" borderId="0" xfId="6827" applyFont="1" applyFill="1"/>
    <xf numFmtId="0" fontId="19" fillId="35" borderId="7" xfId="6827" applyFont="1" applyFill="1" applyBorder="1" applyAlignment="1"/>
    <xf numFmtId="0" fontId="19" fillId="35" borderId="0" xfId="6827" applyFont="1" applyFill="1" applyAlignment="1">
      <alignment horizontal="right"/>
    </xf>
    <xf numFmtId="3" fontId="193" fillId="123" borderId="103" xfId="6827" applyNumberFormat="1" applyFont="1" applyFill="1" applyBorder="1" applyAlignment="1">
      <alignment horizontal="center"/>
    </xf>
    <xf numFmtId="17" fontId="193" fillId="123" borderId="136" xfId="6827" applyNumberFormat="1" applyFont="1" applyFill="1" applyBorder="1" applyAlignment="1">
      <alignment horizontal="centerContinuous"/>
    </xf>
    <xf numFmtId="17" fontId="193" fillId="123" borderId="137" xfId="6827" applyNumberFormat="1" applyFont="1" applyFill="1" applyBorder="1" applyAlignment="1">
      <alignment horizontal="centerContinuous"/>
    </xf>
    <xf numFmtId="17" fontId="193" fillId="123" borderId="138" xfId="6827" applyNumberFormat="1" applyFont="1" applyFill="1" applyBorder="1" applyAlignment="1">
      <alignment horizontal="centerContinuous"/>
    </xf>
    <xf numFmtId="17" fontId="193" fillId="123" borderId="138" xfId="6827" quotePrefix="1" applyNumberFormat="1" applyFont="1" applyFill="1" applyBorder="1" applyAlignment="1">
      <alignment horizontal="centerContinuous"/>
    </xf>
    <xf numFmtId="17" fontId="193" fillId="123" borderId="139" xfId="6827" quotePrefix="1" applyNumberFormat="1" applyFont="1" applyFill="1" applyBorder="1" applyAlignment="1">
      <alignment horizontal="centerContinuous"/>
    </xf>
    <xf numFmtId="17" fontId="39" fillId="123" borderId="138" xfId="6827" quotePrefix="1" applyNumberFormat="1" applyFont="1" applyFill="1" applyBorder="1" applyAlignment="1">
      <alignment horizontal="centerContinuous"/>
    </xf>
    <xf numFmtId="17" fontId="151" fillId="123" borderId="138" xfId="6827" quotePrefix="1" applyNumberFormat="1" applyFont="1" applyFill="1" applyBorder="1" applyAlignment="1">
      <alignment horizontal="centerContinuous"/>
    </xf>
    <xf numFmtId="3" fontId="193" fillId="123" borderId="111" xfId="6827" applyNumberFormat="1" applyFont="1" applyFill="1" applyBorder="1"/>
    <xf numFmtId="0" fontId="16" fillId="35" borderId="8" xfId="6827" applyFont="1" applyFill="1" applyBorder="1"/>
    <xf numFmtId="0" fontId="16" fillId="35" borderId="104" xfId="6827" applyFont="1" applyFill="1" applyBorder="1"/>
    <xf numFmtId="0" fontId="16" fillId="35" borderId="8" xfId="6827" applyFill="1" applyBorder="1"/>
    <xf numFmtId="0" fontId="16" fillId="35" borderId="104" xfId="6827" applyFill="1" applyBorder="1"/>
    <xf numFmtId="0" fontId="16" fillId="35" borderId="4" xfId="6827" applyFill="1" applyBorder="1"/>
    <xf numFmtId="0" fontId="16" fillId="35" borderId="103" xfId="6827" applyFill="1" applyBorder="1"/>
    <xf numFmtId="0" fontId="16" fillId="35" borderId="103" xfId="6827" applyFont="1" applyFill="1" applyBorder="1"/>
    <xf numFmtId="0" fontId="92" fillId="35" borderId="103" xfId="6827" applyFont="1" applyFill="1" applyBorder="1"/>
    <xf numFmtId="0" fontId="16" fillId="35" borderId="1" xfId="6827" applyFill="1" applyBorder="1"/>
    <xf numFmtId="0" fontId="16" fillId="35" borderId="105" xfId="6827" applyFill="1" applyBorder="1"/>
    <xf numFmtId="0" fontId="4" fillId="35" borderId="103" xfId="6687" applyFill="1" applyBorder="1"/>
    <xf numFmtId="3" fontId="252" fillId="123" borderId="111" xfId="6827" applyNumberFormat="1" applyFont="1" applyFill="1" applyBorder="1"/>
    <xf numFmtId="0" fontId="16" fillId="35" borderId="0" xfId="6827" applyFont="1" applyFill="1" applyBorder="1"/>
    <xf numFmtId="0" fontId="16" fillId="35" borderId="27" xfId="6827" applyFont="1" applyFill="1" applyBorder="1"/>
    <xf numFmtId="0" fontId="16" fillId="35" borderId="0" xfId="6827" applyFill="1" applyBorder="1"/>
    <xf numFmtId="0" fontId="16" fillId="35" borderId="27" xfId="6827" applyFill="1" applyBorder="1"/>
    <xf numFmtId="0" fontId="16" fillId="35" borderId="5" xfId="6827" applyFill="1" applyBorder="1"/>
    <xf numFmtId="0" fontId="16" fillId="35" borderId="106" xfId="6827" applyFill="1" applyBorder="1"/>
    <xf numFmtId="0" fontId="16" fillId="35" borderId="106" xfId="6827" applyFont="1" applyFill="1" applyBorder="1"/>
    <xf numFmtId="0" fontId="92" fillId="35" borderId="106" xfId="6827" applyFont="1" applyFill="1" applyBorder="1"/>
    <xf numFmtId="0" fontId="16" fillId="35" borderId="2" xfId="6827" applyFill="1" applyBorder="1"/>
    <xf numFmtId="0" fontId="16" fillId="35" borderId="112" xfId="6827" applyFill="1" applyBorder="1"/>
    <xf numFmtId="0" fontId="4" fillId="35" borderId="106" xfId="6687" applyFill="1" applyBorder="1"/>
    <xf numFmtId="3" fontId="253" fillId="123" borderId="111" xfId="6827" applyNumberFormat="1" applyFont="1" applyFill="1" applyBorder="1"/>
    <xf numFmtId="4" fontId="215" fillId="35" borderId="0" xfId="6827" applyNumberFormat="1" applyFont="1" applyFill="1" applyBorder="1" applyAlignment="1">
      <alignment horizontal="right"/>
    </xf>
    <xf numFmtId="4" fontId="215" fillId="35" borderId="27" xfId="6827" applyNumberFormat="1" applyFont="1" applyFill="1" applyBorder="1" applyAlignment="1">
      <alignment horizontal="right"/>
    </xf>
    <xf numFmtId="4" fontId="215" fillId="35" borderId="5" xfId="6827" applyNumberFormat="1" applyFont="1" applyFill="1" applyBorder="1" applyAlignment="1">
      <alignment horizontal="right"/>
    </xf>
    <xf numFmtId="4" fontId="215" fillId="35" borderId="106" xfId="6827" applyNumberFormat="1" applyFont="1" applyFill="1" applyBorder="1" applyAlignment="1">
      <alignment horizontal="right"/>
    </xf>
    <xf numFmtId="4" fontId="16" fillId="35" borderId="106" xfId="6827" applyNumberFormat="1" applyFill="1" applyBorder="1"/>
    <xf numFmtId="4" fontId="16" fillId="35" borderId="2" xfId="6827" applyNumberFormat="1" applyFill="1" applyBorder="1"/>
    <xf numFmtId="4" fontId="16" fillId="35" borderId="112" xfId="6827" applyNumberFormat="1" applyFill="1" applyBorder="1"/>
    <xf numFmtId="4" fontId="253" fillId="35" borderId="106" xfId="6827" applyNumberFormat="1" applyFont="1" applyFill="1" applyBorder="1"/>
    <xf numFmtId="4" fontId="255" fillId="35" borderId="106" xfId="6687" applyNumberFormat="1" applyFont="1" applyFill="1" applyBorder="1"/>
    <xf numFmtId="3" fontId="253" fillId="123" borderId="106" xfId="6827" applyNumberFormat="1" applyFont="1" applyFill="1" applyBorder="1"/>
    <xf numFmtId="0" fontId="256" fillId="35" borderId="106" xfId="6827" applyFont="1" applyFill="1" applyBorder="1"/>
    <xf numFmtId="0" fontId="257" fillId="35" borderId="106" xfId="6687" applyFont="1" applyFill="1" applyBorder="1"/>
    <xf numFmtId="3" fontId="252" fillId="123" borderId="106" xfId="6827" applyNumberFormat="1" applyFont="1" applyFill="1" applyBorder="1"/>
    <xf numFmtId="0" fontId="193" fillId="35" borderId="0" xfId="6827" applyFont="1" applyFill="1" applyBorder="1" applyAlignment="1">
      <alignment horizontal="right"/>
    </xf>
    <xf numFmtId="0" fontId="193" fillId="35" borderId="27" xfId="6827" applyFont="1" applyFill="1" applyBorder="1" applyAlignment="1">
      <alignment horizontal="right"/>
    </xf>
    <xf numFmtId="0" fontId="193" fillId="35" borderId="5" xfId="6827" applyFont="1" applyFill="1" applyBorder="1" applyAlignment="1">
      <alignment horizontal="right"/>
    </xf>
    <xf numFmtId="0" fontId="193" fillId="35" borderId="106" xfId="6827" applyFont="1" applyFill="1" applyBorder="1" applyAlignment="1">
      <alignment horizontal="right"/>
    </xf>
    <xf numFmtId="0" fontId="193" fillId="35" borderId="2" xfId="6827" applyFont="1" applyFill="1" applyBorder="1" applyAlignment="1">
      <alignment horizontal="right"/>
    </xf>
    <xf numFmtId="0" fontId="193" fillId="35" borderId="112" xfId="6827" applyFont="1" applyFill="1" applyBorder="1" applyAlignment="1">
      <alignment horizontal="right"/>
    </xf>
    <xf numFmtId="0" fontId="252" fillId="35" borderId="106" xfId="6827" applyFont="1" applyFill="1" applyBorder="1" applyAlignment="1">
      <alignment horizontal="right"/>
    </xf>
    <xf numFmtId="0" fontId="252" fillId="35" borderId="106" xfId="6687" applyFont="1" applyFill="1" applyBorder="1" applyAlignment="1">
      <alignment horizontal="right"/>
    </xf>
    <xf numFmtId="0" fontId="92" fillId="35" borderId="2" xfId="6827" applyFont="1" applyFill="1" applyBorder="1"/>
    <xf numFmtId="0" fontId="92" fillId="35" borderId="112" xfId="6827" applyFont="1" applyFill="1" applyBorder="1"/>
    <xf numFmtId="0" fontId="258" fillId="35" borderId="106" xfId="6827" applyFont="1" applyFill="1" applyBorder="1"/>
    <xf numFmtId="0" fontId="258" fillId="35" borderId="106" xfId="6687" applyFont="1" applyFill="1" applyBorder="1"/>
    <xf numFmtId="2" fontId="215" fillId="35" borderId="0" xfId="6827" applyNumberFormat="1" applyFont="1" applyFill="1" applyBorder="1" applyAlignment="1">
      <alignment horizontal="right"/>
    </xf>
    <xf numFmtId="2" fontId="215" fillId="35" borderId="27" xfId="6827" applyNumberFormat="1" applyFont="1" applyFill="1" applyBorder="1" applyAlignment="1">
      <alignment horizontal="right"/>
    </xf>
    <xf numFmtId="2" fontId="215" fillId="35" borderId="5" xfId="6827" applyNumberFormat="1" applyFont="1" applyFill="1" applyBorder="1" applyAlignment="1">
      <alignment horizontal="right"/>
    </xf>
    <xf numFmtId="2" fontId="215" fillId="35" borderId="106" xfId="6827" applyNumberFormat="1" applyFont="1" applyFill="1" applyBorder="1" applyAlignment="1">
      <alignment horizontal="right"/>
    </xf>
    <xf numFmtId="2" fontId="215" fillId="35" borderId="2" xfId="6827" applyNumberFormat="1" applyFont="1" applyFill="1" applyBorder="1" applyAlignment="1">
      <alignment horizontal="right"/>
    </xf>
    <xf numFmtId="2" fontId="215" fillId="35" borderId="112" xfId="6827" applyNumberFormat="1" applyFont="1" applyFill="1" applyBorder="1" applyAlignment="1">
      <alignment horizontal="right"/>
    </xf>
    <xf numFmtId="2" fontId="253" fillId="35" borderId="106" xfId="6827" applyNumberFormat="1" applyFont="1" applyFill="1" applyBorder="1" applyAlignment="1">
      <alignment horizontal="right"/>
    </xf>
    <xf numFmtId="2" fontId="253" fillId="35" borderId="106" xfId="6687" applyNumberFormat="1" applyFont="1" applyFill="1" applyBorder="1" applyAlignment="1">
      <alignment horizontal="right"/>
    </xf>
    <xf numFmtId="0" fontId="215" fillId="35" borderId="0" xfId="6827" applyFont="1" applyFill="1" applyBorder="1"/>
    <xf numFmtId="0" fontId="215" fillId="35" borderId="27" xfId="6827" applyFont="1" applyFill="1" applyBorder="1"/>
    <xf numFmtId="0" fontId="215" fillId="35" borderId="5" xfId="6827" applyFont="1" applyFill="1" applyBorder="1"/>
    <xf numFmtId="0" fontId="215" fillId="35" borderId="106" xfId="6827" applyFont="1" applyFill="1" applyBorder="1"/>
    <xf numFmtId="0" fontId="215" fillId="35" borderId="106" xfId="6827" applyFont="1" applyFill="1" applyBorder="1" applyAlignment="1">
      <alignment horizontal="left" indent="2"/>
    </xf>
    <xf numFmtId="0" fontId="215" fillId="35" borderId="2" xfId="6827" applyFont="1" applyFill="1" applyBorder="1" applyAlignment="1">
      <alignment horizontal="left" indent="2"/>
    </xf>
    <xf numFmtId="0" fontId="215" fillId="35" borderId="112" xfId="6827" applyFont="1" applyFill="1" applyBorder="1" applyAlignment="1">
      <alignment horizontal="left" indent="2"/>
    </xf>
    <xf numFmtId="0" fontId="253" fillId="35" borderId="106" xfId="6827" applyFont="1" applyFill="1" applyBorder="1" applyAlignment="1">
      <alignment horizontal="left" indent="2"/>
    </xf>
    <xf numFmtId="0" fontId="253" fillId="35" borderId="106" xfId="6687" applyFont="1" applyFill="1" applyBorder="1" applyAlignment="1">
      <alignment horizontal="left" indent="2"/>
    </xf>
    <xf numFmtId="3" fontId="259" fillId="123" borderId="106" xfId="6827" applyNumberFormat="1" applyFont="1" applyFill="1" applyBorder="1"/>
    <xf numFmtId="2" fontId="243" fillId="35" borderId="0" xfId="6827" applyNumberFormat="1" applyFont="1" applyFill="1" applyBorder="1" applyAlignment="1">
      <alignment horizontal="right"/>
    </xf>
    <xf numFmtId="2" fontId="243" fillId="35" borderId="27" xfId="6827" applyNumberFormat="1" applyFont="1" applyFill="1" applyBorder="1" applyAlignment="1">
      <alignment horizontal="right"/>
    </xf>
    <xf numFmtId="2" fontId="243" fillId="35" borderId="5" xfId="6827" applyNumberFormat="1" applyFont="1" applyFill="1" applyBorder="1" applyAlignment="1">
      <alignment horizontal="right"/>
    </xf>
    <xf numFmtId="2" fontId="243" fillId="35" borderId="106" xfId="6827" applyNumberFormat="1" applyFont="1" applyFill="1" applyBorder="1" applyAlignment="1">
      <alignment horizontal="right"/>
    </xf>
    <xf numFmtId="2" fontId="243" fillId="35" borderId="2" xfId="6827" applyNumberFormat="1" applyFont="1" applyFill="1" applyBorder="1" applyAlignment="1">
      <alignment horizontal="right"/>
    </xf>
    <xf numFmtId="2" fontId="243" fillId="35" borderId="112" xfId="6827" applyNumberFormat="1" applyFont="1" applyFill="1" applyBorder="1" applyAlignment="1">
      <alignment horizontal="right"/>
    </xf>
    <xf numFmtId="0" fontId="253" fillId="35" borderId="5" xfId="6827" applyFont="1" applyFill="1" applyBorder="1"/>
    <xf numFmtId="0" fontId="253" fillId="35" borderId="5" xfId="6687" applyFont="1" applyFill="1" applyBorder="1"/>
    <xf numFmtId="2" fontId="215" fillId="0" borderId="5" xfId="6827" applyNumberFormat="1" applyFont="1" applyFill="1" applyBorder="1" applyAlignment="1">
      <alignment horizontal="right"/>
    </xf>
    <xf numFmtId="0" fontId="253" fillId="35" borderId="106" xfId="6827" applyFont="1" applyFill="1" applyBorder="1"/>
    <xf numFmtId="2" fontId="253" fillId="35" borderId="5" xfId="6827" applyNumberFormat="1" applyFont="1" applyFill="1" applyBorder="1" applyAlignment="1">
      <alignment horizontal="right"/>
    </xf>
    <xf numFmtId="2" fontId="253" fillId="35" borderId="5" xfId="6687" applyNumberFormat="1" applyFont="1" applyFill="1" applyBorder="1" applyAlignment="1">
      <alignment horizontal="right"/>
    </xf>
    <xf numFmtId="268" fontId="215" fillId="35" borderId="5" xfId="6827" applyNumberFormat="1" applyFont="1" applyFill="1" applyBorder="1" applyAlignment="1">
      <alignment horizontal="right"/>
    </xf>
    <xf numFmtId="169" fontId="215" fillId="35" borderId="5" xfId="6827" applyNumberFormat="1" applyFont="1" applyFill="1" applyBorder="1" applyAlignment="1">
      <alignment horizontal="right"/>
    </xf>
    <xf numFmtId="2" fontId="253" fillId="35" borderId="5" xfId="6687" applyNumberFormat="1" applyFont="1" applyFill="1" applyBorder="1" applyAlignment="1">
      <alignment horizontal="center"/>
    </xf>
    <xf numFmtId="2" fontId="215" fillId="35" borderId="5" xfId="6827" applyNumberFormat="1" applyFont="1" applyFill="1" applyBorder="1" applyAlignment="1">
      <alignment horizontal="center"/>
    </xf>
    <xf numFmtId="206" fontId="16" fillId="35" borderId="106" xfId="5995" applyNumberFormat="1" applyFont="1" applyFill="1" applyBorder="1" applyAlignment="1">
      <alignment horizontal="left"/>
    </xf>
    <xf numFmtId="169" fontId="16" fillId="35" borderId="106" xfId="5995" applyNumberFormat="1" applyFont="1" applyFill="1" applyBorder="1" applyAlignment="1">
      <alignment horizontal="left"/>
    </xf>
    <xf numFmtId="0" fontId="16" fillId="35" borderId="5" xfId="6827" applyFont="1" applyFill="1" applyBorder="1"/>
    <xf numFmtId="0" fontId="92" fillId="35" borderId="5" xfId="6827" applyFont="1" applyFill="1" applyBorder="1"/>
    <xf numFmtId="0" fontId="258" fillId="35" borderId="5" xfId="6827" applyFont="1" applyFill="1" applyBorder="1"/>
    <xf numFmtId="0" fontId="258" fillId="35" borderId="5" xfId="6687" applyFont="1" applyFill="1" applyBorder="1"/>
    <xf numFmtId="2" fontId="193" fillId="35" borderId="0" xfId="6827" applyNumberFormat="1" applyFont="1" applyFill="1" applyBorder="1" applyAlignment="1">
      <alignment horizontal="right"/>
    </xf>
    <xf numFmtId="2" fontId="193" fillId="35" borderId="27" xfId="6827" applyNumberFormat="1" applyFont="1" applyFill="1" applyBorder="1" applyAlignment="1">
      <alignment horizontal="right"/>
    </xf>
    <xf numFmtId="2" fontId="193" fillId="35" borderId="5" xfId="6827" applyNumberFormat="1" applyFont="1" applyFill="1" applyBorder="1" applyAlignment="1">
      <alignment horizontal="right"/>
    </xf>
    <xf numFmtId="2" fontId="193" fillId="35" borderId="106" xfId="6827" applyNumberFormat="1" applyFont="1" applyFill="1" applyBorder="1" applyAlignment="1">
      <alignment horizontal="right"/>
    </xf>
    <xf numFmtId="2" fontId="252" fillId="35" borderId="106" xfId="6827" applyNumberFormat="1" applyFont="1" applyFill="1" applyBorder="1" applyAlignment="1">
      <alignment horizontal="right"/>
    </xf>
    <xf numFmtId="2" fontId="252" fillId="35" borderId="5" xfId="6827" applyNumberFormat="1" applyFont="1" applyFill="1" applyBorder="1" applyAlignment="1">
      <alignment horizontal="right"/>
    </xf>
    <xf numFmtId="0" fontId="260" fillId="35" borderId="5" xfId="6827" applyFont="1" applyFill="1" applyBorder="1"/>
    <xf numFmtId="0" fontId="260" fillId="35" borderId="106" xfId="6827" applyFont="1" applyFill="1" applyBorder="1"/>
    <xf numFmtId="2" fontId="253" fillId="0" borderId="5" xfId="6827" applyNumberFormat="1" applyFont="1" applyFill="1" applyBorder="1" applyAlignment="1">
      <alignment horizontal="right"/>
    </xf>
    <xf numFmtId="2" fontId="253" fillId="0" borderId="5" xfId="6687" applyNumberFormat="1" applyFont="1" applyFill="1" applyBorder="1" applyAlignment="1">
      <alignment horizontal="right"/>
    </xf>
    <xf numFmtId="3" fontId="215" fillId="123" borderId="109" xfId="6827" applyNumberFormat="1" applyFont="1" applyFill="1" applyBorder="1"/>
    <xf numFmtId="0" fontId="16" fillId="35" borderId="7" xfId="6827" applyFont="1" applyFill="1" applyBorder="1"/>
    <xf numFmtId="0" fontId="16" fillId="35" borderId="110" xfId="6827" applyFont="1" applyFill="1" applyBorder="1"/>
    <xf numFmtId="0" fontId="16" fillId="35" borderId="110" xfId="6827" applyFill="1" applyBorder="1"/>
    <xf numFmtId="0" fontId="16" fillId="35" borderId="7" xfId="6827" applyFill="1" applyBorder="1"/>
    <xf numFmtId="0" fontId="16" fillId="35" borderId="6" xfId="6827" applyFill="1" applyBorder="1"/>
    <xf numFmtId="0" fontId="16" fillId="35" borderId="109" xfId="6827" applyFill="1" applyBorder="1"/>
    <xf numFmtId="0" fontId="16" fillId="35" borderId="109" xfId="6827" applyFont="1" applyFill="1" applyBorder="1"/>
    <xf numFmtId="0" fontId="16" fillId="35" borderId="3" xfId="6827" applyFill="1" applyBorder="1"/>
    <xf numFmtId="0" fontId="16" fillId="35" borderId="114" xfId="6827" applyFill="1" applyBorder="1"/>
    <xf numFmtId="0" fontId="16" fillId="35" borderId="109" xfId="6687" applyFont="1" applyFill="1" applyBorder="1"/>
    <xf numFmtId="0" fontId="243" fillId="35" borderId="8" xfId="6827" applyFont="1" applyFill="1" applyBorder="1" applyAlignment="1" applyProtection="1">
      <alignment horizontal="left"/>
    </xf>
    <xf numFmtId="0" fontId="244" fillId="35" borderId="0" xfId="6827" applyFont="1" applyFill="1" applyBorder="1" applyAlignment="1" applyProtection="1">
      <alignment horizontal="left"/>
    </xf>
    <xf numFmtId="0" fontId="9" fillId="35" borderId="0" xfId="7878" applyFont="1" applyFill="1"/>
    <xf numFmtId="0" fontId="7" fillId="35" borderId="0" xfId="7878" applyFont="1" applyFill="1"/>
    <xf numFmtId="234" fontId="7" fillId="35" borderId="0" xfId="7878" applyNumberFormat="1" applyFont="1" applyFill="1"/>
    <xf numFmtId="0" fontId="263" fillId="35" borderId="0" xfId="7878" applyFont="1" applyFill="1" applyBorder="1"/>
    <xf numFmtId="0" fontId="263" fillId="35" borderId="0" xfId="7878" applyFont="1" applyFill="1"/>
    <xf numFmtId="0" fontId="38" fillId="35" borderId="0" xfId="7878" applyFont="1" applyFill="1" applyBorder="1" applyAlignment="1">
      <alignment horizontal="centerContinuous"/>
    </xf>
    <xf numFmtId="0" fontId="263" fillId="35" borderId="0" xfId="7878" applyFont="1" applyFill="1" applyBorder="1" applyAlignment="1">
      <alignment horizontal="centerContinuous"/>
    </xf>
    <xf numFmtId="0" fontId="16" fillId="123" borderId="103" xfId="7878" applyFont="1" applyFill="1" applyBorder="1"/>
    <xf numFmtId="0" fontId="84" fillId="123" borderId="115" xfId="7878" applyFont="1" applyFill="1" applyBorder="1" applyAlignment="1">
      <alignment horizontal="center"/>
    </xf>
    <xf numFmtId="0" fontId="84" fillId="123" borderId="104" xfId="7878" applyFont="1" applyFill="1" applyBorder="1" applyAlignment="1">
      <alignment horizontal="center"/>
    </xf>
    <xf numFmtId="0" fontId="84" fillId="123" borderId="4" xfId="7878" applyFont="1" applyFill="1" applyBorder="1" applyAlignment="1">
      <alignment horizontal="center"/>
    </xf>
    <xf numFmtId="0" fontId="16" fillId="123" borderId="106" xfId="7878" applyFont="1" applyFill="1" applyBorder="1"/>
    <xf numFmtId="0" fontId="84" fillId="123" borderId="111" xfId="7878" applyFont="1" applyFill="1" applyBorder="1" applyAlignment="1">
      <alignment horizontal="center"/>
    </xf>
    <xf numFmtId="0" fontId="84" fillId="123" borderId="27" xfId="7878" applyFont="1" applyFill="1" applyBorder="1" applyAlignment="1">
      <alignment horizontal="center"/>
    </xf>
    <xf numFmtId="0" fontId="84" fillId="123" borderId="5" xfId="7878" applyFont="1" applyFill="1" applyBorder="1" applyAlignment="1">
      <alignment horizontal="center"/>
    </xf>
    <xf numFmtId="0" fontId="16" fillId="123" borderId="109" xfId="7878" applyFont="1" applyFill="1" applyBorder="1"/>
    <xf numFmtId="0" fontId="84" fillId="123" borderId="113" xfId="7878" applyFont="1" applyFill="1" applyBorder="1" applyAlignment="1">
      <alignment horizontal="center"/>
    </xf>
    <xf numFmtId="0" fontId="84" fillId="123" borderId="110" xfId="7878" applyFont="1" applyFill="1" applyBorder="1" applyAlignment="1">
      <alignment horizontal="center"/>
    </xf>
    <xf numFmtId="0" fontId="84" fillId="123" borderId="6" xfId="7878" applyFont="1" applyFill="1" applyBorder="1" applyAlignment="1">
      <alignment horizontal="center"/>
    </xf>
    <xf numFmtId="17" fontId="14" fillId="124" borderId="106" xfId="7878" applyNumberFormat="1" applyFont="1" applyFill="1" applyBorder="1" applyAlignment="1">
      <alignment horizontal="left"/>
    </xf>
    <xf numFmtId="2" fontId="16" fillId="35" borderId="96" xfId="7878" applyNumberFormat="1" applyFont="1" applyFill="1" applyBorder="1" applyAlignment="1">
      <alignment horizontal="right"/>
    </xf>
    <xf numFmtId="2" fontId="16" fillId="35" borderId="27" xfId="7878" applyNumberFormat="1" applyFont="1" applyFill="1" applyBorder="1" applyAlignment="1">
      <alignment horizontal="center"/>
    </xf>
    <xf numFmtId="2" fontId="16" fillId="35" borderId="27" xfId="7878" applyNumberFormat="1" applyFont="1" applyFill="1" applyBorder="1" applyAlignment="1">
      <alignment horizontal="right"/>
    </xf>
    <xf numFmtId="0" fontId="16" fillId="35" borderId="27" xfId="7878" applyFont="1" applyFill="1" applyBorder="1" applyAlignment="1">
      <alignment horizontal="right"/>
    </xf>
    <xf numFmtId="2" fontId="16" fillId="35" borderId="112" xfId="7878" applyNumberFormat="1" applyFont="1" applyFill="1" applyBorder="1" applyAlignment="1">
      <alignment horizontal="right"/>
    </xf>
    <xf numFmtId="2" fontId="263" fillId="35" borderId="0" xfId="7878" applyNumberFormat="1" applyFont="1" applyFill="1"/>
    <xf numFmtId="2" fontId="265" fillId="35" borderId="0" xfId="7878" applyNumberFormat="1" applyFont="1" applyFill="1"/>
    <xf numFmtId="0" fontId="265" fillId="35" borderId="0" xfId="7878" applyFont="1" applyFill="1"/>
    <xf numFmtId="2" fontId="92" fillId="35" borderId="27" xfId="7878" applyNumberFormat="1" applyFont="1" applyFill="1" applyBorder="1" applyAlignment="1">
      <alignment horizontal="center"/>
    </xf>
    <xf numFmtId="2" fontId="16" fillId="35" borderId="27" xfId="7878" quotePrefix="1" applyNumberFormat="1" applyFont="1" applyFill="1" applyBorder="1" applyAlignment="1">
      <alignment horizontal="right"/>
    </xf>
    <xf numFmtId="17" fontId="14" fillId="124" borderId="106" xfId="7878" quotePrefix="1" applyNumberFormat="1" applyFont="1" applyFill="1" applyBorder="1" applyAlignment="1">
      <alignment horizontal="left"/>
    </xf>
    <xf numFmtId="17" fontId="39" fillId="123" borderId="106" xfId="7878" quotePrefix="1" applyNumberFormat="1" applyFont="1" applyFill="1" applyBorder="1" applyAlignment="1">
      <alignment horizontal="left"/>
    </xf>
    <xf numFmtId="2" fontId="40" fillId="35" borderId="96" xfId="7878" applyNumberFormat="1" applyFont="1" applyFill="1" applyBorder="1" applyAlignment="1">
      <alignment horizontal="right"/>
    </xf>
    <xf numFmtId="2" fontId="266" fillId="35" borderId="27" xfId="7878" applyNumberFormat="1" applyFont="1" applyFill="1" applyBorder="1" applyAlignment="1">
      <alignment horizontal="center"/>
    </xf>
    <xf numFmtId="2" fontId="40" fillId="35" borderId="27" xfId="7878" applyNumberFormat="1" applyFont="1" applyFill="1" applyBorder="1" applyAlignment="1">
      <alignment horizontal="right"/>
    </xf>
    <xf numFmtId="0" fontId="40" fillId="35" borderId="27" xfId="7878" applyFont="1" applyFill="1" applyBorder="1" applyAlignment="1">
      <alignment horizontal="right"/>
    </xf>
    <xf numFmtId="2" fontId="40" fillId="35" borderId="112" xfId="7878" applyNumberFormat="1" applyFont="1" applyFill="1" applyBorder="1" applyAlignment="1">
      <alignment horizontal="right"/>
    </xf>
    <xf numFmtId="2" fontId="266" fillId="35" borderId="0" xfId="7878" applyNumberFormat="1" applyFont="1" applyFill="1"/>
    <xf numFmtId="17" fontId="84" fillId="123" borderId="106" xfId="7878" quotePrefix="1" applyNumberFormat="1" applyFont="1" applyFill="1" applyBorder="1" applyAlignment="1">
      <alignment horizontal="left"/>
    </xf>
    <xf numFmtId="2" fontId="247" fillId="35" borderId="96" xfId="7878" applyNumberFormat="1" applyFont="1" applyFill="1" applyBorder="1" applyAlignment="1">
      <alignment horizontal="right"/>
    </xf>
    <xf numFmtId="2" fontId="40" fillId="35" borderId="27" xfId="7878" applyNumberFormat="1" applyFont="1" applyFill="1" applyBorder="1" applyAlignment="1">
      <alignment horizontal="center"/>
    </xf>
    <xf numFmtId="0" fontId="267" fillId="35" borderId="0" xfId="7878" applyFont="1" applyFill="1"/>
    <xf numFmtId="219" fontId="263" fillId="35" borderId="0" xfId="7878" applyNumberFormat="1" applyFont="1" applyFill="1"/>
    <xf numFmtId="17" fontId="84" fillId="123" borderId="112" xfId="7878" quotePrefix="1" applyNumberFormat="1" applyFont="1" applyFill="1" applyBorder="1" applyAlignment="1">
      <alignment horizontal="left"/>
    </xf>
    <xf numFmtId="2" fontId="40" fillId="35" borderId="111" xfId="7878" applyNumberFormat="1" applyFont="1" applyFill="1" applyBorder="1" applyAlignment="1">
      <alignment horizontal="right"/>
    </xf>
    <xf numFmtId="0" fontId="40" fillId="35" borderId="0" xfId="7878" applyFont="1" applyFill="1" applyBorder="1"/>
    <xf numFmtId="0" fontId="7" fillId="35" borderId="0" xfId="7878" applyFont="1" applyFill="1" applyBorder="1"/>
    <xf numFmtId="0" fontId="40" fillId="35" borderId="27" xfId="7878" applyFont="1" applyFill="1" applyBorder="1"/>
    <xf numFmtId="0" fontId="40" fillId="35" borderId="96" xfId="7878" applyFont="1" applyFill="1" applyBorder="1"/>
    <xf numFmtId="2" fontId="40" fillId="35" borderId="96" xfId="7878" applyNumberFormat="1" applyFont="1" applyFill="1" applyBorder="1"/>
    <xf numFmtId="4" fontId="40" fillId="35" borderId="96" xfId="7878" applyNumberFormat="1" applyFont="1" applyFill="1" applyBorder="1"/>
    <xf numFmtId="4" fontId="40" fillId="35" borderId="27" xfId="7878" applyNumberFormat="1" applyFont="1" applyFill="1" applyBorder="1"/>
    <xf numFmtId="4" fontId="7" fillId="35" borderId="0" xfId="7878" applyNumberFormat="1" applyFont="1" applyFill="1" applyBorder="1"/>
    <xf numFmtId="17" fontId="84" fillId="123" borderId="140" xfId="7878" quotePrefix="1" applyNumberFormat="1" applyFont="1" applyFill="1" applyBorder="1" applyAlignment="1">
      <alignment horizontal="left"/>
    </xf>
    <xf numFmtId="2" fontId="40" fillId="35" borderId="141" xfId="7878" applyNumberFormat="1" applyFont="1" applyFill="1" applyBorder="1" applyAlignment="1">
      <alignment horizontal="right"/>
    </xf>
    <xf numFmtId="2" fontId="40" fillId="35" borderId="28" xfId="7878" applyNumberFormat="1" applyFont="1" applyFill="1" applyBorder="1" applyAlignment="1">
      <alignment horizontal="center"/>
    </xf>
    <xf numFmtId="2" fontId="40" fillId="35" borderId="28" xfId="7878" applyNumberFormat="1" applyFont="1" applyFill="1" applyBorder="1" applyAlignment="1">
      <alignment horizontal="right"/>
    </xf>
    <xf numFmtId="0" fontId="40" fillId="35" borderId="28" xfId="7878" applyFont="1" applyFill="1" applyBorder="1" applyAlignment="1">
      <alignment horizontal="right"/>
    </xf>
    <xf numFmtId="4" fontId="40" fillId="35" borderId="28" xfId="7878" applyNumberFormat="1" applyFont="1" applyFill="1" applyBorder="1"/>
    <xf numFmtId="4" fontId="40" fillId="35" borderId="142" xfId="7878" applyNumberFormat="1" applyFont="1" applyFill="1" applyBorder="1"/>
    <xf numFmtId="0" fontId="241" fillId="35" borderId="0" xfId="7878" applyFont="1" applyFill="1" applyBorder="1" applyAlignment="1" applyProtection="1">
      <alignment wrapText="1"/>
    </xf>
    <xf numFmtId="0" fontId="241" fillId="35" borderId="0" xfId="7878" applyFont="1" applyFill="1" applyBorder="1" applyAlignment="1" applyProtection="1">
      <alignment horizontal="left"/>
    </xf>
    <xf numFmtId="0" fontId="244" fillId="35" borderId="0" xfId="7878" applyFont="1" applyFill="1" applyBorder="1" applyAlignment="1" applyProtection="1">
      <alignment horizontal="left"/>
    </xf>
    <xf numFmtId="2" fontId="7" fillId="35" borderId="0" xfId="7878" applyNumberFormat="1" applyFont="1" applyFill="1"/>
    <xf numFmtId="0" fontId="84" fillId="0" borderId="0" xfId="7879" applyFont="1" applyAlignment="1">
      <alignment vertical="center"/>
    </xf>
    <xf numFmtId="0" fontId="7" fillId="0" borderId="0" xfId="7879" applyFont="1" applyAlignment="1">
      <alignment vertical="center"/>
    </xf>
    <xf numFmtId="0" fontId="270" fillId="0" borderId="0" xfId="7879" applyFont="1" applyAlignment="1">
      <alignment vertical="center"/>
    </xf>
    <xf numFmtId="0" fontId="38" fillId="0" borderId="0" xfId="7879" applyFont="1" applyAlignment="1">
      <alignment horizontal="center" vertical="center"/>
    </xf>
    <xf numFmtId="0" fontId="14" fillId="123" borderId="143" xfId="7879" applyFont="1" applyFill="1" applyBorder="1" applyAlignment="1">
      <alignment horizontal="center" vertical="center"/>
    </xf>
    <xf numFmtId="0" fontId="14" fillId="123" borderId="144" xfId="7879" applyFont="1" applyFill="1" applyBorder="1" applyAlignment="1">
      <alignment horizontal="centerContinuous" vertical="center" wrapText="1"/>
    </xf>
    <xf numFmtId="0" fontId="16" fillId="123" borderId="145" xfId="7879" applyFont="1" applyFill="1" applyBorder="1" applyAlignment="1">
      <alignment horizontal="centerContinuous" vertical="center" wrapText="1"/>
    </xf>
    <xf numFmtId="0" fontId="16" fillId="123" borderId="146" xfId="7879" applyFont="1" applyFill="1" applyBorder="1" applyAlignment="1">
      <alignment horizontal="centerContinuous" vertical="center" wrapText="1"/>
    </xf>
    <xf numFmtId="0" fontId="14" fillId="123" borderId="147" xfId="7879" applyFont="1" applyFill="1" applyBorder="1" applyAlignment="1">
      <alignment horizontal="center" vertical="center"/>
    </xf>
    <xf numFmtId="0" fontId="14" fillId="123" borderId="148" xfId="7879" applyFont="1" applyFill="1" applyBorder="1" applyAlignment="1">
      <alignment horizontal="center" vertical="center"/>
    </xf>
    <xf numFmtId="0" fontId="14" fillId="123" borderId="149" xfId="7879" applyFont="1" applyFill="1" applyBorder="1" applyAlignment="1">
      <alignment horizontal="center" vertical="center"/>
    </xf>
    <xf numFmtId="0" fontId="14" fillId="123" borderId="150" xfId="7879" applyFont="1" applyFill="1" applyBorder="1" applyAlignment="1">
      <alignment horizontal="center" vertical="center"/>
    </xf>
    <xf numFmtId="0" fontId="14" fillId="123" borderId="151" xfId="7879" applyFont="1" applyFill="1" applyBorder="1" applyAlignment="1">
      <alignment horizontal="center" vertical="center"/>
    </xf>
    <xf numFmtId="0" fontId="14" fillId="123" borderId="152" xfId="7879" applyFont="1" applyFill="1" applyBorder="1" applyAlignment="1">
      <alignment horizontal="center" vertical="center"/>
    </xf>
    <xf numFmtId="0" fontId="14" fillId="123" borderId="153" xfId="7879" applyFont="1" applyFill="1" applyBorder="1" applyAlignment="1">
      <alignment horizontal="center" vertical="center"/>
    </xf>
    <xf numFmtId="0" fontId="14" fillId="123" borderId="154" xfId="7879" applyFont="1" applyFill="1" applyBorder="1" applyAlignment="1">
      <alignment horizontal="center" vertical="center"/>
    </xf>
    <xf numFmtId="0" fontId="16" fillId="123" borderId="147" xfId="7879" applyFont="1" applyFill="1" applyBorder="1" applyAlignment="1">
      <alignment vertical="center"/>
    </xf>
    <xf numFmtId="0" fontId="16" fillId="0" borderId="155" xfId="7879" applyFont="1" applyBorder="1" applyAlignment="1">
      <alignment vertical="center"/>
    </xf>
    <xf numFmtId="0" fontId="16" fillId="0" borderId="156" xfId="7879" applyFont="1" applyBorder="1" applyAlignment="1">
      <alignment vertical="center"/>
    </xf>
    <xf numFmtId="0" fontId="16" fillId="0" borderId="150" xfId="7879" applyFont="1" applyBorder="1" applyAlignment="1">
      <alignment vertical="center"/>
    </xf>
    <xf numFmtId="0" fontId="14" fillId="123" borderId="147" xfId="7879" applyFont="1" applyFill="1" applyBorder="1" applyAlignment="1">
      <alignment vertical="center"/>
    </xf>
    <xf numFmtId="3" fontId="14" fillId="0" borderId="155" xfId="7879" applyNumberFormat="1" applyFont="1" applyBorder="1" applyAlignment="1">
      <alignment vertical="center"/>
    </xf>
    <xf numFmtId="3" fontId="14" fillId="0" borderId="156" xfId="7879" applyNumberFormat="1" applyFont="1" applyBorder="1" applyAlignment="1">
      <alignment vertical="center"/>
    </xf>
    <xf numFmtId="3" fontId="14" fillId="0" borderId="150" xfId="7879" applyNumberFormat="1" applyFont="1" applyBorder="1" applyAlignment="1">
      <alignment vertical="center"/>
    </xf>
    <xf numFmtId="3" fontId="270" fillId="0" borderId="0" xfId="7879" applyNumberFormat="1" applyFont="1" applyAlignment="1">
      <alignment vertical="center"/>
    </xf>
    <xf numFmtId="265" fontId="19" fillId="0" borderId="155" xfId="7880" applyNumberFormat="1" applyFont="1" applyBorder="1" applyAlignment="1">
      <alignment vertical="center"/>
    </xf>
    <xf numFmtId="265" fontId="19" fillId="0" borderId="156" xfId="7880" applyNumberFormat="1" applyFont="1" applyBorder="1" applyAlignment="1">
      <alignment vertical="center"/>
    </xf>
    <xf numFmtId="3" fontId="16" fillId="0" borderId="155" xfId="7879" applyNumberFormat="1" applyFont="1" applyBorder="1" applyAlignment="1">
      <alignment vertical="center"/>
    </xf>
    <xf numFmtId="3" fontId="16" fillId="0" borderId="156" xfId="7879" applyNumberFormat="1" applyFont="1" applyBorder="1" applyAlignment="1">
      <alignment vertical="center"/>
    </xf>
    <xf numFmtId="3" fontId="16" fillId="0" borderId="150" xfId="7879" applyNumberFormat="1" applyFont="1" applyBorder="1" applyAlignment="1">
      <alignment vertical="center"/>
    </xf>
    <xf numFmtId="0" fontId="14" fillId="123" borderId="151" xfId="7879" applyFont="1" applyFill="1" applyBorder="1" applyAlignment="1">
      <alignment vertical="center"/>
    </xf>
    <xf numFmtId="0" fontId="16" fillId="0" borderId="152" xfId="7879" applyFont="1" applyBorder="1" applyAlignment="1">
      <alignment vertical="center"/>
    </xf>
    <xf numFmtId="0" fontId="16" fillId="0" borderId="153" xfId="7879" applyFont="1" applyBorder="1" applyAlignment="1">
      <alignment vertical="center"/>
    </xf>
    <xf numFmtId="0" fontId="16" fillId="0" borderId="154" xfId="7879" applyFont="1" applyBorder="1" applyAlignment="1">
      <alignment vertical="center"/>
    </xf>
    <xf numFmtId="265" fontId="7" fillId="0" borderId="0" xfId="7880" applyNumberFormat="1" applyFont="1" applyAlignment="1">
      <alignment vertical="center"/>
    </xf>
    <xf numFmtId="0" fontId="242" fillId="0" borderId="0" xfId="7879" applyFont="1" applyAlignment="1">
      <alignment vertical="center"/>
    </xf>
    <xf numFmtId="3" fontId="7" fillId="0" borderId="0" xfId="7879" applyNumberFormat="1" applyFont="1" applyAlignment="1">
      <alignment vertical="center"/>
    </xf>
    <xf numFmtId="0" fontId="243" fillId="0" borderId="0" xfId="7879" applyFont="1" applyAlignment="1">
      <alignment vertical="center"/>
    </xf>
    <xf numFmtId="0" fontId="271" fillId="35" borderId="0" xfId="7879" applyFont="1" applyFill="1" applyBorder="1" applyAlignment="1" applyProtection="1">
      <alignment horizontal="left"/>
    </xf>
    <xf numFmtId="0" fontId="7" fillId="35" borderId="0" xfId="7879" applyFont="1" applyFill="1" applyAlignment="1" applyProtection="1">
      <alignment horizontal="centerContinuous"/>
    </xf>
    <xf numFmtId="0" fontId="6" fillId="35" borderId="0" xfId="7879" applyFont="1" applyFill="1" applyBorder="1" applyAlignment="1" applyProtection="1">
      <alignment horizontal="centerContinuous"/>
    </xf>
    <xf numFmtId="0" fontId="16" fillId="0" borderId="0" xfId="7879" applyFont="1"/>
    <xf numFmtId="0" fontId="37" fillId="35" borderId="0" xfId="7879" applyFont="1" applyFill="1" applyAlignment="1">
      <alignment horizontal="left"/>
    </xf>
    <xf numFmtId="0" fontId="38" fillId="35" borderId="0" xfId="7879" applyFont="1" applyFill="1"/>
    <xf numFmtId="0" fontId="7" fillId="35" borderId="0" xfId="7879" applyFont="1" applyFill="1"/>
    <xf numFmtId="0" fontId="17" fillId="35" borderId="0" xfId="7879" applyFont="1" applyFill="1" applyBorder="1" applyAlignment="1" applyProtection="1">
      <alignment horizontal="center"/>
    </xf>
    <xf numFmtId="0" fontId="13" fillId="126" borderId="1" xfId="7879" applyFont="1" applyFill="1" applyBorder="1" applyAlignment="1" applyProtection="1">
      <alignment horizontal="centerContinuous" wrapText="1"/>
    </xf>
    <xf numFmtId="17" fontId="19" fillId="126" borderId="8" xfId="7879" applyNumberFormat="1" applyFont="1" applyFill="1" applyBorder="1" applyAlignment="1">
      <alignment horizontal="centerContinuous"/>
    </xf>
    <xf numFmtId="17" fontId="16" fillId="126" borderId="8" xfId="7879" applyNumberFormat="1" applyFont="1" applyFill="1" applyBorder="1" applyAlignment="1">
      <alignment horizontal="centerContinuous"/>
    </xf>
    <xf numFmtId="0" fontId="215" fillId="126" borderId="4" xfId="7879" applyFont="1" applyFill="1" applyBorder="1" applyAlignment="1" applyProtection="1">
      <alignment horizontal="centerContinuous"/>
    </xf>
    <xf numFmtId="0" fontId="215" fillId="0" borderId="0" xfId="7879" applyFont="1" applyFill="1" applyBorder="1" applyProtection="1"/>
    <xf numFmtId="0" fontId="215" fillId="126" borderId="2" xfId="7879" applyFont="1" applyFill="1" applyBorder="1" applyProtection="1"/>
    <xf numFmtId="0" fontId="243" fillId="35" borderId="0" xfId="7879" applyFont="1" applyFill="1" applyBorder="1" applyProtection="1"/>
    <xf numFmtId="0" fontId="215" fillId="35" borderId="0" xfId="7879" applyFont="1" applyFill="1" applyBorder="1" applyProtection="1"/>
    <xf numFmtId="0" fontId="215" fillId="35" borderId="5" xfId="7879" applyFont="1" applyFill="1" applyBorder="1" applyProtection="1"/>
    <xf numFmtId="0" fontId="14" fillId="126" borderId="2" xfId="7879" applyFont="1" applyFill="1" applyBorder="1" applyProtection="1"/>
    <xf numFmtId="0" fontId="17" fillId="35" borderId="0" xfId="7879" applyFont="1" applyFill="1" applyBorder="1" applyProtection="1"/>
    <xf numFmtId="0" fontId="16" fillId="35" borderId="0" xfId="7879" applyFont="1" applyFill="1" applyBorder="1" applyProtection="1"/>
    <xf numFmtId="234" fontId="14" fillId="35" borderId="5" xfId="7879" applyNumberFormat="1" applyFont="1" applyFill="1" applyBorder="1" applyProtection="1"/>
    <xf numFmtId="38" fontId="193" fillId="0" borderId="0" xfId="7879" applyNumberFormat="1" applyFont="1" applyFill="1" applyBorder="1" applyProtection="1"/>
    <xf numFmtId="234" fontId="215" fillId="0" borderId="0" xfId="7879" applyNumberFormat="1" applyFont="1" applyFill="1" applyBorder="1" applyProtection="1"/>
    <xf numFmtId="0" fontId="16" fillId="126" borderId="2" xfId="7879" applyFont="1" applyFill="1" applyBorder="1" applyProtection="1"/>
    <xf numFmtId="38" fontId="19" fillId="35" borderId="0" xfId="7879" applyNumberFormat="1" applyFont="1" applyFill="1" applyBorder="1" applyProtection="1"/>
    <xf numFmtId="234" fontId="16" fillId="35" borderId="0" xfId="7879" applyNumberFormat="1" applyFont="1" applyFill="1" applyBorder="1" applyProtection="1"/>
    <xf numFmtId="0" fontId="14" fillId="35" borderId="5" xfId="7879" applyFont="1" applyFill="1" applyBorder="1" applyProtection="1"/>
    <xf numFmtId="234" fontId="19" fillId="35" borderId="0" xfId="7879" applyNumberFormat="1" applyFont="1" applyFill="1" applyBorder="1" applyProtection="1"/>
    <xf numFmtId="38" fontId="16" fillId="35" borderId="0" xfId="7879" applyNumberFormat="1" applyFont="1" applyFill="1" applyBorder="1" applyProtection="1"/>
    <xf numFmtId="0" fontId="19" fillId="35" borderId="0" xfId="7879" applyFont="1" applyFill="1" applyBorder="1" applyProtection="1"/>
    <xf numFmtId="38" fontId="14" fillId="35" borderId="5" xfId="7879" applyNumberFormat="1" applyFont="1" applyFill="1" applyBorder="1" applyProtection="1"/>
    <xf numFmtId="0" fontId="19" fillId="126" borderId="2" xfId="7879" applyFont="1" applyFill="1" applyBorder="1" applyProtection="1"/>
    <xf numFmtId="0" fontId="193" fillId="0" borderId="0" xfId="7879" applyFont="1" applyFill="1" applyBorder="1" applyProtection="1"/>
    <xf numFmtId="38" fontId="215" fillId="0" borderId="0" xfId="7879" applyNumberFormat="1" applyFont="1" applyFill="1" applyBorder="1" applyProtection="1"/>
    <xf numFmtId="0" fontId="16" fillId="0" borderId="0" xfId="7879" applyFont="1" applyFill="1" applyBorder="1" applyProtection="1"/>
    <xf numFmtId="0" fontId="16" fillId="35" borderId="0" xfId="7879" applyFont="1" applyFill="1"/>
    <xf numFmtId="234" fontId="16" fillId="0" borderId="0" xfId="7879" applyNumberFormat="1" applyFont="1" applyFill="1" applyBorder="1" applyProtection="1"/>
    <xf numFmtId="38" fontId="16" fillId="0" borderId="0" xfId="7879" applyNumberFormat="1" applyFont="1" applyFill="1" applyBorder="1" applyProtection="1"/>
    <xf numFmtId="0" fontId="19" fillId="35" borderId="0" xfId="7879" applyFont="1" applyFill="1" applyBorder="1"/>
    <xf numFmtId="0" fontId="16" fillId="35" borderId="0" xfId="7879" applyFont="1" applyFill="1" applyBorder="1"/>
    <xf numFmtId="0" fontId="16" fillId="126" borderId="3" xfId="7879" applyFont="1" applyFill="1" applyBorder="1"/>
    <xf numFmtId="0" fontId="19" fillId="35" borderId="7" xfId="7879" applyFont="1" applyFill="1" applyBorder="1"/>
    <xf numFmtId="0" fontId="16" fillId="35" borderId="7" xfId="7879" applyFont="1" applyFill="1" applyBorder="1"/>
    <xf numFmtId="0" fontId="14" fillId="35" borderId="6" xfId="7879" applyFont="1" applyFill="1" applyBorder="1"/>
    <xf numFmtId="0" fontId="14" fillId="35" borderId="0" xfId="7879" applyFont="1" applyFill="1" applyBorder="1"/>
    <xf numFmtId="0" fontId="19" fillId="35" borderId="0" xfId="7879" applyFont="1" applyFill="1"/>
    <xf numFmtId="0" fontId="14" fillId="35" borderId="0" xfId="7879" applyFont="1" applyFill="1"/>
    <xf numFmtId="0" fontId="14" fillId="126" borderId="1" xfId="7879" applyFont="1" applyFill="1" applyBorder="1" applyAlignment="1" applyProtection="1">
      <alignment horizontal="centerContinuous" wrapText="1"/>
    </xf>
    <xf numFmtId="0" fontId="19" fillId="126" borderId="8" xfId="7879" applyFont="1" applyFill="1" applyBorder="1" applyAlignment="1" applyProtection="1">
      <alignment horizontal="centerContinuous" wrapText="1"/>
    </xf>
    <xf numFmtId="0" fontId="16" fillId="126" borderId="8" xfId="7879" applyFont="1" applyFill="1" applyBorder="1" applyAlignment="1" applyProtection="1">
      <alignment horizontal="centerContinuous" wrapText="1"/>
    </xf>
    <xf numFmtId="266" fontId="272" fillId="126" borderId="4" xfId="7879" applyNumberFormat="1" applyFont="1" applyFill="1" applyBorder="1" applyAlignment="1">
      <alignment horizontal="centerContinuous"/>
    </xf>
    <xf numFmtId="38" fontId="19" fillId="35" borderId="0" xfId="7881" applyNumberFormat="1" applyFont="1" applyFill="1" applyBorder="1" applyProtection="1"/>
    <xf numFmtId="38" fontId="16" fillId="35" borderId="0" xfId="7881" applyNumberFormat="1" applyFont="1" applyFill="1" applyBorder="1" applyProtection="1"/>
    <xf numFmtId="0" fontId="16" fillId="126" borderId="2" xfId="7879" applyFont="1" applyFill="1" applyBorder="1"/>
    <xf numFmtId="0" fontId="14" fillId="35" borderId="0" xfId="7879" applyFont="1" applyFill="1" applyBorder="1" applyProtection="1"/>
    <xf numFmtId="234" fontId="16" fillId="0" borderId="0" xfId="7879" applyNumberFormat="1" applyFont="1"/>
    <xf numFmtId="0" fontId="17" fillId="35" borderId="5" xfId="7879" applyFont="1" applyFill="1" applyBorder="1" applyProtection="1"/>
    <xf numFmtId="234" fontId="17" fillId="35" borderId="5" xfId="7879" applyNumberFormat="1" applyFont="1" applyFill="1" applyBorder="1" applyProtection="1"/>
    <xf numFmtId="257" fontId="16" fillId="35" borderId="0" xfId="7879" applyNumberFormat="1" applyFont="1" applyFill="1" applyBorder="1" applyProtection="1"/>
    <xf numFmtId="257" fontId="19" fillId="35" borderId="0" xfId="7879" applyNumberFormat="1" applyFont="1" applyFill="1" applyBorder="1" applyProtection="1"/>
    <xf numFmtId="38" fontId="74" fillId="35" borderId="5" xfId="7879" applyNumberFormat="1" applyFont="1" applyFill="1" applyBorder="1" applyProtection="1"/>
    <xf numFmtId="0" fontId="16" fillId="126" borderId="3" xfId="7879" applyFont="1" applyFill="1" applyBorder="1" applyProtection="1"/>
    <xf numFmtId="0" fontId="19" fillId="35" borderId="7" xfId="7879" applyFont="1" applyFill="1" applyBorder="1" applyProtection="1"/>
    <xf numFmtId="0" fontId="16" fillId="35" borderId="7" xfId="7879" applyFont="1" applyFill="1" applyBorder="1" applyProtection="1"/>
    <xf numFmtId="38" fontId="14" fillId="35" borderId="6" xfId="7879" applyNumberFormat="1" applyFont="1" applyFill="1" applyBorder="1" applyProtection="1"/>
    <xf numFmtId="0" fontId="243" fillId="35" borderId="0" xfId="7879" applyFont="1" applyFill="1"/>
    <xf numFmtId="0" fontId="243" fillId="0" borderId="0" xfId="7879" applyFont="1"/>
    <xf numFmtId="234" fontId="14" fillId="0" borderId="0" xfId="7879" applyNumberFormat="1" applyFont="1"/>
    <xf numFmtId="0" fontId="14" fillId="0" borderId="0" xfId="7879" applyFont="1"/>
    <xf numFmtId="0" fontId="40" fillId="35" borderId="0" xfId="2" applyFont="1" applyFill="1"/>
    <xf numFmtId="0" fontId="39" fillId="35" borderId="0" xfId="2" applyFont="1" applyFill="1"/>
    <xf numFmtId="0" fontId="240" fillId="35" borderId="0" xfId="2" applyFont="1" applyFill="1" applyAlignment="1">
      <alignment horizontal="right"/>
    </xf>
    <xf numFmtId="0" fontId="84" fillId="2" borderId="103" xfId="2" applyFont="1" applyFill="1" applyBorder="1" applyAlignment="1">
      <alignment horizontal="center"/>
    </xf>
    <xf numFmtId="0" fontId="39" fillId="2" borderId="157" xfId="2" applyFont="1" applyFill="1" applyBorder="1" applyAlignment="1">
      <alignment horizontal="centerContinuous"/>
    </xf>
    <xf numFmtId="0" fontId="40" fillId="2" borderId="8" xfId="2" applyFont="1" applyFill="1" applyBorder="1" applyAlignment="1">
      <alignment horizontal="centerContinuous"/>
    </xf>
    <xf numFmtId="0" fontId="40" fillId="2" borderId="158" xfId="2" applyFont="1" applyFill="1" applyBorder="1" applyAlignment="1">
      <alignment horizontal="centerContinuous"/>
    </xf>
    <xf numFmtId="0" fontId="39" fillId="2" borderId="8" xfId="2" applyFont="1" applyFill="1" applyBorder="1" applyAlignment="1">
      <alignment horizontal="centerContinuous"/>
    </xf>
    <xf numFmtId="0" fontId="39" fillId="2" borderId="158" xfId="2" applyFont="1" applyFill="1" applyBorder="1" applyAlignment="1">
      <alignment horizontal="centerContinuous"/>
    </xf>
    <xf numFmtId="0" fontId="39" fillId="2" borderId="104" xfId="2" applyFont="1" applyFill="1" applyBorder="1" applyAlignment="1">
      <alignment horizontal="centerContinuous"/>
    </xf>
    <xf numFmtId="0" fontId="39" fillId="2" borderId="8" xfId="2" applyFont="1" applyFill="1" applyBorder="1" applyAlignment="1">
      <alignment horizontal="center" vertical="center"/>
    </xf>
    <xf numFmtId="0" fontId="39" fillId="2" borderId="159" xfId="2" applyFont="1" applyFill="1" applyBorder="1" applyAlignment="1">
      <alignment horizontal="center"/>
    </xf>
    <xf numFmtId="0" fontId="39" fillId="2" borderId="4" xfId="2" applyFont="1" applyFill="1" applyBorder="1" applyAlignment="1">
      <alignment horizontal="center"/>
    </xf>
    <xf numFmtId="0" fontId="84" fillId="2" borderId="106" xfId="2" applyFont="1" applyFill="1" applyBorder="1" applyAlignment="1">
      <alignment horizontal="center"/>
    </xf>
    <xf numFmtId="0" fontId="84" fillId="127" borderId="160" xfId="2" applyFont="1" applyFill="1" applyBorder="1" applyAlignment="1">
      <alignment horizontal="center"/>
    </xf>
    <xf numFmtId="0" fontId="84" fillId="127" borderId="90" xfId="2" applyFont="1" applyFill="1" applyBorder="1" applyAlignment="1">
      <alignment horizontal="center"/>
    </xf>
    <xf numFmtId="0" fontId="84" fillId="127" borderId="161" xfId="2" applyFont="1" applyFill="1" applyBorder="1" applyAlignment="1">
      <alignment horizontal="center"/>
    </xf>
    <xf numFmtId="0" fontId="84" fillId="127" borderId="89" xfId="2" applyFont="1" applyFill="1" applyBorder="1" applyAlignment="1">
      <alignment horizontal="center"/>
    </xf>
    <xf numFmtId="0" fontId="84" fillId="127" borderId="91" xfId="2" applyFont="1" applyFill="1" applyBorder="1" applyAlignment="1">
      <alignment horizontal="center"/>
    </xf>
    <xf numFmtId="0" fontId="84" fillId="2" borderId="27" xfId="2" applyFont="1" applyFill="1" applyBorder="1" applyAlignment="1">
      <alignment horizontal="centerContinuous"/>
    </xf>
    <xf numFmtId="0" fontId="84" fillId="2" borderId="0" xfId="2" applyFont="1" applyFill="1" applyBorder="1" applyAlignment="1">
      <alignment horizontal="center" vertical="center"/>
    </xf>
    <xf numFmtId="0" fontId="84" fillId="2" borderId="93" xfId="2" applyFont="1" applyFill="1" applyBorder="1" applyAlignment="1">
      <alignment horizontal="center"/>
    </xf>
    <xf numFmtId="0" fontId="84" fillId="2" borderId="5" xfId="2" applyFont="1" applyFill="1" applyBorder="1" applyAlignment="1">
      <alignment horizontal="center"/>
    </xf>
    <xf numFmtId="0" fontId="84" fillId="127" borderId="38" xfId="2" applyFont="1" applyFill="1" applyBorder="1" applyAlignment="1">
      <alignment horizontal="center"/>
    </xf>
    <xf numFmtId="0" fontId="84" fillId="127" borderId="9" xfId="2" applyFont="1" applyFill="1" applyBorder="1" applyAlignment="1">
      <alignment horizontal="center"/>
    </xf>
    <xf numFmtId="0" fontId="6" fillId="127" borderId="0" xfId="2" applyFont="1" applyFill="1"/>
    <xf numFmtId="0" fontId="84" fillId="127" borderId="92" xfId="2" applyFont="1" applyFill="1" applyBorder="1" applyAlignment="1">
      <alignment horizontal="center"/>
    </xf>
    <xf numFmtId="0" fontId="84" fillId="127" borderId="96" xfId="2" applyFont="1" applyFill="1" applyBorder="1" applyAlignment="1">
      <alignment horizontal="center"/>
    </xf>
    <xf numFmtId="0" fontId="84" fillId="2" borderId="0" xfId="2" applyFont="1" applyFill="1" applyBorder="1" applyAlignment="1">
      <alignment horizontal="center"/>
    </xf>
    <xf numFmtId="0" fontId="84" fillId="2" borderId="162" xfId="2" applyFont="1" applyFill="1" applyBorder="1" applyAlignment="1">
      <alignment horizontal="center"/>
    </xf>
    <xf numFmtId="0" fontId="84" fillId="127" borderId="163" xfId="2" applyFont="1" applyFill="1" applyBorder="1" applyAlignment="1">
      <alignment horizontal="center"/>
    </xf>
    <xf numFmtId="0" fontId="84" fillId="127" borderId="10" xfId="2" applyFont="1" applyFill="1" applyBorder="1" applyAlignment="1">
      <alignment horizontal="center"/>
    </xf>
    <xf numFmtId="0" fontId="84" fillId="127" borderId="164" xfId="2" applyFont="1" applyFill="1" applyBorder="1" applyAlignment="1">
      <alignment horizontal="center"/>
    </xf>
    <xf numFmtId="0" fontId="84" fillId="127" borderId="95" xfId="2" applyFont="1" applyFill="1" applyBorder="1" applyAlignment="1">
      <alignment horizontal="center"/>
    </xf>
    <xf numFmtId="0" fontId="84" fillId="2" borderId="165" xfId="2" applyFont="1" applyFill="1" applyBorder="1" applyAlignment="1">
      <alignment horizontal="centerContinuous"/>
    </xf>
    <xf numFmtId="0" fontId="84" fillId="2" borderId="163" xfId="2" applyFont="1" applyFill="1" applyBorder="1" applyAlignment="1">
      <alignment horizontal="center"/>
    </xf>
    <xf numFmtId="0" fontId="84" fillId="2" borderId="94" xfId="2" applyFont="1" applyFill="1" applyBorder="1" applyAlignment="1">
      <alignment horizontal="center"/>
    </xf>
    <xf numFmtId="0" fontId="84" fillId="2" borderId="166" xfId="2" applyFont="1" applyFill="1" applyBorder="1" applyAlignment="1">
      <alignment horizontal="center"/>
    </xf>
    <xf numFmtId="208" fontId="84" fillId="2" borderId="106" xfId="2" applyNumberFormat="1" applyFont="1" applyFill="1" applyBorder="1" applyAlignment="1" applyProtection="1">
      <alignment horizontal="left"/>
      <protection locked="0" hidden="1"/>
    </xf>
    <xf numFmtId="234" fontId="40" fillId="35" borderId="38" xfId="2" applyNumberFormat="1" applyFont="1" applyFill="1" applyBorder="1"/>
    <xf numFmtId="234" fontId="40" fillId="35" borderId="9" xfId="2" applyNumberFormat="1" applyFont="1" applyFill="1" applyBorder="1"/>
    <xf numFmtId="234" fontId="39" fillId="35" borderId="96" xfId="2" applyNumberFormat="1" applyFont="1" applyFill="1" applyBorder="1"/>
    <xf numFmtId="234" fontId="40" fillId="35" borderId="92" xfId="2" applyNumberFormat="1" applyFont="1" applyFill="1" applyBorder="1"/>
    <xf numFmtId="234" fontId="39" fillId="35" borderId="27" xfId="2" applyNumberFormat="1" applyFont="1" applyFill="1" applyBorder="1"/>
    <xf numFmtId="234" fontId="40" fillId="35" borderId="93" xfId="2" applyNumberFormat="1" applyFont="1" applyFill="1" applyBorder="1"/>
    <xf numFmtId="234" fontId="39" fillId="35" borderId="5" xfId="2" applyNumberFormat="1" applyFont="1" applyFill="1" applyBorder="1"/>
    <xf numFmtId="234" fontId="40" fillId="35" borderId="106" xfId="2" applyNumberFormat="1" applyFont="1" applyFill="1" applyBorder="1"/>
    <xf numFmtId="234" fontId="40" fillId="35" borderId="0" xfId="2" applyNumberFormat="1" applyFont="1" applyFill="1"/>
    <xf numFmtId="17" fontId="84" fillId="2" borderId="106" xfId="2" applyNumberFormat="1" applyFont="1" applyFill="1" applyBorder="1" applyAlignment="1" applyProtection="1">
      <alignment horizontal="left"/>
      <protection locked="0" hidden="1"/>
    </xf>
    <xf numFmtId="234" fontId="40" fillId="35" borderId="38" xfId="5805" applyNumberFormat="1" applyFont="1" applyFill="1" applyBorder="1" applyAlignment="1">
      <alignment horizontal="right"/>
    </xf>
    <xf numFmtId="234" fontId="39" fillId="35" borderId="96" xfId="2" applyNumberFormat="1" applyFont="1" applyFill="1" applyBorder="1" applyAlignment="1">
      <alignment horizontal="right"/>
    </xf>
    <xf numFmtId="234" fontId="39" fillId="35" borderId="27" xfId="2" applyNumberFormat="1" applyFont="1" applyFill="1" applyBorder="1" applyAlignment="1">
      <alignment horizontal="right"/>
    </xf>
    <xf numFmtId="234" fontId="40" fillId="35" borderId="0" xfId="2" applyNumberFormat="1" applyFont="1" applyFill="1" applyBorder="1"/>
    <xf numFmtId="234" fontId="274" fillId="35" borderId="0" xfId="2" applyNumberFormat="1" applyFont="1" applyFill="1"/>
    <xf numFmtId="269" fontId="266" fillId="35" borderId="0" xfId="2" applyNumberFormat="1" applyFont="1" applyFill="1" applyBorder="1"/>
    <xf numFmtId="234" fontId="39" fillId="35" borderId="0" xfId="2" applyNumberFormat="1" applyFont="1" applyFill="1" applyBorder="1"/>
    <xf numFmtId="17" fontId="84" fillId="2" borderId="106" xfId="2" quotePrefix="1" applyNumberFormat="1" applyFont="1" applyFill="1" applyBorder="1" applyAlignment="1" applyProtection="1">
      <alignment horizontal="left"/>
      <protection locked="0" hidden="1"/>
    </xf>
    <xf numFmtId="234" fontId="40" fillId="0" borderId="38" xfId="2" applyNumberFormat="1" applyFont="1" applyFill="1" applyBorder="1"/>
    <xf numFmtId="234" fontId="39" fillId="0" borderId="96" xfId="2" applyNumberFormat="1" applyFont="1" applyFill="1" applyBorder="1"/>
    <xf numFmtId="234" fontId="40" fillId="0" borderId="38" xfId="5805" applyNumberFormat="1" applyFont="1" applyFill="1" applyBorder="1" applyAlignment="1">
      <alignment horizontal="right"/>
    </xf>
    <xf numFmtId="234" fontId="39" fillId="0" borderId="96" xfId="2" applyNumberFormat="1" applyFont="1" applyFill="1" applyBorder="1" applyAlignment="1">
      <alignment horizontal="right"/>
    </xf>
    <xf numFmtId="234" fontId="39" fillId="0" borderId="27" xfId="2" applyNumberFormat="1" applyFont="1" applyFill="1" applyBorder="1" applyAlignment="1">
      <alignment horizontal="right"/>
    </xf>
    <xf numFmtId="234" fontId="40" fillId="0" borderId="93" xfId="2" applyNumberFormat="1" applyFont="1" applyFill="1" applyBorder="1"/>
    <xf numFmtId="234" fontId="39" fillId="0" borderId="5" xfId="2" applyNumberFormat="1" applyFont="1" applyFill="1" applyBorder="1"/>
    <xf numFmtId="234" fontId="40" fillId="0" borderId="106" xfId="2" applyNumberFormat="1" applyFont="1" applyFill="1" applyBorder="1"/>
    <xf numFmtId="234" fontId="6" fillId="0" borderId="38" xfId="2" applyNumberFormat="1" applyFont="1" applyFill="1" applyBorder="1"/>
    <xf numFmtId="234" fontId="84" fillId="0" borderId="96" xfId="2" applyNumberFormat="1" applyFont="1" applyFill="1" applyBorder="1"/>
    <xf numFmtId="234" fontId="6" fillId="0" borderId="38" xfId="5805" applyNumberFormat="1" applyFont="1" applyFill="1" applyBorder="1" applyAlignment="1">
      <alignment horizontal="right"/>
    </xf>
    <xf numFmtId="234" fontId="84" fillId="0" borderId="96" xfId="2" applyNumberFormat="1" applyFont="1" applyFill="1" applyBorder="1" applyAlignment="1">
      <alignment horizontal="right"/>
    </xf>
    <xf numFmtId="234" fontId="84" fillId="0" borderId="27" xfId="2" applyNumberFormat="1" applyFont="1" applyFill="1" applyBorder="1" applyAlignment="1">
      <alignment horizontal="right"/>
    </xf>
    <xf numFmtId="234" fontId="6" fillId="0" borderId="93" xfId="2" applyNumberFormat="1" applyFont="1" applyFill="1" applyBorder="1"/>
    <xf numFmtId="234" fontId="84" fillId="0" borderId="5" xfId="2" applyNumberFormat="1" applyFont="1" applyFill="1" applyBorder="1"/>
    <xf numFmtId="234" fontId="6" fillId="0" borderId="106" xfId="2" applyNumberFormat="1" applyFont="1" applyFill="1" applyBorder="1"/>
    <xf numFmtId="269" fontId="40" fillId="35" borderId="0" xfId="2" applyNumberFormat="1" applyFont="1" applyFill="1"/>
    <xf numFmtId="17" fontId="39" fillId="2" borderId="109" xfId="2" applyNumberFormat="1" applyFont="1" applyFill="1" applyBorder="1" applyAlignment="1" applyProtection="1">
      <alignment horizontal="left"/>
      <protection locked="0" hidden="1"/>
    </xf>
    <xf numFmtId="234" fontId="40" fillId="35" borderId="167" xfId="2" applyNumberFormat="1" applyFont="1" applyFill="1" applyBorder="1"/>
    <xf numFmtId="234" fontId="40" fillId="35" borderId="168" xfId="2" applyNumberFormat="1" applyFont="1" applyFill="1" applyBorder="1"/>
    <xf numFmtId="234" fontId="40" fillId="35" borderId="118" xfId="2" applyNumberFormat="1" applyFont="1" applyFill="1" applyBorder="1"/>
    <xf numFmtId="234" fontId="40" fillId="35" borderId="169" xfId="2" applyNumberFormat="1" applyFont="1" applyFill="1" applyBorder="1"/>
    <xf numFmtId="234" fontId="40" fillId="35" borderId="110" xfId="2" applyNumberFormat="1" applyFont="1" applyFill="1" applyBorder="1"/>
    <xf numFmtId="234" fontId="40" fillId="35" borderId="170" xfId="2" applyNumberFormat="1" applyFont="1" applyFill="1" applyBorder="1"/>
    <xf numFmtId="234" fontId="40" fillId="35" borderId="6" xfId="2" applyNumberFormat="1" applyFont="1" applyFill="1" applyBorder="1"/>
    <xf numFmtId="234" fontId="40" fillId="35" borderId="109" xfId="2" applyNumberFormat="1" applyFont="1" applyFill="1" applyBorder="1"/>
    <xf numFmtId="0" fontId="261" fillId="35" borderId="0" xfId="2" applyFont="1" applyFill="1"/>
    <xf numFmtId="0" fontId="261" fillId="128" borderId="0" xfId="2" applyFont="1" applyFill="1" applyBorder="1" applyProtection="1"/>
    <xf numFmtId="10" fontId="40" fillId="35" borderId="0" xfId="2" applyNumberFormat="1" applyFont="1" applyFill="1"/>
    <xf numFmtId="270" fontId="40" fillId="35" borderId="0" xfId="2" applyNumberFormat="1" applyFont="1" applyFill="1"/>
    <xf numFmtId="0" fontId="244" fillId="35" borderId="0" xfId="2" applyFont="1" applyFill="1" applyBorder="1"/>
    <xf numFmtId="0" fontId="244" fillId="35" borderId="0" xfId="2" applyFont="1" applyFill="1"/>
    <xf numFmtId="234" fontId="244" fillId="35" borderId="0" xfId="2" applyNumberFormat="1" applyFont="1" applyFill="1"/>
    <xf numFmtId="234" fontId="40" fillId="35" borderId="0" xfId="5805" applyNumberFormat="1" applyFont="1" applyFill="1"/>
    <xf numFmtId="4" fontId="40" fillId="35" borderId="0" xfId="2" applyNumberFormat="1" applyFont="1" applyFill="1"/>
    <xf numFmtId="0" fontId="40" fillId="35" borderId="0" xfId="2" applyFont="1" applyFill="1" applyAlignment="1">
      <alignment horizontal="right"/>
    </xf>
    <xf numFmtId="0" fontId="39" fillId="129" borderId="158" xfId="2" applyFont="1" applyFill="1" applyBorder="1" applyAlignment="1">
      <alignment horizontal="center"/>
    </xf>
    <xf numFmtId="0" fontId="39" fillId="2" borderId="104" xfId="2" applyFont="1" applyFill="1" applyBorder="1" applyAlignment="1">
      <alignment horizontal="center"/>
    </xf>
    <xf numFmtId="0" fontId="39" fillId="2" borderId="105" xfId="2" applyFont="1" applyFill="1" applyBorder="1" applyAlignment="1">
      <alignment horizontal="center"/>
    </xf>
    <xf numFmtId="0" fontId="39" fillId="2" borderId="158" xfId="2" applyFont="1" applyFill="1" applyBorder="1" applyAlignment="1">
      <alignment horizontal="center"/>
    </xf>
    <xf numFmtId="0" fontId="39" fillId="129" borderId="96" xfId="2" applyFont="1" applyFill="1" applyBorder="1" applyAlignment="1">
      <alignment horizontal="center"/>
    </xf>
    <xf numFmtId="0" fontId="39" fillId="127" borderId="89" xfId="2" applyFont="1" applyFill="1" applyBorder="1" applyAlignment="1">
      <alignment horizontal="center"/>
    </xf>
    <xf numFmtId="0" fontId="39" fillId="127" borderId="90" xfId="2" applyFont="1" applyFill="1" applyBorder="1" applyAlignment="1">
      <alignment horizontal="center"/>
    </xf>
    <xf numFmtId="0" fontId="39" fillId="127" borderId="161" xfId="2" applyFont="1" applyFill="1" applyBorder="1" applyAlignment="1">
      <alignment horizontal="center"/>
    </xf>
    <xf numFmtId="0" fontId="39" fillId="2" borderId="27" xfId="2" applyFont="1" applyFill="1" applyBorder="1" applyAlignment="1">
      <alignment horizontal="center"/>
    </xf>
    <xf numFmtId="0" fontId="39" fillId="2" borderId="112" xfId="2" applyFont="1" applyFill="1" applyBorder="1" applyAlignment="1">
      <alignment horizontal="center"/>
    </xf>
    <xf numFmtId="0" fontId="39" fillId="2" borderId="96" xfId="2" applyFont="1" applyFill="1" applyBorder="1" applyAlignment="1">
      <alignment horizontal="center"/>
    </xf>
    <xf numFmtId="0" fontId="39" fillId="127" borderId="92" xfId="2" applyFont="1" applyFill="1" applyBorder="1" applyAlignment="1">
      <alignment horizontal="center"/>
    </xf>
    <xf numFmtId="0" fontId="39" fillId="127" borderId="9" xfId="2" applyFont="1" applyFill="1" applyBorder="1" applyAlignment="1">
      <alignment horizontal="center"/>
    </xf>
    <xf numFmtId="0" fontId="39" fillId="127" borderId="96" xfId="2" applyFont="1" applyFill="1" applyBorder="1" applyAlignment="1">
      <alignment horizontal="center"/>
    </xf>
    <xf numFmtId="0" fontId="39" fillId="129" borderId="164" xfId="2" applyFont="1" applyFill="1" applyBorder="1" applyAlignment="1">
      <alignment horizontal="center"/>
    </xf>
    <xf numFmtId="0" fontId="39" fillId="127" borderId="163" xfId="2" applyFont="1" applyFill="1" applyBorder="1" applyAlignment="1">
      <alignment horizontal="center"/>
    </xf>
    <xf numFmtId="0" fontId="39" fillId="127" borderId="10" xfId="2" applyFont="1" applyFill="1" applyBorder="1" applyAlignment="1">
      <alignment horizontal="center"/>
    </xf>
    <xf numFmtId="0" fontId="39" fillId="127" borderId="164" xfId="2" applyFont="1" applyFill="1" applyBorder="1" applyAlignment="1">
      <alignment horizontal="center"/>
    </xf>
    <xf numFmtId="0" fontId="39" fillId="2" borderId="165" xfId="2" applyFont="1" applyFill="1" applyBorder="1" applyAlignment="1">
      <alignment horizontal="center"/>
    </xf>
    <xf numFmtId="0" fontId="39" fillId="127" borderId="95" xfId="2" applyFont="1" applyFill="1" applyBorder="1" applyAlignment="1">
      <alignment horizontal="center"/>
    </xf>
    <xf numFmtId="0" fontId="39" fillId="2" borderId="171" xfId="2" applyFont="1" applyFill="1" applyBorder="1" applyAlignment="1">
      <alignment horizontal="center"/>
    </xf>
    <xf numFmtId="0" fontId="39" fillId="2" borderId="164" xfId="2" applyFont="1" applyFill="1" applyBorder="1" applyAlignment="1">
      <alignment horizontal="center"/>
    </xf>
    <xf numFmtId="0" fontId="39" fillId="126" borderId="164" xfId="2" applyFont="1" applyFill="1" applyBorder="1" applyAlignment="1">
      <alignment horizontal="center"/>
    </xf>
    <xf numFmtId="0" fontId="39" fillId="130" borderId="163" xfId="2" applyFont="1" applyFill="1" applyBorder="1" applyAlignment="1">
      <alignment horizontal="center"/>
    </xf>
    <xf numFmtId="0" fontId="39" fillId="130" borderId="10" xfId="2" applyFont="1" applyFill="1" applyBorder="1" applyAlignment="1">
      <alignment horizontal="center"/>
    </xf>
    <xf numFmtId="0" fontId="39" fillId="130" borderId="164" xfId="2" applyFont="1" applyFill="1" applyBorder="1" applyAlignment="1">
      <alignment horizontal="center"/>
    </xf>
    <xf numFmtId="0" fontId="39" fillId="126" borderId="165" xfId="2" applyFont="1" applyFill="1" applyBorder="1" applyAlignment="1">
      <alignment horizontal="center"/>
    </xf>
    <xf numFmtId="0" fontId="39" fillId="130" borderId="95" xfId="2" applyFont="1" applyFill="1" applyBorder="1" applyAlignment="1">
      <alignment horizontal="center"/>
    </xf>
    <xf numFmtId="0" fontId="39" fillId="126" borderId="171" xfId="2" applyFont="1" applyFill="1" applyBorder="1" applyAlignment="1">
      <alignment horizontal="center"/>
    </xf>
    <xf numFmtId="234" fontId="40" fillId="35" borderId="96" xfId="2" applyNumberFormat="1" applyFont="1" applyFill="1" applyBorder="1"/>
    <xf numFmtId="234" fontId="40" fillId="35" borderId="27" xfId="2" applyNumberFormat="1" applyFont="1" applyFill="1" applyBorder="1"/>
    <xf numFmtId="234" fontId="39" fillId="35" borderId="112" xfId="2" applyNumberFormat="1" applyFont="1" applyFill="1" applyBorder="1"/>
    <xf numFmtId="234" fontId="40" fillId="35" borderId="112" xfId="2" applyNumberFormat="1" applyFont="1" applyFill="1" applyBorder="1"/>
    <xf numFmtId="234" fontId="40" fillId="35" borderId="96" xfId="2" applyNumberFormat="1" applyFont="1" applyFill="1" applyBorder="1" applyAlignment="1">
      <alignment horizontal="right"/>
    </xf>
    <xf numFmtId="234" fontId="39" fillId="35" borderId="112" xfId="2" applyNumberFormat="1" applyFont="1" applyFill="1" applyBorder="1" applyAlignment="1">
      <alignment horizontal="right"/>
    </xf>
    <xf numFmtId="234" fontId="84" fillId="35" borderId="96" xfId="2" applyNumberFormat="1" applyFont="1" applyFill="1" applyBorder="1"/>
    <xf numFmtId="234" fontId="6" fillId="35" borderId="38" xfId="2" applyNumberFormat="1" applyFont="1" applyFill="1" applyBorder="1"/>
    <xf numFmtId="234" fontId="6" fillId="35" borderId="9" xfId="2" applyNumberFormat="1" applyFont="1" applyFill="1" applyBorder="1"/>
    <xf numFmtId="234" fontId="6" fillId="35" borderId="96" xfId="2" applyNumberFormat="1" applyFont="1" applyFill="1" applyBorder="1"/>
    <xf numFmtId="234" fontId="6" fillId="35" borderId="96" xfId="2" applyNumberFormat="1" applyFont="1" applyFill="1" applyBorder="1" applyAlignment="1">
      <alignment horizontal="right"/>
    </xf>
    <xf numFmtId="234" fontId="6" fillId="35" borderId="92" xfId="2" applyNumberFormat="1" applyFont="1" applyFill="1" applyBorder="1"/>
    <xf numFmtId="234" fontId="6" fillId="35" borderId="27" xfId="2" applyNumberFormat="1" applyFont="1" applyFill="1" applyBorder="1"/>
    <xf numFmtId="234" fontId="6" fillId="35" borderId="0" xfId="2" applyNumberFormat="1" applyFont="1" applyFill="1"/>
    <xf numFmtId="234" fontId="84" fillId="35" borderId="112" xfId="2" applyNumberFormat="1" applyFont="1" applyFill="1" applyBorder="1" applyAlignment="1">
      <alignment horizontal="right"/>
    </xf>
    <xf numFmtId="234" fontId="6" fillId="35" borderId="112" xfId="2" applyNumberFormat="1" applyFont="1" applyFill="1" applyBorder="1"/>
    <xf numFmtId="234" fontId="6" fillId="0" borderId="9" xfId="2" applyNumberFormat="1" applyFont="1" applyFill="1" applyBorder="1"/>
    <xf numFmtId="234" fontId="6" fillId="0" borderId="96" xfId="2" applyNumberFormat="1" applyFont="1" applyFill="1" applyBorder="1"/>
    <xf numFmtId="234" fontId="6" fillId="0" borderId="96" xfId="2" applyNumberFormat="1" applyFont="1" applyFill="1" applyBorder="1" applyAlignment="1">
      <alignment horizontal="right"/>
    </xf>
    <xf numFmtId="234" fontId="6" fillId="0" borderId="92" xfId="2" applyNumberFormat="1" applyFont="1" applyFill="1" applyBorder="1"/>
    <xf numFmtId="234" fontId="6" fillId="0" borderId="27" xfId="2" applyNumberFormat="1" applyFont="1" applyFill="1" applyBorder="1"/>
    <xf numFmtId="234" fontId="6" fillId="0" borderId="0" xfId="2" applyNumberFormat="1" applyFont="1" applyFill="1"/>
    <xf numFmtId="234" fontId="84" fillId="0" borderId="112" xfId="2" applyNumberFormat="1" applyFont="1" applyFill="1" applyBorder="1" applyAlignment="1">
      <alignment horizontal="right"/>
    </xf>
    <xf numFmtId="234" fontId="6" fillId="0" borderId="112" xfId="2" applyNumberFormat="1" applyFont="1" applyFill="1" applyBorder="1"/>
    <xf numFmtId="234" fontId="84" fillId="0" borderId="111" xfId="2" applyNumberFormat="1" applyFont="1" applyFill="1" applyBorder="1"/>
    <xf numFmtId="234" fontId="6" fillId="0" borderId="0" xfId="2" applyNumberFormat="1" applyFont="1" applyFill="1" applyBorder="1"/>
    <xf numFmtId="0" fontId="40" fillId="35" borderId="7" xfId="2" applyFont="1" applyFill="1" applyBorder="1"/>
    <xf numFmtId="17" fontId="84" fillId="2" borderId="109" xfId="2" applyNumberFormat="1" applyFont="1" applyFill="1" applyBorder="1" applyAlignment="1" applyProtection="1">
      <alignment horizontal="left"/>
      <protection locked="0" hidden="1"/>
    </xf>
    <xf numFmtId="234" fontId="84" fillId="0" borderId="118" xfId="2" applyNumberFormat="1" applyFont="1" applyFill="1" applyBorder="1"/>
    <xf numFmtId="234" fontId="6" fillId="0" borderId="167" xfId="2" applyNumberFormat="1" applyFont="1" applyFill="1" applyBorder="1"/>
    <xf numFmtId="234" fontId="6" fillId="0" borderId="168" xfId="2" applyNumberFormat="1" applyFont="1" applyFill="1" applyBorder="1"/>
    <xf numFmtId="234" fontId="6" fillId="0" borderId="118" xfId="2" applyNumberFormat="1" applyFont="1" applyFill="1" applyBorder="1"/>
    <xf numFmtId="234" fontId="6" fillId="0" borderId="118" xfId="2" applyNumberFormat="1" applyFont="1" applyFill="1" applyBorder="1" applyAlignment="1">
      <alignment horizontal="right"/>
    </xf>
    <xf numFmtId="234" fontId="6" fillId="0" borderId="169" xfId="2" applyNumberFormat="1" applyFont="1" applyFill="1" applyBorder="1"/>
    <xf numFmtId="234" fontId="6" fillId="0" borderId="110" xfId="2" applyNumberFormat="1" applyFont="1" applyFill="1" applyBorder="1"/>
    <xf numFmtId="234" fontId="6" fillId="0" borderId="7" xfId="2" applyNumberFormat="1" applyFont="1" applyFill="1" applyBorder="1"/>
    <xf numFmtId="234" fontId="84" fillId="0" borderId="114" xfId="2" applyNumberFormat="1" applyFont="1" applyFill="1" applyBorder="1" applyAlignment="1">
      <alignment horizontal="right"/>
    </xf>
    <xf numFmtId="234" fontId="6" fillId="0" borderId="114" xfId="2" applyNumberFormat="1" applyFont="1" applyFill="1" applyBorder="1"/>
    <xf numFmtId="0" fontId="261" fillId="35" borderId="0" xfId="2" applyFont="1" applyFill="1" applyAlignment="1">
      <alignment horizontal="left"/>
    </xf>
    <xf numFmtId="3" fontId="244" fillId="35" borderId="0" xfId="2" applyNumberFormat="1" applyFont="1" applyFill="1"/>
    <xf numFmtId="3" fontId="40" fillId="35" borderId="0" xfId="2" applyNumberFormat="1" applyFont="1" applyFill="1" applyBorder="1"/>
    <xf numFmtId="234" fontId="244" fillId="35" borderId="0" xfId="2" applyNumberFormat="1" applyFont="1" applyFill="1" applyBorder="1"/>
    <xf numFmtId="2" fontId="244" fillId="35" borderId="0" xfId="2" applyNumberFormat="1" applyFont="1" applyFill="1"/>
    <xf numFmtId="257" fontId="244" fillId="35" borderId="0" xfId="2" applyNumberFormat="1" applyFont="1" applyFill="1"/>
    <xf numFmtId="0" fontId="9" fillId="35" borderId="0" xfId="2" applyFont="1" applyFill="1" applyBorder="1"/>
    <xf numFmtId="0" fontId="36" fillId="35" borderId="0" xfId="2" applyFont="1" applyFill="1" applyBorder="1"/>
    <xf numFmtId="0" fontId="98" fillId="35" borderId="0" xfId="2" applyFont="1" applyFill="1" applyBorder="1"/>
    <xf numFmtId="0" fontId="7" fillId="35" borderId="0" xfId="2" applyFont="1" applyFill="1"/>
    <xf numFmtId="234" fontId="98" fillId="35" borderId="0" xfId="2" applyNumberFormat="1" applyFont="1" applyFill="1" applyBorder="1"/>
    <xf numFmtId="0" fontId="241" fillId="35" borderId="0" xfId="2" applyFont="1" applyFill="1" applyBorder="1" applyAlignment="1">
      <alignment horizontal="right"/>
    </xf>
    <xf numFmtId="3" fontId="206" fillId="2" borderId="103" xfId="2" applyNumberFormat="1" applyFont="1" applyFill="1" applyBorder="1" applyAlignment="1">
      <alignment horizontal="center"/>
    </xf>
    <xf numFmtId="0" fontId="206" fillId="2" borderId="106" xfId="2" applyFont="1" applyFill="1" applyBorder="1" applyAlignment="1">
      <alignment horizontal="center"/>
    </xf>
    <xf numFmtId="3" fontId="206" fillId="2" borderId="109" xfId="2" applyNumberFormat="1" applyFont="1" applyFill="1" applyBorder="1" applyAlignment="1">
      <alignment horizontal="center"/>
    </xf>
    <xf numFmtId="3" fontId="98" fillId="127" borderId="106" xfId="2" applyNumberFormat="1" applyFont="1" applyFill="1" applyBorder="1"/>
    <xf numFmtId="0" fontId="98" fillId="35" borderId="2" xfId="2" applyFont="1" applyFill="1" applyBorder="1"/>
    <xf numFmtId="0" fontId="98" fillId="35" borderId="104" xfId="2" applyFont="1" applyFill="1" applyBorder="1"/>
    <xf numFmtId="3" fontId="98" fillId="131" borderId="106" xfId="2" applyNumberFormat="1" applyFont="1" applyFill="1" applyBorder="1"/>
    <xf numFmtId="3" fontId="37" fillId="127" borderId="106" xfId="7882" applyNumberFormat="1" applyFont="1" applyFill="1" applyBorder="1" applyProtection="1">
      <protection hidden="1"/>
    </xf>
    <xf numFmtId="234" fontId="37" fillId="35" borderId="2" xfId="2" applyNumberFormat="1" applyFont="1" applyFill="1" applyBorder="1"/>
    <xf numFmtId="234" fontId="37" fillId="35" borderId="27" xfId="2" applyNumberFormat="1" applyFont="1" applyFill="1" applyBorder="1"/>
    <xf numFmtId="3" fontId="37" fillId="131" borderId="106" xfId="7882" applyNumberFormat="1" applyFont="1" applyFill="1" applyBorder="1" applyProtection="1">
      <protection hidden="1"/>
    </xf>
    <xf numFmtId="234" fontId="7" fillId="35" borderId="0" xfId="2" applyNumberFormat="1" applyFont="1" applyFill="1"/>
    <xf numFmtId="3" fontId="38" fillId="127" borderId="106" xfId="7882" applyNumberFormat="1" applyFont="1" applyFill="1" applyBorder="1" applyProtection="1">
      <protection hidden="1"/>
    </xf>
    <xf numFmtId="3" fontId="38" fillId="131" borderId="106" xfId="7882" applyNumberFormat="1" applyFont="1" applyFill="1" applyBorder="1" applyProtection="1">
      <protection hidden="1"/>
    </xf>
    <xf numFmtId="3" fontId="7" fillId="127" borderId="106" xfId="7882" applyNumberFormat="1" applyFont="1" applyFill="1" applyBorder="1" applyProtection="1">
      <protection hidden="1"/>
    </xf>
    <xf numFmtId="234" fontId="7" fillId="35" borderId="2" xfId="2" applyNumberFormat="1" applyFont="1" applyFill="1" applyBorder="1"/>
    <xf numFmtId="234" fontId="7" fillId="35" borderId="27" xfId="2" applyNumberFormat="1" applyFont="1" applyFill="1" applyBorder="1"/>
    <xf numFmtId="3" fontId="7" fillId="131" borderId="106" xfId="7882" applyNumberFormat="1" applyFont="1" applyFill="1" applyBorder="1" applyProtection="1">
      <protection hidden="1"/>
    </xf>
    <xf numFmtId="234" fontId="7" fillId="35" borderId="47" xfId="2" applyNumberFormat="1" applyFont="1" applyFill="1" applyBorder="1"/>
    <xf numFmtId="3" fontId="7" fillId="127" borderId="109" xfId="7882" applyNumberFormat="1" applyFont="1" applyFill="1" applyBorder="1" applyProtection="1">
      <protection hidden="1"/>
    </xf>
    <xf numFmtId="234" fontId="7" fillId="35" borderId="173" xfId="2" applyNumberFormat="1" applyFont="1" applyFill="1" applyBorder="1"/>
    <xf numFmtId="234" fontId="7" fillId="35" borderId="110" xfId="2" applyNumberFormat="1" applyFont="1" applyFill="1" applyBorder="1"/>
    <xf numFmtId="3" fontId="7" fillId="131" borderId="109" xfId="7882" applyNumberFormat="1" applyFont="1" applyFill="1" applyBorder="1" applyProtection="1">
      <protection hidden="1"/>
    </xf>
    <xf numFmtId="3" fontId="38" fillId="0" borderId="0" xfId="7882" applyNumberFormat="1" applyFont="1" applyFill="1" applyBorder="1" applyProtection="1">
      <protection hidden="1"/>
    </xf>
    <xf numFmtId="234" fontId="7" fillId="35" borderId="0" xfId="2" applyNumberFormat="1" applyFont="1" applyFill="1" applyBorder="1"/>
    <xf numFmtId="234" fontId="37" fillId="35" borderId="0" xfId="2" applyNumberFormat="1" applyFont="1" applyFill="1" applyBorder="1"/>
    <xf numFmtId="0" fontId="7" fillId="35" borderId="0" xfId="2" applyFont="1" applyFill="1" applyBorder="1"/>
    <xf numFmtId="3" fontId="38" fillId="0" borderId="7" xfId="7882" applyNumberFormat="1" applyFont="1" applyFill="1" applyBorder="1" applyProtection="1">
      <protection hidden="1"/>
    </xf>
    <xf numFmtId="234" fontId="7" fillId="35" borderId="7" xfId="2" applyNumberFormat="1" applyFont="1" applyFill="1" applyBorder="1"/>
    <xf numFmtId="0" fontId="38" fillId="35" borderId="7" xfId="2" applyFont="1" applyFill="1" applyBorder="1" applyAlignment="1">
      <alignment horizontal="center"/>
    </xf>
    <xf numFmtId="3" fontId="37" fillId="2" borderId="103" xfId="2" applyNumberFormat="1" applyFont="1" applyFill="1" applyBorder="1" applyAlignment="1">
      <alignment horizontal="center"/>
    </xf>
    <xf numFmtId="0" fontId="37" fillId="131" borderId="115" xfId="2" applyFont="1" applyFill="1" applyBorder="1" applyAlignment="1">
      <alignment horizontal="center"/>
    </xf>
    <xf numFmtId="0" fontId="37" fillId="131" borderId="104" xfId="2" applyFont="1" applyFill="1" applyBorder="1" applyAlignment="1">
      <alignment horizontal="center"/>
    </xf>
    <xf numFmtId="0" fontId="37" fillId="131" borderId="4" xfId="2" applyFont="1" applyFill="1" applyBorder="1" applyAlignment="1">
      <alignment horizontal="center"/>
    </xf>
    <xf numFmtId="0" fontId="37" fillId="2" borderId="106" xfId="2" applyFont="1" applyFill="1" applyBorder="1" applyAlignment="1">
      <alignment horizontal="center"/>
    </xf>
    <xf numFmtId="0" fontId="37" fillId="131" borderId="111" xfId="2" applyFont="1" applyFill="1" applyBorder="1" applyAlignment="1">
      <alignment horizontal="center"/>
    </xf>
    <xf numFmtId="0" fontId="37" fillId="131" borderId="27" xfId="2" applyFont="1" applyFill="1" applyBorder="1" applyAlignment="1">
      <alignment horizontal="center"/>
    </xf>
    <xf numFmtId="0" fontId="37" fillId="131" borderId="5" xfId="2" applyFont="1" applyFill="1" applyBorder="1" applyAlignment="1">
      <alignment horizontal="center"/>
    </xf>
    <xf numFmtId="3" fontId="37" fillId="2" borderId="109" xfId="2" applyNumberFormat="1" applyFont="1" applyFill="1" applyBorder="1" applyAlignment="1">
      <alignment horizontal="center"/>
    </xf>
    <xf numFmtId="0" fontId="37" fillId="131" borderId="113" xfId="2" applyFont="1" applyFill="1" applyBorder="1" applyAlignment="1">
      <alignment horizontal="center"/>
    </xf>
    <xf numFmtId="0" fontId="37" fillId="131" borderId="110" xfId="2" applyFont="1" applyFill="1" applyBorder="1" applyAlignment="1">
      <alignment horizontal="center"/>
    </xf>
    <xf numFmtId="0" fontId="37" fillId="131" borderId="6" xfId="2" applyFont="1" applyFill="1" applyBorder="1" applyAlignment="1">
      <alignment horizontal="center"/>
    </xf>
    <xf numFmtId="0" fontId="37" fillId="35" borderId="115" xfId="2" applyFont="1" applyFill="1" applyBorder="1" applyAlignment="1">
      <alignment horizontal="center"/>
    </xf>
    <xf numFmtId="0" fontId="37" fillId="35" borderId="104" xfId="2" applyFont="1" applyFill="1" applyBorder="1" applyAlignment="1">
      <alignment horizontal="center"/>
    </xf>
    <xf numFmtId="3" fontId="7" fillId="131" borderId="106" xfId="2" applyNumberFormat="1" applyFont="1" applyFill="1" applyBorder="1"/>
    <xf numFmtId="234" fontId="37" fillId="35" borderId="111" xfId="2" applyNumberFormat="1" applyFont="1" applyFill="1" applyBorder="1"/>
    <xf numFmtId="234" fontId="7" fillId="35" borderId="111" xfId="2" applyNumberFormat="1" applyFont="1" applyFill="1" applyBorder="1"/>
    <xf numFmtId="3" fontId="149" fillId="131" borderId="106" xfId="7882" applyNumberFormat="1" applyFont="1" applyFill="1" applyBorder="1" applyProtection="1">
      <protection hidden="1"/>
    </xf>
    <xf numFmtId="3" fontId="37" fillId="131" borderId="106" xfId="2" applyNumberFormat="1" applyFont="1" applyFill="1" applyBorder="1"/>
    <xf numFmtId="3" fontId="7" fillId="127" borderId="106" xfId="2" applyNumberFormat="1" applyFont="1" applyFill="1" applyBorder="1"/>
    <xf numFmtId="0" fontId="7" fillId="127" borderId="109" xfId="2" applyFont="1" applyFill="1" applyBorder="1"/>
    <xf numFmtId="3" fontId="7" fillId="35" borderId="113" xfId="2" applyNumberFormat="1" applyFont="1" applyFill="1" applyBorder="1"/>
    <xf numFmtId="3" fontId="7" fillId="35" borderId="110" xfId="2" applyNumberFormat="1" applyFont="1" applyFill="1" applyBorder="1"/>
    <xf numFmtId="0" fontId="7" fillId="131" borderId="109" xfId="2" applyFont="1" applyFill="1" applyBorder="1"/>
    <xf numFmtId="0" fontId="276" fillId="35" borderId="0" xfId="2" applyFont="1" applyFill="1" applyBorder="1"/>
    <xf numFmtId="234" fontId="262" fillId="35" borderId="0" xfId="2" applyNumberFormat="1" applyFont="1" applyFill="1" applyBorder="1"/>
    <xf numFmtId="0" fontId="241" fillId="35" borderId="0" xfId="2" applyFont="1" applyFill="1" applyBorder="1"/>
    <xf numFmtId="0" fontId="38" fillId="35" borderId="0" xfId="2" applyFont="1" applyFill="1"/>
    <xf numFmtId="0" fontId="277" fillId="35" borderId="0" xfId="2" applyFont="1" applyFill="1"/>
    <xf numFmtId="0" fontId="9" fillId="35" borderId="0" xfId="2" applyFont="1" applyFill="1"/>
    <xf numFmtId="0" fontId="244" fillId="35" borderId="0" xfId="2" applyFont="1" applyFill="1" applyBorder="1" applyAlignment="1">
      <alignment horizontal="center"/>
    </xf>
    <xf numFmtId="0" fontId="244" fillId="35" borderId="0" xfId="2" applyFont="1" applyFill="1" applyAlignment="1">
      <alignment horizontal="right"/>
    </xf>
    <xf numFmtId="0" fontId="244" fillId="35" borderId="7" xfId="2" applyFont="1" applyFill="1" applyBorder="1" applyAlignment="1"/>
    <xf numFmtId="0" fontId="244" fillId="35" borderId="7" xfId="2" applyFont="1" applyFill="1" applyBorder="1" applyAlignment="1">
      <alignment horizontal="right"/>
    </xf>
    <xf numFmtId="3" fontId="84" fillId="2" borderId="139" xfId="2" applyNumberFormat="1" applyFont="1" applyFill="1" applyBorder="1" applyAlignment="1">
      <alignment horizontal="center"/>
    </xf>
    <xf numFmtId="17" fontId="84" fillId="123" borderId="174" xfId="2" applyNumberFormat="1" applyFont="1" applyFill="1" applyBorder="1" applyAlignment="1">
      <alignment horizontal="center"/>
    </xf>
    <xf numFmtId="17" fontId="84" fillId="123" borderId="175" xfId="2" applyNumberFormat="1" applyFont="1" applyFill="1" applyBorder="1" applyAlignment="1">
      <alignment horizontal="center"/>
    </xf>
    <xf numFmtId="17" fontId="84" fillId="123" borderId="137" xfId="2" applyNumberFormat="1" applyFont="1" applyFill="1" applyBorder="1" applyAlignment="1">
      <alignment horizontal="center"/>
    </xf>
    <xf numFmtId="17" fontId="84" fillId="123" borderId="136" xfId="2" applyNumberFormat="1" applyFont="1" applyFill="1" applyBorder="1" applyAlignment="1">
      <alignment horizontal="center"/>
    </xf>
    <xf numFmtId="17" fontId="84" fillId="123" borderId="138" xfId="2" applyNumberFormat="1" applyFont="1" applyFill="1" applyBorder="1" applyAlignment="1">
      <alignment horizontal="center"/>
    </xf>
    <xf numFmtId="17" fontId="84" fillId="123" borderId="139" xfId="2" applyNumberFormat="1" applyFont="1" applyFill="1" applyBorder="1" applyAlignment="1">
      <alignment horizontal="center"/>
    </xf>
    <xf numFmtId="17" fontId="84" fillId="123" borderId="139" xfId="2" quotePrefix="1" applyNumberFormat="1" applyFont="1" applyFill="1" applyBorder="1" applyAlignment="1">
      <alignment horizontal="center"/>
    </xf>
    <xf numFmtId="17" fontId="84" fillId="123" borderId="176" xfId="2" quotePrefix="1" applyNumberFormat="1" applyFont="1" applyFill="1" applyBorder="1" applyAlignment="1">
      <alignment horizontal="center"/>
    </xf>
    <xf numFmtId="3" fontId="39" fillId="127" borderId="106" xfId="7882" applyNumberFormat="1" applyFont="1" applyFill="1" applyBorder="1" applyProtection="1">
      <protection hidden="1"/>
    </xf>
    <xf numFmtId="234" fontId="39" fillId="35" borderId="111" xfId="2" applyNumberFormat="1" applyFont="1" applyFill="1" applyBorder="1"/>
    <xf numFmtId="234" fontId="39" fillId="35" borderId="104" xfId="2" applyNumberFormat="1" applyFont="1" applyFill="1" applyBorder="1"/>
    <xf numFmtId="234" fontId="39" fillId="35" borderId="8" xfId="2" applyNumberFormat="1" applyFont="1" applyFill="1" applyBorder="1"/>
    <xf numFmtId="234" fontId="39" fillId="35" borderId="106" xfId="2" applyNumberFormat="1" applyFont="1" applyFill="1" applyBorder="1"/>
    <xf numFmtId="234" fontId="39" fillId="35" borderId="103" xfId="2" applyNumberFormat="1" applyFont="1" applyFill="1" applyBorder="1"/>
    <xf numFmtId="268" fontId="39" fillId="35" borderId="103" xfId="6001" applyNumberFormat="1" applyFont="1" applyFill="1" applyBorder="1"/>
    <xf numFmtId="3" fontId="40" fillId="127" borderId="106" xfId="7882" applyNumberFormat="1" applyFont="1" applyFill="1" applyBorder="1" applyProtection="1">
      <protection hidden="1"/>
    </xf>
    <xf numFmtId="234" fontId="40" fillId="35" borderId="111" xfId="2" applyNumberFormat="1" applyFont="1" applyFill="1" applyBorder="1"/>
    <xf numFmtId="234" fontId="40" fillId="35" borderId="5" xfId="2" applyNumberFormat="1" applyFont="1" applyFill="1" applyBorder="1"/>
    <xf numFmtId="257" fontId="39" fillId="35" borderId="106" xfId="2" applyNumberFormat="1" applyFont="1" applyFill="1" applyBorder="1"/>
    <xf numFmtId="268" fontId="40" fillId="35" borderId="106" xfId="6001" applyNumberFormat="1" applyFont="1" applyFill="1" applyBorder="1"/>
    <xf numFmtId="234" fontId="39" fillId="35" borderId="106" xfId="2" applyNumberFormat="1" applyFont="1" applyFill="1" applyBorder="1" applyAlignment="1">
      <alignment horizontal="right"/>
    </xf>
    <xf numFmtId="268" fontId="39" fillId="35" borderId="106" xfId="6001" applyNumberFormat="1" applyFont="1" applyFill="1" applyBorder="1"/>
    <xf numFmtId="3" fontId="40" fillId="127" borderId="109" xfId="7882" applyNumberFormat="1" applyFont="1" applyFill="1" applyBorder="1" applyProtection="1">
      <protection hidden="1"/>
    </xf>
    <xf numFmtId="234" fontId="40" fillId="35" borderId="113" xfId="2" applyNumberFormat="1" applyFont="1" applyFill="1" applyBorder="1"/>
    <xf numFmtId="0" fontId="40" fillId="35" borderId="110" xfId="2" applyFont="1" applyFill="1" applyBorder="1"/>
    <xf numFmtId="234" fontId="40" fillId="35" borderId="7" xfId="2" applyNumberFormat="1" applyFont="1" applyFill="1" applyBorder="1"/>
    <xf numFmtId="0" fontId="40" fillId="35" borderId="109" xfId="2" applyFont="1" applyFill="1" applyBorder="1"/>
    <xf numFmtId="257" fontId="39" fillId="35" borderId="109" xfId="2" applyNumberFormat="1" applyFont="1" applyFill="1" applyBorder="1"/>
    <xf numFmtId="0" fontId="40" fillId="35" borderId="8" xfId="2" applyFont="1" applyFill="1" applyBorder="1"/>
    <xf numFmtId="0" fontId="40" fillId="35" borderId="0" xfId="2" applyFont="1" applyFill="1" applyBorder="1"/>
    <xf numFmtId="257" fontId="40" fillId="35" borderId="0" xfId="2" applyNumberFormat="1" applyFont="1" applyFill="1" applyBorder="1"/>
    <xf numFmtId="0" fontId="3" fillId="0" borderId="0" xfId="7883"/>
    <xf numFmtId="3" fontId="39" fillId="2" borderId="139" xfId="2" applyNumberFormat="1" applyFont="1" applyFill="1" applyBorder="1" applyAlignment="1">
      <alignment horizontal="center"/>
    </xf>
    <xf numFmtId="17" fontId="39" fillId="124" borderId="174" xfId="2" applyNumberFormat="1" applyFont="1" applyFill="1" applyBorder="1" applyAlignment="1">
      <alignment horizontal="center"/>
    </xf>
    <xf numFmtId="17" fontId="39" fillId="124" borderId="137" xfId="2" applyNumberFormat="1" applyFont="1" applyFill="1" applyBorder="1" applyAlignment="1">
      <alignment horizontal="center"/>
    </xf>
    <xf numFmtId="17" fontId="39" fillId="124" borderId="136" xfId="2" applyNumberFormat="1" applyFont="1" applyFill="1" applyBorder="1" applyAlignment="1">
      <alignment horizontal="center"/>
    </xf>
    <xf numFmtId="17" fontId="39" fillId="124" borderId="138" xfId="2" applyNumberFormat="1" applyFont="1" applyFill="1" applyBorder="1" applyAlignment="1">
      <alignment horizontal="center"/>
    </xf>
    <xf numFmtId="17" fontId="39" fillId="124" borderId="139" xfId="2" applyNumberFormat="1" applyFont="1" applyFill="1" applyBorder="1" applyAlignment="1">
      <alignment horizontal="center"/>
    </xf>
    <xf numFmtId="17" fontId="39" fillId="124" borderId="139" xfId="2" quotePrefix="1" applyNumberFormat="1" applyFont="1" applyFill="1" applyBorder="1" applyAlignment="1">
      <alignment horizontal="center"/>
    </xf>
    <xf numFmtId="17" fontId="39" fillId="124" borderId="176" xfId="2" quotePrefix="1" applyNumberFormat="1" applyFont="1" applyFill="1" applyBorder="1" applyAlignment="1">
      <alignment horizontal="center"/>
    </xf>
    <xf numFmtId="234" fontId="39" fillId="35" borderId="1" xfId="2" applyNumberFormat="1" applyFont="1" applyFill="1" applyBorder="1"/>
    <xf numFmtId="234" fontId="39" fillId="35" borderId="2" xfId="2" applyNumberFormat="1" applyFont="1" applyFill="1" applyBorder="1"/>
    <xf numFmtId="234" fontId="40" fillId="35" borderId="2" xfId="2" applyNumberFormat="1" applyFont="1" applyFill="1" applyBorder="1"/>
    <xf numFmtId="234" fontId="39" fillId="35" borderId="2" xfId="2" applyNumberFormat="1" applyFont="1" applyFill="1" applyBorder="1" applyAlignment="1">
      <alignment horizontal="right"/>
    </xf>
    <xf numFmtId="3" fontId="39" fillId="127" borderId="109" xfId="7882" applyNumberFormat="1" applyFont="1" applyFill="1" applyBorder="1" applyAlignment="1" applyProtection="1">
      <alignment vertical="center"/>
      <protection hidden="1"/>
    </xf>
    <xf numFmtId="234" fontId="39" fillId="35" borderId="113" xfId="2" applyNumberFormat="1" applyFont="1" applyFill="1" applyBorder="1"/>
    <xf numFmtId="234" fontId="39" fillId="35" borderId="110" xfId="2" applyNumberFormat="1" applyFont="1" applyFill="1" applyBorder="1"/>
    <xf numFmtId="234" fontId="39" fillId="35" borderId="7" xfId="2" applyNumberFormat="1" applyFont="1" applyFill="1" applyBorder="1"/>
    <xf numFmtId="234" fontId="39" fillId="35" borderId="6" xfId="2" applyNumberFormat="1" applyFont="1" applyFill="1" applyBorder="1"/>
    <xf numFmtId="234" fontId="39" fillId="35" borderId="114" xfId="2" applyNumberFormat="1" applyFont="1" applyFill="1" applyBorder="1"/>
    <xf numFmtId="234" fontId="39" fillId="35" borderId="109" xfId="2" applyNumberFormat="1" applyFont="1" applyFill="1" applyBorder="1"/>
    <xf numFmtId="3" fontId="39" fillId="131" borderId="109" xfId="7882" applyNumberFormat="1" applyFont="1" applyFill="1" applyBorder="1" applyAlignment="1" applyProtection="1">
      <alignment vertical="center"/>
      <protection hidden="1"/>
    </xf>
    <xf numFmtId="234" fontId="39" fillId="35" borderId="139" xfId="2" applyNumberFormat="1" applyFont="1" applyFill="1" applyBorder="1"/>
    <xf numFmtId="234" fontId="39" fillId="35" borderId="176" xfId="2" applyNumberFormat="1" applyFont="1" applyFill="1" applyBorder="1"/>
    <xf numFmtId="234" fontId="278" fillId="35" borderId="8" xfId="2" applyNumberFormat="1" applyFont="1" applyFill="1" applyBorder="1"/>
    <xf numFmtId="257" fontId="40" fillId="35" borderId="0" xfId="2" applyNumberFormat="1" applyFont="1" applyFill="1"/>
    <xf numFmtId="0" fontId="9" fillId="35" borderId="0" xfId="7884" applyFont="1" applyFill="1" applyBorder="1" applyAlignment="1"/>
    <xf numFmtId="0" fontId="11" fillId="35" borderId="0" xfId="7884" applyFont="1" applyFill="1" applyBorder="1" applyAlignment="1"/>
    <xf numFmtId="0" fontId="11" fillId="35" borderId="0" xfId="2" applyFont="1" applyFill="1"/>
    <xf numFmtId="0" fontId="40" fillId="132" borderId="0" xfId="2" applyFont="1" applyFill="1" applyBorder="1"/>
    <xf numFmtId="0" fontId="19" fillId="35" borderId="0" xfId="2" applyFont="1" applyFill="1" applyAlignment="1">
      <alignment horizontal="right"/>
    </xf>
    <xf numFmtId="0" fontId="84" fillId="127" borderId="177" xfId="7885" applyFont="1" applyFill="1" applyBorder="1" applyAlignment="1">
      <alignment horizontal="center"/>
    </xf>
    <xf numFmtId="0" fontId="84" fillId="127" borderId="178" xfId="7885" applyFont="1" applyFill="1" applyBorder="1" applyAlignment="1">
      <alignment horizontal="center"/>
    </xf>
    <xf numFmtId="17" fontId="84" fillId="127" borderId="179" xfId="2" applyNumberFormat="1" applyFont="1" applyFill="1" applyBorder="1" applyAlignment="1">
      <alignment horizontal="center"/>
    </xf>
    <xf numFmtId="17" fontId="84" fillId="127" borderId="177" xfId="2" applyNumberFormat="1" applyFont="1" applyFill="1" applyBorder="1" applyAlignment="1">
      <alignment horizontal="center"/>
    </xf>
    <xf numFmtId="17" fontId="84" fillId="127" borderId="180" xfId="2" applyNumberFormat="1" applyFont="1" applyFill="1" applyBorder="1" applyAlignment="1">
      <alignment horizontal="center"/>
    </xf>
    <xf numFmtId="17" fontId="84" fillId="127" borderId="178" xfId="2" applyNumberFormat="1" applyFont="1" applyFill="1" applyBorder="1" applyAlignment="1">
      <alignment horizontal="center"/>
    </xf>
    <xf numFmtId="17" fontId="84" fillId="127" borderId="181" xfId="2" applyNumberFormat="1" applyFont="1" applyFill="1" applyBorder="1" applyAlignment="1">
      <alignment horizontal="center"/>
    </xf>
    <xf numFmtId="0" fontId="6" fillId="127" borderId="182" xfId="2" applyFont="1" applyFill="1" applyBorder="1"/>
    <xf numFmtId="0" fontId="6" fillId="127" borderId="183" xfId="2" applyFont="1" applyFill="1" applyBorder="1"/>
    <xf numFmtId="0" fontId="6" fillId="35" borderId="184" xfId="2" applyFont="1" applyFill="1" applyBorder="1"/>
    <xf numFmtId="0" fontId="6" fillId="35" borderId="185" xfId="2" applyFont="1" applyFill="1" applyBorder="1"/>
    <xf numFmtId="0" fontId="6" fillId="35" borderId="186" xfId="2" applyFont="1" applyFill="1" applyBorder="1"/>
    <xf numFmtId="0" fontId="6" fillId="35" borderId="187" xfId="2" applyFont="1" applyFill="1" applyBorder="1"/>
    <xf numFmtId="0" fontId="6" fillId="35" borderId="188" xfId="2" applyFont="1" applyFill="1" applyBorder="1"/>
    <xf numFmtId="0" fontId="84" fillId="127" borderId="182" xfId="7885" applyFont="1" applyFill="1" applyBorder="1"/>
    <xf numFmtId="0" fontId="84" fillId="127" borderId="183" xfId="7885" applyFont="1" applyFill="1" applyBorder="1"/>
    <xf numFmtId="234" fontId="84" fillId="35" borderId="189" xfId="2" applyNumberFormat="1" applyFont="1" applyFill="1" applyBorder="1"/>
    <xf numFmtId="234" fontId="84" fillId="35" borderId="188" xfId="2" applyNumberFormat="1" applyFont="1" applyFill="1" applyBorder="1"/>
    <xf numFmtId="0" fontId="6" fillId="127" borderId="182" xfId="7885" applyFont="1" applyFill="1" applyBorder="1"/>
    <xf numFmtId="0" fontId="6" fillId="127" borderId="183" xfId="7885" applyFont="1" applyFill="1" applyBorder="1"/>
    <xf numFmtId="0" fontId="6" fillId="35" borderId="189" xfId="7885" applyFont="1" applyFill="1" applyBorder="1"/>
    <xf numFmtId="234" fontId="6" fillId="35" borderId="189" xfId="2" applyNumberFormat="1" applyFont="1" applyFill="1" applyBorder="1"/>
    <xf numFmtId="234" fontId="6" fillId="35" borderId="188" xfId="2" applyNumberFormat="1" applyFont="1" applyFill="1" applyBorder="1"/>
    <xf numFmtId="0" fontId="6" fillId="127" borderId="183" xfId="7885" applyFont="1" applyFill="1" applyBorder="1" applyAlignment="1">
      <alignment horizontal="left" indent="2"/>
    </xf>
    <xf numFmtId="0" fontId="84" fillId="127" borderId="190" xfId="7885" applyFont="1" applyFill="1" applyBorder="1"/>
    <xf numFmtId="0" fontId="84" fillId="127" borderId="191" xfId="7885" applyFont="1" applyFill="1" applyBorder="1"/>
    <xf numFmtId="234" fontId="84" fillId="35" borderId="192" xfId="2" applyNumberFormat="1" applyFont="1" applyFill="1" applyBorder="1"/>
    <xf numFmtId="234" fontId="84" fillId="35" borderId="190" xfId="2" applyNumberFormat="1" applyFont="1" applyFill="1" applyBorder="1"/>
    <xf numFmtId="234" fontId="84" fillId="35" borderId="193" xfId="2" applyNumberFormat="1" applyFont="1" applyFill="1" applyBorder="1"/>
    <xf numFmtId="234" fontId="84" fillId="35" borderId="191" xfId="2" applyNumberFormat="1" applyFont="1" applyFill="1" applyBorder="1"/>
    <xf numFmtId="234" fontId="84" fillId="35" borderId="194" xfId="2" applyNumberFormat="1" applyFont="1" applyFill="1" applyBorder="1"/>
    <xf numFmtId="0" fontId="6" fillId="35" borderId="0" xfId="2" applyFont="1" applyFill="1"/>
    <xf numFmtId="17" fontId="84" fillId="131" borderId="179" xfId="2" applyNumberFormat="1" applyFont="1" applyFill="1" applyBorder="1" applyAlignment="1">
      <alignment horizontal="center"/>
    </xf>
    <xf numFmtId="17" fontId="84" fillId="131" borderId="177" xfId="2" applyNumberFormat="1" applyFont="1" applyFill="1" applyBorder="1" applyAlignment="1">
      <alignment horizontal="center"/>
    </xf>
    <xf numFmtId="17" fontId="84" fillId="131" borderId="180" xfId="2" applyNumberFormat="1" applyFont="1" applyFill="1" applyBorder="1" applyAlignment="1">
      <alignment horizontal="center"/>
    </xf>
    <xf numFmtId="17" fontId="84" fillId="131" borderId="178" xfId="2" applyNumberFormat="1" applyFont="1" applyFill="1" applyBorder="1" applyAlignment="1">
      <alignment horizontal="center"/>
    </xf>
    <xf numFmtId="17" fontId="84" fillId="131" borderId="181" xfId="2" applyNumberFormat="1" applyFont="1" applyFill="1" applyBorder="1" applyAlignment="1">
      <alignment horizontal="center"/>
    </xf>
    <xf numFmtId="0" fontId="6" fillId="127" borderId="183" xfId="7885" applyFont="1" applyFill="1" applyBorder="1" applyAlignment="1">
      <alignment horizontal="center"/>
    </xf>
    <xf numFmtId="234" fontId="6" fillId="35" borderId="182" xfId="2" applyNumberFormat="1" applyFont="1" applyFill="1" applyBorder="1"/>
    <xf numFmtId="234" fontId="6" fillId="35" borderId="195" xfId="2" applyNumberFormat="1" applyFont="1" applyFill="1" applyBorder="1"/>
    <xf numFmtId="234" fontId="6" fillId="35" borderId="183" xfId="2" applyNumberFormat="1" applyFont="1" applyFill="1" applyBorder="1"/>
    <xf numFmtId="0" fontId="6" fillId="127" borderId="183" xfId="7885" applyFont="1" applyFill="1" applyBorder="1" applyAlignment="1">
      <alignment horizontal="left" indent="1"/>
    </xf>
    <xf numFmtId="0" fontId="6" fillId="127" borderId="190" xfId="2" applyFont="1" applyFill="1" applyBorder="1"/>
    <xf numFmtId="0" fontId="6" fillId="127" borderId="191" xfId="2" applyFont="1" applyFill="1" applyBorder="1"/>
    <xf numFmtId="0" fontId="6" fillId="35" borderId="192" xfId="2" applyFont="1" applyFill="1" applyBorder="1"/>
    <xf numFmtId="0" fontId="6" fillId="35" borderId="190" xfId="2" applyFont="1" applyFill="1" applyBorder="1"/>
    <xf numFmtId="0" fontId="6" fillId="35" borderId="193" xfId="2" applyFont="1" applyFill="1" applyBorder="1"/>
    <xf numFmtId="0" fontId="6" fillId="35" borderId="191" xfId="2" applyFont="1" applyFill="1" applyBorder="1"/>
    <xf numFmtId="0" fontId="6" fillId="35" borderId="194" xfId="2" applyFont="1" applyFill="1" applyBorder="1"/>
    <xf numFmtId="0" fontId="280" fillId="35" borderId="0" xfId="2" applyFont="1" applyFill="1"/>
    <xf numFmtId="0" fontId="247" fillId="35" borderId="0" xfId="2" applyFont="1" applyFill="1" applyBorder="1"/>
    <xf numFmtId="0" fontId="282" fillId="35" borderId="0" xfId="2" applyFont="1" applyFill="1"/>
    <xf numFmtId="0" fontId="281" fillId="35" borderId="0" xfId="2" applyFont="1" applyFill="1"/>
    <xf numFmtId="0" fontId="40" fillId="35" borderId="0" xfId="7884" applyFont="1" applyFill="1" applyBorder="1" applyAlignment="1"/>
    <xf numFmtId="0" fontId="40" fillId="35" borderId="0" xfId="7884" applyFont="1" applyFill="1" applyBorder="1"/>
    <xf numFmtId="0" fontId="283" fillId="35" borderId="0" xfId="2" applyFont="1" applyFill="1"/>
    <xf numFmtId="0" fontId="39" fillId="132" borderId="0" xfId="7884" applyFont="1" applyFill="1" applyBorder="1" applyAlignment="1"/>
    <xf numFmtId="0" fontId="40" fillId="132" borderId="0" xfId="7884" applyFont="1" applyFill="1" applyBorder="1" applyAlignment="1"/>
    <xf numFmtId="0" fontId="40" fillId="132" borderId="0" xfId="7884" applyFont="1" applyFill="1" applyBorder="1"/>
    <xf numFmtId="0" fontId="244" fillId="35" borderId="51" xfId="2" applyFont="1" applyFill="1" applyBorder="1" applyAlignment="1">
      <alignment horizontal="center"/>
    </xf>
    <xf numFmtId="0" fontId="244" fillId="35" borderId="51" xfId="2" applyFont="1" applyFill="1" applyBorder="1" applyAlignment="1"/>
    <xf numFmtId="0" fontId="19" fillId="35" borderId="0" xfId="2" applyFont="1" applyFill="1" applyBorder="1" applyAlignment="1">
      <alignment horizontal="right"/>
    </xf>
    <xf numFmtId="17" fontId="84" fillId="127" borderId="196" xfId="2" applyNumberFormat="1" applyFont="1" applyFill="1" applyBorder="1" applyAlignment="1">
      <alignment horizontal="center"/>
    </xf>
    <xf numFmtId="17" fontId="84" fillId="127" borderId="197" xfId="2" applyNumberFormat="1" applyFont="1" applyFill="1" applyBorder="1" applyAlignment="1">
      <alignment horizontal="center"/>
    </xf>
    <xf numFmtId="0" fontId="6" fillId="35" borderId="195" xfId="2" applyFont="1" applyFill="1" applyBorder="1"/>
    <xf numFmtId="0" fontId="6" fillId="35" borderId="0" xfId="2" applyFont="1" applyFill="1" applyBorder="1"/>
    <xf numFmtId="0" fontId="6" fillId="35" borderId="198" xfId="2" applyFont="1" applyFill="1" applyBorder="1"/>
    <xf numFmtId="0" fontId="284" fillId="35" borderId="195" xfId="2" applyFont="1" applyFill="1" applyBorder="1"/>
    <xf numFmtId="0" fontId="284" fillId="35" borderId="199" xfId="2" applyFont="1" applyFill="1" applyBorder="1"/>
    <xf numFmtId="0" fontId="284" fillId="35" borderId="189" xfId="2" applyFont="1" applyFill="1" applyBorder="1"/>
    <xf numFmtId="234" fontId="84" fillId="35" borderId="195" xfId="2" applyNumberFormat="1" applyFont="1" applyFill="1" applyBorder="1"/>
    <xf numFmtId="234" fontId="84" fillId="35" borderId="0" xfId="2" applyNumberFormat="1" applyFont="1" applyFill="1" applyBorder="1"/>
    <xf numFmtId="234" fontId="84" fillId="35" borderId="198" xfId="2" applyNumberFormat="1" applyFont="1" applyFill="1" applyBorder="1"/>
    <xf numFmtId="234" fontId="84" fillId="35" borderId="200" xfId="2" applyNumberFormat="1" applyFont="1" applyFill="1" applyBorder="1"/>
    <xf numFmtId="0" fontId="6" fillId="35" borderId="195" xfId="7885" applyFont="1" applyFill="1" applyBorder="1"/>
    <xf numFmtId="0" fontId="6" fillId="35" borderId="0" xfId="7885" applyFont="1" applyFill="1" applyBorder="1"/>
    <xf numFmtId="0" fontId="6" fillId="35" borderId="198" xfId="7885" applyFont="1" applyFill="1" applyBorder="1"/>
    <xf numFmtId="0" fontId="6" fillId="35" borderId="200" xfId="7885" applyFont="1" applyFill="1" applyBorder="1"/>
    <xf numFmtId="234" fontId="6" fillId="35" borderId="0" xfId="2" applyNumberFormat="1" applyFont="1" applyFill="1" applyBorder="1"/>
    <xf numFmtId="234" fontId="6" fillId="35" borderId="198" xfId="2" applyNumberFormat="1" applyFont="1" applyFill="1" applyBorder="1"/>
    <xf numFmtId="234" fontId="6" fillId="35" borderId="200" xfId="2" applyNumberFormat="1" applyFont="1" applyFill="1" applyBorder="1"/>
    <xf numFmtId="265" fontId="84" fillId="35" borderId="193" xfId="7487" applyNumberFormat="1" applyFont="1" applyFill="1" applyBorder="1"/>
    <xf numFmtId="265" fontId="84" fillId="35" borderId="51" xfId="7487" applyNumberFormat="1" applyFont="1" applyFill="1" applyBorder="1"/>
    <xf numFmtId="265" fontId="84" fillId="35" borderId="201" xfId="7487" applyNumberFormat="1" applyFont="1" applyFill="1" applyBorder="1"/>
    <xf numFmtId="265" fontId="84" fillId="35" borderId="202" xfId="7487" applyNumberFormat="1" applyFont="1" applyFill="1" applyBorder="1"/>
    <xf numFmtId="265" fontId="84" fillId="35" borderId="192" xfId="7487" applyNumberFormat="1" applyFont="1" applyFill="1" applyBorder="1"/>
    <xf numFmtId="0" fontId="6" fillId="133" borderId="0" xfId="2" applyFont="1" applyFill="1"/>
    <xf numFmtId="0" fontId="6" fillId="132" borderId="0" xfId="2" applyFont="1" applyFill="1"/>
    <xf numFmtId="0" fontId="6" fillId="132" borderId="198" xfId="2" applyFont="1" applyFill="1" applyBorder="1"/>
    <xf numFmtId="0" fontId="6" fillId="132" borderId="0" xfId="2" applyFont="1" applyFill="1" applyBorder="1"/>
    <xf numFmtId="0" fontId="153" fillId="132" borderId="0" xfId="2" applyFont="1" applyFill="1" applyBorder="1" applyAlignment="1">
      <alignment horizontal="center"/>
    </xf>
    <xf numFmtId="0" fontId="153" fillId="132" borderId="51" xfId="2" applyFont="1" applyFill="1" applyBorder="1" applyAlignment="1">
      <alignment horizontal="center"/>
    </xf>
    <xf numFmtId="0" fontId="153" fillId="35" borderId="0" xfId="2" applyFont="1" applyFill="1" applyBorder="1" applyAlignment="1">
      <alignment horizontal="center"/>
    </xf>
    <xf numFmtId="17" fontId="84" fillId="131" borderId="196" xfId="2" applyNumberFormat="1" applyFont="1" applyFill="1" applyBorder="1" applyAlignment="1">
      <alignment horizontal="center"/>
    </xf>
    <xf numFmtId="17" fontId="84" fillId="131" borderId="197" xfId="2" applyNumberFormat="1" applyFont="1" applyFill="1" applyBorder="1" applyAlignment="1">
      <alignment horizontal="center"/>
    </xf>
    <xf numFmtId="234" fontId="6" fillId="35" borderId="203" xfId="2" applyNumberFormat="1" applyFont="1" applyFill="1" applyBorder="1"/>
    <xf numFmtId="234" fontId="6" fillId="35" borderId="186" xfId="2" applyNumberFormat="1" applyFont="1" applyFill="1" applyBorder="1"/>
    <xf numFmtId="234" fontId="84" fillId="35" borderId="182" xfId="2" applyNumberFormat="1" applyFont="1" applyFill="1" applyBorder="1"/>
    <xf numFmtId="234" fontId="6" fillId="35" borderId="195" xfId="7885" applyNumberFormat="1" applyFont="1" applyFill="1" applyBorder="1"/>
    <xf numFmtId="234" fontId="6" fillId="35" borderId="0" xfId="7885" applyNumberFormat="1" applyFont="1" applyFill="1" applyBorder="1"/>
    <xf numFmtId="234" fontId="6" fillId="35" borderId="198" xfId="7885" applyNumberFormat="1" applyFont="1" applyFill="1" applyBorder="1"/>
    <xf numFmtId="234" fontId="6" fillId="35" borderId="189" xfId="7885" applyNumberFormat="1" applyFont="1" applyFill="1" applyBorder="1"/>
    <xf numFmtId="234" fontId="6" fillId="35" borderId="182" xfId="7885" applyNumberFormat="1" applyFont="1" applyFill="1" applyBorder="1"/>
    <xf numFmtId="0" fontId="6" fillId="35" borderId="51" xfId="2" applyFont="1" applyFill="1" applyBorder="1"/>
    <xf numFmtId="0" fontId="6" fillId="35" borderId="201" xfId="2" applyFont="1" applyFill="1" applyBorder="1"/>
    <xf numFmtId="234" fontId="285" fillId="35" borderId="0" xfId="2" applyNumberFormat="1" applyFont="1" applyFill="1"/>
    <xf numFmtId="0" fontId="11" fillId="35" borderId="0" xfId="7884" applyFont="1" applyFill="1" applyBorder="1"/>
    <xf numFmtId="0" fontId="286" fillId="35" borderId="0" xfId="2" applyFont="1" applyFill="1"/>
    <xf numFmtId="0" fontId="244" fillId="35" borderId="0" xfId="2" applyFont="1" applyFill="1" applyAlignment="1">
      <alignment horizontal="center"/>
    </xf>
    <xf numFmtId="0" fontId="287" fillId="35" borderId="0" xfId="2" applyFont="1" applyFill="1"/>
    <xf numFmtId="0" fontId="288" fillId="35" borderId="0" xfId="2" applyFont="1" applyFill="1" applyAlignment="1">
      <alignment horizontal="right"/>
    </xf>
    <xf numFmtId="0" fontId="40" fillId="127" borderId="182" xfId="2" applyFont="1" applyFill="1" applyBorder="1"/>
    <xf numFmtId="0" fontId="40" fillId="127" borderId="183" xfId="2" applyFont="1" applyFill="1" applyBorder="1"/>
    <xf numFmtId="0" fontId="40" fillId="35" borderId="195" xfId="2" applyFont="1" applyFill="1" applyBorder="1"/>
    <xf numFmtId="0" fontId="40" fillId="35" borderId="198" xfId="2" applyFont="1" applyFill="1" applyBorder="1"/>
    <xf numFmtId="0" fontId="40" fillId="35" borderId="186" xfId="2" applyFont="1" applyFill="1" applyBorder="1"/>
    <xf numFmtId="0" fontId="283" fillId="35" borderId="186" xfId="2" applyFont="1" applyFill="1" applyBorder="1"/>
    <xf numFmtId="0" fontId="283" fillId="35" borderId="204" xfId="2" applyFont="1" applyFill="1" applyBorder="1"/>
    <xf numFmtId="0" fontId="284" fillId="35" borderId="0" xfId="2" applyFont="1" applyFill="1"/>
    <xf numFmtId="0" fontId="153" fillId="132" borderId="198" xfId="2" applyFont="1" applyFill="1" applyBorder="1" applyAlignment="1">
      <alignment horizontal="center"/>
    </xf>
    <xf numFmtId="0" fontId="283" fillId="35" borderId="0" xfId="2" applyFont="1" applyFill="1" applyBorder="1"/>
    <xf numFmtId="0" fontId="40" fillId="35" borderId="0" xfId="2" applyFont="1" applyFill="1" applyAlignment="1">
      <alignment horizontal="center"/>
    </xf>
    <xf numFmtId="0" fontId="287" fillId="35" borderId="0" xfId="2" applyFont="1" applyFill="1" applyAlignment="1">
      <alignment horizontal="center"/>
    </xf>
    <xf numFmtId="0" fontId="283" fillId="35" borderId="195" xfId="2" applyFont="1" applyFill="1" applyBorder="1"/>
    <xf numFmtId="0" fontId="39" fillId="127" borderId="182" xfId="7885" applyFont="1" applyFill="1" applyBorder="1"/>
    <xf numFmtId="0" fontId="40" fillId="127" borderId="182" xfId="7885" applyFont="1" applyFill="1" applyBorder="1"/>
    <xf numFmtId="0" fontId="39" fillId="127" borderId="190" xfId="7885" applyFont="1" applyFill="1" applyBorder="1"/>
    <xf numFmtId="0" fontId="40" fillId="133" borderId="0" xfId="2" applyFont="1" applyFill="1"/>
    <xf numFmtId="0" fontId="39" fillId="127" borderId="177" xfId="7885" applyFont="1" applyFill="1" applyBorder="1" applyAlignment="1">
      <alignment horizontal="center"/>
    </xf>
    <xf numFmtId="0" fontId="40" fillId="127" borderId="190" xfId="2" applyFont="1" applyFill="1" applyBorder="1"/>
    <xf numFmtId="0" fontId="289" fillId="35" borderId="0" xfId="2" applyFont="1" applyFill="1"/>
    <xf numFmtId="234" fontId="283" fillId="35" borderId="0" xfId="2" applyNumberFormat="1" applyFont="1" applyFill="1"/>
    <xf numFmtId="0" fontId="9" fillId="35" borderId="0" xfId="7886" applyFont="1" applyFill="1" applyBorder="1" applyAlignment="1"/>
    <xf numFmtId="0" fontId="270" fillId="35" borderId="0" xfId="2" applyFont="1" applyFill="1"/>
    <xf numFmtId="0" fontId="37" fillId="132" borderId="0" xfId="7886" applyFont="1" applyFill="1" applyBorder="1" applyAlignment="1"/>
    <xf numFmtId="0" fontId="7" fillId="132" borderId="0" xfId="2" applyFont="1" applyFill="1" applyBorder="1" applyAlignment="1"/>
    <xf numFmtId="0" fontId="38" fillId="35" borderId="51" xfId="2" applyFont="1" applyFill="1" applyBorder="1" applyAlignment="1">
      <alignment horizontal="right"/>
    </xf>
    <xf numFmtId="0" fontId="270" fillId="35" borderId="0" xfId="2" applyFont="1" applyFill="1" applyAlignment="1">
      <alignment horizontal="right"/>
    </xf>
    <xf numFmtId="0" fontId="290" fillId="35" borderId="0" xfId="2" applyFont="1" applyFill="1" applyAlignment="1">
      <alignment horizontal="right"/>
    </xf>
    <xf numFmtId="0" fontId="277" fillId="35" borderId="0" xfId="2" applyFont="1" applyFill="1" applyAlignment="1">
      <alignment horizontal="right"/>
    </xf>
    <xf numFmtId="0" fontId="282" fillId="35" borderId="0" xfId="2" applyFont="1" applyFill="1" applyAlignment="1">
      <alignment horizontal="right"/>
    </xf>
    <xf numFmtId="0" fontId="84" fillId="127" borderId="184" xfId="2" applyFont="1" applyFill="1" applyBorder="1" applyAlignment="1">
      <alignment horizontal="center"/>
    </xf>
    <xf numFmtId="0" fontId="7" fillId="127" borderId="188" xfId="2" applyFont="1" applyFill="1" applyBorder="1" applyAlignment="1">
      <alignment horizontal="center"/>
    </xf>
    <xf numFmtId="0" fontId="270" fillId="35" borderId="188" xfId="2" applyFont="1" applyFill="1" applyBorder="1"/>
    <xf numFmtId="0" fontId="270" fillId="35" borderId="182" xfId="2" applyFont="1" applyFill="1" applyBorder="1"/>
    <xf numFmtId="0" fontId="270" fillId="35" borderId="195" xfId="2" applyFont="1" applyFill="1" applyBorder="1"/>
    <xf numFmtId="0" fontId="283" fillId="35" borderId="189" xfId="2" applyFont="1" applyFill="1" applyBorder="1"/>
    <xf numFmtId="0" fontId="39" fillId="127" borderId="188" xfId="2" applyFont="1" applyFill="1" applyBorder="1"/>
    <xf numFmtId="234" fontId="37" fillId="35" borderId="188" xfId="2" applyNumberFormat="1" applyFont="1" applyFill="1" applyBorder="1"/>
    <xf numFmtId="234" fontId="37" fillId="35" borderId="182" xfId="2" applyNumberFormat="1" applyFont="1" applyFill="1" applyBorder="1"/>
    <xf numFmtId="234" fontId="37" fillId="35" borderId="195" xfId="2" applyNumberFormat="1" applyFont="1" applyFill="1" applyBorder="1"/>
    <xf numFmtId="234" fontId="39" fillId="35" borderId="195" xfId="2" applyNumberFormat="1" applyFont="1" applyFill="1" applyBorder="1"/>
    <xf numFmtId="234" fontId="39" fillId="35" borderId="189" xfId="2" applyNumberFormat="1" applyFont="1" applyFill="1" applyBorder="1"/>
    <xf numFmtId="0" fontId="40" fillId="127" borderId="188" xfId="2" applyFont="1" applyFill="1" applyBorder="1"/>
    <xf numFmtId="234" fontId="7" fillId="35" borderId="188" xfId="2" applyNumberFormat="1" applyFont="1" applyFill="1" applyBorder="1"/>
    <xf numFmtId="234" fontId="7" fillId="35" borderId="182" xfId="2" applyNumberFormat="1" applyFont="1" applyFill="1" applyBorder="1"/>
    <xf numFmtId="234" fontId="7" fillId="35" borderId="195" xfId="2" applyNumberFormat="1" applyFont="1" applyFill="1" applyBorder="1"/>
    <xf numFmtId="234" fontId="40" fillId="35" borderId="195" xfId="2" applyNumberFormat="1" applyFont="1" applyFill="1" applyBorder="1"/>
    <xf numFmtId="234" fontId="40" fillId="35" borderId="189" xfId="2" applyNumberFormat="1" applyFont="1" applyFill="1" applyBorder="1"/>
    <xf numFmtId="0" fontId="40" fillId="127" borderId="188" xfId="2" applyFont="1" applyFill="1" applyBorder="1" applyAlignment="1"/>
    <xf numFmtId="234" fontId="7" fillId="35" borderId="188" xfId="2" applyNumberFormat="1" applyFont="1" applyFill="1" applyBorder="1" applyAlignment="1"/>
    <xf numFmtId="234" fontId="7" fillId="35" borderId="182" xfId="2" applyNumberFormat="1" applyFont="1" applyFill="1" applyBorder="1" applyAlignment="1"/>
    <xf numFmtId="234" fontId="7" fillId="35" borderId="195" xfId="2" applyNumberFormat="1" applyFont="1" applyFill="1" applyBorder="1" applyAlignment="1"/>
    <xf numFmtId="234" fontId="40" fillId="35" borderId="195" xfId="2" applyNumberFormat="1" applyFont="1" applyFill="1" applyBorder="1" applyAlignment="1"/>
    <xf numFmtId="234" fontId="40" fillId="35" borderId="189" xfId="2" applyNumberFormat="1" applyFont="1" applyFill="1" applyBorder="1" applyAlignment="1"/>
    <xf numFmtId="0" fontId="37" fillId="35" borderId="188" xfId="2" applyFont="1" applyFill="1" applyBorder="1"/>
    <xf numFmtId="0" fontId="37" fillId="35" borderId="182" xfId="2" applyFont="1" applyFill="1" applyBorder="1"/>
    <xf numFmtId="0" fontId="37" fillId="35" borderId="195" xfId="2" applyFont="1" applyFill="1" applyBorder="1"/>
    <xf numFmtId="0" fontId="39" fillId="35" borderId="195" xfId="2" applyFont="1" applyFill="1" applyBorder="1"/>
    <xf numFmtId="0" fontId="39" fillId="35" borderId="189" xfId="2" applyFont="1" applyFill="1" applyBorder="1"/>
    <xf numFmtId="0" fontId="291" fillId="35" borderId="0" xfId="2" applyFont="1" applyFill="1"/>
    <xf numFmtId="0" fontId="39" fillId="127" borderId="188" xfId="2" applyFont="1" applyFill="1" applyBorder="1" applyAlignment="1">
      <alignment wrapText="1"/>
    </xf>
    <xf numFmtId="234" fontId="37" fillId="35" borderId="188" xfId="2" applyNumberFormat="1" applyFont="1" applyFill="1" applyBorder="1" applyAlignment="1">
      <alignment vertical="center"/>
    </xf>
    <xf numFmtId="234" fontId="37" fillId="35" borderId="182" xfId="2" applyNumberFormat="1" applyFont="1" applyFill="1" applyBorder="1" applyAlignment="1">
      <alignment vertical="center"/>
    </xf>
    <xf numFmtId="234" fontId="37" fillId="35" borderId="195" xfId="2" applyNumberFormat="1" applyFont="1" applyFill="1" applyBorder="1" applyAlignment="1">
      <alignment vertical="center"/>
    </xf>
    <xf numFmtId="234" fontId="39" fillId="35" borderId="195" xfId="2" applyNumberFormat="1" applyFont="1" applyFill="1" applyBorder="1" applyAlignment="1">
      <alignment vertical="center"/>
    </xf>
    <xf numFmtId="234" fontId="39" fillId="35" borderId="189" xfId="2" applyNumberFormat="1" applyFont="1" applyFill="1" applyBorder="1" applyAlignment="1">
      <alignment vertical="center"/>
    </xf>
    <xf numFmtId="0" fontId="7" fillId="127" borderId="194" xfId="2" applyFont="1" applyFill="1" applyBorder="1" applyAlignment="1"/>
    <xf numFmtId="0" fontId="270" fillId="35" borderId="194" xfId="2" applyFont="1" applyFill="1" applyBorder="1"/>
    <xf numFmtId="0" fontId="270" fillId="35" borderId="190" xfId="2" applyFont="1" applyFill="1" applyBorder="1"/>
    <xf numFmtId="0" fontId="270" fillId="35" borderId="193" xfId="2" applyFont="1" applyFill="1" applyBorder="1"/>
    <xf numFmtId="0" fontId="270" fillId="35" borderId="192" xfId="2" applyFont="1" applyFill="1" applyBorder="1"/>
    <xf numFmtId="234" fontId="270" fillId="35" borderId="0" xfId="2" applyNumberFormat="1" applyFont="1" applyFill="1"/>
    <xf numFmtId="0" fontId="292" fillId="35" borderId="0" xfId="2" applyFont="1" applyFill="1" applyBorder="1"/>
    <xf numFmtId="0" fontId="293" fillId="35" borderId="0" xfId="2" applyFont="1" applyFill="1" applyBorder="1"/>
    <xf numFmtId="0" fontId="294" fillId="35" borderId="0" xfId="2" applyFont="1" applyFill="1"/>
    <xf numFmtId="0" fontId="38" fillId="35" borderId="0" xfId="2" applyFont="1" applyFill="1" applyBorder="1"/>
    <xf numFmtId="0" fontId="293" fillId="35" borderId="0" xfId="2" applyFont="1" applyFill="1"/>
    <xf numFmtId="0" fontId="295" fillId="35" borderId="0" xfId="7886" applyFont="1" applyFill="1" applyBorder="1" applyAlignment="1">
      <alignment vertical="center"/>
    </xf>
    <xf numFmtId="0" fontId="297" fillId="35" borderId="0" xfId="6846" applyFont="1" applyFill="1" applyBorder="1" applyAlignment="1">
      <alignment vertical="center"/>
    </xf>
    <xf numFmtId="0" fontId="298" fillId="35" borderId="0" xfId="6846" applyFont="1" applyFill="1" applyBorder="1" applyAlignment="1">
      <alignment vertical="center"/>
    </xf>
    <xf numFmtId="0" fontId="299" fillId="35" borderId="0" xfId="6846" applyFont="1" applyFill="1" applyBorder="1" applyAlignment="1">
      <alignment vertical="center"/>
    </xf>
    <xf numFmtId="0" fontId="270" fillId="35" borderId="0" xfId="6846" applyFont="1" applyFill="1" applyBorder="1" applyAlignment="1">
      <alignment vertical="center"/>
    </xf>
    <xf numFmtId="0" fontId="7" fillId="35" borderId="0" xfId="6846" applyFont="1" applyFill="1" applyBorder="1" applyAlignment="1">
      <alignment horizontal="left" vertical="center"/>
    </xf>
    <xf numFmtId="0" fontId="241" fillId="35" borderId="0" xfId="6846" applyFont="1" applyFill="1" applyBorder="1" applyAlignment="1">
      <alignment vertical="center"/>
    </xf>
    <xf numFmtId="0" fontId="240" fillId="35" borderId="0" xfId="6846" applyFont="1" applyFill="1" applyBorder="1" applyAlignment="1">
      <alignment horizontal="right" vertical="center"/>
    </xf>
    <xf numFmtId="0" fontId="300" fillId="127" borderId="181" xfId="6846" applyFont="1" applyFill="1" applyBorder="1" applyAlignment="1">
      <alignment horizontal="center" vertical="center"/>
    </xf>
    <xf numFmtId="17" fontId="251" fillId="127" borderId="180" xfId="6846" applyNumberFormat="1" applyFont="1" applyFill="1" applyBorder="1" applyAlignment="1">
      <alignment horizontal="center" vertical="center"/>
    </xf>
    <xf numFmtId="17" fontId="251" fillId="127" borderId="178" xfId="6846" applyNumberFormat="1" applyFont="1" applyFill="1" applyBorder="1" applyAlignment="1">
      <alignment horizontal="center" vertical="center"/>
    </xf>
    <xf numFmtId="17" fontId="251" fillId="127" borderId="196" xfId="6846" applyNumberFormat="1" applyFont="1" applyFill="1" applyBorder="1" applyAlignment="1">
      <alignment horizontal="center" vertical="center"/>
    </xf>
    <xf numFmtId="17" fontId="251" fillId="127" borderId="197" xfId="6846" applyNumberFormat="1" applyFont="1" applyFill="1" applyBorder="1" applyAlignment="1">
      <alignment horizontal="center" vertical="center"/>
    </xf>
    <xf numFmtId="17" fontId="251" fillId="127" borderId="197" xfId="6846" quotePrefix="1" applyNumberFormat="1" applyFont="1" applyFill="1" applyBorder="1" applyAlignment="1">
      <alignment horizontal="center" vertical="center"/>
    </xf>
    <xf numFmtId="0" fontId="39" fillId="127" borderId="188" xfId="6846" applyFont="1" applyFill="1" applyBorder="1" applyAlignment="1">
      <alignment horizontal="center" vertical="center"/>
    </xf>
    <xf numFmtId="0" fontId="270" fillId="35" borderId="195" xfId="6846" applyFont="1" applyFill="1" applyBorder="1" applyAlignment="1">
      <alignment vertical="center"/>
    </xf>
    <xf numFmtId="0" fontId="270" fillId="35" borderId="186" xfId="6846" applyFont="1" applyFill="1" applyBorder="1" applyAlignment="1">
      <alignment vertical="center"/>
    </xf>
    <xf numFmtId="0" fontId="270" fillId="35" borderId="198" xfId="6846" applyFont="1" applyFill="1" applyBorder="1" applyAlignment="1">
      <alignment vertical="center"/>
    </xf>
    <xf numFmtId="0" fontId="283" fillId="35" borderId="195" xfId="6846" applyFont="1" applyFill="1" applyBorder="1" applyAlignment="1">
      <alignment vertical="center"/>
    </xf>
    <xf numFmtId="0" fontId="283" fillId="35" borderId="0" xfId="6846" applyFont="1" applyFill="1" applyBorder="1" applyAlignment="1">
      <alignment vertical="center"/>
    </xf>
    <xf numFmtId="0" fontId="283" fillId="35" borderId="189" xfId="6846" applyFont="1" applyFill="1" applyBorder="1" applyAlignment="1">
      <alignment vertical="center"/>
    </xf>
    <xf numFmtId="0" fontId="9" fillId="127" borderId="188" xfId="6846" applyFont="1" applyFill="1" applyBorder="1" applyAlignment="1">
      <alignment vertical="center"/>
    </xf>
    <xf numFmtId="234" fontId="9" fillId="35" borderId="195" xfId="6846" applyNumberFormat="1" applyFont="1" applyFill="1" applyBorder="1" applyAlignment="1">
      <alignment vertical="center"/>
    </xf>
    <xf numFmtId="234" fontId="9" fillId="35" borderId="198" xfId="6846" applyNumberFormat="1" applyFont="1" applyFill="1" applyBorder="1" applyAlignment="1">
      <alignment vertical="center"/>
    </xf>
    <xf numFmtId="234" fontId="9" fillId="35" borderId="0" xfId="6846" applyNumberFormat="1" applyFont="1" applyFill="1" applyBorder="1" applyAlignment="1">
      <alignment vertical="center"/>
    </xf>
    <xf numFmtId="234" fontId="9" fillId="35" borderId="189" xfId="6846" applyNumberFormat="1" applyFont="1" applyFill="1" applyBorder="1" applyAlignment="1">
      <alignment vertical="center"/>
    </xf>
    <xf numFmtId="0" fontId="11" fillId="127" borderId="188" xfId="6846" applyFont="1" applyFill="1" applyBorder="1" applyAlignment="1">
      <alignment vertical="center"/>
    </xf>
    <xf numFmtId="234" fontId="11" fillId="35" borderId="195" xfId="6846" applyNumberFormat="1" applyFont="1" applyFill="1" applyBorder="1" applyAlignment="1">
      <alignment vertical="center"/>
    </xf>
    <xf numFmtId="234" fontId="11" fillId="35" borderId="198" xfId="6846" applyNumberFormat="1" applyFont="1" applyFill="1" applyBorder="1" applyAlignment="1">
      <alignment vertical="center"/>
    </xf>
    <xf numFmtId="234" fontId="11" fillId="35" borderId="0" xfId="6846" applyNumberFormat="1" applyFont="1" applyFill="1" applyBorder="1" applyAlignment="1">
      <alignment vertical="center"/>
    </xf>
    <xf numFmtId="234" fontId="11" fillId="35" borderId="189" xfId="6846" applyNumberFormat="1" applyFont="1" applyFill="1" applyBorder="1" applyAlignment="1">
      <alignment vertical="center"/>
    </xf>
    <xf numFmtId="234" fontId="11" fillId="127" borderId="188" xfId="6846" applyNumberFormat="1" applyFont="1" applyFill="1" applyBorder="1" applyAlignment="1">
      <alignment vertical="center"/>
    </xf>
    <xf numFmtId="0" fontId="11" fillId="127" borderId="188" xfId="6846" applyFont="1" applyFill="1" applyBorder="1" applyAlignment="1">
      <alignment horizontal="left" vertical="center"/>
    </xf>
    <xf numFmtId="0" fontId="9" fillId="127" borderId="188" xfId="6846" applyFont="1" applyFill="1" applyBorder="1" applyAlignment="1">
      <alignment horizontal="center" vertical="center"/>
    </xf>
    <xf numFmtId="0" fontId="302" fillId="127" borderId="188" xfId="6846" applyFont="1" applyFill="1" applyBorder="1" applyAlignment="1">
      <alignment vertical="center"/>
    </xf>
    <xf numFmtId="0" fontId="36" fillId="127" borderId="194" xfId="6846" applyFont="1" applyFill="1" applyBorder="1" applyAlignment="1">
      <alignment vertical="center"/>
    </xf>
    <xf numFmtId="0" fontId="270" fillId="35" borderId="193" xfId="6846" applyFont="1" applyFill="1" applyBorder="1" applyAlignment="1">
      <alignment vertical="center"/>
    </xf>
    <xf numFmtId="0" fontId="270" fillId="35" borderId="201" xfId="6846" applyFont="1" applyFill="1" applyBorder="1" applyAlignment="1">
      <alignment vertical="center"/>
    </xf>
    <xf numFmtId="0" fontId="270" fillId="35" borderId="51" xfId="6846" applyFont="1" applyFill="1" applyBorder="1" applyAlignment="1">
      <alignment vertical="center"/>
    </xf>
    <xf numFmtId="0" fontId="270" fillId="35" borderId="192" xfId="6846" applyFont="1" applyFill="1" applyBorder="1" applyAlignment="1">
      <alignment vertical="center"/>
    </xf>
    <xf numFmtId="0" fontId="303" fillId="35" borderId="0" xfId="6846" applyFont="1" applyFill="1" applyAlignment="1">
      <alignment vertical="center"/>
    </xf>
    <xf numFmtId="0" fontId="289" fillId="35" borderId="0" xfId="6846" applyFont="1" applyFill="1" applyAlignment="1">
      <alignment vertical="center"/>
    </xf>
    <xf numFmtId="0" fontId="281" fillId="35" borderId="0" xfId="6846" applyFont="1" applyFill="1" applyAlignment="1">
      <alignment vertical="center"/>
    </xf>
    <xf numFmtId="0" fontId="244" fillId="35" borderId="0" xfId="6846" applyFont="1" applyFill="1" applyBorder="1" applyAlignment="1">
      <alignment vertical="center"/>
    </xf>
    <xf numFmtId="0" fontId="40" fillId="35" borderId="0" xfId="6846" applyFont="1" applyFill="1"/>
    <xf numFmtId="234" fontId="40" fillId="35" borderId="0" xfId="6846" applyNumberFormat="1" applyFont="1" applyFill="1"/>
    <xf numFmtId="0" fontId="40" fillId="0" borderId="0" xfId="6846" applyFont="1"/>
    <xf numFmtId="0" fontId="7" fillId="0" borderId="0" xfId="6846" applyFont="1"/>
    <xf numFmtId="0" fontId="244" fillId="35" borderId="0" xfId="6846" applyFont="1" applyFill="1" applyBorder="1"/>
    <xf numFmtId="234" fontId="270" fillId="35" borderId="0" xfId="6846" applyNumberFormat="1" applyFont="1" applyFill="1" applyBorder="1" applyAlignment="1">
      <alignment vertical="center"/>
    </xf>
    <xf numFmtId="0" fontId="281" fillId="35" borderId="0" xfId="6846" applyFont="1" applyFill="1" applyBorder="1"/>
    <xf numFmtId="0" fontId="251" fillId="35" borderId="0" xfId="7886" applyFont="1" applyFill="1" applyBorder="1" applyAlignment="1">
      <alignment vertical="center"/>
    </xf>
    <xf numFmtId="0" fontId="102" fillId="35" borderId="0" xfId="6846" applyFont="1" applyFill="1" applyBorder="1" applyAlignment="1">
      <alignment vertical="center"/>
    </xf>
    <xf numFmtId="0" fontId="306" fillId="35" borderId="0" xfId="6846" applyFont="1" applyFill="1" applyBorder="1" applyAlignment="1">
      <alignment vertical="center"/>
    </xf>
    <xf numFmtId="0" fontId="16" fillId="35" borderId="0" xfId="6846" applyFont="1" applyFill="1" applyAlignment="1">
      <alignment vertical="center"/>
    </xf>
    <xf numFmtId="234" fontId="102" fillId="35" borderId="0" xfId="6846" applyNumberFormat="1" applyFont="1" applyFill="1" applyBorder="1" applyAlignment="1">
      <alignment vertical="center"/>
    </xf>
    <xf numFmtId="0" fontId="14" fillId="132" borderId="0" xfId="6846" applyFont="1" applyFill="1" applyBorder="1" applyAlignment="1">
      <alignment horizontal="center" vertical="center"/>
    </xf>
    <xf numFmtId="0" fontId="243" fillId="35" borderId="0" xfId="6846" applyFont="1" applyFill="1" applyBorder="1" applyAlignment="1">
      <alignment vertical="center"/>
    </xf>
    <xf numFmtId="0" fontId="16" fillId="35" borderId="0" xfId="6846" applyFont="1" applyFill="1" applyBorder="1" applyAlignment="1">
      <alignment vertical="center"/>
    </xf>
    <xf numFmtId="0" fontId="19" fillId="35" borderId="0" xfId="6846" applyFont="1" applyFill="1" applyBorder="1" applyAlignment="1">
      <alignment horizontal="right" vertical="center"/>
    </xf>
    <xf numFmtId="0" fontId="151" fillId="127" borderId="181" xfId="6846" applyFont="1" applyFill="1" applyBorder="1" applyAlignment="1">
      <alignment horizontal="center" vertical="center"/>
    </xf>
    <xf numFmtId="17" fontId="151" fillId="127" borderId="180" xfId="6846" applyNumberFormat="1" applyFont="1" applyFill="1" applyBorder="1" applyAlignment="1">
      <alignment horizontal="center" vertical="center"/>
    </xf>
    <xf numFmtId="17" fontId="151" fillId="127" borderId="196" xfId="6846" applyNumberFormat="1" applyFont="1" applyFill="1" applyBorder="1" applyAlignment="1">
      <alignment horizontal="center" vertical="center"/>
    </xf>
    <xf numFmtId="17" fontId="151" fillId="127" borderId="179" xfId="6846" applyNumberFormat="1" applyFont="1" applyFill="1" applyBorder="1" applyAlignment="1">
      <alignment horizontal="center" vertical="center"/>
    </xf>
    <xf numFmtId="17" fontId="151" fillId="127" borderId="179" xfId="6846" quotePrefix="1" applyNumberFormat="1" applyFont="1" applyFill="1" applyBorder="1" applyAlignment="1">
      <alignment horizontal="center" vertical="center"/>
    </xf>
    <xf numFmtId="0" fontId="16" fillId="127" borderId="188" xfId="6846" applyFont="1" applyFill="1" applyBorder="1" applyAlignment="1">
      <alignment vertical="center"/>
    </xf>
    <xf numFmtId="0" fontId="102" fillId="35" borderId="195" xfId="6846" applyFont="1" applyFill="1" applyBorder="1" applyAlignment="1">
      <alignment vertical="center"/>
    </xf>
    <xf numFmtId="0" fontId="102" fillId="35" borderId="189" xfId="6846" applyFont="1" applyFill="1" applyBorder="1" applyAlignment="1">
      <alignment vertical="center"/>
    </xf>
    <xf numFmtId="0" fontId="151" fillId="127" borderId="188" xfId="6846" applyFont="1" applyFill="1" applyBorder="1" applyAlignment="1">
      <alignment vertical="center"/>
    </xf>
    <xf numFmtId="234" fontId="151" fillId="35" borderId="195" xfId="6846" applyNumberFormat="1" applyFont="1" applyFill="1" applyBorder="1" applyAlignment="1">
      <alignment vertical="center"/>
    </xf>
    <xf numFmtId="234" fontId="151" fillId="35" borderId="0" xfId="6846" applyNumberFormat="1" applyFont="1" applyFill="1" applyBorder="1" applyAlignment="1">
      <alignment vertical="center"/>
    </xf>
    <xf numFmtId="234" fontId="151" fillId="35" borderId="189" xfId="6846" applyNumberFormat="1" applyFont="1" applyFill="1" applyBorder="1" applyAlignment="1">
      <alignment vertical="center"/>
    </xf>
    <xf numFmtId="0" fontId="36" fillId="127" borderId="188" xfId="6846" applyFont="1" applyFill="1" applyBorder="1" applyAlignment="1">
      <alignment vertical="center"/>
    </xf>
    <xf numFmtId="234" fontId="36" fillId="35" borderId="195" xfId="6846" applyNumberFormat="1" applyFont="1" applyFill="1" applyBorder="1" applyAlignment="1">
      <alignment vertical="center"/>
    </xf>
    <xf numFmtId="234" fontId="36" fillId="35" borderId="0" xfId="6846" applyNumberFormat="1" applyFont="1" applyFill="1" applyBorder="1" applyAlignment="1">
      <alignment vertical="center"/>
    </xf>
    <xf numFmtId="234" fontId="36" fillId="35" borderId="189" xfId="6846" applyNumberFormat="1" applyFont="1" applyFill="1" applyBorder="1" applyAlignment="1">
      <alignment vertical="center"/>
    </xf>
    <xf numFmtId="234" fontId="151" fillId="0" borderId="195" xfId="6846" applyNumberFormat="1" applyFont="1" applyFill="1" applyBorder="1" applyAlignment="1">
      <alignment vertical="center"/>
    </xf>
    <xf numFmtId="234" fontId="151" fillId="0" borderId="0" xfId="6846" applyNumberFormat="1" applyFont="1" applyFill="1" applyBorder="1" applyAlignment="1">
      <alignment vertical="center"/>
    </xf>
    <xf numFmtId="234" fontId="151" fillId="0" borderId="189" xfId="6846" applyNumberFormat="1" applyFont="1" applyFill="1" applyBorder="1" applyAlignment="1">
      <alignment vertical="center"/>
    </xf>
    <xf numFmtId="0" fontId="40" fillId="127" borderId="194" xfId="6846" applyFont="1" applyFill="1" applyBorder="1" applyAlignment="1">
      <alignment vertical="center"/>
    </xf>
    <xf numFmtId="0" fontId="283" fillId="35" borderId="193" xfId="6846" applyFont="1" applyFill="1" applyBorder="1" applyAlignment="1">
      <alignment vertical="center"/>
    </xf>
    <xf numFmtId="0" fontId="283" fillId="35" borderId="51" xfId="6846" applyFont="1" applyFill="1" applyBorder="1" applyAlignment="1">
      <alignment vertical="center"/>
    </xf>
    <xf numFmtId="0" fontId="283" fillId="35" borderId="192" xfId="6846" applyFont="1" applyFill="1" applyBorder="1" applyAlignment="1">
      <alignment vertical="center"/>
    </xf>
    <xf numFmtId="0" fontId="308" fillId="35" borderId="0" xfId="6846" applyFont="1" applyFill="1" applyAlignment="1">
      <alignment vertical="center"/>
    </xf>
    <xf numFmtId="0" fontId="281" fillId="35" borderId="0" xfId="6846" applyFont="1" applyFill="1" applyBorder="1" applyAlignment="1"/>
    <xf numFmtId="234" fontId="283" fillId="35" borderId="0" xfId="6846" applyNumberFormat="1" applyFont="1" applyFill="1"/>
    <xf numFmtId="0" fontId="283" fillId="35" borderId="0" xfId="6846" applyFont="1" applyFill="1"/>
    <xf numFmtId="234" fontId="283" fillId="35" borderId="0" xfId="6846" applyNumberFormat="1" applyFont="1" applyFill="1" applyBorder="1" applyAlignment="1">
      <alignment vertical="center"/>
    </xf>
    <xf numFmtId="257" fontId="102" fillId="35" borderId="0" xfId="6846" applyNumberFormat="1" applyFont="1" applyFill="1" applyBorder="1" applyAlignment="1">
      <alignment vertical="center"/>
    </xf>
    <xf numFmtId="0" fontId="295" fillId="35" borderId="0" xfId="6827" applyFont="1" applyFill="1" applyAlignment="1">
      <alignment vertical="center"/>
    </xf>
    <xf numFmtId="0" fontId="11" fillId="35" borderId="0" xfId="6827" applyFont="1" applyFill="1" applyAlignment="1">
      <alignment vertical="center"/>
    </xf>
    <xf numFmtId="0" fontId="310" fillId="35" borderId="0" xfId="6827" applyFont="1" applyFill="1" applyBorder="1" applyAlignment="1">
      <alignment vertical="center"/>
    </xf>
    <xf numFmtId="0" fontId="7" fillId="35" borderId="0" xfId="6827" applyFont="1" applyFill="1" applyAlignment="1">
      <alignment vertical="center"/>
    </xf>
    <xf numFmtId="0" fontId="38" fillId="35" borderId="0" xfId="6827" applyFont="1" applyFill="1" applyAlignment="1">
      <alignment vertical="center"/>
    </xf>
    <xf numFmtId="0" fontId="38" fillId="35" borderId="0" xfId="6827" applyFont="1" applyFill="1" applyAlignment="1">
      <alignment horizontal="right" vertical="center"/>
    </xf>
    <xf numFmtId="0" fontId="19" fillId="35" borderId="0" xfId="6827" applyFont="1" applyFill="1" applyAlignment="1">
      <alignment horizontal="center" vertical="center"/>
    </xf>
    <xf numFmtId="0" fontId="38" fillId="35" borderId="0" xfId="6827" applyFont="1" applyFill="1" applyAlignment="1">
      <alignment horizontal="center" vertical="center"/>
    </xf>
    <xf numFmtId="0" fontId="240" fillId="35" borderId="0" xfId="6827" applyFont="1" applyFill="1" applyAlignment="1">
      <alignment horizontal="right" vertical="center"/>
    </xf>
    <xf numFmtId="172" fontId="271" fillId="3" borderId="205" xfId="6827" applyNumberFormat="1" applyFont="1" applyFill="1" applyBorder="1" applyAlignment="1">
      <alignment horizontal="center" vertical="center"/>
    </xf>
    <xf numFmtId="172" fontId="271" fillId="134" borderId="206" xfId="6827" applyNumberFormat="1" applyFont="1" applyFill="1" applyBorder="1" applyAlignment="1">
      <alignment horizontal="center" vertical="center"/>
    </xf>
    <xf numFmtId="172" fontId="271" fillId="134" borderId="207" xfId="6827" applyNumberFormat="1" applyFont="1" applyFill="1" applyBorder="1" applyAlignment="1">
      <alignment horizontal="center" vertical="center"/>
    </xf>
    <xf numFmtId="172" fontId="271" fillId="3" borderId="206" xfId="6827" applyNumberFormat="1" applyFont="1" applyFill="1" applyBorder="1" applyAlignment="1">
      <alignment horizontal="center" vertical="center"/>
    </xf>
    <xf numFmtId="172" fontId="37" fillId="35" borderId="0" xfId="6827" applyNumberFormat="1" applyFont="1" applyFill="1" applyAlignment="1">
      <alignment horizontal="center" vertical="center"/>
    </xf>
    <xf numFmtId="0" fontId="271" fillId="3" borderId="208" xfId="6827" applyFont="1" applyFill="1" applyBorder="1" applyAlignment="1">
      <alignment horizontal="center" vertical="center"/>
    </xf>
    <xf numFmtId="0" fontId="7" fillId="134" borderId="209" xfId="6827" applyFont="1" applyFill="1" applyBorder="1" applyAlignment="1">
      <alignment vertical="center"/>
    </xf>
    <xf numFmtId="0" fontId="7" fillId="3" borderId="209" xfId="6827" applyFont="1" applyFill="1" applyBorder="1" applyAlignment="1">
      <alignment vertical="center"/>
    </xf>
    <xf numFmtId="0" fontId="7" fillId="3" borderId="210" xfId="6827" applyFont="1" applyFill="1" applyBorder="1" applyAlignment="1">
      <alignment vertical="center"/>
    </xf>
    <xf numFmtId="0" fontId="7" fillId="35" borderId="211" xfId="6827" applyFont="1" applyFill="1" applyBorder="1" applyAlignment="1">
      <alignment vertical="center"/>
    </xf>
    <xf numFmtId="0" fontId="311" fillId="3" borderId="210" xfId="6827" applyFont="1" applyFill="1" applyBorder="1" applyAlignment="1">
      <alignment vertical="center"/>
    </xf>
    <xf numFmtId="3" fontId="7" fillId="35" borderId="211" xfId="6827" applyNumberFormat="1" applyFont="1" applyFill="1" applyBorder="1" applyAlignment="1">
      <alignment vertical="center"/>
    </xf>
    <xf numFmtId="3" fontId="6" fillId="35" borderId="211" xfId="6827" applyNumberFormat="1" applyFont="1" applyFill="1" applyBorder="1" applyAlignment="1">
      <alignment vertical="center"/>
    </xf>
    <xf numFmtId="3" fontId="311" fillId="35" borderId="211" xfId="6827" applyNumberFormat="1" applyFont="1" applyFill="1" applyBorder="1" applyAlignment="1">
      <alignment vertical="center"/>
    </xf>
    <xf numFmtId="3" fontId="7" fillId="35" borderId="0" xfId="6827" applyNumberFormat="1" applyFont="1" applyFill="1" applyAlignment="1">
      <alignment vertical="center"/>
    </xf>
    <xf numFmtId="0" fontId="312" fillId="3" borderId="210" xfId="6827" applyFont="1" applyFill="1" applyBorder="1" applyAlignment="1">
      <alignment vertical="center"/>
    </xf>
    <xf numFmtId="3" fontId="38" fillId="35" borderId="211" xfId="6827" applyNumberFormat="1" applyFont="1" applyFill="1" applyBorder="1" applyAlignment="1">
      <alignment vertical="center"/>
    </xf>
    <xf numFmtId="3" fontId="153" fillId="35" borderId="211" xfId="6827" applyNumberFormat="1" applyFont="1" applyFill="1" applyBorder="1" applyAlignment="1">
      <alignment vertical="center"/>
    </xf>
    <xf numFmtId="3" fontId="312" fillId="35" borderId="211" xfId="6827" applyNumberFormat="1" applyFont="1" applyFill="1" applyBorder="1" applyAlignment="1">
      <alignment vertical="center"/>
    </xf>
    <xf numFmtId="0" fontId="271" fillId="3" borderId="210" xfId="6827" applyFont="1" applyFill="1" applyBorder="1" applyAlignment="1">
      <alignment vertical="center"/>
    </xf>
    <xf numFmtId="3" fontId="37" fillId="35" borderId="211" xfId="6827" applyNumberFormat="1" applyFont="1" applyFill="1" applyBorder="1" applyAlignment="1">
      <alignment vertical="center"/>
    </xf>
    <xf numFmtId="3" fontId="84" fillId="35" borderId="211" xfId="6827" applyNumberFormat="1" applyFont="1" applyFill="1" applyBorder="1" applyAlignment="1">
      <alignment vertical="center"/>
    </xf>
    <xf numFmtId="3" fontId="271" fillId="35" borderId="211" xfId="6827" applyNumberFormat="1" applyFont="1" applyFill="1" applyBorder="1" applyAlignment="1">
      <alignment vertical="center"/>
    </xf>
    <xf numFmtId="0" fontId="37" fillId="35" borderId="0" xfId="6827" applyFont="1" applyFill="1" applyAlignment="1">
      <alignment vertical="center"/>
    </xf>
    <xf numFmtId="0" fontId="6" fillId="3" borderId="210" xfId="6827" applyFont="1" applyFill="1" applyBorder="1" applyAlignment="1">
      <alignment vertical="center"/>
    </xf>
    <xf numFmtId="3" fontId="7" fillId="35" borderId="209" xfId="6827" applyNumberFormat="1" applyFont="1" applyFill="1" applyBorder="1" applyAlignment="1">
      <alignment vertical="center"/>
    </xf>
    <xf numFmtId="3" fontId="6" fillId="35" borderId="209" xfId="6827" applyNumberFormat="1" applyFont="1" applyFill="1" applyBorder="1" applyAlignment="1">
      <alignment vertical="center"/>
    </xf>
    <xf numFmtId="3" fontId="311" fillId="35" borderId="209" xfId="6827" applyNumberFormat="1" applyFont="1" applyFill="1" applyBorder="1" applyAlignment="1">
      <alignment vertical="center"/>
    </xf>
    <xf numFmtId="0" fontId="7" fillId="3" borderId="212" xfId="6827" applyFont="1" applyFill="1" applyBorder="1" applyAlignment="1">
      <alignment vertical="center"/>
    </xf>
    <xf numFmtId="0" fontId="7" fillId="35" borderId="213" xfId="6827" applyFont="1" applyFill="1" applyBorder="1" applyAlignment="1">
      <alignment vertical="center"/>
    </xf>
    <xf numFmtId="0" fontId="244" fillId="35" borderId="0" xfId="6827" applyFont="1" applyFill="1" applyAlignment="1">
      <alignment vertical="center"/>
    </xf>
    <xf numFmtId="3" fontId="40" fillId="35" borderId="0" xfId="6827" applyNumberFormat="1" applyFont="1" applyFill="1" applyAlignment="1">
      <alignment vertical="center"/>
    </xf>
    <xf numFmtId="0" fontId="40" fillId="35" borderId="0" xfId="6827" applyFont="1" applyFill="1" applyAlignment="1">
      <alignment vertical="center"/>
    </xf>
    <xf numFmtId="0" fontId="281" fillId="35" borderId="0" xfId="6827" applyFont="1" applyFill="1" applyBorder="1" applyAlignment="1"/>
    <xf numFmtId="234" fontId="283" fillId="35" borderId="0" xfId="6827" applyNumberFormat="1" applyFont="1" applyFill="1"/>
    <xf numFmtId="0" fontId="283" fillId="35" borderId="0" xfId="6827" applyFont="1" applyFill="1"/>
    <xf numFmtId="172" fontId="84" fillId="3" borderId="205" xfId="6827" applyNumberFormat="1" applyFont="1" applyFill="1" applyBorder="1" applyAlignment="1">
      <alignment horizontal="center" vertical="center"/>
    </xf>
    <xf numFmtId="172" fontId="84" fillId="3" borderId="207" xfId="6827" applyNumberFormat="1" applyFont="1" applyFill="1" applyBorder="1" applyAlignment="1">
      <alignment horizontal="center" vertical="center"/>
    </xf>
    <xf numFmtId="172" fontId="84" fillId="3" borderId="214" xfId="6827" applyNumberFormat="1" applyFont="1" applyFill="1" applyBorder="1" applyAlignment="1">
      <alignment horizontal="center" vertical="center"/>
    </xf>
    <xf numFmtId="172" fontId="84" fillId="3" borderId="215" xfId="6827" applyNumberFormat="1" applyFont="1" applyFill="1" applyBorder="1" applyAlignment="1">
      <alignment horizontal="center" vertical="center"/>
    </xf>
    <xf numFmtId="0" fontId="7" fillId="35" borderId="216" xfId="6827" applyFont="1" applyFill="1" applyBorder="1" applyAlignment="1">
      <alignment vertical="center"/>
    </xf>
    <xf numFmtId="3" fontId="7" fillId="35" borderId="217" xfId="6827" applyNumberFormat="1" applyFont="1" applyFill="1" applyBorder="1" applyAlignment="1">
      <alignment vertical="center"/>
    </xf>
    <xf numFmtId="3" fontId="7" fillId="35" borderId="211" xfId="6827" applyNumberFormat="1" applyFont="1" applyFill="1" applyBorder="1" applyAlignment="1">
      <alignment horizontal="right" vertical="center"/>
    </xf>
    <xf numFmtId="3" fontId="149" fillId="35" borderId="211" xfId="6827" applyNumberFormat="1" applyFont="1" applyFill="1" applyBorder="1" applyAlignment="1">
      <alignment vertical="center"/>
    </xf>
    <xf numFmtId="3" fontId="152" fillId="35" borderId="211" xfId="6827" applyNumberFormat="1" applyFont="1" applyFill="1" applyBorder="1" applyAlignment="1">
      <alignment vertical="center"/>
    </xf>
    <xf numFmtId="3" fontId="313" fillId="35" borderId="211" xfId="6827" applyNumberFormat="1" applyFont="1" applyFill="1" applyBorder="1" applyAlignment="1">
      <alignment vertical="center"/>
    </xf>
    <xf numFmtId="0" fontId="149" fillId="35" borderId="0" xfId="6827" applyFont="1" applyFill="1" applyAlignment="1">
      <alignment vertical="center"/>
    </xf>
    <xf numFmtId="3" fontId="311" fillId="0" borderId="211" xfId="6827" applyNumberFormat="1" applyFont="1" applyFill="1" applyBorder="1" applyAlignment="1">
      <alignment vertical="center"/>
    </xf>
    <xf numFmtId="3" fontId="149" fillId="35" borderId="0" xfId="6827" applyNumberFormat="1" applyFont="1" applyFill="1" applyAlignment="1">
      <alignment vertical="center"/>
    </xf>
    <xf numFmtId="0" fontId="313" fillId="3" borderId="210" xfId="6827" applyFont="1" applyFill="1" applyBorder="1" applyAlignment="1">
      <alignment vertical="center"/>
    </xf>
    <xf numFmtId="0" fontId="6" fillId="35" borderId="211" xfId="6827" applyFont="1" applyFill="1" applyBorder="1" applyAlignment="1">
      <alignment vertical="center"/>
    </xf>
    <xf numFmtId="0" fontId="7" fillId="35" borderId="218" xfId="6827" applyFont="1" applyFill="1" applyBorder="1" applyAlignment="1">
      <alignment vertical="center"/>
    </xf>
    <xf numFmtId="0" fontId="308" fillId="35" borderId="0" xfId="6827" applyFont="1" applyFill="1" applyBorder="1"/>
    <xf numFmtId="0" fontId="9" fillId="35" borderId="0" xfId="7105" applyFont="1" applyFill="1" applyAlignment="1">
      <alignment vertical="center"/>
    </xf>
    <xf numFmtId="0" fontId="39" fillId="35" borderId="0" xfId="7105" applyFont="1" applyFill="1" applyAlignment="1">
      <alignment vertical="center"/>
    </xf>
    <xf numFmtId="0" fontId="39" fillId="35" borderId="0" xfId="7105" applyFont="1" applyFill="1" applyBorder="1" applyAlignment="1">
      <alignment vertical="center"/>
    </xf>
    <xf numFmtId="0" fontId="39" fillId="35" borderId="219" xfId="7105" applyFont="1" applyFill="1" applyBorder="1" applyAlignment="1">
      <alignment vertical="center"/>
    </xf>
    <xf numFmtId="0" fontId="40" fillId="35" borderId="0" xfId="7105" applyFont="1" applyFill="1" applyAlignment="1">
      <alignment horizontal="centerContinuous" vertical="center"/>
    </xf>
    <xf numFmtId="0" fontId="40" fillId="35" borderId="0" xfId="7105" applyFont="1" applyFill="1" applyAlignment="1">
      <alignment vertical="center"/>
    </xf>
    <xf numFmtId="0" fontId="314" fillId="35" borderId="0" xfId="7105" applyFont="1" applyFill="1" applyBorder="1" applyAlignment="1">
      <alignment vertical="center"/>
    </xf>
    <xf numFmtId="0" fontId="244" fillId="35" borderId="0" xfId="7105" applyFont="1" applyFill="1" applyAlignment="1">
      <alignment horizontal="centerContinuous" vertical="center"/>
    </xf>
    <xf numFmtId="0" fontId="5" fillId="0" borderId="0" xfId="6830"/>
    <xf numFmtId="0" fontId="37" fillId="129" borderId="221" xfId="7105" applyFont="1" applyFill="1" applyBorder="1" applyAlignment="1">
      <alignment horizontal="center" vertical="center"/>
    </xf>
    <xf numFmtId="0" fontId="37" fillId="129" borderId="222" xfId="7105" applyFont="1" applyFill="1" applyBorder="1" applyAlignment="1">
      <alignment horizontal="center" vertical="center"/>
    </xf>
    <xf numFmtId="3" fontId="40" fillId="35" borderId="0" xfId="7105" applyNumberFormat="1" applyFont="1" applyFill="1" applyBorder="1" applyAlignment="1">
      <alignment vertical="center"/>
    </xf>
    <xf numFmtId="0" fontId="40" fillId="129" borderId="223" xfId="7105" applyFont="1" applyFill="1" applyBorder="1" applyAlignment="1">
      <alignment vertical="center"/>
    </xf>
    <xf numFmtId="0" fontId="39" fillId="129" borderId="142" xfId="7105" applyFont="1" applyFill="1" applyBorder="1" applyAlignment="1">
      <alignment vertical="center"/>
    </xf>
    <xf numFmtId="15" fontId="37" fillId="123" borderId="24" xfId="7105" applyNumberFormat="1" applyFont="1" applyFill="1" applyBorder="1" applyAlignment="1">
      <alignment horizontal="center" vertical="center"/>
    </xf>
    <xf numFmtId="17" fontId="37" fillId="123" borderId="222" xfId="7105" applyNumberFormat="1" applyFont="1" applyFill="1" applyBorder="1" applyAlignment="1">
      <alignment horizontal="center" vertical="center"/>
    </xf>
    <xf numFmtId="0" fontId="40" fillId="35" borderId="0" xfId="7105" applyFont="1" applyFill="1" applyBorder="1" applyAlignment="1">
      <alignment vertical="center"/>
    </xf>
    <xf numFmtId="0" fontId="40" fillId="129" borderId="47" xfId="7105" applyFont="1" applyFill="1" applyBorder="1" applyAlignment="1">
      <alignment vertical="center"/>
    </xf>
    <xf numFmtId="0" fontId="39" fillId="129" borderId="0" xfId="7105" applyFont="1" applyFill="1" applyBorder="1" applyAlignment="1">
      <alignment vertical="center"/>
    </xf>
    <xf numFmtId="15" fontId="39" fillId="35" borderId="107" xfId="7105" applyNumberFormat="1" applyFont="1" applyFill="1" applyBorder="1" applyAlignment="1">
      <alignment horizontal="center" vertical="center"/>
    </xf>
    <xf numFmtId="15" fontId="39" fillId="35" borderId="220" xfId="7105" applyNumberFormat="1" applyFont="1" applyFill="1" applyBorder="1" applyAlignment="1">
      <alignment horizontal="center" vertical="center"/>
    </xf>
    <xf numFmtId="3" fontId="40" fillId="35" borderId="220" xfId="7105" applyNumberFormat="1" applyFont="1" applyFill="1" applyBorder="1" applyAlignment="1">
      <alignment vertical="center"/>
    </xf>
    <xf numFmtId="3" fontId="40" fillId="35" borderId="47" xfId="7105" applyNumberFormat="1" applyFont="1" applyFill="1" applyBorder="1" applyAlignment="1">
      <alignment vertical="center"/>
    </xf>
    <xf numFmtId="3" fontId="40" fillId="35" borderId="224" xfId="7105" applyNumberFormat="1" applyFont="1" applyFill="1" applyBorder="1" applyAlignment="1">
      <alignment vertical="center"/>
    </xf>
    <xf numFmtId="271" fontId="39" fillId="129" borderId="47" xfId="7105" applyNumberFormat="1" applyFont="1" applyFill="1" applyBorder="1" applyAlignment="1">
      <alignment horizontal="center" vertical="center"/>
    </xf>
    <xf numFmtId="1" fontId="39" fillId="129" borderId="0" xfId="7105" applyNumberFormat="1" applyFont="1" applyFill="1" applyBorder="1" applyAlignment="1">
      <alignment vertical="center"/>
    </xf>
    <xf numFmtId="3" fontId="6" fillId="35" borderId="47" xfId="7105" applyNumberFormat="1" applyFont="1" applyFill="1" applyBorder="1" applyAlignment="1">
      <alignment vertical="center"/>
    </xf>
    <xf numFmtId="3" fontId="6" fillId="35" borderId="27" xfId="7105" applyNumberFormat="1" applyFont="1" applyFill="1" applyBorder="1" applyAlignment="1">
      <alignment horizontal="right" vertical="center"/>
    </xf>
    <xf numFmtId="3" fontId="6" fillId="35" borderId="224" xfId="7105" applyNumberFormat="1" applyFont="1" applyFill="1" applyBorder="1" applyAlignment="1">
      <alignment horizontal="right" vertical="center"/>
    </xf>
    <xf numFmtId="3" fontId="40" fillId="35" borderId="0" xfId="7105" applyNumberFormat="1" applyFont="1" applyFill="1" applyBorder="1" applyAlignment="1">
      <alignment horizontal="right" vertical="center"/>
    </xf>
    <xf numFmtId="272" fontId="39" fillId="129" borderId="0" xfId="7105" applyNumberFormat="1" applyFont="1" applyFill="1" applyBorder="1" applyAlignment="1">
      <alignment vertical="center"/>
    </xf>
    <xf numFmtId="273" fontId="40" fillId="35" borderId="0" xfId="7105" applyNumberFormat="1" applyFont="1" applyFill="1" applyBorder="1" applyAlignment="1">
      <alignment horizontal="right" vertical="center"/>
    </xf>
    <xf numFmtId="3" fontId="6" fillId="35" borderId="224" xfId="7105" applyNumberFormat="1" applyFont="1" applyFill="1" applyBorder="1" applyAlignment="1">
      <alignment vertical="center"/>
    </xf>
    <xf numFmtId="273" fontId="6" fillId="35" borderId="47" xfId="7105" applyNumberFormat="1" applyFont="1" applyFill="1" applyBorder="1" applyAlignment="1">
      <alignment horizontal="right" vertical="center"/>
    </xf>
    <xf numFmtId="271" fontId="39" fillId="129" borderId="223" xfId="7105" applyNumberFormat="1" applyFont="1" applyFill="1" applyBorder="1" applyAlignment="1">
      <alignment horizontal="center" vertical="center"/>
    </xf>
    <xf numFmtId="1" fontId="40" fillId="129" borderId="35" xfId="7105" applyNumberFormat="1" applyFont="1" applyFill="1" applyBorder="1" applyAlignment="1">
      <alignment vertical="center"/>
    </xf>
    <xf numFmtId="3" fontId="40" fillId="35" borderId="28" xfId="7105" applyNumberFormat="1" applyFont="1" applyFill="1" applyBorder="1" applyAlignment="1">
      <alignment horizontal="right" vertical="center"/>
    </xf>
    <xf numFmtId="3" fontId="40" fillId="35" borderId="223" xfId="7105" applyNumberFormat="1" applyFont="1" applyFill="1" applyBorder="1" applyAlignment="1">
      <alignment horizontal="right" vertical="center"/>
    </xf>
    <xf numFmtId="3" fontId="40" fillId="35" borderId="225" xfId="7105" applyNumberFormat="1" applyFont="1" applyFill="1" applyBorder="1" applyAlignment="1">
      <alignment horizontal="right" vertical="center"/>
    </xf>
    <xf numFmtId="3" fontId="315" fillId="35" borderId="0" xfId="7105" applyNumberFormat="1" applyFont="1" applyFill="1" applyBorder="1" applyAlignment="1">
      <alignment horizontal="right" vertical="center"/>
    </xf>
    <xf numFmtId="0" fontId="244" fillId="35" borderId="0" xfId="7105" applyFont="1" applyFill="1" applyAlignment="1">
      <alignment vertical="center"/>
    </xf>
    <xf numFmtId="3" fontId="40" fillId="35" borderId="172" xfId="7105" applyNumberFormat="1" applyFont="1" applyFill="1" applyBorder="1" applyAlignment="1">
      <alignment vertical="center"/>
    </xf>
    <xf numFmtId="0" fontId="40" fillId="35" borderId="0" xfId="7105" applyFont="1" applyFill="1" applyAlignment="1">
      <alignment horizontal="right" vertical="center"/>
    </xf>
    <xf numFmtId="0" fontId="244" fillId="35" borderId="0" xfId="7105" applyFont="1" applyFill="1" applyBorder="1" applyAlignment="1">
      <alignment vertical="center"/>
    </xf>
    <xf numFmtId="0" fontId="40" fillId="125" borderId="220" xfId="7105" applyFont="1" applyFill="1" applyBorder="1" applyAlignment="1">
      <alignment horizontal="right" vertical="center"/>
    </xf>
    <xf numFmtId="0" fontId="40" fillId="125" borderId="172" xfId="7105" applyFont="1" applyFill="1" applyBorder="1" applyAlignment="1">
      <alignment horizontal="right" vertical="center"/>
    </xf>
    <xf numFmtId="17" fontId="37" fillId="125" borderId="25" xfId="7105" applyNumberFormat="1" applyFont="1" applyFill="1" applyBorder="1" applyAlignment="1">
      <alignment horizontal="center" vertical="center"/>
    </xf>
    <xf numFmtId="0" fontId="244" fillId="125" borderId="226" xfId="7105" applyFont="1" applyFill="1" applyBorder="1" applyAlignment="1">
      <alignment horizontal="right" vertical="center"/>
    </xf>
    <xf numFmtId="0" fontId="39" fillId="125" borderId="227" xfId="7105" applyFont="1" applyFill="1" applyBorder="1" applyAlignment="1">
      <alignment horizontal="left" vertical="top"/>
    </xf>
    <xf numFmtId="0" fontId="40" fillId="125" borderId="47" xfId="7105" applyFont="1" applyFill="1" applyBorder="1" applyAlignment="1">
      <alignment horizontal="right" vertical="center"/>
    </xf>
    <xf numFmtId="0" fontId="40" fillId="125" borderId="158" xfId="7105" applyFont="1" applyFill="1" applyBorder="1" applyAlignment="1">
      <alignment horizontal="right" vertical="center"/>
    </xf>
    <xf numFmtId="0" fontId="40" fillId="35" borderId="104" xfId="7105" applyFont="1" applyFill="1" applyBorder="1" applyAlignment="1">
      <alignment vertical="center"/>
    </xf>
    <xf numFmtId="271" fontId="39" fillId="125" borderId="47" xfId="7105" applyNumberFormat="1" applyFont="1" applyFill="1" applyBorder="1" applyAlignment="1">
      <alignment horizontal="center" vertical="center"/>
    </xf>
    <xf numFmtId="0" fontId="39" fillId="125" borderId="96" xfId="7105" applyFont="1" applyFill="1" applyBorder="1" applyAlignment="1">
      <alignment vertical="center"/>
    </xf>
    <xf numFmtId="3" fontId="84" fillId="35" borderId="27" xfId="7105" applyNumberFormat="1" applyFont="1" applyFill="1" applyBorder="1" applyAlignment="1">
      <alignment horizontal="right" vertical="center"/>
    </xf>
    <xf numFmtId="0" fontId="40" fillId="125" borderId="47" xfId="7105" applyFont="1" applyFill="1" applyBorder="1" applyAlignment="1">
      <alignment vertical="center"/>
    </xf>
    <xf numFmtId="0" fontId="6" fillId="35" borderId="27" xfId="7105" applyFont="1" applyFill="1" applyBorder="1" applyAlignment="1">
      <alignment horizontal="right" vertical="center"/>
    </xf>
    <xf numFmtId="38" fontId="84" fillId="35" borderId="27" xfId="7105" applyNumberFormat="1" applyFont="1" applyFill="1" applyBorder="1" applyAlignment="1">
      <alignment vertical="center"/>
    </xf>
    <xf numFmtId="0" fontId="39" fillId="125" borderId="96" xfId="7105" quotePrefix="1" applyFont="1" applyFill="1" applyBorder="1" applyAlignment="1">
      <alignment horizontal="left" vertical="center"/>
    </xf>
    <xf numFmtId="167" fontId="6" fillId="35" borderId="27" xfId="7105" applyNumberFormat="1" applyFont="1" applyFill="1" applyBorder="1" applyAlignment="1">
      <alignment horizontal="right" vertical="center"/>
    </xf>
    <xf numFmtId="38" fontId="84" fillId="35" borderId="27" xfId="7105" applyNumberFormat="1" applyFont="1" applyFill="1" applyBorder="1" applyAlignment="1">
      <alignment horizontal="right" vertical="center"/>
    </xf>
    <xf numFmtId="0" fontId="39" fillId="125" borderId="96" xfId="7105" applyFont="1" applyFill="1" applyBorder="1" applyAlignment="1">
      <alignment horizontal="left" vertical="center"/>
    </xf>
    <xf numFmtId="0" fontId="40" fillId="35" borderId="27" xfId="7105" applyFont="1" applyFill="1" applyBorder="1" applyAlignment="1">
      <alignment vertical="center"/>
    </xf>
    <xf numFmtId="0" fontId="39" fillId="125" borderId="142" xfId="7105" applyFont="1" applyFill="1" applyBorder="1" applyAlignment="1">
      <alignment vertical="center"/>
    </xf>
    <xf numFmtId="0" fontId="244" fillId="125" borderId="24" xfId="7105" applyFont="1" applyFill="1" applyBorder="1" applyAlignment="1">
      <alignment vertical="center"/>
    </xf>
    <xf numFmtId="0" fontId="39" fillId="125" borderId="172" xfId="7105" applyFont="1" applyFill="1" applyBorder="1" applyAlignment="1">
      <alignment vertical="center"/>
    </xf>
    <xf numFmtId="0" fontId="6" fillId="35" borderId="27" xfId="7105" applyFont="1" applyFill="1" applyBorder="1" applyAlignment="1">
      <alignment vertical="center"/>
    </xf>
    <xf numFmtId="0" fontId="39" fillId="125" borderId="0" xfId="7105" quotePrefix="1" applyFont="1" applyFill="1" applyBorder="1" applyAlignment="1">
      <alignment horizontal="left" vertical="center"/>
    </xf>
    <xf numFmtId="2" fontId="6" fillId="35" borderId="27" xfId="7105" applyNumberFormat="1" applyFont="1" applyFill="1" applyBorder="1" applyAlignment="1">
      <alignment horizontal="right" vertical="center"/>
    </xf>
    <xf numFmtId="0" fontId="39" fillId="125" borderId="0" xfId="7105" applyFont="1" applyFill="1" applyBorder="1" applyAlignment="1">
      <alignment vertical="center"/>
    </xf>
    <xf numFmtId="2" fontId="6" fillId="35" borderId="27" xfId="7105" applyNumberFormat="1" applyFont="1" applyFill="1" applyBorder="1" applyAlignment="1">
      <alignment vertical="center"/>
    </xf>
    <xf numFmtId="0" fontId="40" fillId="125" borderId="223" xfId="7105" applyFont="1" applyFill="1" applyBorder="1" applyAlignment="1">
      <alignment vertical="center"/>
    </xf>
    <xf numFmtId="0" fontId="40" fillId="125" borderId="35" xfId="7105" applyFont="1" applyFill="1" applyBorder="1" applyAlignment="1">
      <alignment vertical="center"/>
    </xf>
    <xf numFmtId="0" fontId="40" fillId="35" borderId="142" xfId="7105" applyFont="1" applyFill="1" applyBorder="1" applyAlignment="1">
      <alignment vertical="center"/>
    </xf>
    <xf numFmtId="0" fontId="40" fillId="35" borderId="28" xfId="7105" applyFont="1" applyFill="1" applyBorder="1" applyAlignment="1">
      <alignment vertical="center"/>
    </xf>
    <xf numFmtId="0" fontId="153" fillId="35" borderId="0" xfId="7105" applyFont="1" applyFill="1" applyAlignment="1">
      <alignment vertical="center"/>
    </xf>
    <xf numFmtId="0" fontId="6" fillId="35" borderId="0" xfId="7105" applyFont="1" applyFill="1" applyAlignment="1">
      <alignment vertical="center"/>
    </xf>
    <xf numFmtId="0" fontId="6" fillId="35" borderId="0" xfId="7105" applyFont="1" applyFill="1" applyBorder="1" applyAlignment="1">
      <alignment vertical="center"/>
    </xf>
    <xf numFmtId="0" fontId="6" fillId="35" borderId="172" xfId="7105" applyFont="1" applyFill="1" applyBorder="1" applyAlignment="1">
      <alignment vertical="center"/>
    </xf>
    <xf numFmtId="0" fontId="153" fillId="35" borderId="0" xfId="7105" applyFont="1" applyFill="1" applyBorder="1" applyAlignment="1">
      <alignment vertical="center"/>
    </xf>
    <xf numFmtId="0" fontId="40" fillId="35" borderId="219" xfId="7105" applyFont="1" applyFill="1" applyBorder="1" applyAlignment="1">
      <alignment vertical="center"/>
    </xf>
    <xf numFmtId="0" fontId="9" fillId="35" borderId="0" xfId="7098" applyFont="1" applyFill="1" applyAlignment="1">
      <alignment vertical="top"/>
    </xf>
    <xf numFmtId="0" fontId="40" fillId="35" borderId="0" xfId="7098" applyFont="1" applyFill="1" applyBorder="1" applyAlignment="1">
      <alignment vertical="center"/>
    </xf>
    <xf numFmtId="0" fontId="39" fillId="35" borderId="0" xfId="7098" applyFont="1" applyFill="1" applyBorder="1" applyAlignment="1">
      <alignment vertical="center"/>
    </xf>
    <xf numFmtId="0" fontId="40" fillId="35" borderId="0" xfId="7098" applyFont="1" applyFill="1" applyAlignment="1">
      <alignment vertical="center"/>
    </xf>
    <xf numFmtId="0" fontId="39" fillId="135" borderId="220" xfId="7098" applyFont="1" applyFill="1" applyBorder="1" applyAlignment="1">
      <alignment vertical="center"/>
    </xf>
    <xf numFmtId="0" fontId="39" fillId="135" borderId="161" xfId="7098" applyFont="1" applyFill="1" applyBorder="1" applyAlignment="1">
      <alignment horizontal="center" vertical="center"/>
    </xf>
    <xf numFmtId="0" fontId="39" fillId="135" borderId="223" xfId="7098" applyFont="1" applyFill="1" applyBorder="1" applyAlignment="1">
      <alignment vertical="center"/>
    </xf>
    <xf numFmtId="0" fontId="39" fillId="135" borderId="142" xfId="7098" applyFont="1" applyFill="1" applyBorder="1" applyAlignment="1">
      <alignment vertical="center"/>
    </xf>
    <xf numFmtId="15" fontId="37" fillId="123" borderId="25" xfId="7105" applyNumberFormat="1" applyFont="1" applyFill="1" applyBorder="1" applyAlignment="1">
      <alignment horizontal="center" vertical="center"/>
    </xf>
    <xf numFmtId="0" fontId="39" fillId="128" borderId="47" xfId="7098" applyFont="1" applyFill="1" applyBorder="1" applyAlignment="1">
      <alignment vertical="center"/>
    </xf>
    <xf numFmtId="0" fontId="39" fillId="128" borderId="0" xfId="7098" applyFont="1" applyFill="1" applyBorder="1" applyAlignment="1">
      <alignment vertical="center"/>
    </xf>
    <xf numFmtId="15" fontId="84" fillId="35" borderId="107" xfId="7098" applyNumberFormat="1" applyFont="1" applyFill="1" applyBorder="1" applyAlignment="1">
      <alignment vertical="center"/>
    </xf>
    <xf numFmtId="15" fontId="84" fillId="35" borderId="161" xfId="7098" applyNumberFormat="1" applyFont="1" applyFill="1" applyBorder="1" applyAlignment="1">
      <alignment vertical="center"/>
    </xf>
    <xf numFmtId="271" fontId="39" fillId="135" borderId="47" xfId="7098" applyNumberFormat="1" applyFont="1" applyFill="1" applyBorder="1" applyAlignment="1">
      <alignment horizontal="center" vertical="center"/>
    </xf>
    <xf numFmtId="0" fontId="84" fillId="135" borderId="0" xfId="7098" applyFont="1" applyFill="1" applyBorder="1" applyAlignment="1">
      <alignment vertical="center"/>
    </xf>
    <xf numFmtId="15" fontId="84" fillId="35" borderId="27" xfId="7098" applyNumberFormat="1" applyFont="1" applyFill="1" applyBorder="1" applyAlignment="1">
      <alignment vertical="center"/>
    </xf>
    <xf numFmtId="15" fontId="84" fillId="35" borderId="96" xfId="7098" applyNumberFormat="1" applyFont="1" applyFill="1" applyBorder="1" applyAlignment="1">
      <alignment vertical="center"/>
    </xf>
    <xf numFmtId="0" fontId="39" fillId="135" borderId="47" xfId="7098" applyFont="1" applyFill="1" applyBorder="1" applyAlignment="1">
      <alignment vertical="center"/>
    </xf>
    <xf numFmtId="0" fontId="84" fillId="135" borderId="0" xfId="7098" applyFont="1" applyFill="1" applyBorder="1" applyAlignment="1">
      <alignment horizontal="left" vertical="center"/>
    </xf>
    <xf numFmtId="2" fontId="6" fillId="35" borderId="27" xfId="7098" applyNumberFormat="1" applyFont="1" applyFill="1" applyBorder="1" applyAlignment="1">
      <alignment horizontal="center" vertical="center"/>
    </xf>
    <xf numFmtId="2" fontId="6" fillId="35" borderId="96" xfId="7098" applyNumberFormat="1" applyFont="1" applyFill="1" applyBorder="1" applyAlignment="1">
      <alignment horizontal="center" vertical="center"/>
    </xf>
    <xf numFmtId="0" fontId="39" fillId="135" borderId="223" xfId="7098" applyFont="1" applyFill="1" applyBorder="1" applyAlignment="1">
      <alignment horizontal="center" vertical="center"/>
    </xf>
    <xf numFmtId="0" fontId="39" fillId="135" borderId="35" xfId="7098" applyFont="1" applyFill="1" applyBorder="1" applyAlignment="1">
      <alignment vertical="center"/>
    </xf>
    <xf numFmtId="3" fontId="40" fillId="35" borderId="28" xfId="7098" applyNumberFormat="1" applyFont="1" applyFill="1" applyBorder="1" applyAlignment="1">
      <alignment vertical="center"/>
    </xf>
    <xf numFmtId="3" fontId="40" fillId="35" borderId="142" xfId="7098" applyNumberFormat="1" applyFont="1" applyFill="1" applyBorder="1" applyAlignment="1">
      <alignment vertical="center"/>
    </xf>
    <xf numFmtId="0" fontId="244" fillId="35" borderId="0" xfId="7098" applyFont="1" applyFill="1" applyAlignment="1">
      <alignment vertical="center"/>
    </xf>
    <xf numFmtId="0" fontId="39" fillId="35" borderId="0" xfId="7098" applyFont="1" applyFill="1" applyAlignment="1">
      <alignment vertical="center"/>
    </xf>
    <xf numFmtId="0" fontId="84" fillId="135" borderId="96" xfId="7098" applyFont="1" applyFill="1" applyBorder="1" applyAlignment="1">
      <alignment horizontal="left" vertical="center"/>
    </xf>
    <xf numFmtId="0" fontId="84" fillId="135" borderId="96" xfId="7098" applyFont="1" applyFill="1" applyBorder="1" applyAlignment="1">
      <alignment vertical="center"/>
    </xf>
    <xf numFmtId="0" fontId="40" fillId="135" borderId="223" xfId="7098" applyFont="1" applyFill="1" applyBorder="1" applyAlignment="1">
      <alignment vertical="center"/>
    </xf>
    <xf numFmtId="0" fontId="244" fillId="35" borderId="0" xfId="7098" applyFont="1" applyFill="1" applyAlignment="1">
      <alignment horizontal="left" vertical="center"/>
    </xf>
    <xf numFmtId="0" fontId="153" fillId="35" borderId="0" xfId="7098" applyFont="1" applyFill="1" applyAlignment="1">
      <alignment vertical="center"/>
    </xf>
    <xf numFmtId="0" fontId="153" fillId="35" borderId="0" xfId="7098" applyFont="1" applyFill="1" applyAlignment="1">
      <alignment horizontal="left" vertical="center"/>
    </xf>
    <xf numFmtId="0" fontId="6" fillId="35" borderId="0" xfId="7098" applyFont="1" applyFill="1" applyAlignment="1">
      <alignment horizontal="left" vertical="center"/>
    </xf>
    <xf numFmtId="0" fontId="261" fillId="35" borderId="0" xfId="7098" applyFont="1" applyFill="1" applyAlignment="1">
      <alignment horizontal="left" vertical="center"/>
    </xf>
    <xf numFmtId="0" fontId="40" fillId="133" borderId="220" xfId="7098" applyFont="1" applyFill="1" applyBorder="1" applyAlignment="1">
      <alignment horizontal="right" vertical="center"/>
    </xf>
    <xf numFmtId="0" fontId="40" fillId="133" borderId="161" xfId="7098" applyFont="1" applyFill="1" applyBorder="1" applyAlignment="1">
      <alignment horizontal="right" vertical="center"/>
    </xf>
    <xf numFmtId="0" fontId="40" fillId="137" borderId="26" xfId="7098" applyFont="1" applyFill="1" applyBorder="1" applyAlignment="1">
      <alignment vertical="center"/>
    </xf>
    <xf numFmtId="0" fontId="40" fillId="133" borderId="223" xfId="7098" applyFont="1" applyFill="1" applyBorder="1" applyAlignment="1">
      <alignment horizontal="right" vertical="center"/>
    </xf>
    <xf numFmtId="0" fontId="40" fillId="133" borderId="142" xfId="7098" applyFont="1" applyFill="1" applyBorder="1" applyAlignment="1">
      <alignment horizontal="right" vertical="center"/>
    </xf>
    <xf numFmtId="15" fontId="84" fillId="138" borderId="25" xfId="7098" applyNumberFormat="1" applyFont="1" applyFill="1" applyBorder="1" applyAlignment="1">
      <alignment horizontal="center" vertical="center"/>
    </xf>
    <xf numFmtId="271" fontId="39" fillId="133" borderId="47" xfId="7098" applyNumberFormat="1" applyFont="1" applyFill="1" applyBorder="1" applyAlignment="1">
      <alignment horizontal="center" vertical="center"/>
    </xf>
    <xf numFmtId="0" fontId="39" fillId="133" borderId="96" xfId="7098" applyFont="1" applyFill="1" applyBorder="1" applyAlignment="1">
      <alignment vertical="center"/>
    </xf>
    <xf numFmtId="274" fontId="84" fillId="35" borderId="27" xfId="6218" applyNumberFormat="1" applyFont="1" applyFill="1" applyBorder="1" applyAlignment="1">
      <alignment horizontal="center" vertical="center"/>
    </xf>
    <xf numFmtId="40" fontId="84" fillId="35" borderId="96" xfId="6218" applyNumberFormat="1" applyFont="1" applyFill="1" applyBorder="1" applyAlignment="1">
      <alignment horizontal="center" vertical="center"/>
    </xf>
    <xf numFmtId="0" fontId="39" fillId="133" borderId="96" xfId="7098" applyFont="1" applyFill="1" applyBorder="1" applyAlignment="1">
      <alignment horizontal="left" vertical="center"/>
    </xf>
    <xf numFmtId="40" fontId="84" fillId="35" borderId="27" xfId="6218" applyNumberFormat="1" applyFont="1" applyFill="1" applyBorder="1" applyAlignment="1">
      <alignment horizontal="center" vertical="center"/>
    </xf>
    <xf numFmtId="275" fontId="84" fillId="35" borderId="27" xfId="6218" applyNumberFormat="1" applyFont="1" applyFill="1" applyBorder="1" applyAlignment="1">
      <alignment horizontal="center" vertical="center"/>
    </xf>
    <xf numFmtId="0" fontId="40" fillId="133" borderId="223" xfId="7098" applyFont="1" applyFill="1" applyBorder="1" applyAlignment="1">
      <alignment vertical="center"/>
    </xf>
    <xf numFmtId="0" fontId="39" fillId="133" borderId="142" xfId="7098" applyFont="1" applyFill="1" applyBorder="1" applyAlignment="1">
      <alignment vertical="center"/>
    </xf>
    <xf numFmtId="0" fontId="40" fillId="35" borderId="28" xfId="7098" applyFont="1" applyFill="1" applyBorder="1" applyAlignment="1">
      <alignment vertical="center"/>
    </xf>
    <xf numFmtId="0" fontId="318" fillId="35" borderId="0" xfId="7098" applyFont="1" applyFill="1" applyAlignment="1">
      <alignment horizontal="left" vertical="center"/>
    </xf>
    <xf numFmtId="0" fontId="40" fillId="35" borderId="0" xfId="7098" applyFont="1" applyFill="1" applyAlignment="1">
      <alignment horizontal="left" vertical="center"/>
    </xf>
    <xf numFmtId="0" fontId="6" fillId="35" borderId="0" xfId="7098" applyFont="1" applyFill="1" applyAlignment="1">
      <alignment vertical="center"/>
    </xf>
    <xf numFmtId="0" fontId="262" fillId="35" borderId="0" xfId="7098" applyFont="1" applyFill="1" applyAlignment="1">
      <alignment horizontal="left" vertical="center"/>
    </xf>
    <xf numFmtId="0" fontId="11" fillId="133" borderId="220" xfId="7105" applyFont="1" applyFill="1" applyBorder="1" applyAlignment="1">
      <alignment horizontal="right" vertical="center"/>
    </xf>
    <xf numFmtId="0" fontId="11" fillId="133" borderId="172" xfId="7105" applyFont="1" applyFill="1" applyBorder="1" applyAlignment="1">
      <alignment horizontal="left" vertical="center"/>
    </xf>
    <xf numFmtId="0" fontId="11" fillId="3" borderId="161" xfId="7105" applyFont="1" applyFill="1" applyBorder="1" applyAlignment="1">
      <alignment horizontal="left" vertical="center"/>
    </xf>
    <xf numFmtId="0" fontId="11" fillId="133" borderId="223" xfId="7105" applyFont="1" applyFill="1" applyBorder="1" applyAlignment="1">
      <alignment horizontal="right" vertical="center"/>
    </xf>
    <xf numFmtId="0" fontId="11" fillId="133" borderId="35" xfId="7105" applyFont="1" applyFill="1" applyBorder="1" applyAlignment="1">
      <alignment horizontal="left" vertical="center"/>
    </xf>
    <xf numFmtId="0" fontId="11" fillId="3" borderId="142" xfId="7105" applyFont="1" applyFill="1" applyBorder="1" applyAlignment="1">
      <alignment horizontal="left" vertical="center"/>
    </xf>
    <xf numFmtId="271" fontId="9" fillId="133" borderId="47" xfId="7105" applyNumberFormat="1" applyFont="1" applyFill="1" applyBorder="1" applyAlignment="1">
      <alignment horizontal="center" vertical="center"/>
    </xf>
    <xf numFmtId="0" fontId="11" fillId="133" borderId="223" xfId="7105" applyFont="1" applyFill="1" applyBorder="1" applyAlignment="1">
      <alignment vertical="center"/>
    </xf>
    <xf numFmtId="0" fontId="9" fillId="133" borderId="35" xfId="7105" applyFont="1" applyFill="1" applyBorder="1" applyAlignment="1">
      <alignment horizontal="left" vertical="center"/>
    </xf>
    <xf numFmtId="0" fontId="11" fillId="35" borderId="223" xfId="7105" applyFont="1" applyFill="1" applyBorder="1" applyAlignment="1">
      <alignment vertical="center"/>
    </xf>
    <xf numFmtId="0" fontId="11" fillId="35" borderId="142" xfId="7105" applyFont="1" applyFill="1" applyBorder="1" applyAlignment="1">
      <alignment vertical="center"/>
    </xf>
    <xf numFmtId="0" fontId="11" fillId="35" borderId="0" xfId="7105" applyFont="1" applyFill="1" applyAlignment="1">
      <alignment vertical="center"/>
    </xf>
    <xf numFmtId="0" fontId="320" fillId="35" borderId="0" xfId="7105" applyFont="1" applyFill="1" applyAlignment="1">
      <alignment horizontal="left" vertical="center"/>
    </xf>
    <xf numFmtId="0" fontId="321" fillId="35" borderId="0" xfId="7105" applyFont="1" applyFill="1" applyAlignment="1">
      <alignment horizontal="left" vertical="center"/>
    </xf>
    <xf numFmtId="0" fontId="7" fillId="35" borderId="0" xfId="7105" applyFont="1" applyFill="1" applyAlignment="1">
      <alignment vertical="center"/>
    </xf>
    <xf numFmtId="0" fontId="301" fillId="35" borderId="0" xfId="7105" applyFont="1" applyFill="1" applyAlignment="1">
      <alignment horizontal="left" vertical="center"/>
    </xf>
    <xf numFmtId="0" fontId="262" fillId="35" borderId="0" xfId="7105" applyFont="1" applyFill="1" applyAlignment="1">
      <alignment horizontal="left" vertical="center"/>
    </xf>
    <xf numFmtId="0" fontId="11" fillId="35" borderId="0" xfId="7105" applyFont="1" applyFill="1" applyBorder="1" applyAlignment="1">
      <alignment vertical="center"/>
    </xf>
    <xf numFmtId="15" fontId="9" fillId="128" borderId="26" xfId="7105" applyNumberFormat="1" applyFont="1" applyFill="1" applyBorder="1" applyAlignment="1">
      <alignment horizontal="center" vertical="center"/>
    </xf>
    <xf numFmtId="15" fontId="9" fillId="128" borderId="25" xfId="7105" applyNumberFormat="1" applyFont="1" applyFill="1" applyBorder="1" applyAlignment="1">
      <alignment horizontal="center" vertical="center"/>
    </xf>
    <xf numFmtId="271" fontId="9" fillId="128" borderId="47" xfId="7105" applyNumberFormat="1" applyFont="1" applyFill="1" applyBorder="1" applyAlignment="1">
      <alignment horizontal="center" vertical="center"/>
    </xf>
    <xf numFmtId="0" fontId="9" fillId="128" borderId="96" xfId="7105" applyFont="1" applyFill="1" applyBorder="1" applyAlignment="1">
      <alignment horizontal="left" vertical="center"/>
    </xf>
    <xf numFmtId="274" fontId="9" fillId="35" borderId="0" xfId="6087" applyNumberFormat="1" applyFont="1" applyFill="1" applyBorder="1" applyAlignment="1">
      <alignment horizontal="center" vertical="center"/>
    </xf>
    <xf numFmtId="274" fontId="9" fillId="35" borderId="47" xfId="6087" applyNumberFormat="1" applyFont="1" applyFill="1" applyBorder="1" applyAlignment="1">
      <alignment horizontal="center" vertical="center"/>
    </xf>
    <xf numFmtId="234" fontId="9" fillId="35" borderId="27" xfId="6087" applyNumberFormat="1" applyFont="1" applyFill="1" applyBorder="1" applyAlignment="1">
      <alignment horizontal="center" vertical="center"/>
    </xf>
    <xf numFmtId="234" fontId="9" fillId="35" borderId="0" xfId="6087" applyNumberFormat="1" applyFont="1" applyFill="1" applyBorder="1" applyAlignment="1">
      <alignment horizontal="center" vertical="center"/>
    </xf>
    <xf numFmtId="234" fontId="9" fillId="35" borderId="47" xfId="6087" applyNumberFormat="1" applyFont="1" applyFill="1" applyBorder="1" applyAlignment="1">
      <alignment horizontal="center" vertical="center"/>
    </xf>
    <xf numFmtId="0" fontId="9" fillId="128" borderId="96" xfId="7105" applyFont="1" applyFill="1" applyBorder="1" applyAlignment="1">
      <alignment vertical="center"/>
    </xf>
    <xf numFmtId="2" fontId="9" fillId="35" borderId="96" xfId="6087" applyNumberFormat="1" applyFont="1" applyFill="1" applyBorder="1" applyAlignment="1">
      <alignment horizontal="center" vertical="center"/>
    </xf>
    <xf numFmtId="4" fontId="9" fillId="35" borderId="0" xfId="6087" applyNumberFormat="1" applyFont="1" applyFill="1" applyBorder="1" applyAlignment="1">
      <alignment horizontal="center" vertical="center"/>
    </xf>
    <xf numFmtId="4" fontId="9" fillId="35" borderId="47" xfId="6087" applyNumberFormat="1" applyFont="1" applyFill="1" applyBorder="1" applyAlignment="1">
      <alignment horizontal="center" vertical="center"/>
    </xf>
    <xf numFmtId="4" fontId="9" fillId="35" borderId="27" xfId="6087" applyNumberFormat="1" applyFont="1" applyFill="1" applyBorder="1" applyAlignment="1">
      <alignment horizontal="center" vertical="center"/>
    </xf>
    <xf numFmtId="269" fontId="9" fillId="35" borderId="0" xfId="6087" applyNumberFormat="1" applyFont="1" applyFill="1" applyBorder="1" applyAlignment="1">
      <alignment horizontal="center" vertical="center"/>
    </xf>
    <xf numFmtId="269" fontId="9" fillId="35" borderId="47" xfId="6087" applyNumberFormat="1" applyFont="1" applyFill="1" applyBorder="1" applyAlignment="1">
      <alignment horizontal="center" vertical="center"/>
    </xf>
    <xf numFmtId="269" fontId="9" fillId="35" borderId="27" xfId="6087" applyNumberFormat="1" applyFont="1" applyFill="1" applyBorder="1" applyAlignment="1">
      <alignment horizontal="center" vertical="center"/>
    </xf>
    <xf numFmtId="0" fontId="11" fillId="128" borderId="223" xfId="7105" applyFont="1" applyFill="1" applyBorder="1" applyAlignment="1">
      <alignment vertical="center"/>
    </xf>
    <xf numFmtId="0" fontId="9" fillId="128" borderId="142" xfId="7105" applyFont="1" applyFill="1" applyBorder="1" applyAlignment="1">
      <alignment vertical="center"/>
    </xf>
    <xf numFmtId="38" fontId="9" fillId="35" borderId="35" xfId="7105" applyNumberFormat="1" applyFont="1" applyFill="1" applyBorder="1" applyAlignment="1">
      <alignment horizontal="center" vertical="center"/>
    </xf>
    <xf numFmtId="38" fontId="9" fillId="35" borderId="223" xfId="7105" applyNumberFormat="1" applyFont="1" applyFill="1" applyBorder="1" applyAlignment="1">
      <alignment horizontal="center" vertical="center"/>
    </xf>
    <xf numFmtId="38" fontId="9" fillId="35" borderId="28" xfId="7105" applyNumberFormat="1" applyFont="1" applyFill="1" applyBorder="1" applyAlignment="1">
      <alignment horizontal="center" vertical="center"/>
    </xf>
    <xf numFmtId="0" fontId="40" fillId="35" borderId="0" xfId="7105" applyFont="1" applyFill="1" applyAlignment="1">
      <alignment horizontal="left" vertical="center"/>
    </xf>
    <xf numFmtId="0" fontId="302" fillId="35" borderId="0" xfId="7105" applyFont="1" applyFill="1" applyAlignment="1">
      <alignment vertical="center"/>
    </xf>
    <xf numFmtId="3" fontId="11" fillId="35" borderId="0" xfId="7105" applyNumberFormat="1" applyFont="1" applyFill="1" applyBorder="1" applyAlignment="1">
      <alignment vertical="center"/>
    </xf>
    <xf numFmtId="0" fontId="40" fillId="35" borderId="0" xfId="7105" applyFont="1" applyFill="1"/>
    <xf numFmtId="0" fontId="40" fillId="35" borderId="0" xfId="6830" applyFont="1" applyFill="1"/>
    <xf numFmtId="0" fontId="6" fillId="35" borderId="0" xfId="7105" applyFont="1" applyFill="1" applyAlignment="1">
      <alignment horizontal="left" vertical="center"/>
    </xf>
    <xf numFmtId="0" fontId="7" fillId="35" borderId="0" xfId="6830" applyFont="1" applyFill="1"/>
    <xf numFmtId="0" fontId="11" fillId="35" borderId="0" xfId="7105" applyFont="1" applyFill="1" applyAlignment="1">
      <alignment horizontal="left" vertical="center"/>
    </xf>
    <xf numFmtId="0" fontId="6" fillId="35" borderId="0" xfId="6830" applyFont="1" applyFill="1"/>
    <xf numFmtId="0" fontId="11" fillId="35" borderId="0" xfId="6830" applyFont="1" applyFill="1"/>
    <xf numFmtId="0" fontId="324" fillId="35" borderId="0" xfId="7887" applyFont="1" applyFill="1" applyAlignment="1">
      <alignment vertical="center"/>
    </xf>
    <xf numFmtId="0" fontId="40" fillId="35" borderId="0" xfId="7887" applyFont="1" applyFill="1" applyAlignment="1">
      <alignment vertical="center"/>
    </xf>
    <xf numFmtId="0" fontId="325" fillId="35" borderId="0" xfId="7887" applyFont="1" applyFill="1" applyAlignment="1">
      <alignment vertical="center"/>
    </xf>
    <xf numFmtId="0" fontId="247" fillId="35" borderId="0" xfId="7887" applyFont="1" applyFill="1" applyAlignment="1">
      <alignment vertical="center"/>
    </xf>
    <xf numFmtId="0" fontId="295" fillId="3" borderId="90" xfId="7887" applyFont="1" applyFill="1" applyBorder="1" applyAlignment="1">
      <alignment horizontal="center" vertical="center"/>
    </xf>
    <xf numFmtId="0" fontId="295" fillId="3" borderId="91" xfId="7887" applyFont="1" applyFill="1" applyBorder="1" applyAlignment="1">
      <alignment horizontal="center" vertical="center"/>
    </xf>
    <xf numFmtId="0" fontId="326" fillId="3" borderId="101" xfId="7887" applyFont="1" applyFill="1" applyBorder="1" applyAlignment="1">
      <alignment horizontal="center" vertical="center"/>
    </xf>
    <xf numFmtId="0" fontId="326" fillId="3" borderId="102" xfId="7887" applyFont="1" applyFill="1" applyBorder="1" applyAlignment="1">
      <alignment horizontal="center" vertical="center"/>
    </xf>
    <xf numFmtId="3" fontId="324" fillId="35" borderId="9" xfId="7887" applyNumberFormat="1" applyFont="1" applyFill="1" applyBorder="1" applyAlignment="1">
      <alignment horizontal="center" vertical="center"/>
    </xf>
    <xf numFmtId="0" fontId="324" fillId="35" borderId="9" xfId="7887" applyFont="1" applyFill="1" applyBorder="1" applyAlignment="1">
      <alignment horizontal="center" vertical="center"/>
    </xf>
    <xf numFmtId="4" fontId="324" fillId="35" borderId="93" xfId="7887" applyNumberFormat="1" applyFont="1" applyFill="1" applyBorder="1" applyAlignment="1">
      <alignment horizontal="center" vertical="center"/>
    </xf>
    <xf numFmtId="0" fontId="324" fillId="35" borderId="93" xfId="7887" applyFont="1" applyFill="1" applyBorder="1" applyAlignment="1">
      <alignment horizontal="center" vertical="center"/>
    </xf>
    <xf numFmtId="2" fontId="324" fillId="35" borderId="93" xfId="7887" applyNumberFormat="1" applyFont="1" applyFill="1" applyBorder="1" applyAlignment="1">
      <alignment horizontal="center" vertical="center"/>
    </xf>
    <xf numFmtId="0" fontId="324" fillId="35" borderId="37" xfId="7887" applyFont="1" applyFill="1" applyBorder="1" applyAlignment="1">
      <alignment horizontal="center" vertical="center"/>
    </xf>
    <xf numFmtId="3" fontId="324" fillId="35" borderId="101" xfId="7887" applyNumberFormat="1" applyFont="1" applyFill="1" applyBorder="1" applyAlignment="1">
      <alignment horizontal="center" vertical="center"/>
    </xf>
    <xf numFmtId="0" fontId="324" fillId="35" borderId="229" xfId="7887" applyFont="1" applyFill="1" applyBorder="1" applyAlignment="1">
      <alignment horizontal="center" vertical="center"/>
    </xf>
    <xf numFmtId="2" fontId="324" fillId="35" borderId="102" xfId="7887" applyNumberFormat="1" applyFont="1" applyFill="1" applyBorder="1" applyAlignment="1">
      <alignment horizontal="center" vertical="center"/>
    </xf>
    <xf numFmtId="0" fontId="326" fillId="35" borderId="0" xfId="7887" applyFont="1" applyFill="1" applyAlignment="1">
      <alignment vertical="center"/>
    </xf>
    <xf numFmtId="3" fontId="324" fillId="35" borderId="0" xfId="7887" applyNumberFormat="1" applyFont="1" applyFill="1" applyBorder="1" applyAlignment="1">
      <alignment vertical="center"/>
    </xf>
    <xf numFmtId="0" fontId="247" fillId="35" borderId="0" xfId="7887" applyFont="1" applyFill="1"/>
    <xf numFmtId="0" fontId="324" fillId="35" borderId="0" xfId="6895" applyFont="1" applyFill="1" applyAlignment="1">
      <alignment vertical="center"/>
    </xf>
    <xf numFmtId="0" fontId="324" fillId="125" borderId="103" xfId="6895" applyFont="1" applyFill="1" applyBorder="1" applyAlignment="1">
      <alignment vertical="center"/>
    </xf>
    <xf numFmtId="0" fontId="295" fillId="125" borderId="8" xfId="6895" applyFont="1" applyFill="1" applyBorder="1" applyAlignment="1">
      <alignment horizontal="centerContinuous" vertical="center"/>
    </xf>
    <xf numFmtId="0" fontId="295" fillId="125" borderId="230" xfId="6895" applyFont="1" applyFill="1" applyBorder="1" applyAlignment="1">
      <alignment horizontal="centerContinuous" vertical="center"/>
    </xf>
    <xf numFmtId="0" fontId="295" fillId="125" borderId="4" xfId="6895" applyFont="1" applyFill="1" applyBorder="1" applyAlignment="1">
      <alignment horizontal="centerContinuous" vertical="center"/>
    </xf>
    <xf numFmtId="0" fontId="324" fillId="125" borderId="106" xfId="6895" applyFont="1" applyFill="1" applyBorder="1" applyAlignment="1">
      <alignment vertical="center"/>
    </xf>
    <xf numFmtId="0" fontId="295" fillId="124" borderId="231" xfId="6895" applyFont="1" applyFill="1" applyBorder="1" applyAlignment="1">
      <alignment horizontal="center" vertical="center"/>
    </xf>
    <xf numFmtId="0" fontId="295" fillId="124" borderId="107" xfId="6895" applyFont="1" applyFill="1" applyBorder="1" applyAlignment="1">
      <alignment horizontal="center" vertical="center"/>
    </xf>
    <xf numFmtId="0" fontId="295" fillId="124" borderId="232" xfId="6895" applyFont="1" applyFill="1" applyBorder="1" applyAlignment="1">
      <alignment horizontal="center" vertical="center"/>
    </xf>
    <xf numFmtId="0" fontId="295" fillId="124" borderId="233" xfId="6895" applyFont="1" applyFill="1" applyBorder="1" applyAlignment="1">
      <alignment horizontal="center" vertical="center"/>
    </xf>
    <xf numFmtId="0" fontId="295" fillId="124" borderId="234" xfId="6895" applyFont="1" applyFill="1" applyBorder="1" applyAlignment="1">
      <alignment horizontal="center" vertical="center"/>
    </xf>
    <xf numFmtId="0" fontId="295" fillId="124" borderId="111" xfId="6895" applyFont="1" applyFill="1" applyBorder="1" applyAlignment="1">
      <alignment horizontal="center" vertical="center"/>
    </xf>
    <xf numFmtId="0" fontId="295" fillId="124" borderId="27" xfId="6895" applyFont="1" applyFill="1" applyBorder="1" applyAlignment="1">
      <alignment horizontal="center" vertical="center"/>
    </xf>
    <xf numFmtId="0" fontId="295" fillId="124" borderId="219" xfId="6895" applyFont="1" applyFill="1" applyBorder="1" applyAlignment="1">
      <alignment horizontal="center" vertical="center"/>
    </xf>
    <xf numFmtId="0" fontId="295" fillId="124" borderId="224" xfId="6895" applyFont="1" applyFill="1" applyBorder="1" applyAlignment="1">
      <alignment horizontal="center" vertical="center"/>
    </xf>
    <xf numFmtId="0" fontId="295" fillId="124" borderId="112" xfId="6895" applyFont="1" applyFill="1" applyBorder="1" applyAlignment="1">
      <alignment horizontal="center" vertical="center"/>
    </xf>
    <xf numFmtId="0" fontId="324" fillId="124" borderId="141" xfId="6895" applyFont="1" applyFill="1" applyBorder="1" applyAlignment="1">
      <alignment horizontal="center" vertical="center"/>
    </xf>
    <xf numFmtId="0" fontId="324" fillId="124" borderId="28" xfId="6895" applyFont="1" applyFill="1" applyBorder="1" applyAlignment="1">
      <alignment horizontal="centerContinuous" vertical="center"/>
    </xf>
    <xf numFmtId="0" fontId="324" fillId="124" borderId="28" xfId="6895" applyFont="1" applyFill="1" applyBorder="1" applyAlignment="1">
      <alignment horizontal="center" vertical="center"/>
    </xf>
    <xf numFmtId="0" fontId="295" fillId="124" borderId="28" xfId="6895" applyFont="1" applyFill="1" applyBorder="1" applyAlignment="1">
      <alignment horizontal="center" vertical="center"/>
    </xf>
    <xf numFmtId="0" fontId="295" fillId="124" borderId="235" xfId="6895" applyFont="1" applyFill="1" applyBorder="1" applyAlignment="1">
      <alignment horizontal="center" vertical="center"/>
    </xf>
    <xf numFmtId="0" fontId="295" fillId="124" borderId="225" xfId="6895" applyFont="1" applyFill="1" applyBorder="1" applyAlignment="1">
      <alignment horizontal="center" vertical="center"/>
    </xf>
    <xf numFmtId="0" fontId="295" fillId="124" borderId="28" xfId="6895" applyFont="1" applyFill="1" applyBorder="1" applyAlignment="1">
      <alignment horizontal="centerContinuous" vertical="center"/>
    </xf>
    <xf numFmtId="0" fontId="295" fillId="124" borderId="140" xfId="6895" applyFont="1" applyFill="1" applyBorder="1" applyAlignment="1">
      <alignment horizontal="center" vertical="center"/>
    </xf>
    <xf numFmtId="0" fontId="324" fillId="125" borderId="109" xfId="6895" applyFont="1" applyFill="1" applyBorder="1" applyAlignment="1">
      <alignment vertical="center"/>
    </xf>
    <xf numFmtId="0" fontId="326" fillId="139" borderId="236" xfId="6895" applyFont="1" applyFill="1" applyBorder="1" applyAlignment="1">
      <alignment vertical="center"/>
    </xf>
    <xf numFmtId="0" fontId="326" fillId="139" borderId="237" xfId="6895" applyFont="1" applyFill="1" applyBorder="1" applyAlignment="1">
      <alignment horizontal="centerContinuous" vertical="center"/>
    </xf>
    <xf numFmtId="0" fontId="326" fillId="139" borderId="237" xfId="6895" applyFont="1" applyFill="1" applyBorder="1" applyAlignment="1">
      <alignment horizontal="center" vertical="center"/>
    </xf>
    <xf numFmtId="0" fontId="326" fillId="139" borderId="239" xfId="6895" applyFont="1" applyFill="1" applyBorder="1" applyAlignment="1">
      <alignment vertical="center"/>
    </xf>
    <xf numFmtId="17" fontId="295" fillId="125" borderId="109" xfId="6895" applyNumberFormat="1" applyFont="1" applyFill="1" applyBorder="1" applyAlignment="1">
      <alignment horizontal="left" vertical="center"/>
    </xf>
    <xf numFmtId="0" fontId="324" fillId="35" borderId="113" xfId="6895" applyFont="1" applyFill="1" applyBorder="1" applyAlignment="1">
      <alignment horizontal="center" vertical="center"/>
    </xf>
    <xf numFmtId="3" fontId="324" fillId="35" borderId="110" xfId="6895" applyNumberFormat="1" applyFont="1" applyFill="1" applyBorder="1" applyAlignment="1">
      <alignment horizontal="center" vertical="center"/>
    </xf>
    <xf numFmtId="1" fontId="324" fillId="35" borderId="110" xfId="6895" applyNumberFormat="1" applyFont="1" applyFill="1" applyBorder="1" applyAlignment="1">
      <alignment horizontal="center" vertical="center"/>
    </xf>
    <xf numFmtId="2" fontId="324" fillId="35" borderId="110" xfId="6895" applyNumberFormat="1" applyFont="1" applyFill="1" applyBorder="1" applyAlignment="1">
      <alignment horizontal="center" vertical="center"/>
    </xf>
    <xf numFmtId="0" fontId="324" fillId="35" borderId="241" xfId="6895" applyFont="1" applyFill="1" applyBorder="1" applyAlignment="1">
      <alignment horizontal="center" vertical="center"/>
    </xf>
    <xf numFmtId="0" fontId="324" fillId="35" borderId="110" xfId="6895" applyFont="1" applyFill="1" applyBorder="1" applyAlignment="1">
      <alignment horizontal="center" vertical="center"/>
    </xf>
    <xf numFmtId="2" fontId="324" fillId="35" borderId="114" xfId="6895" applyNumberFormat="1" applyFont="1" applyFill="1" applyBorder="1" applyAlignment="1">
      <alignment horizontal="center" vertical="center"/>
    </xf>
    <xf numFmtId="206" fontId="326" fillId="35" borderId="0" xfId="6895" applyNumberFormat="1" applyFont="1" applyFill="1" applyAlignment="1">
      <alignment horizontal="left" vertical="center"/>
    </xf>
    <xf numFmtId="0" fontId="326" fillId="35" borderId="0" xfId="6895" applyFont="1" applyFill="1" applyAlignment="1">
      <alignment vertical="center"/>
    </xf>
    <xf numFmtId="0" fontId="325" fillId="35" borderId="0" xfId="7887" applyFont="1" applyFill="1"/>
    <xf numFmtId="0" fontId="295" fillId="35" borderId="0" xfId="7887" applyFont="1" applyFill="1" applyAlignment="1">
      <alignment vertical="center"/>
    </xf>
    <xf numFmtId="0" fontId="9" fillId="35" borderId="0" xfId="7887" applyFont="1" applyFill="1" applyAlignment="1">
      <alignment vertical="center"/>
    </xf>
    <xf numFmtId="0" fontId="11" fillId="35" borderId="0" xfId="7887" applyFont="1" applyFill="1" applyAlignment="1">
      <alignment horizontal="centerContinuous" vertical="center"/>
    </xf>
    <xf numFmtId="0" fontId="11" fillId="35" borderId="0" xfId="7887" applyFont="1" applyFill="1" applyAlignment="1">
      <alignment vertical="center"/>
    </xf>
    <xf numFmtId="0" fontId="9" fillId="135" borderId="220" xfId="7098" applyFont="1" applyFill="1" applyBorder="1" applyAlignment="1">
      <alignment vertical="center"/>
    </xf>
    <xf numFmtId="0" fontId="9" fillId="135" borderId="161" xfId="7098" applyFont="1" applyFill="1" applyBorder="1" applyAlignment="1">
      <alignment horizontal="center" vertical="center"/>
    </xf>
    <xf numFmtId="0" fontId="9" fillId="135" borderId="47" xfId="7098" applyFont="1" applyFill="1" applyBorder="1" applyAlignment="1">
      <alignment vertical="center"/>
    </xf>
    <xf numFmtId="0" fontId="9" fillId="135" borderId="96" xfId="7098" applyFont="1" applyFill="1" applyBorder="1" applyAlignment="1">
      <alignment horizontal="center" vertical="center"/>
    </xf>
    <xf numFmtId="0" fontId="9" fillId="135" borderId="47" xfId="7098" applyFont="1" applyFill="1" applyBorder="1" applyAlignment="1">
      <alignment horizontal="left" vertical="center"/>
    </xf>
    <xf numFmtId="0" fontId="9" fillId="135" borderId="96" xfId="7098" applyFont="1" applyFill="1" applyBorder="1" applyAlignment="1">
      <alignment horizontal="left" vertical="center"/>
    </xf>
    <xf numFmtId="0" fontId="11" fillId="135" borderId="223" xfId="7098" applyFont="1" applyFill="1" applyBorder="1" applyAlignment="1">
      <alignment horizontal="left" vertical="center"/>
    </xf>
    <xf numFmtId="0" fontId="9" fillId="135" borderId="142" xfId="7098" applyFont="1" applyFill="1" applyBorder="1" applyAlignment="1">
      <alignment vertical="center"/>
    </xf>
    <xf numFmtId="0" fontId="153" fillId="35" borderId="0" xfId="7887" applyFont="1" applyFill="1" applyAlignment="1">
      <alignment vertical="center"/>
    </xf>
    <xf numFmtId="0" fontId="318" fillId="35" borderId="0" xfId="7887" applyFont="1" applyFill="1" applyBorder="1" applyAlignment="1">
      <alignment horizontal="left" vertical="center"/>
    </xf>
    <xf numFmtId="0" fontId="327" fillId="35" borderId="0" xfId="7887" applyFont="1" applyFill="1"/>
    <xf numFmtId="0" fontId="98" fillId="35" borderId="0" xfId="7887" applyFont="1" applyFill="1" applyAlignment="1">
      <alignment vertical="center"/>
    </xf>
    <xf numFmtId="0" fontId="7" fillId="35" borderId="0" xfId="7887" applyFont="1" applyFill="1" applyAlignment="1">
      <alignment vertical="center"/>
    </xf>
    <xf numFmtId="0" fontId="3" fillId="35" borderId="0" xfId="7887" applyFill="1"/>
    <xf numFmtId="0" fontId="244" fillId="35" borderId="0" xfId="7887" applyFont="1" applyFill="1" applyBorder="1" applyAlignment="1">
      <alignment horizontal="left" vertical="center"/>
    </xf>
    <xf numFmtId="0" fontId="261" fillId="35" borderId="0" xfId="7887" applyFont="1" applyFill="1" applyBorder="1" applyAlignment="1">
      <alignment horizontal="left" vertical="center"/>
    </xf>
    <xf numFmtId="0" fontId="244" fillId="35" borderId="0" xfId="7887" applyFont="1" applyFill="1" applyAlignment="1">
      <alignment vertical="center"/>
    </xf>
    <xf numFmtId="0" fontId="3" fillId="35" borderId="0" xfId="7887" applyFont="1" applyFill="1"/>
    <xf numFmtId="0" fontId="328" fillId="35" borderId="0" xfId="7887" applyFont="1" applyFill="1"/>
    <xf numFmtId="0" fontId="329" fillId="35" borderId="0" xfId="7887" applyFont="1" applyFill="1"/>
    <xf numFmtId="0" fontId="9" fillId="135" borderId="220" xfId="7887" applyFont="1" applyFill="1" applyBorder="1" applyAlignment="1">
      <alignment vertical="center"/>
    </xf>
    <xf numFmtId="0" fontId="9" fillId="135" borderId="161" xfId="7887" applyFont="1" applyFill="1" applyBorder="1" applyAlignment="1">
      <alignment vertical="center"/>
    </xf>
    <xf numFmtId="0" fontId="11" fillId="135" borderId="223" xfId="7887" applyFont="1" applyFill="1" applyBorder="1" applyAlignment="1">
      <alignment horizontal="right" vertical="center"/>
    </xf>
    <xf numFmtId="0" fontId="11" fillId="135" borderId="142" xfId="7887" applyFont="1" applyFill="1" applyBorder="1" applyAlignment="1">
      <alignment horizontal="right" vertical="center"/>
    </xf>
    <xf numFmtId="271" fontId="9" fillId="135" borderId="47" xfId="7887" applyNumberFormat="1" applyFont="1" applyFill="1" applyBorder="1" applyAlignment="1">
      <alignment horizontal="center" vertical="center"/>
    </xf>
    <xf numFmtId="0" fontId="9" fillId="135" borderId="96" xfId="7887" applyFont="1" applyFill="1" applyBorder="1" applyAlignment="1">
      <alignment horizontal="left" vertical="center"/>
    </xf>
    <xf numFmtId="0" fontId="9" fillId="135" borderId="96" xfId="7887" applyFont="1" applyFill="1" applyBorder="1" applyAlignment="1">
      <alignment vertical="center"/>
    </xf>
    <xf numFmtId="0" fontId="11" fillId="135" borderId="223" xfId="7887" applyFont="1" applyFill="1" applyBorder="1" applyAlignment="1">
      <alignment vertical="center"/>
    </xf>
    <xf numFmtId="0" fontId="9" fillId="135" borderId="142" xfId="7887" applyFont="1" applyFill="1" applyBorder="1" applyAlignment="1">
      <alignment vertical="center"/>
    </xf>
    <xf numFmtId="0" fontId="3" fillId="35" borderId="0" xfId="7887" applyFill="1" applyBorder="1"/>
    <xf numFmtId="0" fontId="330" fillId="35" borderId="0" xfId="7887" applyFont="1" applyFill="1" applyBorder="1" applyAlignment="1">
      <alignment horizontal="left" vertical="top"/>
    </xf>
    <xf numFmtId="0" fontId="329" fillId="35" borderId="0" xfId="7887" applyFont="1" applyFill="1" applyBorder="1"/>
    <xf numFmtId="0" fontId="10" fillId="35" borderId="0" xfId="7887" applyFont="1" applyFill="1" applyAlignment="1">
      <alignment horizontal="left" vertical="center"/>
    </xf>
    <xf numFmtId="0" fontId="302" fillId="35" borderId="0" xfId="7887" applyFont="1" applyFill="1" applyAlignment="1">
      <alignment vertical="center"/>
    </xf>
    <xf numFmtId="0" fontId="328" fillId="35" borderId="0" xfId="7887" applyFont="1" applyFill="1" applyBorder="1"/>
    <xf numFmtId="0" fontId="84" fillId="35" borderId="0" xfId="7105" applyFont="1" applyFill="1" applyBorder="1" applyAlignment="1">
      <alignment horizontal="left"/>
    </xf>
    <xf numFmtId="0" fontId="13" fillId="35" borderId="0" xfId="7105" applyFont="1" applyFill="1" applyBorder="1" applyAlignment="1">
      <alignment horizontal="center"/>
    </xf>
    <xf numFmtId="0" fontId="16" fillId="35" borderId="0" xfId="7105" applyFont="1" applyFill="1"/>
    <xf numFmtId="0" fontId="16" fillId="35" borderId="0" xfId="7105" applyFill="1"/>
    <xf numFmtId="0" fontId="16" fillId="35" borderId="0" xfId="7105" applyFont="1" applyFill="1" applyBorder="1"/>
    <xf numFmtId="0" fontId="13" fillId="35" borderId="0" xfId="7105" applyFont="1" applyFill="1" applyBorder="1" applyAlignment="1">
      <alignment horizontal="left"/>
    </xf>
    <xf numFmtId="0" fontId="14" fillId="128" borderId="0" xfId="7105" applyFont="1" applyFill="1" applyBorder="1" applyAlignment="1">
      <alignment horizontal="center"/>
    </xf>
    <xf numFmtId="0" fontId="84" fillId="3" borderId="107" xfId="7105" applyFont="1" applyFill="1" applyBorder="1" applyAlignment="1">
      <alignment horizontal="center"/>
    </xf>
    <xf numFmtId="0" fontId="84" fillId="3" borderId="28" xfId="7105" applyFont="1" applyFill="1" applyBorder="1" applyAlignment="1">
      <alignment horizontal="center"/>
    </xf>
    <xf numFmtId="0" fontId="152" fillId="3" borderId="28" xfId="7105" applyFont="1" applyFill="1" applyBorder="1" applyAlignment="1">
      <alignment horizontal="center"/>
    </xf>
    <xf numFmtId="0" fontId="6" fillId="3" borderId="27" xfId="7105" applyFont="1" applyFill="1" applyBorder="1" applyAlignment="1">
      <alignment horizontal="center"/>
    </xf>
    <xf numFmtId="0" fontId="6" fillId="3" borderId="47" xfId="7105" applyFont="1" applyFill="1" applyBorder="1" applyAlignment="1">
      <alignment horizontal="center"/>
    </xf>
    <xf numFmtId="3" fontId="6" fillId="35" borderId="27" xfId="7105" applyNumberFormat="1" applyFont="1" applyFill="1" applyBorder="1" applyAlignment="1">
      <alignment horizontal="center"/>
    </xf>
    <xf numFmtId="234" fontId="6" fillId="35" borderId="27" xfId="7105" applyNumberFormat="1" applyFont="1" applyFill="1" applyBorder="1" applyAlignment="1">
      <alignment horizontal="center"/>
    </xf>
    <xf numFmtId="4" fontId="6" fillId="35" borderId="27" xfId="7105" applyNumberFormat="1" applyFont="1" applyFill="1" applyBorder="1" applyAlignment="1">
      <alignment horizontal="center"/>
    </xf>
    <xf numFmtId="0" fontId="14" fillId="128" borderId="0" xfId="7105" applyFont="1" applyFill="1" applyBorder="1" applyAlignment="1">
      <alignment horizontal="centerContinuous"/>
    </xf>
    <xf numFmtId="2" fontId="7" fillId="35" borderId="0" xfId="7105" applyNumberFormat="1" applyFont="1" applyFill="1" applyBorder="1" applyAlignment="1">
      <alignment horizontal="center"/>
    </xf>
    <xf numFmtId="2" fontId="7" fillId="35" borderId="0" xfId="7105" applyNumberFormat="1" applyFont="1" applyFill="1" applyBorder="1" applyAlignment="1">
      <alignment horizontal="right"/>
    </xf>
    <xf numFmtId="2" fontId="16" fillId="35" borderId="0" xfId="7105" applyNumberFormat="1" applyFont="1" applyFill="1"/>
    <xf numFmtId="0" fontId="6" fillId="3" borderId="28" xfId="7105" applyFont="1" applyFill="1" applyBorder="1" applyAlignment="1">
      <alignment horizontal="center"/>
    </xf>
    <xf numFmtId="0" fontId="6" fillId="35" borderId="28" xfId="7105" applyFont="1" applyFill="1" applyBorder="1" applyAlignment="1">
      <alignment horizontal="center"/>
    </xf>
    <xf numFmtId="257" fontId="6" fillId="35" borderId="28" xfId="7105" applyNumberFormat="1" applyFont="1" applyFill="1" applyBorder="1" applyAlignment="1">
      <alignment horizontal="center"/>
    </xf>
    <xf numFmtId="3" fontId="84" fillId="35" borderId="25" xfId="7105" applyNumberFormat="1" applyFont="1" applyFill="1" applyBorder="1" applyAlignment="1">
      <alignment horizontal="center" vertical="center"/>
    </xf>
    <xf numFmtId="234" fontId="84" fillId="35" borderId="25" xfId="7105" applyNumberFormat="1" applyFont="1" applyFill="1" applyBorder="1" applyAlignment="1">
      <alignment horizontal="center" vertical="center"/>
    </xf>
    <xf numFmtId="2" fontId="84" fillId="35" borderId="25" xfId="7105" applyNumberFormat="1" applyFont="1" applyFill="1" applyBorder="1" applyAlignment="1">
      <alignment horizontal="center" vertical="center"/>
    </xf>
    <xf numFmtId="257" fontId="16" fillId="35" borderId="0" xfId="7105" applyNumberFormat="1" applyFont="1" applyFill="1"/>
    <xf numFmtId="2" fontId="16" fillId="35" borderId="0" xfId="7105" applyNumberFormat="1" applyFont="1" applyFill="1" applyBorder="1" applyAlignment="1">
      <alignment horizontal="right"/>
    </xf>
    <xf numFmtId="0" fontId="153" fillId="35" borderId="0" xfId="7105" applyFont="1" applyFill="1"/>
    <xf numFmtId="0" fontId="122" fillId="35" borderId="0" xfId="7105" applyFont="1" applyFill="1"/>
    <xf numFmtId="0" fontId="122" fillId="35" borderId="0" xfId="7105" applyFont="1" applyFill="1" applyBorder="1"/>
    <xf numFmtId="3" fontId="122" fillId="35" borderId="0" xfId="7105" applyNumberFormat="1" applyFont="1" applyFill="1" applyBorder="1" applyAlignment="1">
      <alignment horizontal="right"/>
    </xf>
    <xf numFmtId="0" fontId="16" fillId="35" borderId="0" xfId="7105" applyFont="1" applyFill="1" applyBorder="1" applyAlignment="1">
      <alignment horizontal="right"/>
    </xf>
    <xf numFmtId="234" fontId="122" fillId="35" borderId="0" xfId="7105" applyNumberFormat="1" applyFont="1" applyFill="1"/>
    <xf numFmtId="219" fontId="16" fillId="35" borderId="0" xfId="7105" applyNumberFormat="1" applyFont="1" applyFill="1"/>
    <xf numFmtId="3" fontId="122" fillId="35" borderId="0" xfId="7105" applyNumberFormat="1" applyFont="1" applyFill="1"/>
    <xf numFmtId="0" fontId="84" fillId="135" borderId="220" xfId="7105" applyFont="1" applyFill="1" applyBorder="1" applyAlignment="1">
      <alignment horizontal="center"/>
    </xf>
    <xf numFmtId="0" fontId="84" fillId="3" borderId="220" xfId="7105" applyFont="1" applyFill="1" applyBorder="1" applyAlignment="1">
      <alignment horizontal="center"/>
    </xf>
    <xf numFmtId="0" fontId="84" fillId="135" borderId="223" xfId="7105" applyFont="1" applyFill="1" applyBorder="1" applyAlignment="1">
      <alignment horizontal="center"/>
    </xf>
    <xf numFmtId="0" fontId="152" fillId="3" borderId="223" xfId="7105" applyFont="1" applyFill="1" applyBorder="1" applyAlignment="1">
      <alignment horizontal="center"/>
    </xf>
    <xf numFmtId="278" fontId="84" fillId="135" borderId="47" xfId="7105" quotePrefix="1" applyNumberFormat="1" applyFont="1" applyFill="1" applyBorder="1" applyAlignment="1">
      <alignment horizontal="left"/>
    </xf>
    <xf numFmtId="3" fontId="6" fillId="35" borderId="220" xfId="7105" applyNumberFormat="1" applyFont="1" applyFill="1" applyBorder="1" applyAlignment="1">
      <alignment horizontal="center"/>
    </xf>
    <xf numFmtId="234" fontId="6" fillId="35" borderId="220" xfId="7105" applyNumberFormat="1" applyFont="1" applyFill="1" applyBorder="1" applyAlignment="1">
      <alignment horizontal="center"/>
    </xf>
    <xf numFmtId="3" fontId="6" fillId="35" borderId="107" xfId="7105" applyNumberFormat="1" applyFont="1" applyFill="1" applyBorder="1" applyAlignment="1">
      <alignment horizontal="center"/>
    </xf>
    <xf numFmtId="279" fontId="6" fillId="135" borderId="47" xfId="7105" applyNumberFormat="1" applyFont="1" applyFill="1" applyBorder="1" applyAlignment="1">
      <alignment horizontal="left"/>
    </xf>
    <xf numFmtId="3" fontId="6" fillId="35" borderId="47" xfId="7105" applyNumberFormat="1" applyFont="1" applyFill="1" applyBorder="1" applyAlignment="1">
      <alignment horizontal="center"/>
    </xf>
    <xf numFmtId="234" fontId="6" fillId="35" borderId="47" xfId="7105" applyNumberFormat="1" applyFont="1" applyFill="1" applyBorder="1" applyAlignment="1">
      <alignment horizontal="center"/>
    </xf>
    <xf numFmtId="16" fontId="6" fillId="135" borderId="242" xfId="7105" applyNumberFormat="1" applyFont="1" applyFill="1" applyBorder="1" applyAlignment="1">
      <alignment horizontal="right"/>
    </xf>
    <xf numFmtId="3" fontId="6" fillId="35" borderId="243" xfId="7105" applyNumberFormat="1" applyFont="1" applyFill="1" applyBorder="1" applyAlignment="1">
      <alignment horizontal="center"/>
    </xf>
    <xf numFmtId="257" fontId="6" fillId="35" borderId="242" xfId="7105" applyNumberFormat="1" applyFont="1" applyFill="1" applyBorder="1" applyAlignment="1">
      <alignment horizontal="center"/>
    </xf>
    <xf numFmtId="234" fontId="6" fillId="35" borderId="243" xfId="7105" applyNumberFormat="1" applyFont="1" applyFill="1" applyBorder="1" applyAlignment="1">
      <alignment horizontal="left" indent="4"/>
    </xf>
    <xf numFmtId="3" fontId="16" fillId="35" borderId="0" xfId="7105" applyNumberFormat="1" applyFont="1" applyFill="1" applyBorder="1" applyAlignment="1">
      <alignment horizontal="right"/>
    </xf>
    <xf numFmtId="17" fontId="84" fillId="135" borderId="47" xfId="7105" quotePrefix="1" applyNumberFormat="1" applyFont="1" applyFill="1" applyBorder="1" applyAlignment="1">
      <alignment horizontal="left"/>
    </xf>
    <xf numFmtId="4" fontId="6" fillId="35" borderId="27" xfId="7105" applyNumberFormat="1" applyFont="1" applyFill="1" applyBorder="1" applyAlignment="1">
      <alignment horizontal="left" indent="5"/>
    </xf>
    <xf numFmtId="0" fontId="6" fillId="35" borderId="27" xfId="7105" applyFont="1" applyFill="1" applyBorder="1" applyAlignment="1">
      <alignment horizontal="center"/>
    </xf>
    <xf numFmtId="0" fontId="6" fillId="35" borderId="47" xfId="7105" applyFont="1" applyFill="1" applyBorder="1" applyAlignment="1">
      <alignment horizontal="center"/>
    </xf>
    <xf numFmtId="257" fontId="6" fillId="35" borderId="47" xfId="7105" applyNumberFormat="1" applyFont="1" applyFill="1" applyBorder="1" applyAlignment="1">
      <alignment horizontal="center"/>
    </xf>
    <xf numFmtId="0" fontId="122" fillId="35" borderId="27" xfId="7105" applyFont="1" applyFill="1" applyBorder="1"/>
    <xf numFmtId="0" fontId="122" fillId="35" borderId="47" xfId="7105" applyFont="1" applyFill="1" applyBorder="1"/>
    <xf numFmtId="2" fontId="6" fillId="35" borderId="27" xfId="7105" applyNumberFormat="1" applyFont="1" applyFill="1" applyBorder="1" applyAlignment="1">
      <alignment horizontal="center"/>
    </xf>
    <xf numFmtId="276" fontId="6" fillId="35" borderId="47" xfId="6132" applyNumberFormat="1" applyFont="1" applyFill="1" applyBorder="1" applyAlignment="1">
      <alignment horizontal="center"/>
    </xf>
    <xf numFmtId="17" fontId="84" fillId="135" borderId="28" xfId="7105" quotePrefix="1" applyNumberFormat="1" applyFont="1" applyFill="1" applyBorder="1" applyAlignment="1">
      <alignment horizontal="left"/>
    </xf>
    <xf numFmtId="234" fontId="6" fillId="35" borderId="223" xfId="7105" applyNumberFormat="1" applyFont="1" applyFill="1" applyBorder="1" applyAlignment="1">
      <alignment horizontal="center"/>
    </xf>
    <xf numFmtId="2" fontId="6" fillId="35" borderId="28" xfId="7105" applyNumberFormat="1" applyFont="1" applyFill="1" applyBorder="1" applyAlignment="1">
      <alignment horizontal="center"/>
    </xf>
    <xf numFmtId="257" fontId="6" fillId="35" borderId="0" xfId="7105" applyNumberFormat="1" applyFont="1" applyFill="1" applyBorder="1" applyAlignment="1">
      <alignment horizontal="center"/>
    </xf>
    <xf numFmtId="2" fontId="6" fillId="35" borderId="0" xfId="7105" applyNumberFormat="1" applyFont="1" applyFill="1" applyBorder="1" applyAlignment="1">
      <alignment horizontal="center"/>
    </xf>
    <xf numFmtId="257" fontId="153" fillId="35" borderId="0" xfId="7105" applyNumberFormat="1" applyFont="1" applyFill="1" applyBorder="1" applyAlignment="1">
      <alignment horizontal="left"/>
    </xf>
    <xf numFmtId="0" fontId="13" fillId="35" borderId="0" xfId="7877" applyFont="1" applyFill="1"/>
    <xf numFmtId="0" fontId="16" fillId="35" borderId="0" xfId="7877" applyFont="1" applyFill="1"/>
    <xf numFmtId="38" fontId="16" fillId="35" borderId="0" xfId="7877" applyNumberFormat="1" applyFont="1" applyFill="1"/>
    <xf numFmtId="0" fontId="14" fillId="35" borderId="0" xfId="7877" applyFont="1" applyFill="1"/>
    <xf numFmtId="0" fontId="14" fillId="124" borderId="103" xfId="7877" applyFont="1" applyFill="1" applyBorder="1" applyAlignment="1">
      <alignment horizontal="center"/>
    </xf>
    <xf numFmtId="0" fontId="14" fillId="124" borderId="158" xfId="7877" applyFont="1" applyFill="1" applyBorder="1" applyAlignment="1">
      <alignment horizontal="center"/>
    </xf>
    <xf numFmtId="0" fontId="14" fillId="124" borderId="104" xfId="7877" applyFont="1" applyFill="1" applyBorder="1" applyAlignment="1">
      <alignment horizontal="center"/>
    </xf>
    <xf numFmtId="0" fontId="14" fillId="124" borderId="105" xfId="7877" applyFont="1" applyFill="1" applyBorder="1" applyAlignment="1">
      <alignment horizontal="center"/>
    </xf>
    <xf numFmtId="0" fontId="14" fillId="124" borderId="106" xfId="7877" applyFont="1" applyFill="1" applyBorder="1" applyAlignment="1">
      <alignment horizontal="center"/>
    </xf>
    <xf numFmtId="0" fontId="14" fillId="124" borderId="96" xfId="7877" applyFont="1" applyFill="1" applyBorder="1" applyAlignment="1">
      <alignment horizontal="center"/>
    </xf>
    <xf numFmtId="0" fontId="14" fillId="124" borderId="27" xfId="7877" applyFont="1" applyFill="1" applyBorder="1" applyAlignment="1">
      <alignment horizontal="center"/>
    </xf>
    <xf numFmtId="0" fontId="14" fillId="124" borderId="112" xfId="7877" applyFont="1" applyFill="1" applyBorder="1" applyAlignment="1">
      <alignment horizontal="center"/>
    </xf>
    <xf numFmtId="0" fontId="16" fillId="124" borderId="106" xfId="7877" applyFont="1" applyFill="1" applyBorder="1" applyAlignment="1">
      <alignment horizontal="center"/>
    </xf>
    <xf numFmtId="280" fontId="14" fillId="124" borderId="27" xfId="7877" applyNumberFormat="1" applyFont="1" applyFill="1" applyBorder="1" applyAlignment="1">
      <alignment horizontal="center"/>
    </xf>
    <xf numFmtId="280" fontId="14" fillId="124" borderId="112" xfId="7877" applyNumberFormat="1" applyFont="1" applyFill="1" applyBorder="1" applyAlignment="1">
      <alignment horizontal="center"/>
    </xf>
    <xf numFmtId="0" fontId="16" fillId="124" borderId="109" xfId="7877" applyFont="1" applyFill="1" applyBorder="1" applyAlignment="1">
      <alignment horizontal="center"/>
    </xf>
    <xf numFmtId="0" fontId="16" fillId="124" borderId="228" xfId="7877" applyFont="1" applyFill="1" applyBorder="1" applyAlignment="1">
      <alignment horizontal="centerContinuous"/>
    </xf>
    <xf numFmtId="0" fontId="16" fillId="124" borderId="237" xfId="7877" applyFont="1" applyFill="1" applyBorder="1" applyAlignment="1">
      <alignment horizontal="centerContinuous"/>
    </xf>
    <xf numFmtId="0" fontId="16" fillId="124" borderId="244" xfId="7877" applyFont="1" applyFill="1" applyBorder="1" applyAlignment="1">
      <alignment horizontal="center"/>
    </xf>
    <xf numFmtId="0" fontId="16" fillId="35" borderId="96" xfId="7877" applyFont="1" applyFill="1" applyBorder="1" applyAlignment="1">
      <alignment horizontal="centerContinuous"/>
    </xf>
    <xf numFmtId="0" fontId="16" fillId="35" borderId="27" xfId="7877" applyFont="1" applyFill="1" applyBorder="1" applyAlignment="1">
      <alignment horizontal="centerContinuous"/>
    </xf>
    <xf numFmtId="0" fontId="16" fillId="35" borderId="112" xfId="7877" applyFont="1" applyFill="1" applyBorder="1" applyAlignment="1">
      <alignment horizontal="center"/>
    </xf>
    <xf numFmtId="15" fontId="14" fillId="124" borderId="106" xfId="7877" applyNumberFormat="1" applyFont="1" applyFill="1" applyBorder="1" applyAlignment="1">
      <alignment horizontal="left"/>
    </xf>
    <xf numFmtId="38" fontId="16" fillId="35" borderId="111" xfId="7888" applyNumberFormat="1" applyFont="1" applyFill="1" applyBorder="1" applyAlignment="1">
      <alignment horizontal="right"/>
    </xf>
    <xf numFmtId="38" fontId="16" fillId="35" borderId="27" xfId="7888" applyNumberFormat="1" applyFont="1" applyFill="1" applyBorder="1" applyAlignment="1">
      <alignment horizontal="right"/>
    </xf>
    <xf numFmtId="2" fontId="14" fillId="35" borderId="112" xfId="7470" applyNumberFormat="1" applyFont="1" applyFill="1" applyBorder="1" applyAlignment="1">
      <alignment horizontal="right"/>
    </xf>
    <xf numFmtId="38" fontId="14" fillId="35" borderId="0" xfId="7877" applyNumberFormat="1" applyFont="1" applyFill="1" applyBorder="1" applyAlignment="1">
      <alignment horizontal="right"/>
    </xf>
    <xf numFmtId="2" fontId="16" fillId="35" borderId="0" xfId="7877" applyNumberFormat="1" applyFont="1" applyFill="1"/>
    <xf numFmtId="15" fontId="14" fillId="124" borderId="109" xfId="7877" applyNumberFormat="1" applyFont="1" applyFill="1" applyBorder="1" applyAlignment="1">
      <alignment horizontal="left"/>
    </xf>
    <xf numFmtId="38" fontId="16" fillId="35" borderId="118" xfId="7888" applyNumberFormat="1" applyFont="1" applyFill="1" applyBorder="1" applyAlignment="1">
      <alignment horizontal="right"/>
    </xf>
    <xf numFmtId="38" fontId="16" fillId="35" borderId="110" xfId="7888" applyNumberFormat="1" applyFont="1" applyFill="1" applyBorder="1" applyAlignment="1">
      <alignment horizontal="right"/>
    </xf>
    <xf numFmtId="2" fontId="14" fillId="35" borderId="114" xfId="7470" applyNumberFormat="1" applyFont="1" applyFill="1" applyBorder="1" applyAlignment="1">
      <alignment horizontal="right"/>
    </xf>
    <xf numFmtId="0" fontId="242" fillId="35" borderId="8" xfId="7877" applyFont="1" applyFill="1" applyBorder="1"/>
    <xf numFmtId="0" fontId="16" fillId="35" borderId="8" xfId="7877" applyFont="1" applyFill="1" applyBorder="1"/>
    <xf numFmtId="3" fontId="16" fillId="35" borderId="8" xfId="7877" applyNumberFormat="1" applyFont="1" applyFill="1" applyBorder="1" applyAlignment="1">
      <alignment horizontal="right"/>
    </xf>
    <xf numFmtId="234" fontId="14" fillId="35" borderId="8" xfId="7877" applyNumberFormat="1" applyFont="1" applyFill="1" applyBorder="1" applyAlignment="1">
      <alignment horizontal="right"/>
    </xf>
    <xf numFmtId="0" fontId="243" fillId="35" borderId="0" xfId="7877" applyFont="1" applyFill="1"/>
    <xf numFmtId="0" fontId="19" fillId="35" borderId="0" xfId="7877" applyFont="1" applyFill="1"/>
    <xf numFmtId="0" fontId="9" fillId="35" borderId="0" xfId="7877" applyFont="1" applyFill="1"/>
    <xf numFmtId="0" fontId="84" fillId="123" borderId="103" xfId="7877" applyFont="1" applyFill="1" applyBorder="1" applyAlignment="1">
      <alignment horizontal="center"/>
    </xf>
    <xf numFmtId="0" fontId="84" fillId="123" borderId="158" xfId="7877" applyFont="1" applyFill="1" applyBorder="1" applyAlignment="1">
      <alignment horizontal="center"/>
    </xf>
    <xf numFmtId="0" fontId="84" fillId="123" borderId="104" xfId="7877" applyFont="1" applyFill="1" applyBorder="1" applyAlignment="1">
      <alignment horizontal="center"/>
    </xf>
    <xf numFmtId="0" fontId="84" fillId="123" borderId="105" xfId="7877" applyFont="1" applyFill="1" applyBorder="1" applyAlignment="1">
      <alignment horizontal="center"/>
    </xf>
    <xf numFmtId="0" fontId="84" fillId="123" borderId="106" xfId="7877" applyFont="1" applyFill="1" applyBorder="1" applyAlignment="1">
      <alignment horizontal="center"/>
    </xf>
    <xf numFmtId="0" fontId="84" fillId="123" borderId="96" xfId="7877" applyFont="1" applyFill="1" applyBorder="1" applyAlignment="1">
      <alignment horizontal="center"/>
    </xf>
    <xf numFmtId="0" fontId="84" fillId="123" borderId="27" xfId="7877" applyFont="1" applyFill="1" applyBorder="1" applyAlignment="1">
      <alignment horizontal="center"/>
    </xf>
    <xf numFmtId="0" fontId="84" fillId="123" borderId="112" xfId="7877" applyFont="1" applyFill="1" applyBorder="1" applyAlignment="1">
      <alignment horizontal="center"/>
    </xf>
    <xf numFmtId="0" fontId="6" fillId="123" borderId="106" xfId="7877" applyFont="1" applyFill="1" applyBorder="1" applyAlignment="1">
      <alignment horizontal="center"/>
    </xf>
    <xf numFmtId="280" fontId="84" fillId="123" borderId="27" xfId="7877" applyNumberFormat="1" applyFont="1" applyFill="1" applyBorder="1" applyAlignment="1">
      <alignment horizontal="center"/>
    </xf>
    <xf numFmtId="280" fontId="84" fillId="123" borderId="112" xfId="7877" applyNumberFormat="1" applyFont="1" applyFill="1" applyBorder="1" applyAlignment="1">
      <alignment horizontal="center"/>
    </xf>
    <xf numFmtId="0" fontId="6" fillId="123" borderId="109" xfId="7877" applyFont="1" applyFill="1" applyBorder="1" applyAlignment="1">
      <alignment horizontal="center"/>
    </xf>
    <xf numFmtId="0" fontId="40" fillId="123" borderId="228" xfId="7877" applyFont="1" applyFill="1" applyBorder="1" applyAlignment="1">
      <alignment horizontal="centerContinuous"/>
    </xf>
    <xf numFmtId="0" fontId="40" fillId="123" borderId="237" xfId="7877" applyFont="1" applyFill="1" applyBorder="1" applyAlignment="1">
      <alignment horizontal="centerContinuous"/>
    </xf>
    <xf numFmtId="0" fontId="40" fillId="123" borderId="244" xfId="7877" applyFont="1" applyFill="1" applyBorder="1" applyAlignment="1">
      <alignment horizontal="center"/>
    </xf>
    <xf numFmtId="15" fontId="84" fillId="124" borderId="106" xfId="7877" applyNumberFormat="1" applyFont="1" applyFill="1" applyBorder="1" applyAlignment="1">
      <alignment horizontal="left"/>
    </xf>
    <xf numFmtId="38" fontId="16" fillId="35" borderId="2" xfId="7888" applyNumberFormat="1" applyFont="1" applyFill="1" applyBorder="1" applyAlignment="1">
      <alignment horizontal="right"/>
    </xf>
    <xf numFmtId="2" fontId="14" fillId="35" borderId="5" xfId="7470" applyNumberFormat="1" applyFont="1" applyFill="1" applyBorder="1" applyAlignment="1">
      <alignment horizontal="right"/>
    </xf>
    <xf numFmtId="15" fontId="84" fillId="124" borderId="106" xfId="7877" applyNumberFormat="1" applyFont="1" applyFill="1" applyBorder="1" applyAlignment="1">
      <alignment horizontal="left" vertical="center"/>
    </xf>
    <xf numFmtId="38" fontId="16" fillId="35" borderId="111" xfId="7888" applyNumberFormat="1" applyFont="1" applyFill="1" applyBorder="1" applyAlignment="1">
      <alignment horizontal="right" vertical="center"/>
    </xf>
    <xf numFmtId="38" fontId="16" fillId="35" borderId="27" xfId="7888" applyNumberFormat="1" applyFont="1" applyFill="1" applyBorder="1" applyAlignment="1">
      <alignment horizontal="right" vertical="center"/>
    </xf>
    <xf numFmtId="2" fontId="14" fillId="35" borderId="112" xfId="7470" applyNumberFormat="1" applyFont="1" applyFill="1" applyBorder="1" applyAlignment="1">
      <alignment horizontal="right" vertical="center"/>
    </xf>
    <xf numFmtId="2" fontId="16" fillId="35" borderId="0" xfId="7877" applyNumberFormat="1" applyFont="1" applyFill="1" applyAlignment="1">
      <alignment vertical="center"/>
    </xf>
    <xf numFmtId="38" fontId="16" fillId="35" borderId="0" xfId="7877" applyNumberFormat="1" applyFont="1" applyFill="1" applyAlignment="1">
      <alignment vertical="center"/>
    </xf>
    <xf numFmtId="0" fontId="16" fillId="35" borderId="0" xfId="7877" applyFont="1" applyFill="1" applyAlignment="1">
      <alignment vertical="center"/>
    </xf>
    <xf numFmtId="38" fontId="16" fillId="35" borderId="2" xfId="7888" applyNumberFormat="1" applyFont="1" applyFill="1" applyBorder="1" applyAlignment="1">
      <alignment horizontal="right" vertical="center"/>
    </xf>
    <xf numFmtId="2" fontId="14" fillId="35" borderId="5" xfId="7470" applyNumberFormat="1" applyFont="1" applyFill="1" applyBorder="1" applyAlignment="1">
      <alignment horizontal="right" vertical="center"/>
    </xf>
    <xf numFmtId="217" fontId="84" fillId="124" borderId="106" xfId="7877" applyNumberFormat="1" applyFont="1" applyFill="1" applyBorder="1" applyAlignment="1">
      <alignment horizontal="left" vertical="center"/>
    </xf>
    <xf numFmtId="15" fontId="84" fillId="124" borderId="106" xfId="7877" applyNumberFormat="1" applyFont="1" applyFill="1" applyBorder="1" applyAlignment="1">
      <alignment horizontal="right" vertical="center"/>
    </xf>
    <xf numFmtId="15" fontId="84" fillId="124" borderId="106" xfId="7877" quotePrefix="1" applyNumberFormat="1" applyFont="1" applyFill="1" applyBorder="1" applyAlignment="1">
      <alignment horizontal="right" vertical="center"/>
    </xf>
    <xf numFmtId="15" fontId="84" fillId="142" borderId="106" xfId="7877" quotePrefix="1" applyNumberFormat="1" applyFont="1" applyFill="1" applyBorder="1" applyAlignment="1">
      <alignment horizontal="right" vertical="center"/>
    </xf>
    <xf numFmtId="10" fontId="16" fillId="35" borderId="0" xfId="7470" applyNumberFormat="1" applyFont="1" applyFill="1"/>
    <xf numFmtId="15" fontId="84" fillId="123" borderId="106" xfId="7877" quotePrefix="1" applyNumberFormat="1" applyFont="1" applyFill="1" applyBorder="1" applyAlignment="1">
      <alignment horizontal="right" vertical="center"/>
    </xf>
    <xf numFmtId="38" fontId="40" fillId="35" borderId="2" xfId="7888" applyNumberFormat="1" applyFont="1" applyFill="1" applyBorder="1" applyAlignment="1">
      <alignment horizontal="right" vertical="center"/>
    </xf>
    <xf numFmtId="38" fontId="40" fillId="35" borderId="27" xfId="7888" applyNumberFormat="1" applyFont="1" applyFill="1" applyBorder="1" applyAlignment="1">
      <alignment horizontal="right" vertical="center"/>
    </xf>
    <xf numFmtId="2" fontId="39" fillId="35" borderId="5" xfId="7470" applyNumberFormat="1" applyFont="1" applyFill="1" applyBorder="1" applyAlignment="1">
      <alignment horizontal="right" vertical="center"/>
    </xf>
    <xf numFmtId="0" fontId="331" fillId="35" borderId="0" xfId="7877" applyFont="1" applyFill="1" applyBorder="1" applyAlignment="1">
      <alignment vertical="center" wrapText="1"/>
    </xf>
    <xf numFmtId="0" fontId="53" fillId="35" borderId="0" xfId="7877" applyFont="1" applyFill="1" applyAlignment="1">
      <alignment vertical="center"/>
    </xf>
    <xf numFmtId="38" fontId="53" fillId="35" borderId="0" xfId="7877" applyNumberFormat="1" applyFont="1" applyFill="1"/>
    <xf numFmtId="0" fontId="53" fillId="35" borderId="0" xfId="7877" applyFont="1" applyFill="1"/>
    <xf numFmtId="15" fontId="14" fillId="123" borderId="162" xfId="7877" quotePrefix="1" applyNumberFormat="1" applyFont="1" applyFill="1" applyBorder="1" applyAlignment="1">
      <alignment horizontal="right" vertical="center"/>
    </xf>
    <xf numFmtId="38" fontId="40" fillId="35" borderId="245" xfId="7888" applyNumberFormat="1" applyFont="1" applyFill="1" applyBorder="1" applyAlignment="1">
      <alignment horizontal="right" vertical="center"/>
    </xf>
    <xf numFmtId="38" fontId="40" fillId="35" borderId="165" xfId="7888" applyNumberFormat="1" applyFont="1" applyFill="1" applyBorder="1" applyAlignment="1">
      <alignment horizontal="right" vertical="center"/>
    </xf>
    <xf numFmtId="2" fontId="39" fillId="35" borderId="171" xfId="7470" applyNumberFormat="1" applyFont="1" applyFill="1" applyBorder="1" applyAlignment="1">
      <alignment horizontal="right" vertical="center"/>
    </xf>
    <xf numFmtId="38" fontId="53" fillId="35" borderId="0" xfId="7877" applyNumberFormat="1" applyFont="1" applyFill="1" applyAlignment="1">
      <alignment vertical="center"/>
    </xf>
    <xf numFmtId="0" fontId="332" fillId="35" borderId="0" xfId="7877" applyFont="1" applyFill="1" applyAlignment="1">
      <alignment horizontal="left" vertical="center"/>
    </xf>
    <xf numFmtId="0" fontId="38" fillId="35" borderId="0" xfId="7877" applyFont="1" applyFill="1" applyAlignment="1">
      <alignment horizontal="left" vertical="center"/>
    </xf>
    <xf numFmtId="0" fontId="38" fillId="35" borderId="172" xfId="7877" applyFont="1" applyFill="1" applyBorder="1" applyAlignment="1">
      <alignment horizontal="left" vertical="center"/>
    </xf>
    <xf numFmtId="0" fontId="331" fillId="35" borderId="0" xfId="7877" applyFont="1" applyFill="1" applyAlignment="1">
      <alignment vertical="center"/>
    </xf>
    <xf numFmtId="38" fontId="331" fillId="35" borderId="0" xfId="7877" applyNumberFormat="1" applyFont="1" applyFill="1" applyAlignment="1">
      <alignment vertical="center"/>
    </xf>
    <xf numFmtId="0" fontId="38" fillId="0" borderId="0" xfId="7877" applyFont="1" applyFill="1" applyAlignment="1">
      <alignment vertical="center" wrapText="1"/>
    </xf>
    <xf numFmtId="0" fontId="15" fillId="0" borderId="0" xfId="7889" applyFont="1" applyFill="1" applyAlignment="1" applyProtection="1">
      <alignment horizontal="left" vertical="center"/>
    </xf>
    <xf numFmtId="0" fontId="97" fillId="0" borderId="0" xfId="7889" applyFont="1" applyFill="1" applyAlignment="1">
      <alignment horizontal="center" vertical="center"/>
    </xf>
    <xf numFmtId="0" fontId="97" fillId="0" borderId="0" xfId="7889" applyFont="1" applyFill="1" applyAlignment="1">
      <alignment vertical="center"/>
    </xf>
    <xf numFmtId="0" fontId="335" fillId="0" borderId="0" xfId="7889" applyFont="1" applyAlignment="1">
      <alignment vertical="center"/>
    </xf>
    <xf numFmtId="0" fontId="336" fillId="0" borderId="0" xfId="7889" applyFont="1" applyAlignment="1">
      <alignment vertical="center"/>
    </xf>
    <xf numFmtId="0" fontId="16" fillId="0" borderId="0" xfId="7889" applyFont="1" applyFill="1" applyAlignment="1">
      <alignment vertical="center"/>
    </xf>
    <xf numFmtId="0" fontId="16" fillId="0" borderId="0" xfId="7889" applyFont="1" applyFill="1" applyAlignment="1">
      <alignment horizontal="center" vertical="center"/>
    </xf>
    <xf numFmtId="0" fontId="14" fillId="123" borderId="139" xfId="7890" applyFont="1" applyFill="1" applyBorder="1" applyAlignment="1" applyProtection="1">
      <alignment horizontal="center" vertical="center"/>
    </xf>
    <xf numFmtId="0" fontId="14" fillId="123" borderId="137" xfId="7890" applyFont="1" applyFill="1" applyBorder="1" applyAlignment="1" applyProtection="1">
      <alignment horizontal="center" vertical="center"/>
    </xf>
    <xf numFmtId="0" fontId="14" fillId="123" borderId="246" xfId="7890" applyFont="1" applyFill="1" applyBorder="1" applyAlignment="1" applyProtection="1">
      <alignment horizontal="center" vertical="center"/>
    </xf>
    <xf numFmtId="0" fontId="14" fillId="123" borderId="106" xfId="7890" applyFont="1" applyFill="1" applyBorder="1" applyAlignment="1" applyProtection="1">
      <alignment horizontal="left" vertical="center"/>
    </xf>
    <xf numFmtId="257" fontId="16" fillId="0" borderId="27" xfId="7890" applyNumberFormat="1" applyFont="1" applyFill="1" applyBorder="1" applyAlignment="1" applyProtection="1">
      <alignment horizontal="right" vertical="center"/>
    </xf>
    <xf numFmtId="257" fontId="16" fillId="0" borderId="105" xfId="7890" applyNumberFormat="1" applyFont="1" applyFill="1" applyBorder="1" applyAlignment="1" applyProtection="1">
      <alignment horizontal="right" vertical="center"/>
    </xf>
    <xf numFmtId="257" fontId="16" fillId="0" borderId="112" xfId="7890" applyNumberFormat="1" applyFont="1" applyFill="1" applyBorder="1" applyAlignment="1" applyProtection="1">
      <alignment horizontal="right" vertical="center"/>
    </xf>
    <xf numFmtId="257" fontId="16" fillId="0" borderId="247" xfId="7890" applyNumberFormat="1" applyFont="1" applyFill="1" applyBorder="1" applyAlignment="1" applyProtection="1">
      <alignment horizontal="right" vertical="center"/>
    </xf>
    <xf numFmtId="0" fontId="333" fillId="0" borderId="27" xfId="7889" applyBorder="1" applyAlignment="1">
      <alignment vertical="center"/>
    </xf>
    <xf numFmtId="0" fontId="333" fillId="0" borderId="112" xfId="7889" applyBorder="1" applyAlignment="1">
      <alignment vertical="center"/>
    </xf>
    <xf numFmtId="257" fontId="14" fillId="0" borderId="27" xfId="7890" applyNumberFormat="1" applyFont="1" applyFill="1" applyBorder="1" applyAlignment="1" applyProtection="1">
      <alignment horizontal="right" vertical="center"/>
    </xf>
    <xf numFmtId="257" fontId="14" fillId="0" borderId="112" xfId="7890" applyNumberFormat="1" applyFont="1" applyFill="1" applyBorder="1" applyAlignment="1" applyProtection="1">
      <alignment horizontal="right" vertical="center"/>
    </xf>
    <xf numFmtId="0" fontId="337" fillId="123" borderId="106" xfId="7890" applyFont="1" applyFill="1" applyBorder="1" applyAlignment="1" applyProtection="1">
      <alignment horizontal="left" vertical="center"/>
    </xf>
    <xf numFmtId="281" fontId="14" fillId="0" borderId="27" xfId="7890" quotePrefix="1" applyNumberFormat="1" applyFont="1" applyFill="1" applyBorder="1" applyAlignment="1">
      <alignment horizontal="right" vertical="center"/>
    </xf>
    <xf numFmtId="281" fontId="14" fillId="0" borderId="112" xfId="7890" quotePrefix="1" applyNumberFormat="1" applyFont="1" applyFill="1" applyBorder="1" applyAlignment="1">
      <alignment horizontal="right" vertical="center"/>
    </xf>
    <xf numFmtId="0" fontId="14" fillId="123" borderId="109" xfId="7890" applyFont="1" applyFill="1" applyBorder="1" applyAlignment="1" applyProtection="1">
      <alignment horizontal="left" vertical="center"/>
    </xf>
    <xf numFmtId="281" fontId="14" fillId="0" borderId="110" xfId="7890" quotePrefix="1" applyNumberFormat="1" applyFont="1" applyFill="1" applyBorder="1" applyAlignment="1">
      <alignment horizontal="right" vertical="center"/>
    </xf>
    <xf numFmtId="281" fontId="14" fillId="0" borderId="114" xfId="7890" quotePrefix="1" applyNumberFormat="1" applyFont="1" applyFill="1" applyBorder="1" applyAlignment="1">
      <alignment horizontal="right" vertical="center"/>
    </xf>
    <xf numFmtId="0" fontId="243" fillId="0" borderId="0" xfId="7890" applyFont="1" applyFill="1" applyAlignment="1" applyProtection="1">
      <alignment horizontal="left" vertical="center"/>
    </xf>
    <xf numFmtId="0" fontId="215" fillId="0" borderId="0" xfId="7890" applyFont="1" applyFill="1" applyAlignment="1">
      <alignment vertical="center"/>
    </xf>
    <xf numFmtId="0" fontId="215" fillId="0" borderId="0" xfId="7890" applyFont="1" applyAlignment="1">
      <alignment vertical="center"/>
    </xf>
    <xf numFmtId="0" fontId="333" fillId="0" borderId="0" xfId="7889" applyAlignment="1">
      <alignment vertical="center"/>
    </xf>
    <xf numFmtId="0" fontId="338" fillId="0" borderId="0" xfId="7889" applyFont="1" applyAlignment="1">
      <alignment vertical="center"/>
    </xf>
    <xf numFmtId="0" fontId="242" fillId="0" borderId="0" xfId="7890" applyFont="1" applyFill="1" applyAlignment="1" applyProtection="1">
      <alignment horizontal="left" vertical="center"/>
    </xf>
    <xf numFmtId="0" fontId="243" fillId="0" borderId="0" xfId="7889" applyFont="1"/>
    <xf numFmtId="0" fontId="243" fillId="0" borderId="0" xfId="7890" applyFont="1" applyAlignment="1" applyProtection="1">
      <alignment horizontal="left" vertical="center"/>
    </xf>
    <xf numFmtId="0" fontId="242" fillId="0" borderId="0" xfId="7889" applyFont="1" applyFill="1" applyBorder="1" applyAlignment="1" applyProtection="1">
      <alignment horizontal="left" vertical="center"/>
    </xf>
    <xf numFmtId="265" fontId="215" fillId="0" borderId="0" xfId="7889" applyNumberFormat="1" applyFont="1" applyBorder="1" applyAlignment="1">
      <alignment vertical="center"/>
    </xf>
    <xf numFmtId="0" fontId="215" fillId="0" borderId="0" xfId="7889" applyFont="1" applyFill="1" applyBorder="1" applyAlignment="1">
      <alignment vertical="center"/>
    </xf>
    <xf numFmtId="0" fontId="15" fillId="0" borderId="0" xfId="7889" applyFont="1" applyFill="1" applyAlignment="1" applyProtection="1">
      <alignment horizontal="left"/>
    </xf>
    <xf numFmtId="0" fontId="97" fillId="0" borderId="0" xfId="7889" applyFont="1" applyAlignment="1">
      <alignment vertical="center"/>
    </xf>
    <xf numFmtId="0" fontId="13" fillId="0" borderId="0" xfId="7889" applyFont="1" applyFill="1" applyAlignment="1" applyProtection="1">
      <alignment horizontal="left" vertical="center"/>
    </xf>
    <xf numFmtId="0" fontId="6" fillId="0" borderId="0" xfId="7889" applyFont="1" applyAlignment="1">
      <alignment vertical="center"/>
    </xf>
    <xf numFmtId="0" fontId="16" fillId="0" borderId="0" xfId="7889" applyFont="1" applyFill="1"/>
    <xf numFmtId="0" fontId="16" fillId="0" borderId="0" xfId="7889" applyFont="1" applyFill="1" applyAlignment="1">
      <alignment horizontal="center"/>
    </xf>
    <xf numFmtId="0" fontId="122" fillId="0" borderId="0" xfId="7889" applyFont="1" applyAlignment="1">
      <alignment vertical="center"/>
    </xf>
    <xf numFmtId="0" fontId="153" fillId="0" borderId="0" xfId="7889" applyFont="1"/>
    <xf numFmtId="0" fontId="333" fillId="0" borderId="0" xfId="7889" applyFont="1"/>
    <xf numFmtId="0" fontId="14" fillId="123" borderId="139" xfId="7889" applyFont="1" applyFill="1" applyBorder="1" applyAlignment="1" applyProtection="1">
      <alignment horizontal="center" vertical="center" wrapText="1"/>
    </xf>
    <xf numFmtId="0" fontId="14" fillId="123" borderId="137" xfId="7889" applyFont="1" applyFill="1" applyBorder="1" applyAlignment="1" applyProtection="1">
      <alignment horizontal="center" vertical="center" wrapText="1"/>
    </xf>
    <xf numFmtId="0" fontId="14" fillId="123" borderId="136" xfId="7889" applyFont="1" applyFill="1" applyBorder="1" applyAlignment="1" applyProtection="1">
      <alignment horizontal="center" vertical="center" wrapText="1"/>
    </xf>
    <xf numFmtId="0" fontId="14" fillId="123" borderId="246" xfId="7889" applyFont="1" applyFill="1" applyBorder="1" applyAlignment="1" applyProtection="1">
      <alignment horizontal="center" vertical="center" wrapText="1"/>
    </xf>
    <xf numFmtId="0" fontId="336" fillId="0" borderId="0" xfId="7889" applyFont="1" applyAlignment="1">
      <alignment vertical="center" wrapText="1"/>
    </xf>
    <xf numFmtId="0" fontId="333" fillId="0" borderId="0" xfId="7889" applyFont="1" applyAlignment="1">
      <alignment vertical="center" wrapText="1"/>
    </xf>
    <xf numFmtId="17" fontId="14" fillId="123" borderId="106" xfId="7889" applyNumberFormat="1" applyFont="1" applyFill="1" applyBorder="1" applyAlignment="1" applyProtection="1">
      <alignment horizontal="left"/>
    </xf>
    <xf numFmtId="257" fontId="16" fillId="0" borderId="27" xfId="7889" applyNumberFormat="1" applyFont="1" applyFill="1" applyBorder="1" applyAlignment="1" applyProtection="1">
      <alignment horizontal="right"/>
    </xf>
    <xf numFmtId="257" fontId="16" fillId="0" borderId="0" xfId="7889" applyNumberFormat="1" applyFont="1" applyFill="1" applyBorder="1" applyAlignment="1" applyProtection="1">
      <alignment horizontal="right"/>
    </xf>
    <xf numFmtId="257" fontId="16" fillId="0" borderId="112" xfId="7889" applyNumberFormat="1" applyFont="1" applyFill="1" applyBorder="1" applyAlignment="1" applyProtection="1">
      <alignment horizontal="right"/>
    </xf>
    <xf numFmtId="0" fontId="14" fillId="142" borderId="109" xfId="7889" applyFont="1" applyFill="1" applyBorder="1" applyAlignment="1" applyProtection="1">
      <alignment horizontal="left"/>
    </xf>
    <xf numFmtId="281" fontId="16" fillId="0" borderId="110" xfId="7889" quotePrefix="1" applyNumberFormat="1" applyFont="1" applyFill="1" applyBorder="1" applyAlignment="1">
      <alignment horizontal="right"/>
    </xf>
    <xf numFmtId="281" fontId="16" fillId="0" borderId="7" xfId="7889" quotePrefix="1" applyNumberFormat="1" applyFont="1" applyFill="1" applyBorder="1" applyAlignment="1">
      <alignment horizontal="right"/>
    </xf>
    <xf numFmtId="281" fontId="16" fillId="0" borderId="114" xfId="7889" quotePrefix="1" applyNumberFormat="1" applyFont="1" applyFill="1" applyBorder="1" applyAlignment="1">
      <alignment horizontal="right"/>
    </xf>
    <xf numFmtId="0" fontId="215" fillId="0" borderId="0" xfId="7889" applyFont="1" applyAlignment="1">
      <alignment vertical="center"/>
    </xf>
    <xf numFmtId="0" fontId="243" fillId="0" borderId="0" xfId="7889" applyFont="1" applyFill="1"/>
    <xf numFmtId="0" fontId="243" fillId="0" borderId="0" xfId="7889" applyFont="1" applyFill="1" applyAlignment="1">
      <alignment horizontal="center"/>
    </xf>
    <xf numFmtId="0" fontId="122" fillId="0" borderId="0" xfId="7889" applyFont="1" applyFill="1" applyAlignment="1">
      <alignment vertical="center"/>
    </xf>
    <xf numFmtId="0" fontId="339" fillId="0" borderId="0" xfId="7889" applyFont="1" applyFill="1" applyAlignment="1">
      <alignment horizontal="center"/>
    </xf>
    <xf numFmtId="0" fontId="333" fillId="0" borderId="0" xfId="7889"/>
    <xf numFmtId="0" fontId="9" fillId="35" borderId="0" xfId="6823" applyFont="1" applyFill="1" applyAlignment="1" applyProtection="1">
      <alignment horizontal="left"/>
    </xf>
    <xf numFmtId="0" fontId="7" fillId="35" borderId="0" xfId="6823" applyFont="1" applyFill="1" applyAlignment="1">
      <alignment horizontal="center"/>
    </xf>
    <xf numFmtId="0" fontId="6" fillId="35" borderId="0" xfId="6823" applyFont="1" applyFill="1"/>
    <xf numFmtId="0" fontId="6" fillId="35" borderId="0" xfId="6823" applyFont="1" applyFill="1" applyAlignment="1">
      <alignment vertical="center"/>
    </xf>
    <xf numFmtId="0" fontId="340" fillId="35" borderId="0" xfId="6823" applyFont="1" applyFill="1" applyAlignment="1">
      <alignment vertical="center"/>
    </xf>
    <xf numFmtId="0" fontId="37" fillId="35" borderId="0" xfId="6823" applyFont="1" applyFill="1"/>
    <xf numFmtId="0" fontId="7" fillId="35" borderId="0" xfId="6823" applyFont="1" applyFill="1"/>
    <xf numFmtId="0" fontId="38" fillId="35" borderId="0" xfId="6823" applyFont="1" applyFill="1" applyAlignment="1">
      <alignment horizontal="center"/>
    </xf>
    <xf numFmtId="265" fontId="7" fillId="35" borderId="0" xfId="7502" applyNumberFormat="1" applyFont="1" applyFill="1"/>
    <xf numFmtId="0" fontId="341" fillId="35" borderId="0" xfId="6823" applyFont="1" applyFill="1" applyAlignment="1">
      <alignment vertical="center"/>
    </xf>
    <xf numFmtId="0" fontId="84" fillId="143" borderId="25" xfId="6823" applyFont="1" applyFill="1" applyBorder="1" applyAlignment="1">
      <alignment horizontal="center" vertical="center"/>
    </xf>
    <xf numFmtId="0" fontId="7" fillId="35" borderId="0" xfId="6823" applyFont="1" applyFill="1" applyAlignment="1">
      <alignment vertical="center" wrapText="1"/>
    </xf>
    <xf numFmtId="172" fontId="84" fillId="123" borderId="27" xfId="6823" applyNumberFormat="1" applyFont="1" applyFill="1" applyBorder="1" applyAlignment="1">
      <alignment horizontal="center" vertical="center"/>
    </xf>
    <xf numFmtId="0" fontId="7" fillId="35" borderId="0" xfId="6823" applyFont="1" applyFill="1" applyAlignment="1">
      <alignment vertical="center"/>
    </xf>
    <xf numFmtId="0" fontId="7" fillId="35" borderId="0" xfId="6823" applyFont="1" applyFill="1" applyBorder="1"/>
    <xf numFmtId="0" fontId="7" fillId="35" borderId="0" xfId="6823" applyFont="1" applyFill="1" applyBorder="1" applyAlignment="1">
      <alignment vertical="center"/>
    </xf>
    <xf numFmtId="0" fontId="341" fillId="35" borderId="0" xfId="6823" applyFont="1" applyFill="1" applyBorder="1" applyAlignment="1">
      <alignment vertical="center"/>
    </xf>
    <xf numFmtId="234" fontId="341" fillId="35" borderId="0" xfId="6823" applyNumberFormat="1" applyFont="1" applyFill="1" applyBorder="1" applyAlignment="1">
      <alignment vertical="center"/>
    </xf>
    <xf numFmtId="172" fontId="84" fillId="123" borderId="28" xfId="6823" applyNumberFormat="1" applyFont="1" applyFill="1" applyBorder="1" applyAlignment="1">
      <alignment horizontal="center" vertical="center"/>
    </xf>
    <xf numFmtId="0" fontId="244" fillId="35" borderId="0" xfId="6823" applyFont="1" applyFill="1"/>
    <xf numFmtId="0" fontId="40" fillId="35" borderId="0" xfId="6823" applyFont="1" applyFill="1" applyAlignment="1">
      <alignment vertical="center"/>
    </xf>
    <xf numFmtId="0" fontId="342" fillId="35" borderId="0" xfId="6823" applyFont="1" applyFill="1" applyAlignment="1">
      <alignment vertical="center"/>
    </xf>
    <xf numFmtId="0" fontId="9" fillId="35" borderId="0" xfId="6823" applyFont="1" applyFill="1" applyAlignment="1">
      <alignment vertical="center"/>
    </xf>
    <xf numFmtId="0" fontId="84" fillId="35" borderId="0" xfId="6823" applyFont="1" applyFill="1" applyAlignment="1">
      <alignment vertical="center"/>
    </xf>
    <xf numFmtId="0" fontId="37" fillId="35" borderId="0" xfId="6823" applyFont="1" applyFill="1" applyBorder="1" applyAlignment="1">
      <alignment vertical="center"/>
    </xf>
    <xf numFmtId="0" fontId="6" fillId="35" borderId="0" xfId="6823" applyFont="1" applyFill="1" applyBorder="1" applyAlignment="1">
      <alignment vertical="center"/>
    </xf>
    <xf numFmtId="0" fontId="84" fillId="123" borderId="237" xfId="6823" applyFont="1" applyFill="1" applyBorder="1" applyAlignment="1">
      <alignment horizontal="center" vertical="center"/>
    </xf>
    <xf numFmtId="0" fontId="84" fillId="123" borderId="227" xfId="6823" applyFont="1" applyFill="1" applyBorder="1" applyAlignment="1">
      <alignment horizontal="center" vertical="center"/>
    </xf>
    <xf numFmtId="0" fontId="84" fillId="123" borderId="226" xfId="6823" applyFont="1" applyFill="1" applyBorder="1" applyAlignment="1">
      <alignment horizontal="center" vertical="center"/>
    </xf>
    <xf numFmtId="0" fontId="84" fillId="123" borderId="240" xfId="6823" applyFont="1" applyFill="1" applyBorder="1" applyAlignment="1">
      <alignment horizontal="center" vertical="center"/>
    </xf>
    <xf numFmtId="0" fontId="40" fillId="123" borderId="106" xfId="6823" applyFont="1" applyFill="1" applyBorder="1" applyAlignment="1">
      <alignment vertical="center"/>
    </xf>
    <xf numFmtId="0" fontId="37" fillId="35" borderId="104" xfId="6823" applyFont="1" applyFill="1" applyBorder="1" applyAlignment="1">
      <alignment horizontal="center" vertical="center"/>
    </xf>
    <xf numFmtId="0" fontId="37" fillId="35" borderId="0" xfId="6823" applyFont="1" applyFill="1" applyBorder="1" applyAlignment="1">
      <alignment horizontal="center" vertical="center"/>
    </xf>
    <xf numFmtId="0" fontId="37" fillId="35" borderId="112" xfId="6823" applyFont="1" applyFill="1" applyBorder="1" applyAlignment="1">
      <alignment horizontal="center" vertical="center"/>
    </xf>
    <xf numFmtId="0" fontId="37" fillId="35" borderId="47" xfId="6823" applyFont="1" applyFill="1" applyBorder="1" applyAlignment="1">
      <alignment horizontal="center" vertical="center"/>
    </xf>
    <xf numFmtId="0" fontId="37" fillId="35" borderId="250" xfId="6823" applyFont="1" applyFill="1" applyBorder="1" applyAlignment="1">
      <alignment horizontal="center" vertical="center"/>
    </xf>
    <xf numFmtId="0" fontId="37" fillId="35" borderId="115" xfId="6823" applyFont="1" applyFill="1" applyBorder="1" applyAlignment="1">
      <alignment horizontal="center" vertical="center"/>
    </xf>
    <xf numFmtId="0" fontId="37" fillId="35" borderId="4" xfId="6823" applyFont="1" applyFill="1" applyBorder="1" applyAlignment="1">
      <alignment horizontal="center" vertical="center"/>
    </xf>
    <xf numFmtId="0" fontId="84" fillId="123" borderId="106" xfId="6823" applyFont="1" applyFill="1" applyBorder="1" applyAlignment="1" applyProtection="1">
      <alignment horizontal="left"/>
    </xf>
    <xf numFmtId="257" fontId="40" fillId="35" borderId="0" xfId="6823" applyNumberFormat="1" applyFont="1" applyFill="1" applyBorder="1" applyAlignment="1">
      <alignment horizontal="right" vertical="center"/>
    </xf>
    <xf numFmtId="257" fontId="40" fillId="35" borderId="47" xfId="6823" applyNumberFormat="1" applyFont="1" applyFill="1" applyBorder="1" applyAlignment="1">
      <alignment horizontal="right" vertical="center"/>
    </xf>
    <xf numFmtId="257" fontId="40" fillId="35" borderId="27" xfId="6823" applyNumberFormat="1" applyFont="1" applyFill="1" applyBorder="1" applyAlignment="1">
      <alignment horizontal="right" vertical="center"/>
    </xf>
    <xf numFmtId="234" fontId="40" fillId="35" borderId="27" xfId="6823" applyNumberFormat="1" applyFont="1" applyFill="1" applyBorder="1" applyAlignment="1">
      <alignment horizontal="right" vertical="center"/>
    </xf>
    <xf numFmtId="234" fontId="40" fillId="35" borderId="112" xfId="6823" applyNumberFormat="1" applyFont="1" applyFill="1" applyBorder="1" applyAlignment="1">
      <alignment horizontal="right" vertical="center"/>
    </xf>
    <xf numFmtId="234" fontId="40" fillId="35" borderId="5" xfId="6823" applyNumberFormat="1" applyFont="1" applyFill="1" applyBorder="1" applyAlignment="1">
      <alignment horizontal="right" vertical="center"/>
    </xf>
    <xf numFmtId="234" fontId="341" fillId="35" borderId="0" xfId="6823" applyNumberFormat="1" applyFont="1" applyFill="1" applyAlignment="1">
      <alignment vertical="center"/>
    </xf>
    <xf numFmtId="257" fontId="341" fillId="35" borderId="0" xfId="6823" applyNumberFormat="1" applyFont="1" applyFill="1" applyAlignment="1">
      <alignment vertical="center"/>
    </xf>
    <xf numFmtId="0" fontId="342" fillId="35" borderId="47" xfId="6823" applyFont="1" applyFill="1" applyBorder="1" applyAlignment="1">
      <alignment vertical="center"/>
    </xf>
    <xf numFmtId="0" fontId="40" fillId="35" borderId="27" xfId="6823" applyFont="1" applyFill="1" applyBorder="1" applyAlignment="1">
      <alignment horizontal="right" vertical="center"/>
    </xf>
    <xf numFmtId="0" fontId="40" fillId="35" borderId="47" xfId="6823" applyFont="1" applyFill="1" applyBorder="1" applyAlignment="1">
      <alignment horizontal="right" vertical="center"/>
    </xf>
    <xf numFmtId="0" fontId="40" fillId="35" borderId="5" xfId="6823" applyFont="1" applyFill="1" applyBorder="1" applyAlignment="1">
      <alignment horizontal="right" vertical="center"/>
    </xf>
    <xf numFmtId="0" fontId="84" fillId="123" borderId="109" xfId="6823" applyFont="1" applyFill="1" applyBorder="1" applyAlignment="1">
      <alignment horizontal="left" vertical="center"/>
    </xf>
    <xf numFmtId="257" fontId="39" fillId="124" borderId="173" xfId="6823" applyNumberFormat="1" applyFont="1" applyFill="1" applyBorder="1" applyAlignment="1">
      <alignment horizontal="right" vertical="center"/>
    </xf>
    <xf numFmtId="234" fontId="39" fillId="124" borderId="173" xfId="6823" applyNumberFormat="1" applyFont="1" applyFill="1" applyBorder="1" applyAlignment="1">
      <alignment horizontal="right" vertical="center"/>
    </xf>
    <xf numFmtId="234" fontId="39" fillId="124" borderId="114" xfId="6823" applyNumberFormat="1" applyFont="1" applyFill="1" applyBorder="1" applyAlignment="1">
      <alignment horizontal="right" vertical="center"/>
    </xf>
    <xf numFmtId="0" fontId="38" fillId="35" borderId="0" xfId="6823" applyFont="1" applyFill="1" applyAlignment="1">
      <alignment vertical="center"/>
    </xf>
    <xf numFmtId="0" fontId="98" fillId="35" borderId="0" xfId="6823" applyFont="1" applyFill="1" applyAlignment="1">
      <alignment vertical="center"/>
    </xf>
    <xf numFmtId="49" fontId="38" fillId="35" borderId="0" xfId="6823" applyNumberFormat="1" applyFont="1" applyFill="1" applyAlignment="1">
      <alignment vertical="center"/>
    </xf>
    <xf numFmtId="4" fontId="340" fillId="35" borderId="0" xfId="6823" applyNumberFormat="1" applyFont="1" applyFill="1" applyAlignment="1">
      <alignment vertical="center"/>
    </xf>
    <xf numFmtId="0" fontId="38" fillId="35" borderId="0" xfId="6823" applyFont="1" applyFill="1"/>
    <xf numFmtId="0" fontId="84" fillId="123" borderId="174" xfId="6823" applyFont="1" applyFill="1" applyBorder="1" applyAlignment="1">
      <alignment horizontal="center" vertical="center"/>
    </xf>
    <xf numFmtId="0" fontId="84" fillId="123" borderId="137" xfId="6823" applyFont="1" applyFill="1" applyBorder="1" applyAlignment="1">
      <alignment horizontal="center" vertical="center"/>
    </xf>
    <xf numFmtId="0" fontId="84" fillId="123" borderId="246" xfId="6823" applyFont="1" applyFill="1" applyBorder="1" applyAlignment="1">
      <alignment horizontal="center" vertical="center"/>
    </xf>
    <xf numFmtId="17" fontId="37" fillId="35" borderId="106" xfId="7891" applyNumberFormat="1" applyFont="1" applyFill="1" applyBorder="1" applyAlignment="1" applyProtection="1">
      <alignment horizontal="left" vertical="center"/>
    </xf>
    <xf numFmtId="257" fontId="37" fillId="35" borderId="27" xfId="7891" applyNumberFormat="1" applyFont="1" applyFill="1" applyBorder="1" applyAlignment="1" applyProtection="1">
      <alignment horizontal="center" vertical="center"/>
    </xf>
    <xf numFmtId="257" fontId="38" fillId="35" borderId="27" xfId="7891" applyNumberFormat="1" applyFont="1" applyFill="1" applyBorder="1" applyAlignment="1" applyProtection="1">
      <alignment horizontal="center" vertical="center"/>
    </xf>
    <xf numFmtId="257" fontId="38" fillId="35" borderId="112" xfId="7891" applyNumberFormat="1" applyFont="1" applyFill="1" applyBorder="1" applyAlignment="1" applyProtection="1">
      <alignment horizontal="center" vertical="center"/>
    </xf>
    <xf numFmtId="17" fontId="84" fillId="3" borderId="106" xfId="7891" applyNumberFormat="1" applyFont="1" applyFill="1" applyBorder="1" applyAlignment="1" applyProtection="1">
      <alignment horizontal="left" vertical="center"/>
    </xf>
    <xf numFmtId="257" fontId="40" fillId="35" borderId="111" xfId="6823" applyNumberFormat="1" applyFont="1" applyFill="1" applyBorder="1" applyAlignment="1">
      <alignment horizontal="right" vertical="center"/>
    </xf>
    <xf numFmtId="17" fontId="84" fillId="3" borderId="109" xfId="7891" applyNumberFormat="1" applyFont="1" applyFill="1" applyBorder="1" applyAlignment="1" applyProtection="1">
      <alignment horizontal="left" vertical="center"/>
    </xf>
    <xf numFmtId="257" fontId="40" fillId="35" borderId="113" xfId="7891" applyNumberFormat="1" applyFont="1" applyFill="1" applyBorder="1" applyAlignment="1" applyProtection="1">
      <alignment horizontal="right" vertical="center"/>
    </xf>
    <xf numFmtId="257" fontId="40" fillId="35" borderId="110" xfId="7891" applyNumberFormat="1" applyFont="1" applyFill="1" applyBorder="1" applyAlignment="1" applyProtection="1">
      <alignment horizontal="right" vertical="center"/>
    </xf>
    <xf numFmtId="0" fontId="244" fillId="35" borderId="0" xfId="6823" applyFont="1" applyFill="1" applyAlignment="1">
      <alignment vertical="center"/>
    </xf>
    <xf numFmtId="0" fontId="343" fillId="35" borderId="0" xfId="6823" applyFont="1" applyFill="1" applyAlignment="1">
      <alignment vertical="center"/>
    </xf>
    <xf numFmtId="49" fontId="244" fillId="35" borderId="0" xfId="6823" applyNumberFormat="1" applyFont="1" applyFill="1" applyAlignment="1">
      <alignment vertical="center"/>
    </xf>
    <xf numFmtId="257" fontId="340" fillId="35" borderId="0" xfId="6823" applyNumberFormat="1" applyFont="1" applyFill="1" applyAlignment="1">
      <alignment vertical="center"/>
    </xf>
    <xf numFmtId="0" fontId="9" fillId="35" borderId="0" xfId="7098" applyFont="1" applyFill="1" applyAlignment="1">
      <alignment horizontal="left" vertical="center"/>
    </xf>
    <xf numFmtId="0" fontId="344" fillId="35" borderId="0" xfId="7098" applyFont="1" applyFill="1" applyAlignment="1">
      <alignment vertical="center"/>
    </xf>
    <xf numFmtId="0" fontId="345" fillId="35" borderId="0" xfId="7098" applyFont="1" applyFill="1" applyAlignment="1">
      <alignment vertical="center"/>
    </xf>
    <xf numFmtId="0" fontId="346" fillId="35" borderId="0" xfId="7098" applyFont="1" applyFill="1" applyAlignment="1">
      <alignment vertical="center"/>
    </xf>
    <xf numFmtId="0" fontId="346" fillId="35" borderId="0" xfId="7098" applyFont="1" applyFill="1" applyAlignment="1">
      <alignment horizontal="center" vertical="center"/>
    </xf>
    <xf numFmtId="0" fontId="347" fillId="35" borderId="0" xfId="7098" applyFont="1" applyFill="1" applyAlignment="1">
      <alignment vertical="center"/>
    </xf>
    <xf numFmtId="0" fontId="39" fillId="2" borderId="234" xfId="7098" applyFont="1" applyFill="1" applyBorder="1" applyAlignment="1">
      <alignment horizontal="center" vertical="center"/>
    </xf>
    <xf numFmtId="0" fontId="39" fillId="2" borderId="172" xfId="7098" applyFont="1" applyFill="1" applyBorder="1" applyAlignment="1">
      <alignment horizontal="center" vertical="center"/>
    </xf>
    <xf numFmtId="0" fontId="39" fillId="2" borderId="251" xfId="7098" applyFont="1" applyFill="1" applyBorder="1" applyAlignment="1">
      <alignment horizontal="center" vertical="center"/>
    </xf>
    <xf numFmtId="0" fontId="39" fillId="2" borderId="220" xfId="7098" applyFont="1" applyFill="1" applyBorder="1" applyAlignment="1">
      <alignment horizontal="center" vertical="center"/>
    </xf>
    <xf numFmtId="0" fontId="39" fillId="2" borderId="252" xfId="7098" applyFont="1" applyFill="1" applyBorder="1" applyAlignment="1">
      <alignment horizontal="center" vertical="center"/>
    </xf>
    <xf numFmtId="0" fontId="39" fillId="2" borderId="161" xfId="7098" applyFont="1" applyFill="1" applyBorder="1" applyAlignment="1">
      <alignment horizontal="center" vertical="center"/>
    </xf>
    <xf numFmtId="0" fontId="39" fillId="2" borderId="107" xfId="7098" applyFont="1" applyFill="1" applyBorder="1" applyAlignment="1">
      <alignment horizontal="center" vertical="center"/>
    </xf>
    <xf numFmtId="0" fontId="39" fillId="2" borderId="112" xfId="7098" applyFont="1" applyFill="1" applyBorder="1" applyAlignment="1">
      <alignment horizontal="center" vertical="center"/>
    </xf>
    <xf numFmtId="0" fontId="39" fillId="2" borderId="0" xfId="7098" applyFont="1" applyFill="1" applyBorder="1" applyAlignment="1">
      <alignment horizontal="center" vertical="center"/>
    </xf>
    <xf numFmtId="0" fontId="39" fillId="2" borderId="37" xfId="7098" applyFont="1" applyFill="1" applyBorder="1" applyAlignment="1">
      <alignment horizontal="center" vertical="center"/>
    </xf>
    <xf numFmtId="0" fontId="39" fillId="2" borderId="47" xfId="7098" applyFont="1" applyFill="1" applyBorder="1" applyAlignment="1">
      <alignment horizontal="center" vertical="center"/>
    </xf>
    <xf numFmtId="0" fontId="39" fillId="2" borderId="253" xfId="7098" applyFont="1" applyFill="1" applyBorder="1" applyAlignment="1">
      <alignment horizontal="center" vertical="center"/>
    </xf>
    <xf numFmtId="0" fontId="39" fillId="2" borderId="96" xfId="7098" applyFont="1" applyFill="1" applyBorder="1" applyAlignment="1">
      <alignment horizontal="center" vertical="center"/>
    </xf>
    <xf numFmtId="0" fontId="39" fillId="2" borderId="27" xfId="7098" applyFont="1" applyFill="1" applyBorder="1" applyAlignment="1">
      <alignment horizontal="center" vertical="center"/>
    </xf>
    <xf numFmtId="0" fontId="244" fillId="2" borderId="112" xfId="7098" applyFont="1" applyFill="1" applyBorder="1" applyAlignment="1">
      <alignment horizontal="center" vertical="center"/>
    </xf>
    <xf numFmtId="0" fontId="244" fillId="2" borderId="224" xfId="7098" applyFont="1" applyFill="1" applyBorder="1" applyAlignment="1">
      <alignment horizontal="center" vertical="center" wrapText="1"/>
    </xf>
    <xf numFmtId="0" fontId="244" fillId="2" borderId="27" xfId="7098" applyFont="1" applyFill="1" applyBorder="1" applyAlignment="1">
      <alignment horizontal="center" vertical="center" wrapText="1"/>
    </xf>
    <xf numFmtId="0" fontId="348" fillId="35" borderId="0" xfId="7098" applyFont="1" applyFill="1" applyAlignment="1">
      <alignment vertical="center"/>
    </xf>
    <xf numFmtId="0" fontId="244" fillId="2" borderId="114" xfId="7098" applyFont="1" applyFill="1" applyBorder="1" applyAlignment="1">
      <alignment horizontal="center" vertical="center"/>
    </xf>
    <xf numFmtId="0" fontId="244" fillId="2" borderId="257" xfId="7098" applyFont="1" applyFill="1" applyBorder="1" applyAlignment="1">
      <alignment horizontal="center" vertical="center" wrapText="1"/>
    </xf>
    <xf numFmtId="0" fontId="244" fillId="2" borderId="110" xfId="7098" applyFont="1" applyFill="1" applyBorder="1" applyAlignment="1">
      <alignment horizontal="center" vertical="center" wrapText="1"/>
    </xf>
    <xf numFmtId="0" fontId="349" fillId="35" borderId="0" xfId="7098" applyFont="1" applyFill="1" applyAlignment="1">
      <alignment vertical="center"/>
    </xf>
    <xf numFmtId="0" fontId="350" fillId="125" borderId="112" xfId="7098" applyFont="1" applyFill="1" applyBorder="1" applyAlignment="1">
      <alignment horizontal="center" vertical="center"/>
    </xf>
    <xf numFmtId="0" fontId="350" fillId="35" borderId="0" xfId="7098" applyFont="1" applyFill="1" applyBorder="1" applyAlignment="1">
      <alignment horizontal="center" vertical="center"/>
    </xf>
    <xf numFmtId="0" fontId="350" fillId="35" borderId="37" xfId="7098" applyFont="1" applyFill="1" applyBorder="1" applyAlignment="1">
      <alignment horizontal="center" vertical="center"/>
    </xf>
    <xf numFmtId="0" fontId="350" fillId="35" borderId="47" xfId="7098" applyFont="1" applyFill="1" applyBorder="1" applyAlignment="1">
      <alignment horizontal="center" vertical="center"/>
    </xf>
    <xf numFmtId="0" fontId="350" fillId="35" borderId="253" xfId="7098" applyFont="1" applyFill="1" applyBorder="1" applyAlignment="1">
      <alignment horizontal="center" vertical="center"/>
    </xf>
    <xf numFmtId="0" fontId="350" fillId="35" borderId="96" xfId="7098" applyFont="1" applyFill="1" applyBorder="1" applyAlignment="1">
      <alignment horizontal="center" vertical="center"/>
    </xf>
    <xf numFmtId="0" fontId="350" fillId="35" borderId="27" xfId="7098" applyFont="1" applyFill="1" applyBorder="1" applyAlignment="1">
      <alignment horizontal="center" vertical="center"/>
    </xf>
    <xf numFmtId="17" fontId="193" fillId="125" borderId="112" xfId="7098" applyNumberFormat="1" applyFont="1" applyFill="1" applyBorder="1" applyAlignment="1">
      <alignment horizontal="center" vertical="center"/>
    </xf>
    <xf numFmtId="257" fontId="215" fillId="35" borderId="0" xfId="7098" applyNumberFormat="1" applyFont="1" applyFill="1" applyBorder="1" applyAlignment="1">
      <alignment horizontal="right" vertical="center"/>
    </xf>
    <xf numFmtId="257" fontId="215" fillId="35" borderId="37" xfId="7098" applyNumberFormat="1" applyFont="1" applyFill="1" applyBorder="1" applyAlignment="1">
      <alignment horizontal="center" vertical="center"/>
    </xf>
    <xf numFmtId="257" fontId="215" fillId="35" borderId="47" xfId="7098" applyNumberFormat="1" applyFont="1" applyFill="1" applyBorder="1" applyAlignment="1">
      <alignment horizontal="center" vertical="center"/>
    </xf>
    <xf numFmtId="257" fontId="215" fillId="35" borderId="253" xfId="7098" applyNumberFormat="1" applyFont="1" applyFill="1" applyBorder="1" applyAlignment="1">
      <alignment horizontal="center" vertical="center"/>
    </xf>
    <xf numFmtId="257" fontId="215" fillId="35" borderId="96" xfId="7098" applyNumberFormat="1" applyFont="1" applyFill="1" applyBorder="1" applyAlignment="1">
      <alignment horizontal="center" vertical="center"/>
    </xf>
    <xf numFmtId="257" fontId="215" fillId="35" borderId="27" xfId="7098" applyNumberFormat="1" applyFont="1" applyFill="1" applyBorder="1" applyAlignment="1">
      <alignment horizontal="center" vertical="center"/>
    </xf>
    <xf numFmtId="2" fontId="215" fillId="35" borderId="37" xfId="7098" applyNumberFormat="1" applyFont="1" applyFill="1" applyBorder="1" applyAlignment="1">
      <alignment horizontal="center" vertical="center"/>
    </xf>
    <xf numFmtId="17" fontId="193" fillId="125" borderId="112" xfId="7098" quotePrefix="1" applyNumberFormat="1" applyFont="1" applyFill="1" applyBorder="1" applyAlignment="1">
      <alignment horizontal="center" vertical="center"/>
    </xf>
    <xf numFmtId="2" fontId="215" fillId="35" borderId="253" xfId="7098" applyNumberFormat="1" applyFont="1" applyFill="1" applyBorder="1" applyAlignment="1">
      <alignment horizontal="center" vertical="center"/>
    </xf>
    <xf numFmtId="2" fontId="215" fillId="35" borderId="27" xfId="7098" applyNumberFormat="1" applyFont="1" applyFill="1" applyBorder="1" applyAlignment="1">
      <alignment horizontal="center" vertical="center"/>
    </xf>
    <xf numFmtId="2" fontId="215" fillId="35" borderId="47" xfId="7098" applyNumberFormat="1" applyFont="1" applyFill="1" applyBorder="1" applyAlignment="1">
      <alignment horizontal="center" vertical="center"/>
    </xf>
    <xf numFmtId="257" fontId="215" fillId="35" borderId="2" xfId="7098" applyNumberFormat="1" applyFont="1" applyFill="1" applyBorder="1" applyAlignment="1">
      <alignment horizontal="right" vertical="center"/>
    </xf>
    <xf numFmtId="257" fontId="215" fillId="35" borderId="0" xfId="7098" applyNumberFormat="1" applyFont="1" applyFill="1" applyBorder="1" applyAlignment="1">
      <alignment horizontal="center" vertical="center"/>
    </xf>
    <xf numFmtId="257" fontId="215" fillId="35" borderId="2" xfId="7098" applyNumberFormat="1" applyFont="1" applyFill="1" applyBorder="1" applyAlignment="1">
      <alignment horizontal="center" vertical="center"/>
    </xf>
    <xf numFmtId="17" fontId="37" fillId="125" borderId="112" xfId="7098" quotePrefix="1" applyNumberFormat="1" applyFont="1" applyFill="1" applyBorder="1" applyAlignment="1">
      <alignment horizontal="center" vertical="center"/>
    </xf>
    <xf numFmtId="257" fontId="7" fillId="35" borderId="2" xfId="7098" applyNumberFormat="1" applyFont="1" applyFill="1" applyBorder="1" applyAlignment="1">
      <alignment horizontal="center" vertical="center"/>
    </xf>
    <xf numFmtId="2" fontId="7" fillId="35" borderId="37" xfId="7098" applyNumberFormat="1" applyFont="1" applyFill="1" applyBorder="1" applyAlignment="1">
      <alignment horizontal="center" vertical="center"/>
    </xf>
    <xf numFmtId="257" fontId="7" fillId="35" borderId="47" xfId="7098" applyNumberFormat="1" applyFont="1" applyFill="1" applyBorder="1" applyAlignment="1">
      <alignment horizontal="center" vertical="center"/>
    </xf>
    <xf numFmtId="2" fontId="7" fillId="35" borderId="253" xfId="7098" applyNumberFormat="1" applyFont="1" applyFill="1" applyBorder="1" applyAlignment="1">
      <alignment horizontal="center" vertical="center"/>
    </xf>
    <xf numFmtId="257" fontId="7" fillId="35" borderId="96" xfId="7098" applyNumberFormat="1" applyFont="1" applyFill="1" applyBorder="1" applyAlignment="1">
      <alignment horizontal="center" vertical="center"/>
    </xf>
    <xf numFmtId="2" fontId="7" fillId="35" borderId="27" xfId="7098" applyNumberFormat="1" applyFont="1" applyFill="1" applyBorder="1" applyAlignment="1">
      <alignment horizontal="center" vertical="center"/>
    </xf>
    <xf numFmtId="257" fontId="7" fillId="35" borderId="27" xfId="7098" applyNumberFormat="1" applyFont="1" applyFill="1" applyBorder="1" applyAlignment="1">
      <alignment horizontal="center" vertical="center"/>
    </xf>
    <xf numFmtId="2" fontId="7" fillId="35" borderId="47" xfId="7098" applyNumberFormat="1" applyFont="1" applyFill="1" applyBorder="1" applyAlignment="1">
      <alignment horizontal="center" vertical="center"/>
    </xf>
    <xf numFmtId="2" fontId="7" fillId="35" borderId="96" xfId="7098" applyNumberFormat="1" applyFont="1" applyFill="1" applyBorder="1" applyAlignment="1">
      <alignment horizontal="center" vertical="center"/>
    </xf>
    <xf numFmtId="219" fontId="7" fillId="35" borderId="47" xfId="7098" applyNumberFormat="1" applyFont="1" applyFill="1" applyBorder="1" applyAlignment="1">
      <alignment horizontal="center" vertical="center"/>
    </xf>
    <xf numFmtId="219" fontId="7" fillId="35" borderId="254" xfId="7098" applyNumberFormat="1" applyFont="1" applyFill="1" applyBorder="1" applyAlignment="1">
      <alignment horizontal="center" vertical="center"/>
    </xf>
    <xf numFmtId="219" fontId="7" fillId="35" borderId="96" xfId="7098" applyNumberFormat="1" applyFont="1" applyFill="1" applyBorder="1" applyAlignment="1">
      <alignment horizontal="center" vertical="center"/>
    </xf>
    <xf numFmtId="2" fontId="7" fillId="35" borderId="2" xfId="7098" applyNumberFormat="1" applyFont="1" applyFill="1" applyBorder="1" applyAlignment="1">
      <alignment horizontal="center" vertical="center"/>
    </xf>
    <xf numFmtId="17" fontId="37" fillId="125" borderId="112" xfId="7098" applyNumberFormat="1" applyFont="1" applyFill="1" applyBorder="1" applyAlignment="1">
      <alignment horizontal="center" vertical="center"/>
    </xf>
    <xf numFmtId="233" fontId="7" fillId="35" borderId="27" xfId="7098" applyNumberFormat="1" applyFont="1" applyFill="1" applyBorder="1" applyAlignment="1">
      <alignment horizontal="center" vertical="center"/>
    </xf>
    <xf numFmtId="2" fontId="7" fillId="35" borderId="92" xfId="7098" applyNumberFormat="1" applyFont="1" applyFill="1" applyBorder="1" applyAlignment="1">
      <alignment horizontal="center" vertical="center"/>
    </xf>
    <xf numFmtId="2" fontId="7" fillId="35" borderId="224" xfId="7098" applyNumberFormat="1" applyFont="1" applyFill="1" applyBorder="1" applyAlignment="1">
      <alignment horizontal="center" vertical="center"/>
    </xf>
    <xf numFmtId="219" fontId="7" fillId="35" borderId="2" xfId="7098" applyNumberFormat="1" applyFont="1" applyFill="1" applyBorder="1" applyAlignment="1">
      <alignment horizontal="center" vertical="center"/>
    </xf>
    <xf numFmtId="219" fontId="7" fillId="35" borderId="224" xfId="7098" applyNumberFormat="1" applyFont="1" applyFill="1" applyBorder="1" applyAlignment="1">
      <alignment horizontal="center" vertical="center"/>
    </xf>
    <xf numFmtId="17" fontId="39" fillId="2" borderId="112" xfId="7098" applyNumberFormat="1" applyFont="1" applyFill="1" applyBorder="1" applyAlignment="1">
      <alignment horizontal="center" vertical="center"/>
    </xf>
    <xf numFmtId="219" fontId="40" fillId="35" borderId="2" xfId="7098" applyNumberFormat="1" applyFont="1" applyFill="1" applyBorder="1" applyAlignment="1">
      <alignment horizontal="center" vertical="center"/>
    </xf>
    <xf numFmtId="2" fontId="40" fillId="35" borderId="37" xfId="7098" applyNumberFormat="1" applyFont="1" applyFill="1" applyBorder="1" applyAlignment="1">
      <alignment horizontal="center" vertical="center"/>
    </xf>
    <xf numFmtId="219" fontId="40" fillId="35" borderId="47" xfId="7098" applyNumberFormat="1" applyFont="1" applyFill="1" applyBorder="1" applyAlignment="1">
      <alignment horizontal="center" vertical="center"/>
    </xf>
    <xf numFmtId="219" fontId="40" fillId="35" borderId="224" xfId="7098" applyNumberFormat="1" applyFont="1" applyFill="1" applyBorder="1" applyAlignment="1">
      <alignment horizontal="center" vertical="center"/>
    </xf>
    <xf numFmtId="2" fontId="40" fillId="35" borderId="27" xfId="7098" applyNumberFormat="1" applyFont="1" applyFill="1" applyBorder="1" applyAlignment="1">
      <alignment horizontal="center" vertical="center"/>
    </xf>
    <xf numFmtId="2" fontId="40" fillId="35" borderId="47" xfId="7098" applyNumberFormat="1" applyFont="1" applyFill="1" applyBorder="1" applyAlignment="1">
      <alignment horizontal="center" vertical="center"/>
    </xf>
    <xf numFmtId="17" fontId="84" fillId="2" borderId="112" xfId="7098" applyNumberFormat="1" applyFont="1" applyFill="1" applyBorder="1" applyAlignment="1">
      <alignment horizontal="center" vertical="center"/>
    </xf>
    <xf numFmtId="219" fontId="6" fillId="35" borderId="2" xfId="7098" applyNumberFormat="1" applyFont="1" applyFill="1" applyBorder="1" applyAlignment="1">
      <alignment horizontal="center" vertical="center"/>
    </xf>
    <xf numFmtId="2" fontId="6" fillId="35" borderId="37" xfId="7098" applyNumberFormat="1" applyFont="1" applyFill="1" applyBorder="1" applyAlignment="1">
      <alignment horizontal="center" vertical="center"/>
    </xf>
    <xf numFmtId="219" fontId="6" fillId="35" borderId="47" xfId="7098" applyNumberFormat="1" applyFont="1" applyFill="1" applyBorder="1" applyAlignment="1">
      <alignment horizontal="center" vertical="center"/>
    </xf>
    <xf numFmtId="219" fontId="6" fillId="35" borderId="224" xfId="7098" applyNumberFormat="1" applyFont="1" applyFill="1" applyBorder="1" applyAlignment="1">
      <alignment horizontal="center" vertical="center"/>
    </xf>
    <xf numFmtId="2" fontId="6" fillId="35" borderId="47" xfId="7098" applyNumberFormat="1" applyFont="1" applyFill="1" applyBorder="1" applyAlignment="1">
      <alignment horizontal="center" vertical="center"/>
    </xf>
    <xf numFmtId="40" fontId="346" fillId="35" borderId="0" xfId="6132" applyFont="1" applyFill="1" applyAlignment="1">
      <alignment vertical="center"/>
    </xf>
    <xf numFmtId="219" fontId="6" fillId="35" borderId="27" xfId="7098" applyNumberFormat="1" applyFont="1" applyFill="1" applyBorder="1" applyAlignment="1">
      <alignment horizontal="center" vertical="center"/>
    </xf>
    <xf numFmtId="17" fontId="37" fillId="2" borderId="140" xfId="7098" applyNumberFormat="1" applyFont="1" applyFill="1" applyBorder="1" applyAlignment="1">
      <alignment horizontal="center" vertical="center"/>
    </xf>
    <xf numFmtId="2" fontId="7" fillId="35" borderId="258" xfId="7098" applyNumberFormat="1" applyFont="1" applyFill="1" applyBorder="1" applyAlignment="1">
      <alignment horizontal="center" vertical="center"/>
    </xf>
    <xf numFmtId="2" fontId="7" fillId="35" borderId="229" xfId="7098" applyNumberFormat="1" applyFont="1" applyFill="1" applyBorder="1" applyAlignment="1">
      <alignment horizontal="center" vertical="center"/>
    </xf>
    <xf numFmtId="2" fontId="7" fillId="35" borderId="223" xfId="7098" applyNumberFormat="1" applyFont="1" applyFill="1" applyBorder="1" applyAlignment="1">
      <alignment horizontal="center" vertical="center"/>
    </xf>
    <xf numFmtId="2" fontId="7" fillId="35" borderId="225" xfId="7098" applyNumberFormat="1" applyFont="1" applyFill="1" applyBorder="1" applyAlignment="1">
      <alignment horizontal="center" vertical="center"/>
    </xf>
    <xf numFmtId="233" fontId="7" fillId="35" borderId="28" xfId="7098" applyNumberFormat="1" applyFont="1" applyFill="1" applyBorder="1" applyAlignment="1">
      <alignment horizontal="center" vertical="center"/>
    </xf>
    <xf numFmtId="257" fontId="7" fillId="35" borderId="28" xfId="7098" applyNumberFormat="1" applyFont="1" applyFill="1" applyBorder="1" applyAlignment="1">
      <alignment horizontal="center" vertical="center"/>
    </xf>
    <xf numFmtId="2" fontId="7" fillId="35" borderId="28" xfId="7098" applyNumberFormat="1" applyFont="1" applyFill="1" applyBorder="1" applyAlignment="1">
      <alignment horizontal="center" vertical="center"/>
    </xf>
    <xf numFmtId="15" fontId="244" fillId="35" borderId="0" xfId="7098" applyNumberFormat="1" applyFont="1" applyFill="1" applyAlignment="1">
      <alignment horizontal="left" vertical="center"/>
    </xf>
    <xf numFmtId="0" fontId="351" fillId="35" borderId="0" xfId="7098" applyFont="1" applyFill="1" applyAlignment="1">
      <alignment vertical="center"/>
    </xf>
    <xf numFmtId="0" fontId="351" fillId="35" borderId="0" xfId="7098" applyFont="1" applyFill="1" applyAlignment="1">
      <alignment horizontal="right" vertical="center"/>
    </xf>
    <xf numFmtId="15" fontId="351" fillId="35" borderId="0" xfId="7098" applyNumberFormat="1" applyFont="1" applyFill="1" applyAlignment="1">
      <alignment horizontal="right" vertical="center"/>
    </xf>
    <xf numFmtId="40" fontId="348" fillId="35" borderId="0" xfId="6132" applyFont="1" applyFill="1" applyAlignment="1">
      <alignment vertical="center"/>
    </xf>
    <xf numFmtId="0" fontId="9" fillId="0" borderId="0" xfId="7892" applyFont="1" applyAlignment="1">
      <alignment horizontal="left" vertical="center"/>
    </xf>
    <xf numFmtId="0" fontId="8" fillId="0" borderId="0" xfId="7892" applyFont="1" applyAlignment="1">
      <alignment horizontal="center" vertical="center"/>
    </xf>
    <xf numFmtId="0" fontId="15" fillId="0" borderId="0" xfId="7892" applyFont="1" applyAlignment="1">
      <alignment horizontal="center" vertical="center"/>
    </xf>
    <xf numFmtId="0" fontId="97" fillId="0" borderId="0" xfId="7892" applyFont="1" applyAlignment="1">
      <alignment vertical="center"/>
    </xf>
    <xf numFmtId="0" fontId="15" fillId="0" borderId="0" xfId="7892" applyFont="1" applyAlignment="1">
      <alignment vertical="center"/>
    </xf>
    <xf numFmtId="0" fontId="97" fillId="123" borderId="103" xfId="7892" applyFont="1" applyFill="1" applyBorder="1" applyAlignment="1">
      <alignment vertical="center"/>
    </xf>
    <xf numFmtId="0" fontId="15" fillId="123" borderId="8" xfId="7892" applyFont="1" applyFill="1" applyBorder="1" applyAlignment="1">
      <alignment horizontal="center" vertical="center"/>
    </xf>
    <xf numFmtId="0" fontId="15" fillId="123" borderId="259" xfId="7892" applyFont="1" applyFill="1" applyBorder="1" applyAlignment="1">
      <alignment horizontal="center" vertical="center"/>
    </xf>
    <xf numFmtId="0" fontId="15" fillId="123" borderId="260" xfId="7892" applyFont="1" applyFill="1" applyBorder="1" applyAlignment="1">
      <alignment horizontal="center" vertical="center"/>
    </xf>
    <xf numFmtId="0" fontId="15" fillId="123" borderId="261" xfId="7892" applyFont="1" applyFill="1" applyBorder="1" applyAlignment="1">
      <alignment horizontal="center" vertical="center"/>
    </xf>
    <xf numFmtId="0" fontId="15" fillId="123" borderId="4" xfId="7892" applyFont="1" applyFill="1" applyBorder="1" applyAlignment="1">
      <alignment horizontal="center" vertical="center"/>
    </xf>
    <xf numFmtId="219" fontId="40" fillId="0" borderId="0" xfId="7892" applyNumberFormat="1" applyFont="1" applyFill="1" applyBorder="1" applyAlignment="1">
      <alignment horizontal="center" vertical="center"/>
    </xf>
    <xf numFmtId="0" fontId="39" fillId="123" borderId="106" xfId="7892" applyFont="1" applyFill="1" applyBorder="1" applyAlignment="1">
      <alignment vertical="center"/>
    </xf>
    <xf numFmtId="0" fontId="39" fillId="123" borderId="163" xfId="7892" applyFont="1" applyFill="1" applyBorder="1" applyAlignment="1">
      <alignment horizontal="center" vertical="center"/>
    </xf>
    <xf numFmtId="0" fontId="39" fillId="123" borderId="10" xfId="7892" applyFont="1" applyFill="1" applyBorder="1" applyAlignment="1">
      <alignment horizontal="center" vertical="center"/>
    </xf>
    <xf numFmtId="0" fontId="39" fillId="123" borderId="262" xfId="7892" applyFont="1" applyFill="1" applyBorder="1" applyAlignment="1">
      <alignment horizontal="center" vertical="center"/>
    </xf>
    <xf numFmtId="0" fontId="39" fillId="123" borderId="263" xfId="7892" applyFont="1" applyFill="1" applyBorder="1" applyAlignment="1">
      <alignment horizontal="center" vertical="center"/>
    </xf>
    <xf numFmtId="0" fontId="39" fillId="123" borderId="264" xfId="7892" applyFont="1" applyFill="1" applyBorder="1" applyAlignment="1">
      <alignment horizontal="center" vertical="center"/>
    </xf>
    <xf numFmtId="0" fontId="97" fillId="0" borderId="0" xfId="7892" applyFont="1" applyBorder="1" applyAlignment="1">
      <alignment vertical="center"/>
    </xf>
    <xf numFmtId="0" fontId="40" fillId="123" borderId="162" xfId="7892" applyFont="1" applyFill="1" applyBorder="1" applyAlignment="1">
      <alignment vertical="center"/>
    </xf>
    <xf numFmtId="17" fontId="39" fillId="123" borderId="106" xfId="7892" applyNumberFormat="1" applyFont="1" applyFill="1" applyBorder="1" applyAlignment="1">
      <alignment horizontal="left" vertical="center"/>
    </xf>
    <xf numFmtId="219" fontId="40" fillId="0" borderId="254" xfId="7892" applyNumberFormat="1" applyFont="1" applyFill="1" applyBorder="1" applyAlignment="1">
      <alignment horizontal="center" vertical="center"/>
    </xf>
    <xf numFmtId="219" fontId="40" fillId="0" borderId="9" xfId="7892" applyNumberFormat="1" applyFont="1" applyFill="1" applyBorder="1" applyAlignment="1">
      <alignment horizontal="center" vertical="center"/>
    </xf>
    <xf numFmtId="219" fontId="40" fillId="0" borderId="37" xfId="7892" applyNumberFormat="1" applyFont="1" applyFill="1" applyBorder="1" applyAlignment="1">
      <alignment horizontal="center" vertical="center"/>
    </xf>
    <xf numFmtId="219" fontId="40" fillId="0" borderId="267" xfId="7892" applyNumberFormat="1" applyFont="1" applyFill="1" applyBorder="1" applyAlignment="1">
      <alignment horizontal="center" vertical="center"/>
    </xf>
    <xf numFmtId="219" fontId="40" fillId="0" borderId="268" xfId="7892" applyNumberFormat="1" applyFont="1" applyFill="1" applyBorder="1" applyAlignment="1">
      <alignment horizontal="center" vertical="center"/>
    </xf>
    <xf numFmtId="0" fontId="97" fillId="0" borderId="0" xfId="7892" applyFont="1" applyFill="1" applyBorder="1" applyAlignment="1">
      <alignment vertical="center"/>
    </xf>
    <xf numFmtId="17" fontId="39" fillId="123" borderId="109" xfId="7892" applyNumberFormat="1" applyFont="1" applyFill="1" applyBorder="1" applyAlignment="1">
      <alignment horizontal="left" vertical="center"/>
    </xf>
    <xf numFmtId="219" fontId="40" fillId="0" borderId="255" xfId="7892" applyNumberFormat="1" applyFont="1" applyFill="1" applyBorder="1" applyAlignment="1">
      <alignment horizontal="center" vertical="center"/>
    </xf>
    <xf numFmtId="219" fontId="40" fillId="0" borderId="168" xfId="7892" applyNumberFormat="1" applyFont="1" applyFill="1" applyBorder="1" applyAlignment="1">
      <alignment horizontal="center" vertical="center"/>
    </xf>
    <xf numFmtId="219" fontId="40" fillId="0" borderId="269" xfId="7892" applyNumberFormat="1" applyFont="1" applyFill="1" applyBorder="1" applyAlignment="1">
      <alignment horizontal="center" vertical="center"/>
    </xf>
    <xf numFmtId="219" fontId="40" fillId="0" borderId="270" xfId="7892" applyNumberFormat="1" applyFont="1" applyFill="1" applyBorder="1" applyAlignment="1">
      <alignment horizontal="center" vertical="center"/>
    </xf>
    <xf numFmtId="219" fontId="40" fillId="0" borderId="271" xfId="7892" applyNumberFormat="1" applyFont="1" applyFill="1" applyBorder="1" applyAlignment="1">
      <alignment horizontal="center" vertical="center"/>
    </xf>
    <xf numFmtId="0" fontId="261" fillId="0" borderId="0" xfId="7892" applyFont="1" applyAlignment="1">
      <alignment horizontal="left" vertical="center"/>
    </xf>
    <xf numFmtId="0" fontId="244" fillId="0" borderId="0" xfId="7892" applyFont="1" applyAlignment="1">
      <alignment horizontal="left" vertical="center"/>
    </xf>
    <xf numFmtId="0" fontId="244" fillId="0" borderId="0" xfId="7892" applyFont="1" applyAlignment="1">
      <alignment vertical="center"/>
    </xf>
    <xf numFmtId="0" fontId="40" fillId="0" borderId="0" xfId="7892" applyFont="1" applyAlignment="1">
      <alignment vertical="center"/>
    </xf>
    <xf numFmtId="49" fontId="244" fillId="0" borderId="0" xfId="7892" applyNumberFormat="1" applyFont="1" applyAlignment="1">
      <alignment horizontal="left" vertical="center"/>
    </xf>
    <xf numFmtId="0" fontId="9" fillId="35" borderId="0" xfId="7893" applyFont="1" applyFill="1" applyAlignment="1">
      <alignment horizontal="left"/>
    </xf>
    <xf numFmtId="0" fontId="3" fillId="35" borderId="0" xfId="7893" applyFill="1" applyBorder="1"/>
    <xf numFmtId="0" fontId="3" fillId="35" borderId="0" xfId="7893" applyFill="1"/>
    <xf numFmtId="0" fontId="3" fillId="35" borderId="7" xfId="7893" applyFill="1" applyBorder="1"/>
    <xf numFmtId="0" fontId="39" fillId="123" borderId="107" xfId="7893" applyFont="1" applyFill="1" applyBorder="1" applyAlignment="1">
      <alignment horizontal="center"/>
    </xf>
    <xf numFmtId="17" fontId="14" fillId="2" borderId="161" xfId="7893" applyNumberFormat="1" applyFont="1" applyFill="1" applyBorder="1" applyAlignment="1">
      <alignment horizontal="center"/>
    </xf>
    <xf numFmtId="17" fontId="14" fillId="2" borderId="107" xfId="7893" applyNumberFormat="1" applyFont="1" applyFill="1" applyBorder="1" applyAlignment="1">
      <alignment horizontal="center"/>
    </xf>
    <xf numFmtId="17" fontId="14" fillId="123" borderId="107" xfId="7893" applyNumberFormat="1" applyFont="1" applyFill="1" applyBorder="1" applyAlignment="1">
      <alignment horizontal="center"/>
    </xf>
    <xf numFmtId="17" fontId="14" fillId="123" borderId="89" xfId="7893" applyNumberFormat="1" applyFont="1" applyFill="1" applyBorder="1" applyAlignment="1">
      <alignment horizontal="center"/>
    </xf>
    <xf numFmtId="17" fontId="14" fillId="123" borderId="90" xfId="7893" applyNumberFormat="1" applyFont="1" applyFill="1" applyBorder="1" applyAlignment="1">
      <alignment horizontal="center"/>
    </xf>
    <xf numFmtId="17" fontId="14" fillId="123" borderId="251" xfId="7893" applyNumberFormat="1" applyFont="1" applyFill="1" applyBorder="1" applyAlignment="1">
      <alignment horizontal="center"/>
    </xf>
    <xf numFmtId="17" fontId="14" fillId="123" borderId="172" xfId="7893" applyNumberFormat="1" applyFont="1" applyFill="1" applyBorder="1" applyAlignment="1">
      <alignment horizontal="center"/>
    </xf>
    <xf numFmtId="17" fontId="14" fillId="123" borderId="160" xfId="7893" applyNumberFormat="1" applyFont="1" applyFill="1" applyBorder="1" applyAlignment="1">
      <alignment horizontal="center"/>
    </xf>
    <xf numFmtId="17" fontId="14" fillId="123" borderId="161" xfId="7893" applyNumberFormat="1" applyFont="1" applyFill="1" applyBorder="1" applyAlignment="1">
      <alignment horizontal="center"/>
    </xf>
    <xf numFmtId="17" fontId="14" fillId="123" borderId="220" xfId="7893" applyNumberFormat="1" applyFont="1" applyFill="1" applyBorder="1" applyAlignment="1">
      <alignment horizontal="center"/>
    </xf>
    <xf numFmtId="17" fontId="39" fillId="123" borderId="90" xfId="7893" applyNumberFormat="1" applyFont="1" applyFill="1" applyBorder="1" applyAlignment="1">
      <alignment horizontal="center"/>
    </xf>
    <xf numFmtId="17" fontId="39" fillId="123" borderId="91" xfId="7893" applyNumberFormat="1" applyFont="1" applyFill="1" applyBorder="1" applyAlignment="1">
      <alignment horizontal="center"/>
    </xf>
    <xf numFmtId="0" fontId="39" fillId="123" borderId="28" xfId="7893" applyFont="1" applyFill="1" applyBorder="1" applyAlignment="1" applyProtection="1">
      <alignment horizontal="center"/>
    </xf>
    <xf numFmtId="0" fontId="14" fillId="2" borderId="142" xfId="7893" applyFont="1" applyFill="1" applyBorder="1" applyAlignment="1">
      <alignment horizontal="center"/>
    </xf>
    <xf numFmtId="0" fontId="14" fillId="2" borderId="28" xfId="7893" applyFont="1" applyFill="1" applyBorder="1" applyAlignment="1">
      <alignment horizontal="center"/>
    </xf>
    <xf numFmtId="0" fontId="14" fillId="123" borderId="28" xfId="7893" applyFont="1" applyFill="1" applyBorder="1" applyAlignment="1">
      <alignment horizontal="center"/>
    </xf>
    <xf numFmtId="0" fontId="14" fillId="123" borderId="99" xfId="7893" applyFont="1" applyFill="1" applyBorder="1" applyAlignment="1">
      <alignment horizontal="center"/>
    </xf>
    <xf numFmtId="0" fontId="14" fillId="123" borderId="101" xfId="7893" applyFont="1" applyFill="1" applyBorder="1" applyAlignment="1">
      <alignment horizontal="center"/>
    </xf>
    <xf numFmtId="0" fontId="14" fillId="123" borderId="229" xfId="7893" applyFont="1" applyFill="1" applyBorder="1" applyAlignment="1">
      <alignment horizontal="center"/>
    </xf>
    <xf numFmtId="0" fontId="14" fillId="123" borderId="35" xfId="7893" applyFont="1" applyFill="1" applyBorder="1" applyAlignment="1">
      <alignment horizontal="center"/>
    </xf>
    <xf numFmtId="0" fontId="14" fillId="123" borderId="100" xfId="7893" applyFont="1" applyFill="1" applyBorder="1" applyAlignment="1">
      <alignment horizontal="center"/>
    </xf>
    <xf numFmtId="0" fontId="14" fillId="123" borderId="142" xfId="7893" applyFont="1" applyFill="1" applyBorder="1" applyAlignment="1">
      <alignment horizontal="center"/>
    </xf>
    <xf numFmtId="0" fontId="14" fillId="123" borderId="223" xfId="7893" applyFont="1" applyFill="1" applyBorder="1" applyAlignment="1">
      <alignment horizontal="center"/>
    </xf>
    <xf numFmtId="0" fontId="14" fillId="123" borderId="102" xfId="7893" applyFont="1" applyFill="1" applyBorder="1" applyAlignment="1">
      <alignment horizontal="center"/>
    </xf>
    <xf numFmtId="0" fontId="39" fillId="123" borderId="27" xfId="7893" applyFont="1" applyFill="1" applyBorder="1" applyAlignment="1" applyProtection="1">
      <alignment horizontal="left"/>
    </xf>
    <xf numFmtId="219" fontId="16" fillId="35" borderId="96" xfId="7893" applyNumberFormat="1" applyFont="1" applyFill="1" applyBorder="1"/>
    <xf numFmtId="219" fontId="16" fillId="35" borderId="27" xfId="7893" applyNumberFormat="1" applyFont="1" applyFill="1" applyBorder="1"/>
    <xf numFmtId="219" fontId="16" fillId="35" borderId="89" xfId="7893" applyNumberFormat="1" applyFont="1" applyFill="1" applyBorder="1"/>
    <xf numFmtId="219" fontId="16" fillId="35" borderId="90" xfId="7893" applyNumberFormat="1" applyFont="1" applyFill="1" applyBorder="1"/>
    <xf numFmtId="219" fontId="16" fillId="35" borderId="37" xfId="7893" applyNumberFormat="1" applyFont="1" applyFill="1" applyBorder="1"/>
    <xf numFmtId="219" fontId="16" fillId="35" borderId="9" xfId="7893" applyNumberFormat="1" applyFont="1" applyFill="1" applyBorder="1"/>
    <xf numFmtId="219" fontId="16" fillId="35" borderId="172" xfId="7893" applyNumberFormat="1" applyFont="1" applyFill="1" applyBorder="1"/>
    <xf numFmtId="219" fontId="16" fillId="35" borderId="251" xfId="7893" applyNumberFormat="1" applyFont="1" applyFill="1" applyBorder="1"/>
    <xf numFmtId="219" fontId="16" fillId="35" borderId="160" xfId="7893" applyNumberFormat="1" applyFont="1" applyFill="1" applyBorder="1"/>
    <xf numFmtId="219" fontId="3" fillId="35" borderId="90" xfId="7893" applyNumberFormat="1" applyFill="1" applyBorder="1"/>
    <xf numFmtId="219" fontId="3" fillId="35" borderId="91" xfId="7893" applyNumberFormat="1" applyFill="1" applyBorder="1"/>
    <xf numFmtId="219" fontId="16" fillId="35" borderId="27" xfId="7893" applyNumberFormat="1" applyFont="1" applyFill="1" applyBorder="1" applyAlignment="1">
      <alignment horizontal="right"/>
    </xf>
    <xf numFmtId="219" fontId="16" fillId="35" borderId="27" xfId="7893" applyNumberFormat="1" applyFont="1" applyFill="1" applyBorder="1" applyAlignment="1"/>
    <xf numFmtId="219" fontId="16" fillId="35" borderId="92" xfId="7893" applyNumberFormat="1" applyFont="1" applyFill="1" applyBorder="1" applyAlignment="1">
      <alignment horizontal="right"/>
    </xf>
    <xf numFmtId="219" fontId="16" fillId="35" borderId="9" xfId="7893" applyNumberFormat="1" applyFont="1" applyFill="1" applyBorder="1" applyAlignment="1">
      <alignment horizontal="right"/>
    </xf>
    <xf numFmtId="219" fontId="16" fillId="35" borderId="37" xfId="7893" applyNumberFormat="1" applyFont="1" applyFill="1" applyBorder="1" applyAlignment="1">
      <alignment horizontal="right"/>
    </xf>
    <xf numFmtId="219" fontId="16" fillId="35" borderId="0" xfId="7893" applyNumberFormat="1" applyFont="1" applyFill="1" applyBorder="1" applyAlignment="1">
      <alignment horizontal="right"/>
    </xf>
    <xf numFmtId="219" fontId="16" fillId="35" borderId="38" xfId="7893" applyNumberFormat="1" applyFont="1" applyFill="1" applyBorder="1" applyAlignment="1">
      <alignment horizontal="right"/>
    </xf>
    <xf numFmtId="219" fontId="3" fillId="35" borderId="9" xfId="7893" applyNumberFormat="1" applyFill="1" applyBorder="1"/>
    <xf numFmtId="219" fontId="3" fillId="35" borderId="93" xfId="7893" applyNumberFormat="1" applyFill="1" applyBorder="1"/>
    <xf numFmtId="219" fontId="3" fillId="35" borderId="96" xfId="7893" applyNumberFormat="1" applyFill="1" applyBorder="1"/>
    <xf numFmtId="219" fontId="3" fillId="35" borderId="92" xfId="7893" applyNumberFormat="1" applyFill="1" applyBorder="1"/>
    <xf numFmtId="219" fontId="3" fillId="35" borderId="37" xfId="7893" applyNumberFormat="1" applyFill="1" applyBorder="1"/>
    <xf numFmtId="219" fontId="3" fillId="35" borderId="0" xfId="7893" applyNumberFormat="1" applyFill="1" applyBorder="1"/>
    <xf numFmtId="219" fontId="3" fillId="35" borderId="38" xfId="7893" applyNumberFormat="1" applyFill="1" applyBorder="1"/>
    <xf numFmtId="219" fontId="3" fillId="35" borderId="27" xfId="7893" applyNumberFormat="1" applyFill="1" applyBorder="1"/>
    <xf numFmtId="0" fontId="3" fillId="35" borderId="96" xfId="7893" applyFill="1" applyBorder="1"/>
    <xf numFmtId="0" fontId="3" fillId="35" borderId="27" xfId="7893" applyFill="1" applyBorder="1"/>
    <xf numFmtId="0" fontId="40" fillId="123" borderId="28" xfId="7893" applyFont="1" applyFill="1" applyBorder="1" applyAlignment="1" applyProtection="1">
      <alignment horizontal="left"/>
    </xf>
    <xf numFmtId="219" fontId="16" fillId="35" borderId="142" xfId="7893" applyNumberFormat="1" applyFont="1" applyFill="1" applyBorder="1"/>
    <xf numFmtId="219" fontId="16" fillId="35" borderId="28" xfId="7893" applyNumberFormat="1" applyFont="1" applyFill="1" applyBorder="1"/>
    <xf numFmtId="0" fontId="3" fillId="35" borderId="28" xfId="7893" applyFill="1" applyBorder="1"/>
    <xf numFmtId="0" fontId="3" fillId="35" borderId="99" xfId="7893" applyFill="1" applyBorder="1"/>
    <xf numFmtId="0" fontId="3" fillId="35" borderId="101" xfId="7893" applyFill="1" applyBorder="1"/>
    <xf numFmtId="0" fontId="3" fillId="35" borderId="229" xfId="7893" applyFill="1" applyBorder="1"/>
    <xf numFmtId="0" fontId="3" fillId="35" borderId="35" xfId="7893" applyFill="1" applyBorder="1"/>
    <xf numFmtId="219" fontId="3" fillId="35" borderId="229" xfId="7893" applyNumberFormat="1" applyFill="1" applyBorder="1"/>
    <xf numFmtId="219" fontId="3" fillId="35" borderId="101" xfId="7893" applyNumberFormat="1" applyFill="1" applyBorder="1"/>
    <xf numFmtId="219" fontId="3" fillId="35" borderId="100" xfId="7893" applyNumberFormat="1" applyFill="1" applyBorder="1"/>
    <xf numFmtId="219" fontId="3" fillId="35" borderId="35" xfId="7893" applyNumberFormat="1" applyFill="1" applyBorder="1"/>
    <xf numFmtId="0" fontId="3" fillId="35" borderId="102" xfId="7893" applyFill="1" applyBorder="1"/>
    <xf numFmtId="0" fontId="330" fillId="35" borderId="0" xfId="7893" applyFont="1" applyFill="1" applyBorder="1" applyAlignment="1" applyProtection="1">
      <alignment horizontal="left"/>
    </xf>
    <xf numFmtId="0" fontId="302" fillId="35" borderId="0" xfId="7893" applyFont="1" applyFill="1" applyBorder="1"/>
    <xf numFmtId="0" fontId="302" fillId="35" borderId="0" xfId="7893" applyFont="1" applyFill="1"/>
    <xf numFmtId="0" fontId="302" fillId="35" borderId="0" xfId="7893" applyFont="1" applyFill="1" applyAlignment="1">
      <alignment horizontal="right"/>
    </xf>
    <xf numFmtId="0" fontId="11" fillId="35" borderId="0" xfId="7893" applyFont="1" applyFill="1"/>
    <xf numFmtId="0" fontId="7" fillId="35" borderId="0" xfId="7893" applyFont="1" applyFill="1"/>
    <xf numFmtId="233" fontId="7" fillId="35" borderId="0" xfId="7893" applyNumberFormat="1" applyFont="1" applyFill="1"/>
    <xf numFmtId="0" fontId="247" fillId="35" borderId="0" xfId="7893" applyFont="1" applyFill="1"/>
    <xf numFmtId="0" fontId="153" fillId="35" borderId="0" xfId="7893" applyFont="1" applyFill="1" applyAlignment="1">
      <alignment vertical="center"/>
    </xf>
    <xf numFmtId="0" fontId="153" fillId="35" borderId="0" xfId="7893" applyFont="1" applyFill="1" applyBorder="1"/>
    <xf numFmtId="0" fontId="153" fillId="35" borderId="0" xfId="7893" applyFont="1" applyFill="1"/>
    <xf numFmtId="0" fontId="241" fillId="35" borderId="0" xfId="7893" applyFont="1" applyFill="1"/>
    <xf numFmtId="0" fontId="247" fillId="35" borderId="0" xfId="7893" applyFont="1" applyFill="1" applyBorder="1"/>
    <xf numFmtId="0" fontId="243" fillId="35" borderId="0" xfId="7893" applyFont="1" applyFill="1"/>
    <xf numFmtId="17" fontId="39" fillId="2" borderId="108" xfId="7893" applyNumberFormat="1" applyFont="1" applyFill="1" applyBorder="1" applyAlignment="1">
      <alignment horizontal="center"/>
    </xf>
    <xf numFmtId="17" fontId="39" fillId="2" borderId="234" xfId="7893" applyNumberFormat="1" applyFont="1" applyFill="1" applyBorder="1" applyAlignment="1">
      <alignment horizontal="center"/>
    </xf>
    <xf numFmtId="17" fontId="39" fillId="123" borderId="220" xfId="7893" applyNumberFormat="1" applyFont="1" applyFill="1" applyBorder="1" applyAlignment="1">
      <alignment horizontal="center"/>
    </xf>
    <xf numFmtId="17" fontId="39" fillId="123" borderId="172" xfId="7893" applyNumberFormat="1" applyFont="1" applyFill="1" applyBorder="1" applyAlignment="1">
      <alignment horizontal="center"/>
    </xf>
    <xf numFmtId="17" fontId="39" fillId="123" borderId="251" xfId="7893" applyNumberFormat="1" applyFont="1" applyFill="1" applyBorder="1" applyAlignment="1">
      <alignment horizontal="center"/>
    </xf>
    <xf numFmtId="17" fontId="39" fillId="123" borderId="107" xfId="7893" applyNumberFormat="1" applyFont="1" applyFill="1" applyBorder="1" applyAlignment="1">
      <alignment horizontal="center"/>
    </xf>
    <xf numFmtId="0" fontId="39" fillId="123" borderId="28" xfId="7893" applyFont="1" applyFill="1" applyBorder="1" applyAlignment="1">
      <alignment horizontal="center"/>
    </xf>
    <xf numFmtId="0" fontId="39" fillId="2" borderId="272" xfId="7893" applyFont="1" applyFill="1" applyBorder="1" applyAlignment="1">
      <alignment horizontal="center"/>
    </xf>
    <xf numFmtId="0" fontId="39" fillId="123" borderId="35" xfId="7893" applyFont="1" applyFill="1" applyBorder="1" applyAlignment="1">
      <alignment horizontal="center"/>
    </xf>
    <xf numFmtId="0" fontId="39" fillId="123" borderId="101" xfId="7893" applyFont="1" applyFill="1" applyBorder="1" applyAlignment="1">
      <alignment horizontal="center"/>
    </xf>
    <xf numFmtId="0" fontId="39" fillId="123" borderId="229" xfId="7893" applyFont="1" applyFill="1" applyBorder="1" applyAlignment="1">
      <alignment horizontal="center"/>
    </xf>
    <xf numFmtId="0" fontId="39" fillId="123" borderId="102" xfId="7893" applyFont="1" applyFill="1" applyBorder="1" applyAlignment="1">
      <alignment horizontal="center"/>
    </xf>
    <xf numFmtId="0" fontId="39" fillId="123" borderId="223" xfId="7893" applyFont="1" applyFill="1" applyBorder="1" applyAlignment="1">
      <alignment horizontal="center"/>
    </xf>
    <xf numFmtId="219" fontId="16" fillId="35" borderId="5" xfId="7893" applyNumberFormat="1" applyFont="1" applyFill="1" applyBorder="1"/>
    <xf numFmtId="219" fontId="16" fillId="35" borderId="0" xfId="7893" applyNumberFormat="1" applyFont="1" applyFill="1" applyBorder="1"/>
    <xf numFmtId="219" fontId="3" fillId="35" borderId="251" xfId="7893" applyNumberFormat="1" applyFill="1" applyBorder="1"/>
    <xf numFmtId="219" fontId="3" fillId="35" borderId="172" xfId="7893" applyNumberFormat="1" applyFill="1" applyBorder="1"/>
    <xf numFmtId="219" fontId="247" fillId="35" borderId="90" xfId="7893" applyNumberFormat="1" applyFont="1" applyFill="1" applyBorder="1"/>
    <xf numFmtId="219" fontId="247" fillId="35" borderId="91" xfId="7893" applyNumberFormat="1" applyFont="1" applyFill="1" applyBorder="1"/>
    <xf numFmtId="219" fontId="16" fillId="35" borderId="5" xfId="7893" applyNumberFormat="1" applyFont="1" applyFill="1" applyBorder="1" applyAlignment="1">
      <alignment horizontal="right"/>
    </xf>
    <xf numFmtId="219" fontId="3" fillId="35" borderId="106" xfId="7893" applyNumberFormat="1" applyFill="1" applyBorder="1"/>
    <xf numFmtId="219" fontId="3" fillId="35" borderId="2" xfId="7893" applyNumberFormat="1" applyFill="1" applyBorder="1"/>
    <xf numFmtId="219" fontId="247" fillId="35" borderId="9" xfId="7893" applyNumberFormat="1" applyFont="1" applyFill="1" applyBorder="1"/>
    <xf numFmtId="219" fontId="247" fillId="35" borderId="93" xfId="7893" applyNumberFormat="1" applyFont="1" applyFill="1" applyBorder="1"/>
    <xf numFmtId="219" fontId="16" fillId="35" borderId="106" xfId="7893" applyNumberFormat="1" applyFont="1" applyFill="1" applyBorder="1"/>
    <xf numFmtId="0" fontId="3" fillId="35" borderId="106" xfId="7893" applyFill="1" applyBorder="1"/>
    <xf numFmtId="0" fontId="7" fillId="123" borderId="28" xfId="7893" applyFont="1" applyFill="1" applyBorder="1" applyAlignment="1" applyProtection="1">
      <alignment horizontal="left"/>
    </xf>
    <xf numFmtId="219" fontId="16" fillId="35" borderId="272" xfId="7893" applyNumberFormat="1" applyFont="1" applyFill="1" applyBorder="1"/>
    <xf numFmtId="0" fontId="3" fillId="35" borderId="273" xfId="7893" applyFill="1" applyBorder="1"/>
    <xf numFmtId="219" fontId="3" fillId="35" borderId="273" xfId="7893" applyNumberFormat="1" applyFill="1" applyBorder="1"/>
    <xf numFmtId="0" fontId="3" fillId="35" borderId="258" xfId="7893" applyFill="1" applyBorder="1"/>
    <xf numFmtId="0" fontId="14" fillId="35" borderId="229" xfId="7893" applyFont="1" applyFill="1" applyBorder="1"/>
    <xf numFmtId="0" fontId="324" fillId="35" borderId="0" xfId="7893" applyFont="1" applyFill="1"/>
    <xf numFmtId="0" fontId="324" fillId="35" borderId="0" xfId="7893" applyFont="1" applyFill="1" applyBorder="1"/>
    <xf numFmtId="0" fontId="325" fillId="35" borderId="0" xfId="7893" applyFont="1" applyFill="1" applyBorder="1"/>
    <xf numFmtId="0" fontId="6" fillId="35" borderId="0" xfId="7893" applyFont="1" applyFill="1"/>
    <xf numFmtId="0" fontId="6" fillId="35" borderId="0" xfId="7893" applyFont="1" applyFill="1" applyBorder="1"/>
    <xf numFmtId="0" fontId="40" fillId="35" borderId="0" xfId="7893" applyFont="1" applyFill="1" applyBorder="1"/>
    <xf numFmtId="0" fontId="3" fillId="35" borderId="0" xfId="7893" applyFont="1" applyFill="1" applyBorder="1"/>
    <xf numFmtId="0" fontId="9" fillId="35" borderId="0" xfId="7098" applyFont="1" applyFill="1" applyAlignment="1">
      <alignment horizontal="left"/>
    </xf>
    <xf numFmtId="233" fontId="39" fillId="35" borderId="96" xfId="7098" applyNumberFormat="1" applyFont="1" applyFill="1" applyBorder="1"/>
    <xf numFmtId="233" fontId="39" fillId="35" borderId="0" xfId="7098" applyNumberFormat="1" applyFont="1" applyFill="1"/>
    <xf numFmtId="0" fontId="16" fillId="35" borderId="0" xfId="7098" applyFill="1"/>
    <xf numFmtId="233" fontId="39" fillId="35" borderId="0" xfId="7098" applyNumberFormat="1" applyFont="1" applyFill="1" applyBorder="1"/>
    <xf numFmtId="233" fontId="16" fillId="35" borderId="0" xfId="7098" applyNumberFormat="1" applyFill="1" applyBorder="1"/>
    <xf numFmtId="233" fontId="16" fillId="35" borderId="0" xfId="7098" applyNumberFormat="1" applyFill="1"/>
    <xf numFmtId="0" fontId="37" fillId="123" borderId="220" xfId="7098" applyFont="1" applyFill="1" applyBorder="1" applyAlignment="1" applyProtection="1">
      <alignment horizontal="center"/>
    </xf>
    <xf numFmtId="0" fontId="37" fillId="123" borderId="107" xfId="7098" applyFont="1" applyFill="1" applyBorder="1" applyAlignment="1" applyProtection="1">
      <alignment horizontal="center"/>
    </xf>
    <xf numFmtId="0" fontId="37" fillId="123" borderId="161" xfId="7098" applyFont="1" applyFill="1" applyBorder="1" applyAlignment="1" applyProtection="1">
      <alignment horizontal="center"/>
    </xf>
    <xf numFmtId="0" fontId="37" fillId="123" borderId="27" xfId="7098" applyFont="1" applyFill="1" applyBorder="1" applyAlignment="1" applyProtection="1">
      <alignment horizontal="center"/>
    </xf>
    <xf numFmtId="0" fontId="37" fillId="123" borderId="0" xfId="7098" applyFont="1" applyFill="1" applyBorder="1" applyAlignment="1" applyProtection="1">
      <alignment horizontal="center"/>
    </xf>
    <xf numFmtId="0" fontId="37" fillId="123" borderId="96" xfId="7098" applyFont="1" applyFill="1" applyBorder="1" applyAlignment="1" applyProtection="1">
      <alignment horizontal="center"/>
    </xf>
    <xf numFmtId="0" fontId="17" fillId="123" borderId="47" xfId="7098" applyFont="1" applyFill="1" applyBorder="1" applyAlignment="1" applyProtection="1">
      <alignment horizontal="left"/>
    </xf>
    <xf numFmtId="0" fontId="37" fillId="123" borderId="47" xfId="7098" applyFont="1" applyFill="1" applyBorder="1" applyAlignment="1" applyProtection="1">
      <alignment horizontal="center"/>
    </xf>
    <xf numFmtId="4" fontId="352" fillId="35" borderId="0" xfId="7098" applyNumberFormat="1" applyFont="1" applyFill="1" applyAlignment="1">
      <alignment horizontal="center"/>
    </xf>
    <xf numFmtId="233" fontId="14" fillId="123" borderId="47" xfId="7098" applyNumberFormat="1" applyFont="1" applyFill="1" applyBorder="1" applyAlignment="1" applyProtection="1">
      <alignment horizontal="center"/>
    </xf>
    <xf numFmtId="233" fontId="14" fillId="123" borderId="27" xfId="7098" applyNumberFormat="1" applyFont="1" applyFill="1" applyBorder="1" applyAlignment="1" applyProtection="1">
      <alignment horizontal="center"/>
    </xf>
    <xf numFmtId="0" fontId="352" fillId="35" borderId="0" xfId="7098" applyFont="1" applyFill="1"/>
    <xf numFmtId="4" fontId="353" fillId="35" borderId="0" xfId="7098" applyNumberFormat="1" applyFont="1" applyFill="1" applyAlignment="1">
      <alignment horizontal="center"/>
    </xf>
    <xf numFmtId="0" fontId="14" fillId="123" borderId="173" xfId="7098" applyFont="1" applyFill="1" applyBorder="1"/>
    <xf numFmtId="233" fontId="14" fillId="123" borderId="223" xfId="7098" applyNumberFormat="1" applyFont="1" applyFill="1" applyBorder="1" applyAlignment="1" applyProtection="1">
      <alignment horizontal="center"/>
    </xf>
    <xf numFmtId="233" fontId="14" fillId="123" borderId="28" xfId="7098" applyNumberFormat="1" applyFont="1" applyFill="1" applyBorder="1" applyAlignment="1" applyProtection="1">
      <alignment horizontal="center"/>
    </xf>
    <xf numFmtId="0" fontId="14" fillId="123" borderId="118" xfId="7098" applyFont="1" applyFill="1" applyBorder="1" applyAlignment="1" applyProtection="1">
      <alignment horizontal="center"/>
    </xf>
    <xf numFmtId="282" fontId="16" fillId="35" borderId="0" xfId="7098" applyNumberFormat="1" applyFill="1"/>
    <xf numFmtId="0" fontId="37" fillId="123" borderId="112" xfId="7098" applyFont="1" applyFill="1" applyBorder="1" applyAlignment="1" applyProtection="1">
      <alignment horizontal="left"/>
    </xf>
    <xf numFmtId="256" fontId="7" fillId="35" borderId="111" xfId="7098" applyNumberFormat="1" applyFont="1" applyFill="1" applyBorder="1" applyAlignment="1">
      <alignment horizontal="center"/>
    </xf>
    <xf numFmtId="256" fontId="7" fillId="35" borderId="27" xfId="7098" applyNumberFormat="1" applyFont="1" applyFill="1" applyBorder="1" applyAlignment="1">
      <alignment horizontal="center"/>
    </xf>
    <xf numFmtId="250" fontId="7" fillId="35" borderId="96" xfId="7894" applyNumberFormat="1" applyFont="1" applyFill="1" applyBorder="1" applyAlignment="1" applyProtection="1">
      <alignment horizontal="center"/>
    </xf>
    <xf numFmtId="256" fontId="16" fillId="35" borderId="0" xfId="7098" applyNumberFormat="1" applyFill="1"/>
    <xf numFmtId="282" fontId="16" fillId="0" borderId="0" xfId="7098" applyNumberFormat="1" applyFill="1"/>
    <xf numFmtId="256" fontId="16" fillId="0" borderId="0" xfId="7098" applyNumberFormat="1" applyFill="1"/>
    <xf numFmtId="0" fontId="16" fillId="0" borderId="0" xfId="7098" applyFill="1"/>
    <xf numFmtId="0" fontId="16" fillId="123" borderId="140" xfId="7098" applyFont="1" applyFill="1" applyBorder="1" applyAlignment="1" applyProtection="1">
      <alignment horizontal="left"/>
    </xf>
    <xf numFmtId="0" fontId="16" fillId="35" borderId="141" xfId="7098" applyFont="1" applyFill="1" applyBorder="1" applyAlignment="1" applyProtection="1">
      <alignment horizontal="left"/>
    </xf>
    <xf numFmtId="233" fontId="16" fillId="35" borderId="28" xfId="7098" applyNumberFormat="1" applyFill="1" applyBorder="1"/>
    <xf numFmtId="250" fontId="16" fillId="35" borderId="142" xfId="7098" applyNumberFormat="1" applyFont="1" applyFill="1" applyBorder="1" applyAlignment="1" applyProtection="1">
      <alignment horizontal="right"/>
    </xf>
    <xf numFmtId="256" fontId="352" fillId="35" borderId="0" xfId="7098" applyNumberFormat="1" applyFont="1" applyFill="1" applyAlignment="1">
      <alignment horizontal="center"/>
    </xf>
    <xf numFmtId="0" fontId="38" fillId="35" borderId="0" xfId="7098" applyFont="1" applyFill="1"/>
    <xf numFmtId="233" fontId="7" fillId="35" borderId="96" xfId="7098" applyNumberFormat="1" applyFont="1" applyFill="1" applyBorder="1"/>
    <xf numFmtId="233" fontId="7" fillId="35" borderId="0" xfId="7098" applyNumberFormat="1" applyFont="1" applyFill="1"/>
    <xf numFmtId="250" fontId="7" fillId="35" borderId="0" xfId="7098" applyNumberFormat="1" applyFont="1" applyFill="1" applyBorder="1" applyAlignment="1" applyProtection="1">
      <alignment horizontal="right"/>
    </xf>
    <xf numFmtId="0" fontId="7" fillId="35" borderId="0" xfId="7098" applyFont="1" applyFill="1"/>
    <xf numFmtId="233" fontId="7" fillId="35" borderId="0" xfId="7098" applyNumberFormat="1" applyFont="1" applyFill="1" applyBorder="1"/>
    <xf numFmtId="0" fontId="38" fillId="35" borderId="0" xfId="7098" applyFont="1" applyFill="1" applyAlignment="1">
      <alignment vertical="center"/>
    </xf>
    <xf numFmtId="0" fontId="11" fillId="35" borderId="0" xfId="7098" applyFont="1" applyFill="1"/>
    <xf numFmtId="0" fontId="14" fillId="35" borderId="0" xfId="7098" applyFont="1" applyFill="1"/>
    <xf numFmtId="0" fontId="16" fillId="35" borderId="0" xfId="7098" applyFont="1" applyFill="1"/>
    <xf numFmtId="0" fontId="14" fillId="123" borderId="103" xfId="7098" applyFont="1" applyFill="1" applyBorder="1"/>
    <xf numFmtId="17" fontId="37" fillId="123" borderId="115" xfId="7098" applyNumberFormat="1" applyFont="1" applyFill="1" applyBorder="1" applyAlignment="1">
      <alignment horizontal="center"/>
    </xf>
    <xf numFmtId="17" fontId="37" fillId="123" borderId="158" xfId="7098" applyNumberFormat="1" applyFont="1" applyFill="1" applyBorder="1" applyAlignment="1">
      <alignment horizontal="center"/>
    </xf>
    <xf numFmtId="0" fontId="37" fillId="123" borderId="4" xfId="7098" applyFont="1" applyFill="1" applyBorder="1" applyAlignment="1">
      <alignment horizontal="center"/>
    </xf>
    <xf numFmtId="0" fontId="14" fillId="123" borderId="106" xfId="7098" applyFont="1" applyFill="1" applyBorder="1" applyAlignment="1">
      <alignment horizontal="center"/>
    </xf>
    <xf numFmtId="17" fontId="37" fillId="123" borderId="96" xfId="7098" applyNumberFormat="1" applyFont="1" applyFill="1" applyBorder="1" applyAlignment="1">
      <alignment horizontal="center"/>
    </xf>
    <xf numFmtId="0" fontId="37" fillId="123" borderId="5" xfId="7098" applyFont="1" applyFill="1" applyBorder="1" applyAlignment="1">
      <alignment horizontal="center"/>
    </xf>
    <xf numFmtId="0" fontId="37" fillId="123" borderId="111" xfId="7098" applyFont="1" applyFill="1" applyBorder="1" applyAlignment="1">
      <alignment horizontal="center"/>
    </xf>
    <xf numFmtId="0" fontId="37" fillId="123" borderId="112" xfId="7098" applyFont="1" applyFill="1" applyBorder="1" applyAlignment="1">
      <alignment horizontal="center"/>
    </xf>
    <xf numFmtId="0" fontId="14" fillId="35" borderId="0" xfId="7098" applyFont="1" applyFill="1" applyBorder="1" applyAlignment="1">
      <alignment horizontal="center"/>
    </xf>
    <xf numFmtId="0" fontId="16" fillId="123" borderId="109" xfId="7098" applyFont="1" applyFill="1" applyBorder="1"/>
    <xf numFmtId="0" fontId="37" fillId="123" borderId="113" xfId="7098" applyFont="1" applyFill="1" applyBorder="1" applyAlignment="1">
      <alignment horizontal="center"/>
    </xf>
    <xf numFmtId="17" fontId="37" fillId="123" borderId="118" xfId="7098" applyNumberFormat="1" applyFont="1" applyFill="1" applyBorder="1" applyAlignment="1">
      <alignment horizontal="center"/>
    </xf>
    <xf numFmtId="0" fontId="37" fillId="123" borderId="6" xfId="7098" applyFont="1" applyFill="1" applyBorder="1" applyAlignment="1">
      <alignment horizontal="center"/>
    </xf>
    <xf numFmtId="0" fontId="37" fillId="123" borderId="106" xfId="7098" applyFont="1" applyFill="1" applyBorder="1" applyAlignment="1">
      <alignment horizontal="left"/>
    </xf>
    <xf numFmtId="233" fontId="7" fillId="35" borderId="111" xfId="7098" applyNumberFormat="1" applyFont="1" applyFill="1" applyBorder="1" applyAlignment="1">
      <alignment horizontal="center"/>
    </xf>
    <xf numFmtId="233" fontId="7" fillId="35" borderId="96" xfId="7098" applyNumberFormat="1" applyFont="1" applyFill="1" applyBorder="1" applyAlignment="1">
      <alignment horizontal="center"/>
    </xf>
    <xf numFmtId="283" fontId="7" fillId="35" borderId="5" xfId="7894" applyNumberFormat="1" applyFont="1" applyFill="1" applyBorder="1" applyAlignment="1">
      <alignment horizontal="center"/>
    </xf>
    <xf numFmtId="233" fontId="16" fillId="0" borderId="0" xfId="7098" applyNumberFormat="1" applyFill="1"/>
    <xf numFmtId="4" fontId="7" fillId="35" borderId="111" xfId="7098" applyNumberFormat="1" applyFont="1" applyFill="1" applyBorder="1" applyAlignment="1">
      <alignment horizontal="center"/>
    </xf>
    <xf numFmtId="4" fontId="7" fillId="35" borderId="96" xfId="7098" applyNumberFormat="1" applyFont="1" applyFill="1" applyBorder="1" applyAlignment="1">
      <alignment horizontal="center"/>
    </xf>
    <xf numFmtId="2" fontId="16" fillId="35" borderId="0" xfId="7098" applyNumberFormat="1" applyFill="1"/>
    <xf numFmtId="219" fontId="7" fillId="35" borderId="111" xfId="7098" applyNumberFormat="1" applyFont="1" applyFill="1" applyBorder="1" applyAlignment="1">
      <alignment horizontal="center"/>
    </xf>
    <xf numFmtId="219" fontId="7" fillId="35" borderId="96" xfId="7098" applyNumberFormat="1" applyFont="1" applyFill="1" applyBorder="1" applyAlignment="1">
      <alignment horizontal="center"/>
    </xf>
    <xf numFmtId="0" fontId="354" fillId="35" borderId="0" xfId="7098" applyFont="1" applyFill="1"/>
    <xf numFmtId="0" fontId="14" fillId="123" borderId="109" xfId="7098" applyFont="1" applyFill="1" applyBorder="1" applyAlignment="1">
      <alignment horizontal="left"/>
    </xf>
    <xf numFmtId="233" fontId="7" fillId="35" borderId="113" xfId="7098" applyNumberFormat="1" applyFont="1" applyFill="1" applyBorder="1" applyAlignment="1">
      <alignment horizontal="right"/>
    </xf>
    <xf numFmtId="233" fontId="7" fillId="35" borderId="118" xfId="7098" applyNumberFormat="1" applyFont="1" applyFill="1" applyBorder="1" applyAlignment="1">
      <alignment horizontal="right"/>
    </xf>
    <xf numFmtId="257" fontId="7" fillId="35" borderId="6" xfId="7098" applyNumberFormat="1" applyFont="1" applyFill="1" applyBorder="1" applyAlignment="1">
      <alignment horizontal="center"/>
    </xf>
    <xf numFmtId="233" fontId="37" fillId="35" borderId="0" xfId="7098" applyNumberFormat="1" applyFont="1" applyFill="1" applyBorder="1" applyAlignment="1">
      <alignment horizontal="right"/>
    </xf>
    <xf numFmtId="2" fontId="37" fillId="35" borderId="0" xfId="7098" applyNumberFormat="1" applyFont="1" applyFill="1" applyBorder="1"/>
    <xf numFmtId="0" fontId="355" fillId="35" borderId="0" xfId="7098" applyFont="1" applyFill="1"/>
    <xf numFmtId="0" fontId="16" fillId="123" borderId="103" xfId="7098" applyFont="1" applyFill="1" applyBorder="1"/>
    <xf numFmtId="17" fontId="37" fillId="123" borderId="104" xfId="7098" applyNumberFormat="1" applyFont="1" applyFill="1" applyBorder="1" applyAlignment="1">
      <alignment horizontal="center"/>
    </xf>
    <xf numFmtId="17" fontId="37" fillId="123" borderId="105" xfId="7098" applyNumberFormat="1" applyFont="1" applyFill="1" applyBorder="1" applyAlignment="1">
      <alignment horizontal="center"/>
    </xf>
    <xf numFmtId="0" fontId="16" fillId="123" borderId="106" xfId="7098" applyFont="1" applyFill="1" applyBorder="1"/>
    <xf numFmtId="0" fontId="37" fillId="123" borderId="27" xfId="7098" applyFont="1" applyFill="1" applyBorder="1" applyAlignment="1">
      <alignment horizontal="center"/>
    </xf>
    <xf numFmtId="0" fontId="37" fillId="123" borderId="110" xfId="7098" applyFont="1" applyFill="1" applyBorder="1" applyAlignment="1">
      <alignment horizontal="center"/>
    </xf>
    <xf numFmtId="0" fontId="37" fillId="123" borderId="114" xfId="7098" applyFont="1" applyFill="1" applyBorder="1" applyAlignment="1">
      <alignment horizontal="center"/>
    </xf>
    <xf numFmtId="0" fontId="37" fillId="123" borderId="106" xfId="7098" applyFont="1" applyFill="1" applyBorder="1"/>
    <xf numFmtId="0" fontId="7" fillId="35" borderId="2" xfId="7098" applyFont="1" applyFill="1" applyBorder="1" applyAlignment="1">
      <alignment horizontal="center"/>
    </xf>
    <xf numFmtId="0" fontId="7" fillId="35" borderId="27" xfId="7098" applyFont="1" applyFill="1" applyBorder="1" applyAlignment="1">
      <alignment horizontal="center"/>
    </xf>
    <xf numFmtId="0" fontId="7" fillId="35" borderId="112" xfId="7098" applyFont="1" applyFill="1" applyBorder="1" applyAlignment="1">
      <alignment horizontal="center"/>
    </xf>
    <xf numFmtId="0" fontId="7" fillId="35" borderId="96" xfId="7098" applyFont="1" applyFill="1" applyBorder="1" applyAlignment="1">
      <alignment horizontal="center"/>
    </xf>
    <xf numFmtId="0" fontId="7" fillId="35" borderId="47" xfId="7098" applyFont="1" applyFill="1" applyBorder="1" applyAlignment="1">
      <alignment horizontal="center"/>
    </xf>
    <xf numFmtId="0" fontId="14" fillId="123" borderId="109" xfId="7098" applyFont="1" applyFill="1" applyBorder="1"/>
    <xf numFmtId="0" fontId="7" fillId="35" borderId="113" xfId="7098" applyFont="1" applyFill="1" applyBorder="1" applyAlignment="1">
      <alignment horizontal="right"/>
    </xf>
    <xf numFmtId="0" fontId="7" fillId="35" borderId="110" xfId="7098" applyFont="1" applyFill="1" applyBorder="1" applyAlignment="1">
      <alignment horizontal="right"/>
    </xf>
    <xf numFmtId="0" fontId="7" fillId="35" borderId="114" xfId="7098" applyFont="1" applyFill="1" applyBorder="1" applyAlignment="1">
      <alignment horizontal="right"/>
    </xf>
    <xf numFmtId="0" fontId="241" fillId="35" borderId="0" xfId="7098" applyFont="1" applyFill="1"/>
    <xf numFmtId="0" fontId="243" fillId="35" borderId="0" xfId="7098" applyFont="1" applyFill="1"/>
    <xf numFmtId="0" fontId="242" fillId="35" borderId="0" xfId="7098" applyFont="1" applyFill="1"/>
    <xf numFmtId="0" fontId="16" fillId="35" borderId="0" xfId="7098" applyFont="1" applyFill="1" applyBorder="1" applyAlignment="1">
      <alignment horizontal="center"/>
    </xf>
    <xf numFmtId="0" fontId="16" fillId="35" borderId="0" xfId="7098" applyFill="1" applyBorder="1"/>
    <xf numFmtId="0" fontId="7" fillId="35" borderId="0" xfId="7894" applyFont="1" applyFill="1" applyBorder="1"/>
    <xf numFmtId="0" fontId="9" fillId="35" borderId="0" xfId="7894" applyFont="1" applyFill="1" applyBorder="1" applyAlignment="1">
      <alignment horizontal="left"/>
    </xf>
    <xf numFmtId="0" fontId="11" fillId="35" borderId="0" xfId="7894" applyFont="1" applyFill="1" applyBorder="1" applyAlignment="1">
      <alignment horizontal="centerContinuous"/>
    </xf>
    <xf numFmtId="0" fontId="356" fillId="35" borderId="0" xfId="7894" applyFont="1" applyFill="1" applyBorder="1"/>
    <xf numFmtId="0" fontId="247" fillId="35" borderId="0" xfId="7894" applyFont="1" applyFill="1" applyBorder="1"/>
    <xf numFmtId="0" fontId="37" fillId="3" borderId="220" xfId="7894" applyFont="1" applyFill="1" applyBorder="1" applyAlignment="1">
      <alignment horizontal="center"/>
    </xf>
    <xf numFmtId="0" fontId="37" fillId="3" borderId="95" xfId="7894" applyFont="1" applyFill="1" applyBorder="1" applyAlignment="1">
      <alignment horizontal="center"/>
    </xf>
    <xf numFmtId="0" fontId="39" fillId="3" borderId="33" xfId="7894" applyFont="1" applyFill="1" applyBorder="1" applyAlignment="1">
      <alignment horizontal="center"/>
    </xf>
    <xf numFmtId="0" fontId="39" fillId="3" borderId="277" xfId="7894" applyFont="1" applyFill="1" applyBorder="1" applyAlignment="1">
      <alignment horizontal="center"/>
    </xf>
    <xf numFmtId="0" fontId="39" fillId="3" borderId="84" xfId="7894" applyFont="1" applyFill="1" applyBorder="1" applyAlignment="1">
      <alignment horizontal="center"/>
    </xf>
    <xf numFmtId="0" fontId="39" fillId="3" borderId="278" xfId="7894" applyFont="1" applyFill="1" applyBorder="1" applyAlignment="1">
      <alignment horizontal="center"/>
    </xf>
    <xf numFmtId="0" fontId="39" fillId="3" borderId="47" xfId="7894" applyFont="1" applyFill="1" applyBorder="1"/>
    <xf numFmtId="0" fontId="40" fillId="35" borderId="9" xfId="7894" applyFont="1" applyFill="1" applyBorder="1" applyAlignment="1">
      <alignment horizontal="right"/>
    </xf>
    <xf numFmtId="0" fontId="40" fillId="35" borderId="37" xfId="7894" applyFont="1" applyFill="1" applyBorder="1" applyAlignment="1">
      <alignment horizontal="right"/>
    </xf>
    <xf numFmtId="0" fontId="40" fillId="35" borderId="279" xfId="7894" applyFont="1" applyFill="1" applyBorder="1" applyAlignment="1">
      <alignment horizontal="right"/>
    </xf>
    <xf numFmtId="0" fontId="40" fillId="35" borderId="38" xfId="7894" applyFont="1" applyFill="1" applyBorder="1" applyAlignment="1">
      <alignment horizontal="right"/>
    </xf>
    <xf numFmtId="0" fontId="40" fillId="35" borderId="96" xfId="7894" applyFont="1" applyFill="1" applyBorder="1" applyAlignment="1">
      <alignment horizontal="right"/>
    </xf>
    <xf numFmtId="0" fontId="39" fillId="3" borderId="280" xfId="7894" applyFont="1" applyFill="1" applyBorder="1"/>
    <xf numFmtId="0" fontId="40" fillId="35" borderId="281" xfId="7894" applyFont="1" applyFill="1" applyBorder="1" applyAlignment="1">
      <alignment horizontal="right"/>
    </xf>
    <xf numFmtId="0" fontId="40" fillId="35" borderId="282" xfId="7894" applyFont="1" applyFill="1" applyBorder="1" applyAlignment="1">
      <alignment horizontal="right"/>
    </xf>
    <xf numFmtId="0" fontId="40" fillId="35" borderId="283" xfId="7894" applyFont="1" applyFill="1" applyBorder="1" applyAlignment="1">
      <alignment horizontal="right"/>
    </xf>
    <xf numFmtId="0" fontId="40" fillId="35" borderId="284" xfId="7894" applyFont="1" applyFill="1" applyBorder="1" applyAlignment="1">
      <alignment horizontal="right"/>
    </xf>
    <xf numFmtId="0" fontId="40" fillId="35" borderId="285" xfId="7894" applyFont="1" applyFill="1" applyBorder="1" applyAlignment="1">
      <alignment horizontal="right"/>
    </xf>
    <xf numFmtId="0" fontId="39" fillId="3" borderId="223" xfId="7894" applyFont="1" applyFill="1" applyBorder="1"/>
    <xf numFmtId="0" fontId="40" fillId="35" borderId="101" xfId="7894" applyFont="1" applyFill="1" applyBorder="1" applyAlignment="1">
      <alignment horizontal="right"/>
    </xf>
    <xf numFmtId="219" fontId="40" fillId="35" borderId="286" xfId="7894" applyNumberFormat="1" applyFont="1" applyFill="1" applyBorder="1"/>
    <xf numFmtId="0" fontId="40" fillId="35" borderId="100" xfId="7894" applyFont="1" applyFill="1" applyBorder="1" applyAlignment="1">
      <alignment horizontal="right"/>
    </xf>
    <xf numFmtId="0" fontId="40" fillId="35" borderId="142" xfId="7894" applyFont="1" applyFill="1" applyBorder="1" applyAlignment="1">
      <alignment horizontal="right"/>
    </xf>
    <xf numFmtId="0" fontId="241" fillId="35" borderId="0" xfId="7894" applyFont="1" applyFill="1" applyBorder="1"/>
    <xf numFmtId="0" fontId="38" fillId="35" borderId="0" xfId="7894" applyFont="1" applyFill="1" applyAlignment="1">
      <alignment vertical="center"/>
    </xf>
    <xf numFmtId="0" fontId="9" fillId="35" borderId="0" xfId="7894" applyFont="1" applyFill="1" applyBorder="1"/>
    <xf numFmtId="0" fontId="37" fillId="3" borderId="89" xfId="7894" applyFont="1" applyFill="1" applyBorder="1" applyAlignment="1">
      <alignment horizontal="center"/>
    </xf>
    <xf numFmtId="0" fontId="40" fillId="35" borderId="0" xfId="7894" applyFont="1" applyFill="1" applyBorder="1"/>
    <xf numFmtId="0" fontId="37" fillId="35" borderId="0" xfId="7894" applyFont="1" applyFill="1" applyBorder="1" applyAlignment="1">
      <alignment horizontal="center"/>
    </xf>
    <xf numFmtId="0" fontId="39" fillId="3" borderId="95" xfId="7894" applyFont="1" applyFill="1" applyBorder="1" applyAlignment="1">
      <alignment horizontal="center"/>
    </xf>
    <xf numFmtId="0" fontId="39" fillId="3" borderId="32" xfId="7894" applyFont="1" applyFill="1" applyBorder="1" applyAlignment="1">
      <alignment horizontal="center"/>
    </xf>
    <xf numFmtId="0" fontId="39" fillId="3" borderId="289" xfId="7894" applyFont="1" applyFill="1" applyBorder="1" applyAlignment="1">
      <alignment horizontal="center"/>
    </xf>
    <xf numFmtId="0" fontId="39" fillId="3" borderId="290" xfId="7894" applyFont="1" applyFill="1" applyBorder="1" applyAlignment="1">
      <alignment horizontal="center"/>
    </xf>
    <xf numFmtId="0" fontId="244" fillId="35" borderId="0" xfId="7894" applyFont="1" applyFill="1" applyBorder="1" applyAlignment="1">
      <alignment horizontal="left" wrapText="1" readingOrder="1"/>
    </xf>
    <xf numFmtId="284" fontId="39" fillId="3" borderId="92" xfId="7894" applyNumberFormat="1" applyFont="1" applyFill="1" applyBorder="1" applyAlignment="1">
      <alignment horizontal="left"/>
    </xf>
    <xf numFmtId="269" fontId="40" fillId="35" borderId="9" xfId="7894" applyNumberFormat="1" applyFont="1" applyFill="1" applyBorder="1"/>
    <xf numFmtId="269" fontId="40" fillId="35" borderId="37" xfId="7894" applyNumberFormat="1" applyFont="1" applyFill="1" applyBorder="1"/>
    <xf numFmtId="269" fontId="40" fillId="35" borderId="267" xfId="7894" applyNumberFormat="1" applyFont="1" applyFill="1" applyBorder="1"/>
    <xf numFmtId="269" fontId="40" fillId="35" borderId="38" xfId="7894" applyNumberFormat="1" applyFont="1" applyFill="1" applyBorder="1"/>
    <xf numFmtId="269" fontId="40" fillId="35" borderId="93" xfId="7894" applyNumberFormat="1" applyFont="1" applyFill="1" applyBorder="1"/>
    <xf numFmtId="284" fontId="39" fillId="3" borderId="291" xfId="7894" applyNumberFormat="1" applyFont="1" applyFill="1" applyBorder="1" applyAlignment="1">
      <alignment horizontal="left"/>
    </xf>
    <xf numFmtId="269" fontId="40" fillId="35" borderId="281" xfId="7894" applyNumberFormat="1" applyFont="1" applyFill="1" applyBorder="1"/>
    <xf numFmtId="269" fontId="40" fillId="35" borderId="282" xfId="7894" applyNumberFormat="1" applyFont="1" applyFill="1" applyBorder="1"/>
    <xf numFmtId="269" fontId="40" fillId="35" borderId="283" xfId="7894" applyNumberFormat="1" applyFont="1" applyFill="1" applyBorder="1"/>
    <xf numFmtId="269" fontId="40" fillId="35" borderId="284" xfId="7894" applyNumberFormat="1" applyFont="1" applyFill="1" applyBorder="1"/>
    <xf numFmtId="269" fontId="40" fillId="35" borderId="292" xfId="7894" applyNumberFormat="1" applyFont="1" applyFill="1" applyBorder="1"/>
    <xf numFmtId="219" fontId="40" fillId="35" borderId="283" xfId="7894" applyNumberFormat="1" applyFont="1" applyFill="1" applyBorder="1"/>
    <xf numFmtId="284" fontId="39" fillId="3" borderId="99" xfId="7894" applyNumberFormat="1" applyFont="1" applyFill="1" applyBorder="1" applyAlignment="1">
      <alignment horizontal="left"/>
    </xf>
    <xf numFmtId="269" fontId="40" fillId="35" borderId="101" xfId="7894" applyNumberFormat="1" applyFont="1" applyFill="1" applyBorder="1"/>
    <xf numFmtId="269" fontId="40" fillId="35" borderId="229" xfId="7894" applyNumberFormat="1" applyFont="1" applyFill="1" applyBorder="1"/>
    <xf numFmtId="219" fontId="40" fillId="35" borderId="293" xfId="7894" applyNumberFormat="1" applyFont="1" applyFill="1" applyBorder="1"/>
    <xf numFmtId="269" fontId="40" fillId="35" borderId="100" xfId="7894" applyNumberFormat="1" applyFont="1" applyFill="1" applyBorder="1"/>
    <xf numFmtId="269" fontId="40" fillId="35" borderId="102" xfId="7894" applyNumberFormat="1" applyFont="1" applyFill="1" applyBorder="1"/>
    <xf numFmtId="284" fontId="244" fillId="35" borderId="0" xfId="7894" applyNumberFormat="1" applyFont="1" applyFill="1" applyBorder="1" applyAlignment="1">
      <alignment horizontal="left"/>
    </xf>
    <xf numFmtId="217" fontId="40" fillId="35" borderId="0" xfId="7894" applyNumberFormat="1" applyFont="1" applyFill="1" applyBorder="1"/>
    <xf numFmtId="0" fontId="244" fillId="35" borderId="0" xfId="7894" applyFont="1" applyFill="1" applyAlignment="1">
      <alignment vertical="center"/>
    </xf>
    <xf numFmtId="0" fontId="357" fillId="35" borderId="0" xfId="7879" applyFont="1" applyFill="1" applyAlignment="1">
      <alignment vertical="center"/>
    </xf>
    <xf numFmtId="0" fontId="357" fillId="35" borderId="0" xfId="6895" applyFont="1" applyFill="1" applyAlignment="1">
      <alignment vertical="center"/>
    </xf>
    <xf numFmtId="0" fontId="13" fillId="35" borderId="0" xfId="7879" applyFont="1" applyFill="1" applyAlignment="1">
      <alignment horizontal="left" vertical="center"/>
    </xf>
    <xf numFmtId="0" fontId="357" fillId="35" borderId="0" xfId="7879" applyFont="1" applyFill="1"/>
    <xf numFmtId="0" fontId="14" fillId="123" borderId="103" xfId="7879" applyFont="1" applyFill="1" applyBorder="1" applyAlignment="1">
      <alignment horizontal="center"/>
    </xf>
    <xf numFmtId="0" fontId="358" fillId="35" borderId="0" xfId="6895" applyFont="1" applyFill="1" applyAlignment="1">
      <alignment vertical="center"/>
    </xf>
    <xf numFmtId="0" fontId="14" fillId="123" borderId="106" xfId="7879" applyFont="1" applyFill="1" applyBorder="1" applyAlignment="1">
      <alignment horizontal="center"/>
    </xf>
    <xf numFmtId="0" fontId="14" fillId="123" borderId="108" xfId="7879" applyFont="1" applyFill="1" applyBorder="1" applyAlignment="1">
      <alignment horizontal="center" vertical="center"/>
    </xf>
    <xf numFmtId="0" fontId="14" fillId="123" borderId="109" xfId="7879" applyFont="1" applyFill="1" applyBorder="1" applyAlignment="1">
      <alignment horizontal="center"/>
    </xf>
    <xf numFmtId="0" fontId="14" fillId="123" borderId="6" xfId="7879" applyFont="1" applyFill="1" applyBorder="1" applyAlignment="1">
      <alignment horizontal="center" vertical="top"/>
    </xf>
    <xf numFmtId="0" fontId="14" fillId="123" borderId="106" xfId="7879" applyFont="1" applyFill="1" applyBorder="1" applyAlignment="1">
      <alignment vertical="center"/>
    </xf>
    <xf numFmtId="3" fontId="16" fillId="35" borderId="111" xfId="7879" applyNumberFormat="1" applyFont="1" applyFill="1" applyBorder="1" applyAlignment="1">
      <alignment horizontal="center" vertical="center"/>
    </xf>
    <xf numFmtId="3" fontId="16" fillId="35" borderId="5" xfId="7879" applyNumberFormat="1" applyFont="1" applyFill="1" applyBorder="1" applyAlignment="1">
      <alignment horizontal="center" vertical="center"/>
    </xf>
    <xf numFmtId="3" fontId="16" fillId="0" borderId="5" xfId="7879" applyNumberFormat="1" applyFont="1" applyFill="1" applyBorder="1" applyAlignment="1">
      <alignment horizontal="center" vertical="center"/>
    </xf>
    <xf numFmtId="3" fontId="357" fillId="35" borderId="0" xfId="6895" applyNumberFormat="1" applyFont="1" applyFill="1" applyAlignment="1">
      <alignment vertical="center"/>
    </xf>
    <xf numFmtId="3" fontId="16" fillId="35" borderId="2" xfId="7879" applyNumberFormat="1" applyFont="1" applyFill="1" applyBorder="1" applyAlignment="1">
      <alignment horizontal="center" vertical="center"/>
    </xf>
    <xf numFmtId="3" fontId="16" fillId="35" borderId="112" xfId="7879" applyNumberFormat="1" applyFont="1" applyFill="1" applyBorder="1" applyAlignment="1">
      <alignment horizontal="center" vertical="center"/>
    </xf>
    <xf numFmtId="234" fontId="357" fillId="35" borderId="0" xfId="6895" applyNumberFormat="1" applyFont="1" applyFill="1" applyAlignment="1">
      <alignment vertical="center"/>
    </xf>
    <xf numFmtId="257" fontId="357" fillId="35" borderId="0" xfId="6895" applyNumberFormat="1" applyFont="1" applyFill="1" applyAlignment="1">
      <alignment vertical="center"/>
    </xf>
    <xf numFmtId="0" fontId="14" fillId="123" borderId="294" xfId="7879" applyFont="1" applyFill="1" applyBorder="1" applyAlignment="1">
      <alignment horizontal="left" vertical="center"/>
    </xf>
    <xf numFmtId="3" fontId="80" fillId="130" borderId="295" xfId="7879" applyNumberFormat="1" applyFont="1" applyFill="1" applyBorder="1" applyAlignment="1">
      <alignment horizontal="center" vertical="center"/>
    </xf>
    <xf numFmtId="3" fontId="80" fillId="127" borderId="295" xfId="7879" applyNumberFormat="1" applyFont="1" applyFill="1" applyBorder="1" applyAlignment="1">
      <alignment horizontal="center" vertical="center"/>
    </xf>
    <xf numFmtId="3" fontId="80" fillId="127" borderId="296" xfId="7879" applyNumberFormat="1" applyFont="1" applyFill="1" applyBorder="1" applyAlignment="1">
      <alignment horizontal="center" vertical="center"/>
    </xf>
    <xf numFmtId="265" fontId="357" fillId="35" borderId="0" xfId="7470" applyNumberFormat="1" applyFont="1" applyFill="1" applyAlignment="1">
      <alignment vertical="center"/>
    </xf>
    <xf numFmtId="3" fontId="357" fillId="35" borderId="0" xfId="7879" applyNumberFormat="1" applyFont="1" applyFill="1"/>
    <xf numFmtId="0" fontId="243" fillId="35" borderId="0" xfId="7895" applyFont="1" applyFill="1"/>
    <xf numFmtId="3" fontId="357" fillId="35" borderId="0" xfId="7879" applyNumberFormat="1" applyFont="1" applyFill="1" applyAlignment="1">
      <alignment vertical="center"/>
    </xf>
    <xf numFmtId="3" fontId="357" fillId="35" borderId="0" xfId="6895" applyNumberFormat="1" applyFont="1" applyFill="1" applyAlignment="1">
      <alignment horizontal="center" vertical="center"/>
    </xf>
    <xf numFmtId="0" fontId="236" fillId="35" borderId="0" xfId="6683" applyFont="1" applyFill="1" applyAlignment="1">
      <alignment vertical="center"/>
    </xf>
    <xf numFmtId="0" fontId="237" fillId="35" borderId="0" xfId="6683" applyFont="1" applyFill="1" applyAlignment="1">
      <alignment vertical="center"/>
    </xf>
    <xf numFmtId="0" fontId="53" fillId="35" borderId="0" xfId="6683" applyFont="1" applyFill="1" applyAlignment="1">
      <alignment vertical="center"/>
    </xf>
    <xf numFmtId="0" fontId="53" fillId="35" borderId="0" xfId="6683" applyFont="1" applyFill="1" applyAlignment="1">
      <alignment horizontal="center" vertical="center"/>
    </xf>
    <xf numFmtId="0" fontId="331" fillId="35" borderId="0" xfId="6683" applyFont="1" applyFill="1" applyBorder="1" applyAlignment="1">
      <alignment horizontal="right" vertical="center"/>
    </xf>
    <xf numFmtId="0" fontId="243" fillId="35" borderId="12" xfId="6683" applyFont="1" applyFill="1" applyBorder="1" applyAlignment="1">
      <alignment horizontal="right" vertical="center"/>
    </xf>
    <xf numFmtId="0" fontId="193" fillId="35" borderId="0" xfId="6683" applyFont="1" applyFill="1" applyAlignment="1">
      <alignment vertical="center" wrapText="1"/>
    </xf>
    <xf numFmtId="0" fontId="215" fillId="35" borderId="0" xfId="6683" applyFont="1" applyFill="1" applyAlignment="1">
      <alignment vertical="center" wrapText="1"/>
    </xf>
    <xf numFmtId="0" fontId="14" fillId="3" borderId="70" xfId="6683" applyFont="1" applyFill="1" applyBorder="1" applyAlignment="1">
      <alignment horizontal="center" vertical="center" wrapText="1"/>
    </xf>
    <xf numFmtId="0" fontId="16" fillId="3" borderId="70" xfId="6683" applyFont="1" applyFill="1" applyBorder="1" applyAlignment="1">
      <alignment vertical="center" wrapText="1"/>
    </xf>
    <xf numFmtId="3" fontId="16" fillId="35" borderId="9" xfId="6683" applyNumberFormat="1" applyFont="1" applyFill="1" applyBorder="1" applyAlignment="1">
      <alignment horizontal="center" vertical="center"/>
    </xf>
    <xf numFmtId="37" fontId="16" fillId="35" borderId="9" xfId="6683" applyNumberFormat="1" applyFont="1" applyFill="1" applyBorder="1" applyAlignment="1">
      <alignment horizontal="center" vertical="center" wrapText="1"/>
    </xf>
    <xf numFmtId="0" fontId="19" fillId="3" borderId="70" xfId="6683" applyFont="1" applyFill="1" applyBorder="1" applyAlignment="1">
      <alignment vertical="center" wrapText="1"/>
    </xf>
    <xf numFmtId="37" fontId="19" fillId="35" borderId="9" xfId="6683" applyNumberFormat="1" applyFont="1" applyFill="1" applyBorder="1" applyAlignment="1">
      <alignment horizontal="center" vertical="center" wrapText="1"/>
    </xf>
    <xf numFmtId="3" fontId="19" fillId="35" borderId="9" xfId="6683" applyNumberFormat="1" applyFont="1" applyFill="1" applyBorder="1" applyAlignment="1">
      <alignment horizontal="center" vertical="center"/>
    </xf>
    <xf numFmtId="3" fontId="19" fillId="0" borderId="9" xfId="6683" applyNumberFormat="1" applyFont="1" applyFill="1" applyBorder="1" applyAlignment="1">
      <alignment horizontal="center" vertical="center"/>
    </xf>
    <xf numFmtId="285" fontId="193" fillId="35" borderId="0" xfId="5643" applyNumberFormat="1" applyFont="1" applyFill="1" applyAlignment="1">
      <alignment vertical="center" wrapText="1"/>
    </xf>
    <xf numFmtId="285" fontId="337" fillId="35" borderId="0" xfId="5643" applyNumberFormat="1" applyFont="1" applyFill="1" applyAlignment="1">
      <alignment vertical="center" wrapText="1"/>
    </xf>
    <xf numFmtId="3" fontId="14" fillId="35" borderId="299" xfId="6683" applyNumberFormat="1" applyFont="1" applyFill="1" applyBorder="1" applyAlignment="1">
      <alignment horizontal="center" vertical="center"/>
    </xf>
    <xf numFmtId="0" fontId="242" fillId="35" borderId="76" xfId="6683" applyFont="1" applyFill="1" applyBorder="1" applyAlignment="1">
      <alignment vertical="center"/>
    </xf>
    <xf numFmtId="0" fontId="215" fillId="35" borderId="0" xfId="6683" applyFont="1" applyFill="1" applyAlignment="1">
      <alignment vertical="center"/>
    </xf>
    <xf numFmtId="0" fontId="243" fillId="35" borderId="0" xfId="6683" applyFont="1" applyFill="1" applyBorder="1" applyAlignment="1">
      <alignment vertical="center"/>
    </xf>
    <xf numFmtId="0" fontId="242" fillId="35" borderId="0" xfId="6683" applyFont="1" applyFill="1" applyBorder="1" applyAlignment="1">
      <alignment vertical="center"/>
    </xf>
    <xf numFmtId="0" fontId="19" fillId="35" borderId="0" xfId="6683" applyFont="1" applyFill="1"/>
    <xf numFmtId="0" fontId="331" fillId="35" borderId="0" xfId="6683" applyFont="1" applyFill="1" applyAlignment="1">
      <alignment vertical="center"/>
    </xf>
    <xf numFmtId="285" fontId="331" fillId="35" borderId="0" xfId="6683" applyNumberFormat="1" applyFont="1" applyFill="1" applyAlignment="1">
      <alignment horizontal="center" vertical="center"/>
    </xf>
    <xf numFmtId="0" fontId="237" fillId="35" borderId="0" xfId="6683" applyFont="1" applyFill="1" applyAlignment="1">
      <alignment horizontal="center" vertical="center"/>
    </xf>
    <xf numFmtId="0" fontId="53" fillId="35" borderId="0" xfId="6683" applyNumberFormat="1" applyFont="1" applyFill="1" applyAlignment="1">
      <alignment vertical="center"/>
    </xf>
    <xf numFmtId="3" fontId="53" fillId="35" borderId="0" xfId="6683" applyNumberFormat="1" applyFont="1" applyFill="1" applyAlignment="1">
      <alignment vertical="center"/>
    </xf>
    <xf numFmtId="0" fontId="14" fillId="3" borderId="33" xfId="6683" applyNumberFormat="1" applyFont="1" applyFill="1" applyBorder="1" applyAlignment="1">
      <alignment horizontal="center" vertical="center"/>
    </xf>
    <xf numFmtId="49" fontId="14" fillId="3" borderId="33" xfId="6683" applyNumberFormat="1" applyFont="1" applyFill="1" applyBorder="1" applyAlignment="1">
      <alignment horizontal="center" vertical="center"/>
    </xf>
    <xf numFmtId="49" fontId="14" fillId="3" borderId="33" xfId="6683" applyNumberFormat="1" applyFont="1" applyFill="1" applyBorder="1" applyAlignment="1">
      <alignment horizontal="center" vertical="center" wrapText="1"/>
    </xf>
    <xf numFmtId="0" fontId="14" fillId="3" borderId="43" xfId="6683" applyFont="1" applyFill="1" applyBorder="1" applyAlignment="1">
      <alignment horizontal="left" vertical="center"/>
    </xf>
    <xf numFmtId="0" fontId="14" fillId="3" borderId="300" xfId="6683" applyFont="1" applyFill="1" applyBorder="1" applyAlignment="1">
      <alignment horizontal="left" vertical="center"/>
    </xf>
    <xf numFmtId="3" fontId="14" fillId="35" borderId="9" xfId="5643" applyNumberFormat="1" applyFont="1" applyFill="1" applyBorder="1" applyAlignment="1">
      <alignment horizontal="center" vertical="center"/>
    </xf>
    <xf numFmtId="0" fontId="193" fillId="35" borderId="0" xfId="6683" applyFont="1" applyFill="1" applyAlignment="1">
      <alignment vertical="center"/>
    </xf>
    <xf numFmtId="0" fontId="14" fillId="3" borderId="37" xfId="6683" applyFont="1" applyFill="1" applyBorder="1" applyAlignment="1">
      <alignment horizontal="left" vertical="center"/>
    </xf>
    <xf numFmtId="0" fontId="16" fillId="3" borderId="38" xfId="6683" applyFont="1" applyFill="1" applyBorder="1" applyAlignment="1">
      <alignment horizontal="left" vertical="center"/>
    </xf>
    <xf numFmtId="3" fontId="0" fillId="35" borderId="9" xfId="5643" applyNumberFormat="1" applyFont="1" applyFill="1" applyBorder="1" applyAlignment="1">
      <alignment horizontal="center" vertical="center"/>
    </xf>
    <xf numFmtId="0" fontId="16" fillId="3" borderId="37" xfId="6683" applyFont="1" applyFill="1" applyBorder="1" applyAlignment="1">
      <alignment horizontal="left" vertical="center"/>
    </xf>
    <xf numFmtId="43" fontId="0" fillId="35" borderId="9" xfId="7896" applyNumberFormat="1" applyFont="1" applyFill="1" applyBorder="1" applyAlignment="1">
      <alignment horizontal="center" vertical="center"/>
    </xf>
    <xf numFmtId="3" fontId="16" fillId="35" borderId="0" xfId="6683" applyNumberFormat="1" applyFont="1" applyFill="1" applyBorder="1" applyAlignment="1">
      <alignment horizontal="center" vertical="center"/>
    </xf>
    <xf numFmtId="3" fontId="0" fillId="35" borderId="9" xfId="7896" applyNumberFormat="1" applyFont="1" applyFill="1" applyBorder="1" applyAlignment="1">
      <alignment horizontal="center" vertical="center"/>
    </xf>
    <xf numFmtId="0" fontId="16" fillId="3" borderId="37" xfId="6683" applyFont="1" applyFill="1" applyBorder="1" applyAlignment="1">
      <alignment horizontal="right" vertical="center"/>
    </xf>
    <xf numFmtId="3" fontId="14" fillId="35" borderId="10" xfId="5643" applyNumberFormat="1" applyFont="1" applyFill="1" applyBorder="1" applyAlignment="1">
      <alignment horizontal="center" vertical="center"/>
    </xf>
    <xf numFmtId="43" fontId="14" fillId="35" borderId="10" xfId="7896" applyNumberFormat="1" applyFont="1" applyFill="1" applyBorder="1" applyAlignment="1">
      <alignment horizontal="center" vertical="center"/>
    </xf>
    <xf numFmtId="0" fontId="215" fillId="35" borderId="0" xfId="6683" applyFont="1" applyFill="1" applyAlignment="1">
      <alignment horizontal="left" vertical="top"/>
    </xf>
    <xf numFmtId="0" fontId="243" fillId="35" borderId="0" xfId="6683" applyFont="1" applyFill="1" applyAlignment="1">
      <alignment horizontal="left" vertical="top"/>
    </xf>
    <xf numFmtId="0" fontId="242" fillId="35" borderId="0" xfId="6683" applyFont="1" applyFill="1" applyAlignment="1">
      <alignment horizontal="left" vertical="top"/>
    </xf>
    <xf numFmtId="0" fontId="243" fillId="35" borderId="0" xfId="6895" applyFont="1" applyFill="1" applyBorder="1" applyAlignment="1">
      <alignment horizontal="left" vertical="top" wrapText="1"/>
    </xf>
    <xf numFmtId="0" fontId="215" fillId="35" borderId="0" xfId="6683" applyFont="1" applyFill="1" applyAlignment="1">
      <alignment horizontal="center" vertical="center"/>
    </xf>
    <xf numFmtId="1" fontId="215" fillId="35" borderId="0" xfId="6683" applyNumberFormat="1" applyFont="1" applyFill="1" applyAlignment="1">
      <alignment horizontal="center" vertical="center"/>
    </xf>
    <xf numFmtId="0" fontId="359" fillId="35" borderId="0" xfId="6683" applyFont="1" applyFill="1" applyAlignment="1">
      <alignment vertical="center"/>
    </xf>
    <xf numFmtId="0" fontId="236" fillId="35" borderId="0" xfId="6895" applyFont="1" applyFill="1" applyAlignment="1">
      <alignment vertical="center"/>
    </xf>
    <xf numFmtId="0" fontId="56" fillId="35" borderId="0" xfId="6895" applyFont="1" applyFill="1" applyAlignment="1">
      <alignment vertical="center"/>
    </xf>
    <xf numFmtId="0" fontId="53" fillId="35" borderId="0" xfId="6895" applyFont="1" applyFill="1" applyAlignment="1">
      <alignment vertical="center"/>
    </xf>
    <xf numFmtId="0" fontId="237" fillId="35" borderId="0" xfId="6895" applyFont="1" applyFill="1" applyAlignment="1">
      <alignment vertical="center"/>
    </xf>
    <xf numFmtId="0" fontId="331" fillId="35" borderId="12" xfId="6895" applyFont="1" applyFill="1" applyBorder="1" applyAlignment="1">
      <alignment horizontal="right" vertical="center"/>
    </xf>
    <xf numFmtId="0" fontId="243" fillId="35" borderId="12" xfId="6895" applyFont="1" applyFill="1" applyBorder="1" applyAlignment="1">
      <alignment horizontal="right" vertical="center"/>
    </xf>
    <xf numFmtId="0" fontId="215" fillId="35" borderId="0" xfId="6895" applyFont="1" applyFill="1" applyAlignment="1">
      <alignment vertical="center"/>
    </xf>
    <xf numFmtId="0" fontId="215" fillId="0" borderId="0" xfId="6895" applyFont="1" applyAlignment="1">
      <alignment vertical="center"/>
    </xf>
    <xf numFmtId="0" fontId="14" fillId="3" borderId="75" xfId="6895" applyFont="1" applyFill="1" applyBorder="1" applyAlignment="1">
      <alignment horizontal="center" vertical="center"/>
    </xf>
    <xf numFmtId="0" fontId="16" fillId="3" borderId="74" xfId="6895" applyFont="1" applyFill="1" applyBorder="1" applyAlignment="1">
      <alignment vertical="center" wrapText="1"/>
    </xf>
    <xf numFmtId="3" fontId="16" fillId="0" borderId="69" xfId="6895" applyNumberFormat="1" applyFont="1" applyFill="1" applyBorder="1" applyAlignment="1">
      <alignment horizontal="center" vertical="center"/>
    </xf>
    <xf numFmtId="3" fontId="16" fillId="35" borderId="69" xfId="6895" applyNumberFormat="1" applyFont="1" applyFill="1" applyBorder="1" applyAlignment="1">
      <alignment horizontal="center" vertical="center"/>
    </xf>
    <xf numFmtId="3" fontId="0" fillId="35" borderId="69" xfId="6895" applyNumberFormat="1" applyFont="1" applyFill="1" applyBorder="1" applyAlignment="1">
      <alignment horizontal="center" vertical="center"/>
    </xf>
    <xf numFmtId="0" fontId="14" fillId="3" borderId="70" xfId="6895" applyFont="1" applyFill="1" applyBorder="1" applyAlignment="1">
      <alignment horizontal="center" vertical="center"/>
    </xf>
    <xf numFmtId="0" fontId="16" fillId="3" borderId="70" xfId="6895" applyFont="1" applyFill="1" applyBorder="1" applyAlignment="1">
      <alignment vertical="center" wrapText="1"/>
    </xf>
    <xf numFmtId="37" fontId="16" fillId="0" borderId="9" xfId="6895" applyNumberFormat="1" applyFont="1" applyFill="1" applyBorder="1" applyAlignment="1">
      <alignment horizontal="center" vertical="center" wrapText="1"/>
    </xf>
    <xf numFmtId="37" fontId="16" fillId="35" borderId="9" xfId="6895" applyNumberFormat="1" applyFont="1" applyFill="1" applyBorder="1" applyAlignment="1">
      <alignment horizontal="center" vertical="center" wrapText="1"/>
    </xf>
    <xf numFmtId="37" fontId="215" fillId="35" borderId="0" xfId="6895" applyNumberFormat="1" applyFont="1" applyFill="1" applyAlignment="1">
      <alignment vertical="center"/>
    </xf>
    <xf numFmtId="37" fontId="0" fillId="35" borderId="9" xfId="6895" applyNumberFormat="1" applyFont="1" applyFill="1" applyBorder="1" applyAlignment="1">
      <alignment horizontal="center" vertical="center" wrapText="1"/>
    </xf>
    <xf numFmtId="0" fontId="193" fillId="35" borderId="0" xfId="6895" applyFont="1" applyFill="1" applyAlignment="1">
      <alignment horizontal="center" vertical="center"/>
    </xf>
    <xf numFmtId="0" fontId="193" fillId="0" borderId="0" xfId="6895" applyFont="1" applyAlignment="1">
      <alignment horizontal="center" vertical="center"/>
    </xf>
    <xf numFmtId="3" fontId="14" fillId="0" borderId="66" xfId="6895" applyNumberFormat="1" applyFont="1" applyFill="1" applyBorder="1" applyAlignment="1">
      <alignment horizontal="center" vertical="center"/>
    </xf>
    <xf numFmtId="3" fontId="14" fillId="35" borderId="66" xfId="6895" applyNumberFormat="1" applyFont="1" applyFill="1" applyBorder="1" applyAlignment="1">
      <alignment horizontal="center" vertical="center"/>
    </xf>
    <xf numFmtId="0" fontId="215" fillId="0" borderId="0" xfId="6895" applyFont="1" applyFill="1" applyAlignment="1">
      <alignment vertical="center"/>
    </xf>
    <xf numFmtId="0" fontId="243" fillId="35" borderId="0" xfId="6895" applyFont="1" applyFill="1" applyBorder="1" applyAlignment="1">
      <alignment horizontal="left" vertical="center" wrapText="1"/>
    </xf>
    <xf numFmtId="0" fontId="243" fillId="35" borderId="0" xfId="6895" applyFont="1" applyFill="1" applyBorder="1" applyAlignment="1">
      <alignment horizontal="center" vertical="center" wrapText="1"/>
    </xf>
    <xf numFmtId="0" fontId="56" fillId="35" borderId="0" xfId="6895" applyNumberFormat="1" applyFont="1" applyFill="1" applyAlignment="1">
      <alignment horizontal="centerContinuous" vertical="center"/>
    </xf>
    <xf numFmtId="0" fontId="243" fillId="35" borderId="0" xfId="6895" applyFont="1" applyFill="1" applyAlignment="1">
      <alignment vertical="center"/>
    </xf>
    <xf numFmtId="3" fontId="53" fillId="35" borderId="0" xfId="6895" applyNumberFormat="1" applyFont="1" applyFill="1" applyAlignment="1">
      <alignment vertical="center"/>
    </xf>
    <xf numFmtId="0" fontId="215" fillId="35" borderId="0" xfId="6895" applyFont="1" applyFill="1" applyAlignment="1">
      <alignment horizontal="center" vertical="center"/>
    </xf>
    <xf numFmtId="0" fontId="14" fillId="3" borderId="33" xfId="6895" applyNumberFormat="1" applyFont="1" applyFill="1" applyBorder="1" applyAlignment="1">
      <alignment horizontal="center" vertical="center"/>
    </xf>
    <xf numFmtId="49" fontId="14" fillId="3" borderId="33" xfId="6895" applyNumberFormat="1" applyFont="1" applyFill="1" applyBorder="1" applyAlignment="1">
      <alignment horizontal="center" vertical="center"/>
    </xf>
    <xf numFmtId="49" fontId="14" fillId="3" borderId="33" xfId="6895" applyNumberFormat="1" applyFont="1" applyFill="1" applyBorder="1" applyAlignment="1">
      <alignment horizontal="center" vertical="center" wrapText="1"/>
    </xf>
    <xf numFmtId="0" fontId="193" fillId="35" borderId="0" xfId="6895" applyFont="1" applyFill="1" applyAlignment="1">
      <alignment vertical="center"/>
    </xf>
    <xf numFmtId="0" fontId="193" fillId="0" borderId="0" xfId="6895" applyFont="1" applyFill="1" applyAlignment="1">
      <alignment vertical="center"/>
    </xf>
    <xf numFmtId="3" fontId="14" fillId="0" borderId="11" xfId="6895" applyNumberFormat="1" applyFont="1" applyFill="1" applyBorder="1" applyAlignment="1">
      <alignment horizontal="center" vertical="center"/>
    </xf>
    <xf numFmtId="3" fontId="14" fillId="35" borderId="11" xfId="6895" applyNumberFormat="1" applyFont="1" applyFill="1" applyBorder="1" applyAlignment="1">
      <alignment horizontal="center" vertical="center"/>
    </xf>
    <xf numFmtId="3" fontId="215" fillId="35" borderId="0" xfId="6895" applyNumberFormat="1" applyFont="1" applyFill="1" applyAlignment="1">
      <alignment vertical="center"/>
    </xf>
    <xf numFmtId="3" fontId="14" fillId="0" borderId="9" xfId="6895" applyNumberFormat="1" applyFont="1" applyFill="1" applyBorder="1" applyAlignment="1">
      <alignment horizontal="center" vertical="center"/>
    </xf>
    <xf numFmtId="3" fontId="14" fillId="0" borderId="37" xfId="6895" applyNumberFormat="1" applyFont="1" applyFill="1" applyBorder="1" applyAlignment="1">
      <alignment horizontal="center" vertical="center"/>
    </xf>
    <xf numFmtId="3" fontId="14" fillId="35" borderId="37" xfId="6895" applyNumberFormat="1" applyFont="1" applyFill="1" applyBorder="1" applyAlignment="1">
      <alignment horizontal="center" vertical="center"/>
    </xf>
    <xf numFmtId="3" fontId="14" fillId="35" borderId="9" xfId="6895" applyNumberFormat="1" applyFont="1" applyFill="1" applyBorder="1" applyAlignment="1">
      <alignment horizontal="center" vertical="center"/>
    </xf>
    <xf numFmtId="0" fontId="16" fillId="3" borderId="37" xfId="6895" applyFont="1" applyFill="1" applyBorder="1" applyAlignment="1">
      <alignment horizontal="left" vertical="center"/>
    </xf>
    <xf numFmtId="0" fontId="16" fillId="3" borderId="38" xfId="6895" applyFont="1" applyFill="1" applyBorder="1" applyAlignment="1">
      <alignment vertical="center"/>
    </xf>
    <xf numFmtId="3" fontId="16" fillId="0" borderId="9" xfId="6895" applyNumberFormat="1" applyFont="1" applyFill="1" applyBorder="1" applyAlignment="1">
      <alignment horizontal="center" vertical="center"/>
    </xf>
    <xf numFmtId="3" fontId="16" fillId="0" borderId="37" xfId="6895" applyNumberFormat="1" applyFont="1" applyFill="1" applyBorder="1" applyAlignment="1">
      <alignment horizontal="center" vertical="center"/>
    </xf>
    <xf numFmtId="3" fontId="16" fillId="35" borderId="9" xfId="6895" applyNumberFormat="1" applyFont="1" applyFill="1" applyBorder="1" applyAlignment="1">
      <alignment horizontal="center" vertical="center"/>
    </xf>
    <xf numFmtId="43" fontId="14" fillId="0" borderId="9" xfId="6895" applyNumberFormat="1" applyFont="1" applyFill="1" applyBorder="1" applyAlignment="1">
      <alignment horizontal="center" vertical="center"/>
    </xf>
    <xf numFmtId="3" fontId="16" fillId="35" borderId="301" xfId="6895" applyNumberFormat="1" applyFont="1" applyFill="1" applyBorder="1" applyAlignment="1">
      <alignment horizontal="center" vertical="center"/>
    </xf>
    <xf numFmtId="43" fontId="14" fillId="35" borderId="9" xfId="6895" applyNumberFormat="1" applyFont="1" applyFill="1" applyBorder="1" applyAlignment="1">
      <alignment horizontal="center" vertical="center"/>
    </xf>
    <xf numFmtId="286" fontId="14" fillId="0" borderId="9" xfId="6895" applyNumberFormat="1" applyFont="1" applyFill="1" applyBorder="1" applyAlignment="1">
      <alignment horizontal="center" vertical="center"/>
    </xf>
    <xf numFmtId="3" fontId="0" fillId="35" borderId="9" xfId="6895" applyNumberFormat="1" applyFont="1" applyFill="1" applyBorder="1" applyAlignment="1">
      <alignment horizontal="center" vertical="center"/>
    </xf>
    <xf numFmtId="0" fontId="14" fillId="3" borderId="37" xfId="6895" applyFont="1" applyFill="1" applyBorder="1" applyAlignment="1">
      <alignment horizontal="left" vertical="center"/>
    </xf>
    <xf numFmtId="43" fontId="16" fillId="0" borderId="9" xfId="6895" applyNumberFormat="1" applyFont="1" applyFill="1" applyBorder="1" applyAlignment="1">
      <alignment horizontal="center" vertical="center"/>
    </xf>
    <xf numFmtId="43" fontId="16" fillId="35" borderId="9" xfId="6895" applyNumberFormat="1" applyFont="1" applyFill="1" applyBorder="1" applyAlignment="1">
      <alignment horizontal="center" vertical="center"/>
    </xf>
    <xf numFmtId="3" fontId="16" fillId="35" borderId="37" xfId="6895" applyNumberFormat="1" applyFont="1" applyFill="1" applyBorder="1" applyAlignment="1">
      <alignment horizontal="center" vertical="center"/>
    </xf>
    <xf numFmtId="0" fontId="16" fillId="3" borderId="37" xfId="6895" applyFont="1" applyFill="1" applyBorder="1" applyAlignment="1">
      <alignment horizontal="right" vertical="center"/>
    </xf>
    <xf numFmtId="0" fontId="16" fillId="3" borderId="38" xfId="6895" applyFont="1" applyFill="1" applyBorder="1" applyAlignment="1">
      <alignment horizontal="left" vertical="center"/>
    </xf>
    <xf numFmtId="43" fontId="14" fillId="0" borderId="37" xfId="6895" applyNumberFormat="1" applyFont="1" applyFill="1" applyBorder="1" applyAlignment="1">
      <alignment horizontal="center" vertical="center"/>
    </xf>
    <xf numFmtId="0" fontId="16" fillId="3" borderId="37" xfId="6895" applyFont="1" applyFill="1" applyBorder="1" applyAlignment="1">
      <alignment horizontal="center" vertical="center"/>
    </xf>
    <xf numFmtId="0" fontId="14" fillId="3" borderId="262" xfId="6895" applyFont="1" applyFill="1" applyBorder="1" applyAlignment="1">
      <alignment horizontal="left" vertical="center"/>
    </xf>
    <xf numFmtId="0" fontId="16" fillId="3" borderId="163" xfId="6895" applyFont="1" applyFill="1" applyBorder="1" applyAlignment="1">
      <alignment vertical="center"/>
    </xf>
    <xf numFmtId="3" fontId="14" fillId="0" borderId="262" xfId="6895" applyNumberFormat="1" applyFont="1" applyFill="1" applyBorder="1" applyAlignment="1">
      <alignment horizontal="center" vertical="center"/>
    </xf>
    <xf numFmtId="43" fontId="14" fillId="35" borderId="10" xfId="6895" applyNumberFormat="1" applyFont="1" applyFill="1" applyBorder="1" applyAlignment="1">
      <alignment horizontal="center" vertical="center"/>
    </xf>
    <xf numFmtId="3" fontId="14" fillId="35" borderId="262" xfId="6895" applyNumberFormat="1" applyFont="1" applyFill="1" applyBorder="1" applyAlignment="1">
      <alignment horizontal="center" vertical="center"/>
    </xf>
    <xf numFmtId="0" fontId="215" fillId="35" borderId="0" xfId="6895" applyFont="1" applyFill="1" applyAlignment="1">
      <alignment horizontal="left" vertical="top"/>
    </xf>
    <xf numFmtId="0" fontId="243" fillId="35" borderId="0" xfId="6895" applyFont="1" applyFill="1" applyAlignment="1">
      <alignment horizontal="left" vertical="top"/>
    </xf>
    <xf numFmtId="0" fontId="242" fillId="35" borderId="0" xfId="6895" applyFont="1" applyFill="1" applyAlignment="1">
      <alignment horizontal="left" vertical="top"/>
    </xf>
    <xf numFmtId="287" fontId="215" fillId="35" borderId="0" xfId="6895" applyNumberFormat="1" applyFont="1" applyFill="1" applyBorder="1" applyAlignment="1">
      <alignment horizontal="center" vertical="center"/>
    </xf>
    <xf numFmtId="0" fontId="243" fillId="35" borderId="0" xfId="6895" applyFont="1" applyFill="1"/>
    <xf numFmtId="0" fontId="53" fillId="0" borderId="0" xfId="6895" applyFont="1" applyAlignment="1">
      <alignment vertical="center"/>
    </xf>
    <xf numFmtId="0" fontId="3" fillId="0" borderId="0" xfId="7892"/>
    <xf numFmtId="0" fontId="362" fillId="0" borderId="0" xfId="7892" applyFont="1" applyBorder="1" applyAlignment="1">
      <alignment horizontal="left"/>
    </xf>
    <xf numFmtId="0" fontId="277" fillId="0" borderId="0" xfId="7892" applyFont="1" applyBorder="1" applyAlignment="1">
      <alignment horizontal="right"/>
    </xf>
    <xf numFmtId="0" fontId="363" fillId="145" borderId="302" xfId="7892" applyFont="1" applyFill="1" applyBorder="1" applyAlignment="1">
      <alignment vertical="center" wrapText="1"/>
    </xf>
    <xf numFmtId="3" fontId="363" fillId="145" borderId="303" xfId="7892" applyNumberFormat="1" applyFont="1" applyFill="1" applyBorder="1" applyAlignment="1">
      <alignment horizontal="center" vertical="center" wrapText="1"/>
    </xf>
    <xf numFmtId="3" fontId="363" fillId="145" borderId="304" xfId="7892" applyNumberFormat="1" applyFont="1" applyFill="1" applyBorder="1" applyAlignment="1">
      <alignment horizontal="center" vertical="center" wrapText="1"/>
    </xf>
    <xf numFmtId="0" fontId="364" fillId="0" borderId="89" xfId="7892" applyFont="1" applyBorder="1" applyAlignment="1">
      <alignment horizontal="right" wrapText="1"/>
    </xf>
    <xf numFmtId="3" fontId="364" fillId="0" borderId="251" xfId="7892" applyNumberFormat="1" applyFont="1" applyBorder="1" applyAlignment="1">
      <alignment horizontal="center" wrapText="1"/>
    </xf>
    <xf numFmtId="3" fontId="364" fillId="0" borderId="91" xfId="7892" applyNumberFormat="1" applyFont="1" applyBorder="1" applyAlignment="1">
      <alignment horizontal="center" wrapText="1"/>
    </xf>
    <xf numFmtId="0" fontId="3" fillId="0" borderId="0" xfId="7892" applyAlignment="1"/>
    <xf numFmtId="0" fontId="364" fillId="0" borderId="92" xfId="7892" applyFont="1" applyBorder="1" applyAlignment="1">
      <alignment horizontal="right" wrapText="1"/>
    </xf>
    <xf numFmtId="3" fontId="364" fillId="0" borderId="37" xfId="7892" applyNumberFormat="1" applyFont="1" applyBorder="1" applyAlignment="1">
      <alignment horizontal="center" wrapText="1"/>
    </xf>
    <xf numFmtId="3" fontId="364" fillId="0" borderId="93" xfId="7892" applyNumberFormat="1" applyFont="1" applyBorder="1" applyAlignment="1">
      <alignment horizontal="center" wrapText="1"/>
    </xf>
    <xf numFmtId="0" fontId="364" fillId="0" borderId="99" xfId="7892" applyFont="1" applyBorder="1" applyAlignment="1">
      <alignment horizontal="right" wrapText="1"/>
    </xf>
    <xf numFmtId="3" fontId="364" fillId="0" borderId="229" xfId="7892" applyNumberFormat="1" applyFont="1" applyBorder="1" applyAlignment="1">
      <alignment horizontal="center" wrapText="1"/>
    </xf>
    <xf numFmtId="3" fontId="364" fillId="0" borderId="102" xfId="7892" applyNumberFormat="1" applyFont="1" applyBorder="1" applyAlignment="1">
      <alignment horizontal="center" wrapText="1"/>
    </xf>
    <xf numFmtId="0" fontId="365" fillId="0" borderId="0" xfId="7892" applyFont="1"/>
    <xf numFmtId="0" fontId="368" fillId="0" borderId="0" xfId="7892" applyFont="1"/>
    <xf numFmtId="0" fontId="7" fillId="0" borderId="0" xfId="6683" applyFont="1"/>
    <xf numFmtId="0" fontId="319" fillId="0" borderId="0" xfId="7897" applyFont="1" applyAlignment="1">
      <alignment horizontal="right"/>
    </xf>
    <xf numFmtId="0" fontId="370" fillId="0" borderId="0" xfId="7897" applyFont="1" applyAlignment="1">
      <alignment horizontal="right"/>
    </xf>
    <xf numFmtId="3" fontId="371" fillId="0" borderId="0" xfId="6683" applyNumberFormat="1" applyFont="1" applyBorder="1" applyAlignment="1">
      <alignment horizontal="right"/>
    </xf>
    <xf numFmtId="0" fontId="131" fillId="146" borderId="25" xfId="7897" applyFont="1" applyFill="1" applyBorder="1" applyAlignment="1">
      <alignment horizontal="center" vertical="center"/>
    </xf>
    <xf numFmtId="0" fontId="324" fillId="0" borderId="0" xfId="6683" applyFont="1"/>
    <xf numFmtId="0" fontId="131" fillId="146" borderId="165" xfId="7897" applyFont="1" applyFill="1" applyBorder="1" applyAlignment="1">
      <alignment horizontal="center" vertical="center" wrapText="1"/>
    </xf>
    <xf numFmtId="0" fontId="131" fillId="146" borderId="305" xfId="7897" applyFont="1" applyFill="1" applyBorder="1" applyAlignment="1">
      <alignment horizontal="center" vertical="center" wrapText="1"/>
    </xf>
    <xf numFmtId="0" fontId="131" fillId="146" borderId="306" xfId="7897" applyFont="1" applyFill="1" applyBorder="1" applyAlignment="1">
      <alignment horizontal="center" vertical="center" wrapText="1"/>
    </xf>
    <xf numFmtId="0" fontId="9" fillId="146" borderId="92" xfId="7897" applyFont="1" applyFill="1" applyBorder="1"/>
    <xf numFmtId="0" fontId="300" fillId="146" borderId="37" xfId="7897" applyFont="1" applyFill="1" applyBorder="1" applyAlignment="1">
      <alignment horizontal="center" vertical="top" wrapText="1"/>
    </xf>
    <xf numFmtId="0" fontId="300" fillId="0" borderId="27" xfId="6683" applyFont="1" applyBorder="1"/>
    <xf numFmtId="0" fontId="300" fillId="0" borderId="307" xfId="6683" applyFont="1" applyBorder="1"/>
    <xf numFmtId="0" fontId="300" fillId="0" borderId="0" xfId="6683" applyFont="1"/>
    <xf numFmtId="0" fontId="251" fillId="146" borderId="37" xfId="7897" applyFont="1" applyFill="1" applyBorder="1"/>
    <xf numFmtId="3" fontId="131" fillId="0" borderId="27" xfId="6683" applyNumberFormat="1" applyFont="1" applyBorder="1"/>
    <xf numFmtId="0" fontId="251" fillId="0" borderId="0" xfId="6683" applyFont="1"/>
    <xf numFmtId="0" fontId="300" fillId="146" borderId="37" xfId="7897" applyFont="1" applyFill="1" applyBorder="1"/>
    <xf numFmtId="3" fontId="150" fillId="0" borderId="27" xfId="6683" applyNumberFormat="1" applyFont="1" applyFill="1" applyBorder="1"/>
    <xf numFmtId="3" fontId="150" fillId="0" borderId="27" xfId="7897" applyNumberFormat="1" applyFont="1" applyFill="1" applyBorder="1" applyAlignment="1"/>
    <xf numFmtId="0" fontId="11" fillId="146" borderId="92" xfId="7897" applyFont="1" applyFill="1" applyBorder="1"/>
    <xf numFmtId="3" fontId="131" fillId="0" borderId="27" xfId="6683" applyNumberFormat="1" applyFont="1" applyFill="1" applyBorder="1"/>
    <xf numFmtId="0" fontId="302" fillId="146" borderId="92" xfId="7897" applyFont="1" applyFill="1" applyBorder="1"/>
    <xf numFmtId="0" fontId="370" fillId="146" borderId="37" xfId="7897" applyFont="1" applyFill="1" applyBorder="1"/>
    <xf numFmtId="3" fontId="371" fillId="0" borderId="27" xfId="7897" applyNumberFormat="1" applyFont="1" applyFill="1" applyBorder="1" applyAlignment="1"/>
    <xf numFmtId="0" fontId="370" fillId="0" borderId="0" xfId="6683" applyFont="1"/>
    <xf numFmtId="0" fontId="319" fillId="146" borderId="92" xfId="7897" applyFont="1" applyFill="1" applyBorder="1"/>
    <xf numFmtId="265" fontId="300" fillId="0" borderId="0" xfId="7470" applyNumberFormat="1" applyFont="1"/>
    <xf numFmtId="265" fontId="373" fillId="35" borderId="0" xfId="7470" applyNumberFormat="1" applyFont="1" applyFill="1"/>
    <xf numFmtId="3" fontId="370" fillId="0" borderId="0" xfId="6683" applyNumberFormat="1" applyFont="1"/>
    <xf numFmtId="3" fontId="150" fillId="0" borderId="27" xfId="5421" applyNumberFormat="1" applyFont="1" applyFill="1" applyBorder="1"/>
    <xf numFmtId="3" fontId="371" fillId="0" borderId="27" xfId="6683" applyNumberFormat="1" applyFont="1" applyFill="1" applyBorder="1"/>
    <xf numFmtId="3" fontId="131" fillId="0" borderId="27" xfId="7897" applyNumberFormat="1" applyFont="1" applyFill="1" applyBorder="1" applyAlignment="1"/>
    <xf numFmtId="0" fontId="319" fillId="146" borderId="47" xfId="7897" applyFont="1" applyFill="1" applyBorder="1"/>
    <xf numFmtId="0" fontId="319" fillId="146" borderId="99" xfId="7897" applyFont="1" applyFill="1" applyBorder="1"/>
    <xf numFmtId="0" fontId="370" fillId="146" borderId="229" xfId="7897" applyFont="1" applyFill="1" applyBorder="1"/>
    <xf numFmtId="3" fontId="371" fillId="0" borderId="28" xfId="6683" applyNumberFormat="1" applyFont="1" applyFill="1" applyBorder="1"/>
    <xf numFmtId="3" fontId="371" fillId="0" borderId="28" xfId="7897" applyNumberFormat="1" applyFont="1" applyFill="1" applyBorder="1" applyAlignment="1"/>
    <xf numFmtId="1" fontId="374" fillId="0" borderId="0" xfId="6683" applyNumberFormat="1" applyFont="1"/>
    <xf numFmtId="0" fontId="302" fillId="0" borderId="0" xfId="6683" applyFont="1"/>
    <xf numFmtId="0" fontId="300" fillId="146" borderId="0" xfId="7897" applyFont="1" applyFill="1" applyBorder="1" applyAlignment="1">
      <alignment horizontal="center" vertical="top" wrapText="1"/>
    </xf>
    <xf numFmtId="0" fontId="9" fillId="146" borderId="47" xfId="7897" applyFont="1" applyFill="1" applyBorder="1"/>
    <xf numFmtId="3" fontId="150" fillId="0" borderId="27" xfId="6683" applyNumberFormat="1" applyFont="1" applyBorder="1"/>
    <xf numFmtId="3" fontId="131" fillId="0" borderId="27" xfId="7897" applyNumberFormat="1" applyFont="1" applyBorder="1" applyAlignment="1"/>
    <xf numFmtId="1" fontId="300" fillId="0" borderId="0" xfId="6683" applyNumberFormat="1" applyFont="1"/>
    <xf numFmtId="3" fontId="371" fillId="0" borderId="27" xfId="6683" applyNumberFormat="1" applyFont="1" applyBorder="1"/>
    <xf numFmtId="1" fontId="370" fillId="0" borderId="0" xfId="6683" applyNumberFormat="1" applyFont="1"/>
    <xf numFmtId="1" fontId="251" fillId="0" borderId="0" xfId="6683" applyNumberFormat="1" applyFont="1"/>
    <xf numFmtId="2" fontId="370" fillId="0" borderId="0" xfId="6683" applyNumberFormat="1" applyFont="1"/>
    <xf numFmtId="1" fontId="300" fillId="0" borderId="0" xfId="6683" applyNumberFormat="1" applyFont="1" applyFill="1"/>
    <xf numFmtId="0" fontId="300" fillId="0" borderId="0" xfId="6683" applyFont="1" applyFill="1"/>
    <xf numFmtId="3" fontId="150" fillId="0" borderId="27" xfId="7897" applyNumberFormat="1" applyFont="1" applyBorder="1" applyAlignment="1"/>
    <xf numFmtId="0" fontId="9" fillId="146" borderId="99" xfId="7897" applyFont="1" applyFill="1" applyBorder="1"/>
    <xf numFmtId="0" fontId="251" fillId="146" borderId="229" xfId="7897" applyFont="1" applyFill="1" applyBorder="1"/>
    <xf numFmtId="0" fontId="300" fillId="0" borderId="142" xfId="6683" applyFont="1" applyBorder="1"/>
    <xf numFmtId="0" fontId="300" fillId="0" borderId="142" xfId="6683" applyFont="1" applyFill="1" applyBorder="1"/>
    <xf numFmtId="3" fontId="300" fillId="0" borderId="28" xfId="6683" applyNumberFormat="1" applyFont="1" applyBorder="1"/>
    <xf numFmtId="3" fontId="7" fillId="0" borderId="0" xfId="6683" applyNumberFormat="1" applyFont="1"/>
    <xf numFmtId="0" fontId="326" fillId="0" borderId="0" xfId="6683" applyFont="1"/>
    <xf numFmtId="0" fontId="11" fillId="0" borderId="0" xfId="6683" applyFont="1"/>
    <xf numFmtId="206" fontId="150" fillId="0" borderId="0" xfId="5421" applyNumberFormat="1" applyFont="1" applyFill="1"/>
    <xf numFmtId="3" fontId="7" fillId="0" borderId="0" xfId="6683" applyNumberFormat="1" applyFont="1" applyFill="1"/>
    <xf numFmtId="0" fontId="15" fillId="35" borderId="0" xfId="7879" applyFont="1" applyFill="1" applyAlignment="1">
      <alignment vertical="center"/>
    </xf>
    <xf numFmtId="0" fontId="97" fillId="35" borderId="0" xfId="7879" applyFont="1" applyFill="1" applyAlignment="1">
      <alignment vertical="center"/>
    </xf>
    <xf numFmtId="0" fontId="97" fillId="35" borderId="0" xfId="7879" applyFont="1" applyFill="1" applyAlignment="1">
      <alignment horizontal="center" vertical="center"/>
    </xf>
    <xf numFmtId="0" fontId="16" fillId="35" borderId="0" xfId="7879" applyFont="1" applyFill="1" applyAlignment="1">
      <alignment vertical="center"/>
    </xf>
    <xf numFmtId="0" fontId="16" fillId="35" borderId="0" xfId="7879" applyFont="1" applyFill="1" applyAlignment="1">
      <alignment horizontal="center" vertical="center"/>
    </xf>
    <xf numFmtId="0" fontId="14" fillId="35" borderId="0" xfId="7879" applyFont="1" applyFill="1" applyAlignment="1">
      <alignment vertical="center"/>
    </xf>
    <xf numFmtId="0" fontId="14" fillId="123" borderId="107" xfId="7879" applyFont="1" applyFill="1" applyBorder="1" applyAlignment="1">
      <alignment horizontal="center" vertical="center"/>
    </xf>
    <xf numFmtId="0" fontId="14" fillId="123" borderId="27" xfId="7879" applyFont="1" applyFill="1" applyBorder="1" applyAlignment="1">
      <alignment horizontal="centerContinuous" vertical="center"/>
    </xf>
    <xf numFmtId="0" fontId="14" fillId="123" borderId="161" xfId="7879" applyFont="1" applyFill="1" applyBorder="1" applyAlignment="1">
      <alignment horizontal="center" vertical="center"/>
    </xf>
    <xf numFmtId="0" fontId="14" fillId="123" borderId="24" xfId="7879" applyFont="1" applyFill="1" applyBorder="1" applyAlignment="1">
      <alignment horizontal="center" vertical="center"/>
    </xf>
    <xf numFmtId="0" fontId="14" fillId="123" borderId="29" xfId="7879" applyFont="1" applyFill="1" applyBorder="1" applyAlignment="1">
      <alignment horizontal="center" vertical="center"/>
    </xf>
    <xf numFmtId="0" fontId="14" fillId="123" borderId="96" xfId="7879" applyFont="1" applyFill="1" applyBorder="1" applyAlignment="1">
      <alignment horizontal="center" vertical="center"/>
    </xf>
    <xf numFmtId="2" fontId="14" fillId="123" borderId="161" xfId="7879" applyNumberFormat="1" applyFont="1" applyFill="1" applyBorder="1" applyAlignment="1">
      <alignment horizontal="center" vertical="center"/>
    </xf>
    <xf numFmtId="0" fontId="14" fillId="123" borderId="27" xfId="7879" applyFont="1" applyFill="1" applyBorder="1" applyAlignment="1">
      <alignment horizontal="center" vertical="center"/>
    </xf>
    <xf numFmtId="2" fontId="14" fillId="123" borderId="96" xfId="7879" applyNumberFormat="1" applyFont="1" applyFill="1" applyBorder="1" applyAlignment="1">
      <alignment horizontal="center" vertical="center"/>
    </xf>
    <xf numFmtId="0" fontId="14" fillId="123" borderId="28" xfId="7879" applyFont="1" applyFill="1" applyBorder="1" applyAlignment="1">
      <alignment horizontal="centerContinuous" vertical="center"/>
    </xf>
    <xf numFmtId="0" fontId="14" fillId="123" borderId="142" xfId="7879" applyFont="1" applyFill="1" applyBorder="1" applyAlignment="1">
      <alignment horizontal="center" vertical="center"/>
    </xf>
    <xf numFmtId="0" fontId="14" fillId="123" borderId="28" xfId="7879" applyFont="1" applyFill="1" applyBorder="1" applyAlignment="1">
      <alignment horizontal="center" vertical="center"/>
    </xf>
    <xf numFmtId="2" fontId="14" fillId="123" borderId="142" xfId="7879" applyNumberFormat="1" applyFont="1" applyFill="1" applyBorder="1" applyAlignment="1">
      <alignment horizontal="center" vertical="center"/>
    </xf>
    <xf numFmtId="17" fontId="14" fillId="124" borderId="27" xfId="7879" applyNumberFormat="1" applyFont="1" applyFill="1" applyBorder="1" applyAlignment="1">
      <alignment horizontal="left" vertical="center"/>
    </xf>
    <xf numFmtId="1" fontId="16" fillId="35" borderId="27" xfId="7879" applyNumberFormat="1" applyFont="1" applyFill="1" applyBorder="1" applyAlignment="1">
      <alignment vertical="center"/>
    </xf>
    <xf numFmtId="2" fontId="16" fillId="35" borderId="27" xfId="7879" applyNumberFormat="1" applyFont="1" applyFill="1" applyBorder="1" applyAlignment="1">
      <alignment horizontal="center" vertical="center"/>
    </xf>
    <xf numFmtId="2" fontId="16" fillId="35" borderId="27" xfId="7879" applyNumberFormat="1" applyFont="1" applyFill="1" applyBorder="1" applyAlignment="1">
      <alignment vertical="center"/>
    </xf>
    <xf numFmtId="169" fontId="16" fillId="35" borderId="27" xfId="7901" applyFont="1" applyFill="1" applyBorder="1" applyAlignment="1">
      <alignment horizontal="right" vertical="center"/>
    </xf>
    <xf numFmtId="206" fontId="16" fillId="35" borderId="27" xfId="7901" applyNumberFormat="1" applyFont="1" applyFill="1" applyBorder="1" applyAlignment="1">
      <alignment vertical="center"/>
    </xf>
    <xf numFmtId="169" fontId="16" fillId="35" borderId="27" xfId="7901" applyNumberFormat="1" applyFont="1" applyFill="1" applyBorder="1" applyAlignment="1">
      <alignment horizontal="center" vertical="center"/>
    </xf>
    <xf numFmtId="169" fontId="16" fillId="35" borderId="27" xfId="7901" applyNumberFormat="1" applyFont="1" applyFill="1" applyBorder="1" applyAlignment="1">
      <alignment vertical="center"/>
    </xf>
    <xf numFmtId="0" fontId="16" fillId="35" borderId="27" xfId="7879" applyFont="1" applyFill="1" applyBorder="1" applyAlignment="1">
      <alignment vertical="center"/>
    </xf>
    <xf numFmtId="1" fontId="16" fillId="35" borderId="27" xfId="7879" applyNumberFormat="1" applyFont="1" applyFill="1" applyBorder="1" applyAlignment="1">
      <alignment horizontal="center" vertical="center"/>
    </xf>
    <xf numFmtId="169" fontId="16" fillId="35" borderId="27" xfId="7901" applyFont="1" applyFill="1" applyBorder="1" applyAlignment="1">
      <alignment horizontal="center" vertical="center"/>
    </xf>
    <xf numFmtId="206" fontId="16" fillId="35" borderId="27" xfId="7901" applyNumberFormat="1" applyFont="1" applyFill="1" applyBorder="1" applyAlignment="1">
      <alignment horizontal="center" vertical="center"/>
    </xf>
    <xf numFmtId="1" fontId="16" fillId="35" borderId="47" xfId="7879" applyNumberFormat="1" applyFont="1" applyFill="1" applyBorder="1" applyAlignment="1">
      <alignment horizontal="center" vertical="center"/>
    </xf>
    <xf numFmtId="17" fontId="14" fillId="124" borderId="47" xfId="7879" applyNumberFormat="1" applyFont="1" applyFill="1" applyBorder="1" applyAlignment="1">
      <alignment horizontal="left" vertical="center"/>
    </xf>
    <xf numFmtId="206" fontId="16" fillId="35" borderId="96" xfId="7901" applyNumberFormat="1" applyFont="1" applyFill="1" applyBorder="1" applyAlignment="1">
      <alignment horizontal="center" vertical="center"/>
    </xf>
    <xf numFmtId="169" fontId="16" fillId="35" borderId="27" xfId="7901" applyNumberFormat="1" applyFont="1" applyFill="1" applyBorder="1" applyAlignment="1">
      <alignment horizontal="right" vertical="center"/>
    </xf>
    <xf numFmtId="206" fontId="16" fillId="35" borderId="96" xfId="7901" applyNumberFormat="1" applyFont="1" applyFill="1" applyBorder="1" applyAlignment="1">
      <alignment vertical="center"/>
    </xf>
    <xf numFmtId="17" fontId="14" fillId="142" borderId="27" xfId="7879" applyNumberFormat="1" applyFont="1" applyFill="1" applyBorder="1" applyAlignment="1">
      <alignment horizontal="left" vertical="center"/>
    </xf>
    <xf numFmtId="0" fontId="16" fillId="35" borderId="0" xfId="7879" applyFont="1" applyFill="1" applyBorder="1" applyAlignment="1">
      <alignment vertical="center"/>
    </xf>
    <xf numFmtId="17" fontId="14" fillId="123" borderId="27" xfId="7879" applyNumberFormat="1" applyFont="1" applyFill="1" applyBorder="1" applyAlignment="1">
      <alignment horizontal="left" vertical="center"/>
    </xf>
    <xf numFmtId="17" fontId="14" fillId="123" borderId="27" xfId="2" applyNumberFormat="1" applyFont="1" applyFill="1" applyBorder="1" applyAlignment="1">
      <alignment horizontal="left" vertical="center"/>
    </xf>
    <xf numFmtId="1" fontId="16" fillId="35" borderId="27" xfId="2" applyNumberFormat="1" applyFont="1" applyFill="1" applyBorder="1" applyAlignment="1">
      <alignment horizontal="center" vertical="center"/>
    </xf>
    <xf numFmtId="169" fontId="16" fillId="35" borderId="27" xfId="6218" applyNumberFormat="1" applyFont="1" applyFill="1" applyBorder="1" applyAlignment="1">
      <alignment horizontal="center" vertical="center"/>
    </xf>
    <xf numFmtId="169" fontId="16" fillId="35" borderId="27" xfId="6218" applyNumberFormat="1" applyFont="1" applyFill="1" applyBorder="1" applyAlignment="1">
      <alignment vertical="center"/>
    </xf>
    <xf numFmtId="169" fontId="16" fillId="35" borderId="27" xfId="6218" applyFont="1" applyFill="1" applyBorder="1" applyAlignment="1">
      <alignment horizontal="right" vertical="center"/>
    </xf>
    <xf numFmtId="206" fontId="16" fillId="35" borderId="27" xfId="6218" applyNumberFormat="1" applyFont="1" applyFill="1" applyBorder="1" applyAlignment="1">
      <alignment vertical="center"/>
    </xf>
    <xf numFmtId="17" fontId="14" fillId="123" borderId="28" xfId="7879" applyNumberFormat="1" applyFont="1" applyFill="1" applyBorder="1" applyAlignment="1">
      <alignment horizontal="left" vertical="center"/>
    </xf>
    <xf numFmtId="1" fontId="16" fillId="0" borderId="28" xfId="2" applyNumberFormat="1" applyFont="1" applyFill="1" applyBorder="1" applyAlignment="1">
      <alignment horizontal="center" vertical="center"/>
    </xf>
    <xf numFmtId="169" fontId="16" fillId="0" borderId="28" xfId="6218" applyNumberFormat="1" applyFont="1" applyFill="1" applyBorder="1" applyAlignment="1">
      <alignment horizontal="center" vertical="center"/>
    </xf>
    <xf numFmtId="169" fontId="16" fillId="0" borderId="28" xfId="6218" applyNumberFormat="1" applyFont="1" applyFill="1" applyBorder="1" applyAlignment="1">
      <alignment vertical="center"/>
    </xf>
    <xf numFmtId="169" fontId="16" fillId="0" borderId="28" xfId="6218" applyFont="1" applyFill="1" applyBorder="1" applyAlignment="1">
      <alignment horizontal="right" vertical="center"/>
    </xf>
    <xf numFmtId="206" fontId="16" fillId="0" borderId="28" xfId="6218" applyNumberFormat="1" applyFont="1" applyFill="1" applyBorder="1" applyAlignment="1">
      <alignment horizontal="right" vertical="center"/>
    </xf>
    <xf numFmtId="0" fontId="375" fillId="35" borderId="0" xfId="7879" applyFont="1" applyFill="1" applyBorder="1" applyAlignment="1">
      <alignment vertical="center"/>
    </xf>
    <xf numFmtId="0" fontId="376" fillId="35" borderId="0" xfId="7879" applyFont="1" applyFill="1" applyBorder="1" applyAlignment="1">
      <alignment vertical="center"/>
    </xf>
    <xf numFmtId="0" fontId="376" fillId="35" borderId="0" xfId="7879" applyFont="1" applyFill="1" applyBorder="1" applyAlignment="1">
      <alignment horizontal="center" vertical="center"/>
    </xf>
    <xf numFmtId="2" fontId="376" fillId="35" borderId="0" xfId="7879" applyNumberFormat="1" applyFont="1" applyFill="1" applyBorder="1" applyAlignment="1">
      <alignment vertical="center"/>
    </xf>
    <xf numFmtId="0" fontId="376" fillId="35" borderId="0" xfId="7879" applyFont="1" applyFill="1" applyAlignment="1">
      <alignment vertical="center"/>
    </xf>
    <xf numFmtId="2" fontId="376" fillId="35" borderId="0" xfId="7879" applyNumberFormat="1" applyFont="1" applyFill="1" applyAlignment="1">
      <alignment vertical="center"/>
    </xf>
    <xf numFmtId="0" fontId="377" fillId="35" borderId="0" xfId="7879" applyFont="1" applyFill="1" applyAlignment="1">
      <alignment vertical="center"/>
    </xf>
    <xf numFmtId="0" fontId="377" fillId="35" borderId="0" xfId="7879" applyFont="1" applyFill="1" applyAlignment="1">
      <alignment horizontal="center" vertical="center"/>
    </xf>
    <xf numFmtId="1" fontId="376" fillId="35" borderId="0" xfId="7879" applyNumberFormat="1" applyFont="1" applyFill="1" applyAlignment="1">
      <alignment vertical="center"/>
    </xf>
    <xf numFmtId="0" fontId="377" fillId="35" borderId="0" xfId="7879" applyFont="1" applyFill="1" applyBorder="1" applyAlignment="1">
      <alignment horizontal="left" vertical="top"/>
    </xf>
    <xf numFmtId="0" fontId="375" fillId="35" borderId="0" xfId="7879" applyFont="1" applyFill="1" applyBorder="1" applyAlignment="1">
      <alignment horizontal="left" vertical="top" wrapText="1"/>
    </xf>
    <xf numFmtId="0" fontId="376" fillId="35" borderId="0" xfId="7879" applyFont="1" applyFill="1" applyAlignment="1">
      <alignment horizontal="center" vertical="center"/>
    </xf>
    <xf numFmtId="0" fontId="268" fillId="35" borderId="0" xfId="7879" applyFill="1" applyAlignment="1">
      <alignment horizontal="left" vertical="center" wrapText="1"/>
    </xf>
    <xf numFmtId="3" fontId="15" fillId="35" borderId="0" xfId="7879" applyNumberFormat="1" applyFont="1" applyFill="1" applyAlignment="1">
      <alignment horizontal="left" vertical="center" wrapText="1"/>
    </xf>
    <xf numFmtId="3" fontId="14" fillId="35" borderId="0" xfId="7879" applyNumberFormat="1" applyFont="1" applyFill="1" applyAlignment="1">
      <alignment vertical="center"/>
    </xf>
    <xf numFmtId="3" fontId="14" fillId="35" borderId="0" xfId="7879" applyNumberFormat="1" applyFont="1" applyFill="1" applyAlignment="1">
      <alignment horizontal="center" vertical="center"/>
    </xf>
    <xf numFmtId="0" fontId="19" fillId="35" borderId="0" xfId="7879" applyFont="1" applyFill="1" applyBorder="1" applyAlignment="1">
      <alignment horizontal="center" vertical="center"/>
    </xf>
    <xf numFmtId="3" fontId="15" fillId="123" borderId="25" xfId="7879" applyNumberFormat="1" applyFont="1" applyFill="1" applyBorder="1" applyAlignment="1">
      <alignment horizontal="center" vertical="center"/>
    </xf>
    <xf numFmtId="3" fontId="15" fillId="123" borderId="25" xfId="7879" applyNumberFormat="1" applyFont="1" applyFill="1" applyBorder="1" applyAlignment="1">
      <alignment horizontal="center" vertical="center" wrapText="1"/>
    </xf>
    <xf numFmtId="234" fontId="16" fillId="35" borderId="27" xfId="7879" applyNumberFormat="1" applyFont="1" applyFill="1" applyBorder="1" applyAlignment="1">
      <alignment horizontal="right" vertical="center"/>
    </xf>
    <xf numFmtId="234" fontId="16" fillId="35" borderId="0" xfId="7879" applyNumberFormat="1" applyFont="1" applyFill="1" applyAlignment="1">
      <alignment horizontal="center" vertical="center"/>
    </xf>
    <xf numFmtId="3" fontId="16" fillId="35" borderId="27" xfId="7879" quotePrefix="1" applyNumberFormat="1" applyFont="1" applyFill="1" applyBorder="1" applyAlignment="1">
      <alignment horizontal="center" vertical="center"/>
    </xf>
    <xf numFmtId="3" fontId="16" fillId="35" borderId="47" xfId="7879" quotePrefix="1" applyNumberFormat="1" applyFont="1" applyFill="1" applyBorder="1" applyAlignment="1">
      <alignment horizontal="center" vertical="center"/>
    </xf>
    <xf numFmtId="3" fontId="16" fillId="35" borderId="0" xfId="7879" applyNumberFormat="1" applyFont="1" applyFill="1" applyBorder="1" applyAlignment="1">
      <alignment vertical="center"/>
    </xf>
    <xf numFmtId="4" fontId="16" fillId="35" borderId="0" xfId="7879" applyNumberFormat="1" applyFont="1" applyFill="1" applyBorder="1" applyAlignment="1">
      <alignment vertical="center"/>
    </xf>
    <xf numFmtId="3" fontId="16" fillId="35" borderId="0" xfId="7879" applyNumberFormat="1" applyFont="1" applyFill="1" applyAlignment="1">
      <alignment vertical="center"/>
    </xf>
    <xf numFmtId="234" fontId="16" fillId="35" borderId="96" xfId="7879" applyNumberFormat="1" applyFont="1" applyFill="1" applyBorder="1" applyAlignment="1">
      <alignment horizontal="right" vertical="center"/>
    </xf>
    <xf numFmtId="234" fontId="16" fillId="35" borderId="27" xfId="7879" applyNumberFormat="1" applyFont="1" applyFill="1" applyBorder="1" applyAlignment="1">
      <alignment horizontal="center" vertical="center"/>
    </xf>
    <xf numFmtId="234" fontId="16" fillId="35" borderId="96" xfId="7879" applyNumberFormat="1" applyFont="1" applyFill="1" applyBorder="1" applyAlignment="1">
      <alignment horizontal="center" vertical="center"/>
    </xf>
    <xf numFmtId="234" fontId="16" fillId="35" borderId="0" xfId="7879" applyNumberFormat="1" applyFont="1" applyFill="1" applyBorder="1" applyAlignment="1">
      <alignment vertical="center"/>
    </xf>
    <xf numFmtId="2" fontId="16" fillId="35" borderId="0" xfId="7879" applyNumberFormat="1" applyFont="1" applyFill="1" applyAlignment="1">
      <alignment vertical="center"/>
    </xf>
    <xf numFmtId="234" fontId="16" fillId="35" borderId="27" xfId="7879" quotePrefix="1" applyNumberFormat="1" applyFont="1" applyFill="1" applyBorder="1" applyAlignment="1">
      <alignment horizontal="center" vertical="center"/>
    </xf>
    <xf numFmtId="234" fontId="16" fillId="0" borderId="96" xfId="7879" applyNumberFormat="1" applyFont="1" applyFill="1" applyBorder="1" applyAlignment="1">
      <alignment horizontal="center" vertical="center"/>
    </xf>
    <xf numFmtId="234" fontId="16" fillId="35" borderId="0" xfId="7879" applyNumberFormat="1" applyFont="1" applyFill="1" applyAlignment="1">
      <alignment vertical="center"/>
    </xf>
    <xf numFmtId="257" fontId="16" fillId="35" borderId="0" xfId="7879" applyNumberFormat="1" applyFont="1" applyFill="1" applyAlignment="1">
      <alignment vertical="center"/>
    </xf>
    <xf numFmtId="4" fontId="16" fillId="35" borderId="0" xfId="7879" applyNumberFormat="1" applyFont="1" applyFill="1" applyAlignment="1">
      <alignment vertical="center"/>
    </xf>
    <xf numFmtId="234" fontId="16" fillId="0" borderId="27" xfId="7879" quotePrefix="1" applyNumberFormat="1" applyFont="1" applyFill="1" applyBorder="1" applyAlignment="1">
      <alignment horizontal="center" vertical="center"/>
    </xf>
    <xf numFmtId="3" fontId="15" fillId="123" borderId="25" xfId="7879" applyNumberFormat="1" applyFont="1" applyFill="1" applyBorder="1" applyAlignment="1">
      <alignment horizontal="left" vertical="center"/>
    </xf>
    <xf numFmtId="234" fontId="14" fillId="123" borderId="25" xfId="7879" quotePrefix="1" applyNumberFormat="1" applyFont="1" applyFill="1" applyBorder="1" applyAlignment="1">
      <alignment horizontal="center" vertical="center"/>
    </xf>
    <xf numFmtId="4" fontId="16" fillId="35" borderId="47" xfId="7879" quotePrefix="1" applyNumberFormat="1" applyFont="1" applyFill="1" applyBorder="1" applyAlignment="1">
      <alignment horizontal="center" vertical="center"/>
    </xf>
    <xf numFmtId="3" fontId="15" fillId="35" borderId="0" xfId="7879" applyNumberFormat="1" applyFont="1" applyFill="1" applyBorder="1" applyAlignment="1">
      <alignment horizontal="left" vertical="center"/>
    </xf>
    <xf numFmtId="3" fontId="14" fillId="35" borderId="0" xfId="7879" applyNumberFormat="1" applyFont="1" applyFill="1" applyBorder="1" applyAlignment="1">
      <alignment horizontal="center" vertical="center"/>
    </xf>
    <xf numFmtId="0" fontId="243" fillId="35" borderId="0" xfId="7879" applyFont="1" applyFill="1" applyAlignment="1">
      <alignment vertical="center"/>
    </xf>
    <xf numFmtId="0" fontId="215" fillId="35" borderId="0" xfId="7879" applyFont="1" applyFill="1" applyAlignment="1">
      <alignment vertical="center"/>
    </xf>
    <xf numFmtId="0" fontId="215" fillId="35" borderId="0" xfId="7879" applyFont="1" applyFill="1" applyAlignment="1">
      <alignment horizontal="center" vertical="center"/>
    </xf>
    <xf numFmtId="3" fontId="215" fillId="35" borderId="0" xfId="7879" applyNumberFormat="1" applyFont="1" applyFill="1" applyAlignment="1">
      <alignment horizontal="center" vertical="center"/>
    </xf>
    <xf numFmtId="234" fontId="215" fillId="35" borderId="0" xfId="7879" applyNumberFormat="1" applyFont="1" applyFill="1" applyAlignment="1">
      <alignment vertical="center"/>
    </xf>
    <xf numFmtId="4" fontId="16" fillId="35" borderId="0" xfId="7879" applyNumberFormat="1" applyFont="1" applyFill="1" applyAlignment="1">
      <alignment horizontal="center" vertical="center"/>
    </xf>
    <xf numFmtId="3" fontId="215" fillId="35" borderId="0" xfId="7879" applyNumberFormat="1" applyFont="1" applyFill="1" applyAlignment="1">
      <alignment vertical="center"/>
    </xf>
    <xf numFmtId="169" fontId="16" fillId="35" borderId="0" xfId="7901" applyFont="1" applyFill="1" applyAlignment="1">
      <alignment vertical="center"/>
    </xf>
    <xf numFmtId="169" fontId="16" fillId="35" borderId="0" xfId="7901" applyFont="1" applyFill="1" applyAlignment="1">
      <alignment horizontal="center" vertical="center"/>
    </xf>
    <xf numFmtId="4" fontId="16" fillId="35" borderId="0" xfId="7879" applyNumberFormat="1" applyFont="1" applyFill="1" applyBorder="1" applyAlignment="1">
      <alignment horizontal="center" vertical="center"/>
    </xf>
    <xf numFmtId="0" fontId="268" fillId="35" borderId="0" xfId="7879" applyFill="1" applyAlignment="1">
      <alignment vertical="center"/>
    </xf>
    <xf numFmtId="1" fontId="16" fillId="35" borderId="0" xfId="7879" applyNumberFormat="1" applyFont="1" applyFill="1" applyBorder="1" applyAlignment="1">
      <alignment vertical="center"/>
    </xf>
    <xf numFmtId="2" fontId="16" fillId="35" borderId="0" xfId="7879" applyNumberFormat="1" applyFont="1" applyFill="1" applyBorder="1" applyAlignment="1">
      <alignment horizontal="center" vertical="center"/>
    </xf>
    <xf numFmtId="2" fontId="16" fillId="35" borderId="0" xfId="7879" applyNumberFormat="1" applyFont="1" applyFill="1" applyBorder="1" applyAlignment="1">
      <alignment vertical="center"/>
    </xf>
    <xf numFmtId="169" fontId="16" fillId="35" borderId="0" xfId="7901" applyFont="1" applyFill="1" applyBorder="1" applyAlignment="1">
      <alignment horizontal="right" vertical="center"/>
    </xf>
    <xf numFmtId="206" fontId="16" fillId="35" borderId="0" xfId="7901" applyNumberFormat="1" applyFont="1" applyFill="1" applyBorder="1" applyAlignment="1">
      <alignment vertical="center"/>
    </xf>
    <xf numFmtId="3" fontId="16" fillId="35" borderId="0" xfId="7879" applyNumberFormat="1" applyFont="1" applyFill="1" applyAlignment="1">
      <alignment horizontal="center" vertical="center"/>
    </xf>
    <xf numFmtId="0" fontId="13" fillId="0" borderId="0" xfId="7879" applyFont="1" applyBorder="1"/>
    <xf numFmtId="0" fontId="19" fillId="0" borderId="0" xfId="7879" applyFont="1" applyAlignment="1">
      <alignment horizontal="right"/>
    </xf>
    <xf numFmtId="0" fontId="13" fillId="90" borderId="33" xfId="7879" applyFont="1" applyFill="1" applyBorder="1" applyAlignment="1">
      <alignment horizontal="center"/>
    </xf>
    <xf numFmtId="17" fontId="13" fillId="90" borderId="33" xfId="7879" applyNumberFormat="1" applyFont="1" applyFill="1" applyBorder="1" applyAlignment="1">
      <alignment horizontal="center"/>
    </xf>
    <xf numFmtId="0" fontId="122" fillId="90" borderId="9" xfId="7879" applyFont="1" applyFill="1" applyBorder="1"/>
    <xf numFmtId="268" fontId="122" fillId="0" borderId="9" xfId="5421" applyNumberFormat="1" applyFont="1" applyBorder="1" applyAlignment="1">
      <alignment horizontal="center"/>
    </xf>
    <xf numFmtId="268" fontId="122" fillId="0" borderId="9" xfId="5421" applyNumberFormat="1" applyFont="1" applyFill="1" applyBorder="1" applyAlignment="1">
      <alignment horizontal="center"/>
    </xf>
    <xf numFmtId="0" fontId="13" fillId="90" borderId="33" xfId="7879" applyFont="1" applyFill="1" applyBorder="1" applyAlignment="1">
      <alignment horizontal="left"/>
    </xf>
    <xf numFmtId="268" fontId="13" fillId="0" borderId="33" xfId="5421" applyNumberFormat="1" applyFont="1" applyBorder="1" applyAlignment="1">
      <alignment horizontal="center"/>
    </xf>
    <xf numFmtId="268" fontId="13" fillId="0" borderId="33" xfId="5421" applyNumberFormat="1" applyFont="1" applyFill="1" applyBorder="1" applyAlignment="1">
      <alignment horizontal="center"/>
    </xf>
    <xf numFmtId="0" fontId="13" fillId="0" borderId="0" xfId="7879" applyFont="1" applyFill="1" applyBorder="1" applyAlignment="1">
      <alignment horizontal="left"/>
    </xf>
    <xf numFmtId="268" fontId="13" fillId="0" borderId="0" xfId="5421" applyNumberFormat="1" applyFont="1" applyFill="1" applyBorder="1" applyAlignment="1">
      <alignment horizontal="center"/>
    </xf>
    <xf numFmtId="0" fontId="16" fillId="0" borderId="0" xfId="7879" applyFont="1" applyFill="1" applyBorder="1"/>
    <xf numFmtId="0" fontId="122" fillId="0" borderId="0" xfId="7879" applyFont="1" applyBorder="1" applyAlignment="1">
      <alignment horizontal="center"/>
    </xf>
    <xf numFmtId="268" fontId="19" fillId="0" borderId="0" xfId="5421" applyNumberFormat="1" applyFont="1" applyBorder="1" applyAlignment="1">
      <alignment horizontal="right"/>
    </xf>
    <xf numFmtId="268" fontId="122" fillId="0" borderId="9" xfId="5421" applyNumberFormat="1" applyFont="1" applyBorder="1"/>
    <xf numFmtId="0" fontId="378" fillId="90" borderId="9" xfId="7879" applyFont="1" applyFill="1" applyBorder="1"/>
    <xf numFmtId="268" fontId="378" fillId="0" borderId="9" xfId="5421" applyNumberFormat="1" applyFont="1" applyBorder="1"/>
    <xf numFmtId="0" fontId="122" fillId="0" borderId="0" xfId="7879" applyFont="1"/>
    <xf numFmtId="0" fontId="13" fillId="90" borderId="33" xfId="7879" applyFont="1" applyFill="1" applyBorder="1"/>
    <xf numFmtId="268" fontId="13" fillId="0" borderId="33" xfId="5421" applyNumberFormat="1" applyFont="1" applyBorder="1"/>
    <xf numFmtId="268" fontId="13" fillId="0" borderId="33" xfId="5421" applyNumberFormat="1" applyFont="1" applyFill="1" applyBorder="1"/>
    <xf numFmtId="0" fontId="19" fillId="0" borderId="0" xfId="7879" applyFont="1" applyFill="1" applyBorder="1" applyAlignment="1">
      <alignment horizontal="left" vertical="top"/>
    </xf>
    <xf numFmtId="0" fontId="16" fillId="0" borderId="0" xfId="7879" applyFont="1" applyBorder="1" applyAlignment="1">
      <alignment vertical="top"/>
    </xf>
    <xf numFmtId="0" fontId="19" fillId="0" borderId="0" xfId="7879" applyFont="1" applyFill="1" applyBorder="1" applyAlignment="1">
      <alignment vertical="top"/>
    </xf>
    <xf numFmtId="0" fontId="16" fillId="0" borderId="0" xfId="7879" applyFont="1" applyBorder="1"/>
    <xf numFmtId="0" fontId="244" fillId="35" borderId="0" xfId="2" applyFont="1" applyFill="1" applyBorder="1" applyAlignment="1">
      <alignment horizontal="right"/>
    </xf>
    <xf numFmtId="0" fontId="6" fillId="3" borderId="25" xfId="2" applyFont="1" applyFill="1" applyBorder="1"/>
    <xf numFmtId="17" fontId="84" fillId="3" borderId="308" xfId="2" applyNumberFormat="1" applyFont="1" applyFill="1" applyBorder="1" applyAlignment="1">
      <alignment horizontal="center"/>
    </xf>
    <xf numFmtId="17" fontId="84" fillId="3" borderId="309" xfId="2" applyNumberFormat="1" applyFont="1" applyFill="1" applyBorder="1" applyAlignment="1">
      <alignment horizontal="center"/>
    </xf>
    <xf numFmtId="17" fontId="84" fillId="3" borderId="304" xfId="2" applyNumberFormat="1" applyFont="1" applyFill="1" applyBorder="1" applyAlignment="1">
      <alignment horizontal="center"/>
    </xf>
    <xf numFmtId="0" fontId="40" fillId="3" borderId="27" xfId="2" applyFont="1" applyFill="1" applyBorder="1"/>
    <xf numFmtId="206" fontId="40" fillId="35" borderId="38" xfId="2" applyNumberFormat="1" applyFont="1" applyFill="1" applyBorder="1"/>
    <xf numFmtId="206" fontId="40" fillId="35" borderId="9" xfId="2" applyNumberFormat="1" applyFont="1" applyFill="1" applyBorder="1"/>
    <xf numFmtId="206" fontId="40" fillId="35" borderId="93" xfId="2" applyNumberFormat="1" applyFont="1" applyFill="1" applyBorder="1"/>
    <xf numFmtId="0" fontId="39" fillId="3" borderId="27" xfId="2" applyFont="1" applyFill="1" applyBorder="1"/>
    <xf numFmtId="206" fontId="39" fillId="35" borderId="38" xfId="2" applyNumberFormat="1" applyFont="1" applyFill="1" applyBorder="1"/>
    <xf numFmtId="206" fontId="39" fillId="35" borderId="9" xfId="2" applyNumberFormat="1" applyFont="1" applyFill="1" applyBorder="1"/>
    <xf numFmtId="206" fontId="39" fillId="35" borderId="93" xfId="2" applyNumberFormat="1" applyFont="1" applyFill="1" applyBorder="1"/>
    <xf numFmtId="0" fontId="36" fillId="3" borderId="27" xfId="2" applyFont="1" applyFill="1" applyBorder="1"/>
    <xf numFmtId="268" fontId="40" fillId="35" borderId="93" xfId="2" applyNumberFormat="1" applyFont="1" applyFill="1" applyBorder="1"/>
    <xf numFmtId="0" fontId="39" fillId="3" borderId="28" xfId="2" applyFont="1" applyFill="1" applyBorder="1"/>
    <xf numFmtId="206" fontId="39" fillId="35" borderId="100" xfId="2" applyNumberFormat="1" applyFont="1" applyFill="1" applyBorder="1"/>
    <xf numFmtId="206" fontId="39" fillId="35" borderId="101" xfId="2" applyNumberFormat="1" applyFont="1" applyFill="1" applyBorder="1"/>
    <xf numFmtId="206" fontId="39" fillId="35" borderId="102" xfId="2" applyNumberFormat="1" applyFont="1" applyFill="1" applyBorder="1"/>
    <xf numFmtId="0" fontId="244" fillId="35" borderId="0" xfId="2" applyFont="1" applyFill="1" applyBorder="1" applyAlignment="1">
      <alignment horizontal="left" vertical="top"/>
    </xf>
    <xf numFmtId="0" fontId="9" fillId="35" borderId="0" xfId="2" applyFont="1" applyFill="1" applyAlignment="1" applyProtection="1">
      <alignment horizontal="left" vertical="center"/>
    </xf>
    <xf numFmtId="0" fontId="266" fillId="35" borderId="0" xfId="2" applyFont="1" applyFill="1" applyAlignment="1">
      <alignment vertical="center"/>
    </xf>
    <xf numFmtId="0" fontId="40" fillId="35" borderId="0" xfId="2" applyFont="1" applyFill="1" applyAlignment="1">
      <alignment vertical="center"/>
    </xf>
    <xf numFmtId="4" fontId="40" fillId="35" borderId="0" xfId="2" applyNumberFormat="1" applyFont="1" applyFill="1" applyAlignment="1">
      <alignment vertical="center"/>
    </xf>
    <xf numFmtId="0" fontId="39" fillId="35" borderId="0" xfId="2" applyFont="1" applyFill="1" applyAlignment="1">
      <alignment vertical="center"/>
    </xf>
    <xf numFmtId="0" fontId="40" fillId="35" borderId="0" xfId="2" applyFont="1" applyFill="1" applyAlignment="1">
      <alignment horizontal="center" vertical="center"/>
    </xf>
    <xf numFmtId="0" fontId="40" fillId="35" borderId="0" xfId="7902" applyFont="1" applyFill="1" applyAlignment="1">
      <alignment vertical="center"/>
    </xf>
    <xf numFmtId="0" fontId="40" fillId="35" borderId="0" xfId="2" applyFont="1" applyFill="1" applyAlignment="1" applyProtection="1">
      <alignment vertical="center"/>
    </xf>
    <xf numFmtId="4" fontId="40" fillId="35" borderId="0" xfId="2" applyNumberFormat="1" applyFont="1" applyFill="1" applyAlignment="1" applyProtection="1">
      <alignment vertical="center"/>
    </xf>
    <xf numFmtId="0" fontId="40" fillId="35" borderId="0" xfId="2" applyFont="1" applyFill="1" applyAlignment="1" applyProtection="1">
      <alignment horizontal="center" vertical="center"/>
    </xf>
    <xf numFmtId="0" fontId="40" fillId="35" borderId="0" xfId="2" applyFont="1" applyFill="1" applyAlignment="1" applyProtection="1">
      <alignment horizontal="left" vertical="center"/>
    </xf>
    <xf numFmtId="0" fontId="39" fillId="35" borderId="0" xfId="2" applyFont="1" applyFill="1" applyAlignment="1" applyProtection="1">
      <alignment vertical="center"/>
    </xf>
    <xf numFmtId="0" fontId="39" fillId="2" borderId="103" xfId="2" applyFont="1" applyFill="1" applyBorder="1" applyAlignment="1" applyProtection="1">
      <alignment horizontal="centerContinuous" vertical="center"/>
    </xf>
    <xf numFmtId="0" fontId="39" fillId="2" borderId="158" xfId="2" applyFont="1" applyFill="1" applyBorder="1" applyAlignment="1" applyProtection="1">
      <alignment horizontal="centerContinuous" vertical="center"/>
    </xf>
    <xf numFmtId="0" fontId="39" fillId="2" borderId="4" xfId="2" applyFont="1" applyFill="1" applyBorder="1" applyAlignment="1" applyProtection="1">
      <alignment horizontal="center" vertical="center"/>
    </xf>
    <xf numFmtId="0" fontId="39" fillId="2" borderId="106" xfId="2" applyFont="1" applyFill="1" applyBorder="1" applyAlignment="1" applyProtection="1">
      <alignment horizontal="centerContinuous" vertical="center"/>
    </xf>
    <xf numFmtId="0" fontId="39" fillId="127" borderId="310" xfId="2" applyFont="1" applyFill="1" applyBorder="1" applyAlignment="1" applyProtection="1">
      <alignment horizontal="center" vertical="center"/>
    </xf>
    <xf numFmtId="0" fontId="39" fillId="127" borderId="160" xfId="2" applyFont="1" applyFill="1" applyBorder="1" applyAlignment="1" applyProtection="1">
      <alignment horizontal="center" vertical="center"/>
    </xf>
    <xf numFmtId="4" fontId="39" fillId="127" borderId="160" xfId="2" applyNumberFormat="1" applyFont="1" applyFill="1" applyBorder="1" applyAlignment="1" applyProtection="1">
      <alignment horizontal="center" vertical="center"/>
    </xf>
    <xf numFmtId="0" fontId="39" fillId="127" borderId="91" xfId="2" applyFont="1" applyFill="1" applyBorder="1" applyAlignment="1" applyProtection="1">
      <alignment horizontal="center" vertical="center"/>
    </xf>
    <xf numFmtId="0" fontId="39" fillId="127" borderId="161" xfId="2" applyFont="1" applyFill="1" applyBorder="1" applyAlignment="1" applyProtection="1">
      <alignment horizontal="center" vertical="center"/>
    </xf>
    <xf numFmtId="0" fontId="39" fillId="127" borderId="90" xfId="2" applyFont="1" applyFill="1" applyBorder="1" applyAlignment="1" applyProtection="1">
      <alignment horizontal="center" vertical="center"/>
    </xf>
    <xf numFmtId="0" fontId="39" fillId="2" borderId="5" xfId="2" applyFont="1" applyFill="1" applyBorder="1" applyAlignment="1" applyProtection="1">
      <alignment horizontal="center" vertical="center"/>
    </xf>
    <xf numFmtId="0" fontId="39" fillId="127" borderId="38" xfId="2" applyFont="1" applyFill="1" applyBorder="1" applyAlignment="1" applyProtection="1">
      <alignment horizontal="center" vertical="center"/>
    </xf>
    <xf numFmtId="4" fontId="39" fillId="127" borderId="38" xfId="2" applyNumberFormat="1" applyFont="1" applyFill="1" applyBorder="1" applyAlignment="1" applyProtection="1">
      <alignment horizontal="center" vertical="center"/>
    </xf>
    <xf numFmtId="0" fontId="39" fillId="127" borderId="93" xfId="2" applyFont="1" applyFill="1" applyBorder="1" applyAlignment="1" applyProtection="1">
      <alignment horizontal="center" vertical="center"/>
    </xf>
    <xf numFmtId="0" fontId="39" fillId="127" borderId="96" xfId="2" applyFont="1" applyFill="1" applyBorder="1" applyAlignment="1" applyProtection="1">
      <alignment horizontal="center" vertical="center"/>
    </xf>
    <xf numFmtId="0" fontId="39" fillId="127" borderId="9" xfId="2" applyFont="1" applyFill="1" applyBorder="1" applyAlignment="1" applyProtection="1">
      <alignment horizontal="center" vertical="center"/>
    </xf>
    <xf numFmtId="0" fontId="40" fillId="2" borderId="109" xfId="2" applyFont="1" applyFill="1" applyBorder="1" applyAlignment="1">
      <alignment vertical="center"/>
    </xf>
    <xf numFmtId="0" fontId="39" fillId="127" borderId="167" xfId="2" applyFont="1" applyFill="1" applyBorder="1" applyAlignment="1" applyProtection="1">
      <alignment horizontal="center" vertical="center"/>
    </xf>
    <xf numFmtId="4" fontId="39" fillId="127" borderId="167" xfId="2" applyNumberFormat="1" applyFont="1" applyFill="1" applyBorder="1" applyAlignment="1" applyProtection="1">
      <alignment horizontal="center" vertical="center"/>
    </xf>
    <xf numFmtId="0" fontId="39" fillId="127" borderId="170" xfId="2" applyFont="1" applyFill="1" applyBorder="1" applyAlignment="1" applyProtection="1">
      <alignment horizontal="center" vertical="center"/>
    </xf>
    <xf numFmtId="0" fontId="39" fillId="127" borderId="118" xfId="2" applyFont="1" applyFill="1" applyBorder="1" applyAlignment="1" applyProtection="1">
      <alignment horizontal="center" vertical="center"/>
    </xf>
    <xf numFmtId="0" fontId="39" fillId="127" borderId="168" xfId="2" applyFont="1" applyFill="1" applyBorder="1" applyAlignment="1" applyProtection="1">
      <alignment horizontal="center" vertical="center"/>
    </xf>
    <xf numFmtId="0" fontId="39" fillId="2" borderId="6" xfId="2" applyFont="1" applyFill="1" applyBorder="1" applyAlignment="1">
      <alignment horizontal="center" vertical="center"/>
    </xf>
    <xf numFmtId="0" fontId="39" fillId="2" borderId="106" xfId="2" applyFont="1" applyFill="1" applyBorder="1" applyAlignment="1" applyProtection="1">
      <alignment horizontal="right" vertical="center"/>
      <protection hidden="1"/>
    </xf>
    <xf numFmtId="250" fontId="40" fillId="35" borderId="38" xfId="2" applyNumberFormat="1" applyFont="1" applyFill="1" applyBorder="1" applyAlignment="1" applyProtection="1">
      <alignment horizontal="right" vertical="center"/>
      <protection hidden="1"/>
    </xf>
    <xf numFmtId="0" fontId="40" fillId="35" borderId="38" xfId="2" applyFont="1" applyFill="1" applyBorder="1" applyAlignment="1" applyProtection="1">
      <alignment horizontal="right" vertical="center"/>
      <protection hidden="1"/>
    </xf>
    <xf numFmtId="4" fontId="40" fillId="35" borderId="38" xfId="2" applyNumberFormat="1" applyFont="1" applyFill="1" applyBorder="1" applyAlignment="1" applyProtection="1">
      <alignment horizontal="right" vertical="center"/>
      <protection hidden="1"/>
    </xf>
    <xf numFmtId="0" fontId="40" fillId="35" borderId="93" xfId="2" applyFont="1" applyFill="1" applyBorder="1" applyAlignment="1" applyProtection="1">
      <alignment horizontal="right" vertical="center"/>
      <protection hidden="1"/>
    </xf>
    <xf numFmtId="0" fontId="39" fillId="35" borderId="96" xfId="2" applyFont="1" applyFill="1" applyBorder="1" applyAlignment="1" applyProtection="1">
      <alignment horizontal="right" vertical="center"/>
      <protection hidden="1"/>
    </xf>
    <xf numFmtId="250" fontId="40" fillId="35" borderId="9" xfId="2" applyNumberFormat="1" applyFont="1" applyFill="1" applyBorder="1" applyAlignment="1" applyProtection="1">
      <alignment horizontal="right" vertical="center"/>
      <protection hidden="1"/>
    </xf>
    <xf numFmtId="250" fontId="40" fillId="35" borderId="9" xfId="2" applyNumberFormat="1" applyFont="1" applyFill="1" applyBorder="1" applyAlignment="1" applyProtection="1">
      <alignment horizontal="center" vertical="center"/>
      <protection hidden="1"/>
    </xf>
    <xf numFmtId="0" fontId="40" fillId="35" borderId="9" xfId="2" applyFont="1" applyFill="1" applyBorder="1" applyAlignment="1" applyProtection="1">
      <alignment horizontal="right" vertical="center"/>
      <protection hidden="1"/>
    </xf>
    <xf numFmtId="0" fontId="39" fillId="35" borderId="93" xfId="2" applyFont="1" applyFill="1" applyBorder="1" applyAlignment="1" applyProtection="1">
      <alignment horizontal="right" vertical="center"/>
      <protection hidden="1"/>
    </xf>
    <xf numFmtId="0" fontId="39" fillId="35" borderId="104" xfId="2" applyFont="1" applyFill="1" applyBorder="1" applyAlignment="1" applyProtection="1">
      <alignment horizontal="right" vertical="center"/>
      <protection hidden="1"/>
    </xf>
    <xf numFmtId="17" fontId="39" fillId="2" borderId="106" xfId="2" applyNumberFormat="1" applyFont="1" applyFill="1" applyBorder="1" applyAlignment="1">
      <alignment horizontal="left" vertical="center"/>
    </xf>
    <xf numFmtId="250" fontId="40" fillId="35" borderId="38" xfId="2" applyNumberFormat="1" applyFont="1" applyFill="1" applyBorder="1" applyAlignment="1" applyProtection="1">
      <alignment horizontal="right" vertical="center"/>
    </xf>
    <xf numFmtId="250" fontId="40" fillId="35" borderId="9" xfId="2" applyNumberFormat="1" applyFont="1" applyFill="1" applyBorder="1" applyAlignment="1" applyProtection="1">
      <alignment horizontal="right" vertical="center"/>
    </xf>
    <xf numFmtId="250" fontId="40" fillId="35" borderId="93" xfId="2" applyNumberFormat="1" applyFont="1" applyFill="1" applyBorder="1" applyAlignment="1" applyProtection="1">
      <alignment horizontal="right" vertical="center"/>
    </xf>
    <xf numFmtId="250" fontId="39" fillId="35" borderId="96" xfId="2" applyNumberFormat="1" applyFont="1" applyFill="1" applyBorder="1" applyAlignment="1" applyProtection="1">
      <alignment horizontal="right" vertical="center"/>
    </xf>
    <xf numFmtId="250" fontId="40" fillId="35" borderId="9" xfId="2" applyNumberFormat="1" applyFont="1" applyFill="1" applyBorder="1" applyAlignment="1" applyProtection="1">
      <alignment horizontal="center" vertical="center"/>
    </xf>
    <xf numFmtId="250" fontId="39" fillId="35" borderId="93" xfId="2" applyNumberFormat="1" applyFont="1" applyFill="1" applyBorder="1" applyAlignment="1" applyProtection="1">
      <alignment horizontal="right" vertical="center"/>
    </xf>
    <xf numFmtId="250" fontId="39" fillId="35" borderId="5" xfId="2" applyNumberFormat="1" applyFont="1" applyFill="1" applyBorder="1" applyAlignment="1" applyProtection="1">
      <alignment horizontal="right" vertical="center"/>
    </xf>
    <xf numFmtId="250" fontId="40" fillId="35" borderId="0" xfId="2" applyNumberFormat="1" applyFont="1" applyFill="1" applyAlignment="1">
      <alignment vertical="center"/>
    </xf>
    <xf numFmtId="250" fontId="40" fillId="35" borderId="0" xfId="7902" applyNumberFormat="1" applyFont="1" applyFill="1" applyAlignment="1">
      <alignment vertical="center"/>
    </xf>
    <xf numFmtId="250" fontId="175" fillId="35" borderId="38" xfId="2" applyNumberFormat="1" applyFont="1" applyFill="1" applyBorder="1" applyAlignment="1" applyProtection="1">
      <alignment horizontal="right" vertical="center"/>
    </xf>
    <xf numFmtId="250" fontId="175" fillId="35" borderId="9" xfId="2" applyNumberFormat="1" applyFont="1" applyFill="1" applyBorder="1" applyAlignment="1" applyProtection="1">
      <alignment horizontal="right" vertical="center"/>
    </xf>
    <xf numFmtId="250" fontId="175" fillId="35" borderId="93" xfId="2" applyNumberFormat="1" applyFont="1" applyFill="1" applyBorder="1" applyAlignment="1" applyProtection="1">
      <alignment horizontal="right" vertical="center"/>
    </xf>
    <xf numFmtId="250" fontId="379" fillId="35" borderId="96" xfId="2" applyNumberFormat="1" applyFont="1" applyFill="1" applyBorder="1" applyAlignment="1" applyProtection="1">
      <alignment horizontal="right" vertical="center"/>
    </xf>
    <xf numFmtId="250" fontId="175" fillId="35" borderId="9" xfId="2" applyNumberFormat="1" applyFont="1" applyFill="1" applyBorder="1" applyAlignment="1" applyProtection="1">
      <alignment horizontal="center" vertical="center"/>
    </xf>
    <xf numFmtId="250" fontId="379" fillId="35" borderId="93" xfId="2" applyNumberFormat="1" applyFont="1" applyFill="1" applyBorder="1" applyAlignment="1" applyProtection="1">
      <alignment horizontal="right" vertical="center"/>
    </xf>
    <xf numFmtId="250" fontId="379" fillId="35" borderId="5" xfId="2" applyNumberFormat="1" applyFont="1" applyFill="1" applyBorder="1" applyAlignment="1" applyProtection="1">
      <alignment horizontal="right" vertical="center"/>
    </xf>
    <xf numFmtId="257" fontId="40" fillId="35" borderId="9" xfId="7902" applyNumberFormat="1" applyFont="1" applyFill="1" applyBorder="1" applyAlignment="1">
      <alignment horizontal="center" vertical="center"/>
    </xf>
    <xf numFmtId="257" fontId="40" fillId="35" borderId="9" xfId="7902" applyNumberFormat="1" applyFont="1" applyFill="1" applyBorder="1" applyAlignment="1">
      <alignment vertical="center"/>
    </xf>
    <xf numFmtId="250" fontId="379" fillId="35" borderId="27" xfId="2" applyNumberFormat="1" applyFont="1" applyFill="1" applyBorder="1" applyAlignment="1" applyProtection="1">
      <alignment horizontal="right" vertical="center"/>
    </xf>
    <xf numFmtId="250" fontId="40" fillId="35" borderId="9" xfId="7902" applyNumberFormat="1" applyFont="1" applyFill="1" applyBorder="1" applyAlignment="1">
      <alignment horizontal="center" vertical="center"/>
    </xf>
    <xf numFmtId="250" fontId="40" fillId="35" borderId="9" xfId="7902" applyNumberFormat="1" applyFont="1" applyFill="1" applyBorder="1" applyAlignment="1">
      <alignment vertical="center"/>
    </xf>
    <xf numFmtId="250" fontId="175" fillId="35" borderId="38" xfId="2" applyNumberFormat="1" applyFont="1" applyFill="1" applyBorder="1" applyAlignment="1" applyProtection="1">
      <alignment horizontal="center" vertical="center"/>
    </xf>
    <xf numFmtId="39" fontId="40" fillId="35" borderId="0" xfId="7902" applyNumberFormat="1" applyFont="1" applyFill="1" applyAlignment="1">
      <alignment vertical="center"/>
    </xf>
    <xf numFmtId="1" fontId="39" fillId="35" borderId="0" xfId="7902" applyNumberFormat="1" applyFont="1" applyFill="1" applyAlignment="1">
      <alignment vertical="center"/>
    </xf>
    <xf numFmtId="257" fontId="40" fillId="35" borderId="0" xfId="7902" applyNumberFormat="1" applyFont="1" applyFill="1" applyAlignment="1">
      <alignment horizontal="center" vertical="center"/>
    </xf>
    <xf numFmtId="17" fontId="39" fillId="2" borderId="109" xfId="2" applyNumberFormat="1" applyFont="1" applyFill="1" applyBorder="1" applyAlignment="1">
      <alignment horizontal="left" vertical="center"/>
    </xf>
    <xf numFmtId="250" fontId="175" fillId="0" borderId="100" xfId="2" applyNumberFormat="1" applyFont="1" applyFill="1" applyBorder="1" applyAlignment="1" applyProtection="1">
      <alignment horizontal="center" vertical="center"/>
    </xf>
    <xf numFmtId="250" fontId="175" fillId="35" borderId="101" xfId="2" applyNumberFormat="1" applyFont="1" applyFill="1" applyBorder="1" applyAlignment="1" applyProtection="1">
      <alignment horizontal="right" vertical="center"/>
    </xf>
    <xf numFmtId="250" fontId="175" fillId="35" borderId="102" xfId="2" applyNumberFormat="1" applyFont="1" applyFill="1" applyBorder="1" applyAlignment="1" applyProtection="1">
      <alignment horizontal="right" vertical="center"/>
    </xf>
    <xf numFmtId="250" fontId="379" fillId="35" borderId="28" xfId="2" applyNumberFormat="1" applyFont="1" applyFill="1" applyBorder="1" applyAlignment="1" applyProtection="1">
      <alignment horizontal="right" vertical="center"/>
    </xf>
    <xf numFmtId="250" fontId="175" fillId="0" borderId="101" xfId="2" applyNumberFormat="1" applyFont="1" applyFill="1" applyBorder="1" applyAlignment="1" applyProtection="1">
      <alignment horizontal="center" vertical="center"/>
    </xf>
    <xf numFmtId="250" fontId="175" fillId="35" borderId="101" xfId="2" applyNumberFormat="1" applyFont="1" applyFill="1" applyBorder="1" applyAlignment="1" applyProtection="1">
      <alignment horizontal="center" vertical="center"/>
    </xf>
    <xf numFmtId="250" fontId="379" fillId="35" borderId="142" xfId="2" applyNumberFormat="1" applyFont="1" applyFill="1" applyBorder="1" applyAlignment="1" applyProtection="1">
      <alignment horizontal="right" vertical="center"/>
    </xf>
    <xf numFmtId="0" fontId="244" fillId="35" borderId="0" xfId="2" applyFont="1" applyFill="1" applyAlignment="1">
      <alignment vertical="center"/>
    </xf>
    <xf numFmtId="250" fontId="40" fillId="35" borderId="0" xfId="2" applyNumberFormat="1" applyFont="1" applyFill="1" applyBorder="1" applyAlignment="1" applyProtection="1">
      <alignment horizontal="right" vertical="center"/>
    </xf>
    <xf numFmtId="250" fontId="379" fillId="35" borderId="0" xfId="2" applyNumberFormat="1" applyFont="1" applyFill="1" applyBorder="1" applyAlignment="1" applyProtection="1">
      <alignment horizontal="right" vertical="center"/>
    </xf>
    <xf numFmtId="0" fontId="244" fillId="35" borderId="0" xfId="7902" applyFont="1" applyFill="1" applyAlignment="1">
      <alignment vertical="center"/>
    </xf>
    <xf numFmtId="2" fontId="40" fillId="35" borderId="0" xfId="7902" applyNumberFormat="1" applyFont="1" applyFill="1" applyAlignment="1">
      <alignment vertical="center"/>
    </xf>
    <xf numFmtId="4" fontId="40" fillId="35" borderId="0" xfId="7902" applyNumberFormat="1" applyFont="1" applyFill="1" applyAlignment="1">
      <alignment vertical="center"/>
    </xf>
    <xf numFmtId="0" fontId="40" fillId="35" borderId="0" xfId="7902" applyFont="1" applyFill="1" applyAlignment="1">
      <alignment horizontal="center" vertical="center"/>
    </xf>
    <xf numFmtId="4" fontId="39" fillId="35" borderId="0" xfId="7902" applyNumberFormat="1" applyFont="1" applyFill="1" applyAlignment="1">
      <alignment vertical="center"/>
    </xf>
    <xf numFmtId="234" fontId="40" fillId="35" borderId="0" xfId="7902" applyNumberFormat="1" applyFont="1" applyFill="1" applyAlignment="1">
      <alignment vertical="center"/>
    </xf>
    <xf numFmtId="257" fontId="40" fillId="35" borderId="0" xfId="7902" applyNumberFormat="1" applyFont="1" applyFill="1" applyAlignment="1">
      <alignment vertical="center"/>
    </xf>
    <xf numFmtId="4" fontId="87" fillId="35" borderId="0" xfId="7902" applyNumberFormat="1" applyFont="1" applyFill="1" applyAlignment="1">
      <alignment vertical="center"/>
    </xf>
    <xf numFmtId="2" fontId="39" fillId="35" borderId="0" xfId="7902" applyNumberFormat="1" applyFont="1" applyFill="1" applyAlignment="1">
      <alignment vertical="center"/>
    </xf>
    <xf numFmtId="0" fontId="39" fillId="35" borderId="0" xfId="7902" applyFont="1" applyFill="1" applyAlignment="1">
      <alignment vertical="center"/>
    </xf>
    <xf numFmtId="17" fontId="40" fillId="35" borderId="0" xfId="7902" applyNumberFormat="1" applyFont="1" applyFill="1" applyAlignment="1">
      <alignment vertical="center"/>
    </xf>
    <xf numFmtId="0" fontId="39" fillId="129" borderId="103" xfId="2" applyFont="1" applyFill="1" applyBorder="1" applyAlignment="1">
      <alignment horizontal="center" vertical="center"/>
    </xf>
    <xf numFmtId="0" fontId="39" fillId="129" borderId="115" xfId="2" applyFont="1" applyFill="1" applyBorder="1" applyAlignment="1">
      <alignment horizontal="centerContinuous" vertical="center"/>
    </xf>
    <xf numFmtId="0" fontId="39" fillId="129" borderId="104" xfId="2" applyFont="1" applyFill="1" applyBorder="1" applyAlignment="1">
      <alignment horizontal="centerContinuous" vertical="center"/>
    </xf>
    <xf numFmtId="0" fontId="39" fillId="129" borderId="104" xfId="2" applyFont="1" applyFill="1" applyBorder="1" applyAlignment="1">
      <alignment horizontal="center" vertical="center"/>
    </xf>
    <xf numFmtId="0" fontId="39" fillId="129" borderId="105" xfId="2" applyFont="1" applyFill="1" applyBorder="1" applyAlignment="1">
      <alignment horizontal="center" vertical="center"/>
    </xf>
    <xf numFmtId="0" fontId="39" fillId="129" borderId="106" xfId="2" applyFont="1" applyFill="1" applyBorder="1" applyAlignment="1">
      <alignment horizontal="center" vertical="center"/>
    </xf>
    <xf numFmtId="0" fontId="39" fillId="129" borderId="258" xfId="2" applyFont="1" applyFill="1" applyBorder="1" applyAlignment="1">
      <alignment horizontal="center" vertical="center"/>
    </xf>
    <xf numFmtId="0" fontId="39" fillId="129" borderId="35" xfId="2" applyFont="1" applyFill="1" applyBorder="1" applyAlignment="1">
      <alignment horizontal="center" vertical="center"/>
    </xf>
    <xf numFmtId="0" fontId="39" fillId="129" borderId="96" xfId="2" applyFont="1" applyFill="1" applyBorder="1" applyAlignment="1">
      <alignment horizontal="center" vertical="center"/>
    </xf>
    <xf numFmtId="0" fontId="39" fillId="129" borderId="27" xfId="2" applyFont="1" applyFill="1" applyBorder="1" applyAlignment="1">
      <alignment horizontal="center" vertical="center"/>
    </xf>
    <xf numFmtId="0" fontId="39" fillId="129" borderId="112" xfId="2" applyFont="1" applyFill="1" applyBorder="1" applyAlignment="1">
      <alignment horizontal="center" vertical="center"/>
    </xf>
    <xf numFmtId="0" fontId="39" fillId="131" borderId="311" xfId="2" applyFont="1" applyFill="1" applyBorder="1" applyAlignment="1">
      <alignment horizontal="center" vertical="center"/>
    </xf>
    <xf numFmtId="0" fontId="39" fillId="131" borderId="309" xfId="2" applyFont="1" applyFill="1" applyBorder="1" applyAlignment="1">
      <alignment horizontal="center" vertical="center"/>
    </xf>
    <xf numFmtId="0" fontId="39" fillId="131" borderId="26" xfId="2" applyFont="1" applyFill="1" applyBorder="1" applyAlignment="1">
      <alignment horizontal="center" vertical="center"/>
    </xf>
    <xf numFmtId="0" fontId="39" fillId="129" borderId="28" xfId="2" applyFont="1" applyFill="1" applyBorder="1" applyAlignment="1">
      <alignment horizontal="center" vertical="center"/>
    </xf>
    <xf numFmtId="0" fontId="39" fillId="129" borderId="140" xfId="2" applyFont="1" applyFill="1" applyBorder="1" applyAlignment="1">
      <alignment horizontal="center" vertical="center"/>
    </xf>
    <xf numFmtId="0" fontId="39" fillId="129" borderId="109" xfId="2" applyFont="1" applyFill="1" applyBorder="1" applyAlignment="1">
      <alignment horizontal="center" vertical="center"/>
    </xf>
    <xf numFmtId="0" fontId="314" fillId="139" borderId="240" xfId="2" applyFont="1" applyFill="1" applyBorder="1" applyAlignment="1">
      <alignment vertical="center"/>
    </xf>
    <xf numFmtId="266" fontId="39" fillId="129" borderId="106" xfId="2" quotePrefix="1" applyNumberFormat="1" applyFont="1" applyFill="1" applyBorder="1" applyAlignment="1">
      <alignment horizontal="center" vertical="center"/>
    </xf>
    <xf numFmtId="3" fontId="40" fillId="35" borderId="115" xfId="2" applyNumberFormat="1" applyFont="1" applyFill="1" applyBorder="1" applyAlignment="1">
      <alignment horizontal="center" vertical="center"/>
    </xf>
    <xf numFmtId="3" fontId="40" fillId="35" borderId="104" xfId="2" applyNumberFormat="1" applyFont="1" applyFill="1" applyBorder="1" applyAlignment="1">
      <alignment horizontal="center" vertical="center"/>
    </xf>
    <xf numFmtId="3" fontId="40" fillId="35" borderId="96" xfId="2" applyNumberFormat="1" applyFont="1" applyFill="1" applyBorder="1" applyAlignment="1">
      <alignment horizontal="center" vertical="center"/>
    </xf>
    <xf numFmtId="2" fontId="40" fillId="35" borderId="27" xfId="2" applyNumberFormat="1" applyFont="1" applyFill="1" applyBorder="1" applyAlignment="1">
      <alignment horizontal="center" vertical="center"/>
    </xf>
    <xf numFmtId="2" fontId="40" fillId="35" borderId="105" xfId="2" applyNumberFormat="1" applyFont="1" applyFill="1" applyBorder="1" applyAlignment="1">
      <alignment horizontal="center" vertical="center"/>
    </xf>
    <xf numFmtId="288" fontId="40" fillId="129" borderId="106" xfId="2" applyNumberFormat="1" applyFont="1" applyFill="1" applyBorder="1" applyAlignment="1">
      <alignment horizontal="center" vertical="center"/>
    </xf>
    <xf numFmtId="3" fontId="40" fillId="35" borderId="2" xfId="2" applyNumberFormat="1" applyFont="1" applyFill="1" applyBorder="1" applyAlignment="1">
      <alignment horizontal="center" vertical="center"/>
    </xf>
    <xf numFmtId="3" fontId="40" fillId="35" borderId="0" xfId="2" applyNumberFormat="1" applyFont="1" applyFill="1" applyBorder="1" applyAlignment="1">
      <alignment horizontal="center" vertical="center"/>
    </xf>
    <xf numFmtId="4" fontId="40" fillId="35" borderId="27" xfId="2" applyNumberFormat="1" applyFont="1" applyFill="1" applyBorder="1" applyAlignment="1">
      <alignment horizontal="center" vertical="center"/>
    </xf>
    <xf numFmtId="2" fontId="40" fillId="35" borderId="112" xfId="2" applyNumberFormat="1" applyFont="1" applyFill="1" applyBorder="1" applyAlignment="1">
      <alignment horizontal="center" vertical="center"/>
    </xf>
    <xf numFmtId="2" fontId="97" fillId="35" borderId="0" xfId="2" applyNumberFormat="1" applyFont="1" applyFill="1" applyAlignment="1">
      <alignment vertical="center"/>
    </xf>
    <xf numFmtId="4" fontId="97" fillId="35" borderId="0" xfId="2" applyNumberFormat="1" applyFont="1" applyFill="1"/>
    <xf numFmtId="4" fontId="97" fillId="35" borderId="0" xfId="2" applyNumberFormat="1" applyFont="1" applyFill="1" applyAlignment="1">
      <alignment horizontal="center" vertical="center"/>
    </xf>
    <xf numFmtId="4" fontId="97" fillId="35" borderId="0" xfId="2" applyNumberFormat="1" applyFont="1" applyFill="1" applyAlignment="1">
      <alignment vertical="center"/>
    </xf>
    <xf numFmtId="0" fontId="97" fillId="35" borderId="0" xfId="2" applyFont="1" applyFill="1" applyAlignment="1">
      <alignment vertical="center"/>
    </xf>
    <xf numFmtId="2" fontId="15" fillId="35" borderId="0" xfId="2" applyNumberFormat="1" applyFont="1" applyFill="1" applyAlignment="1">
      <alignment vertical="center"/>
    </xf>
    <xf numFmtId="16" fontId="40" fillId="129" borderId="162" xfId="2" applyNumberFormat="1" applyFont="1" applyFill="1" applyBorder="1" applyAlignment="1">
      <alignment horizontal="center" vertical="center"/>
    </xf>
    <xf numFmtId="3" fontId="40" fillId="35" borderId="245" xfId="2" applyNumberFormat="1" applyFont="1" applyFill="1" applyBorder="1" applyAlignment="1">
      <alignment horizontal="center" vertical="center"/>
    </xf>
    <xf numFmtId="3" fontId="40" fillId="35" borderId="165" xfId="2" applyNumberFormat="1" applyFont="1" applyFill="1" applyBorder="1" applyAlignment="1">
      <alignment horizontal="center" vertical="center"/>
    </xf>
    <xf numFmtId="3" fontId="40" fillId="35" borderId="12" xfId="2" applyNumberFormat="1" applyFont="1" applyFill="1" applyBorder="1" applyAlignment="1">
      <alignment horizontal="center" vertical="center"/>
    </xf>
    <xf numFmtId="4" fontId="40" fillId="35" borderId="165" xfId="2" applyNumberFormat="1" applyFont="1" applyFill="1" applyBorder="1" applyAlignment="1">
      <alignment horizontal="center" vertical="center"/>
    </xf>
    <xf numFmtId="2" fontId="40" fillId="35" borderId="171" xfId="2" applyNumberFormat="1" applyFont="1" applyFill="1" applyBorder="1" applyAlignment="1">
      <alignment horizontal="center" vertical="center"/>
    </xf>
    <xf numFmtId="4" fontId="240" fillId="35" borderId="0" xfId="2" applyNumberFormat="1" applyFont="1" applyFill="1" applyAlignment="1">
      <alignment vertical="center"/>
    </xf>
    <xf numFmtId="17" fontId="39" fillId="129" borderId="106" xfId="2" applyNumberFormat="1" applyFont="1" applyFill="1" applyBorder="1" applyAlignment="1">
      <alignment horizontal="center" vertical="center"/>
    </xf>
    <xf numFmtId="3" fontId="40" fillId="35" borderId="111" xfId="2" applyNumberFormat="1" applyFont="1" applyFill="1" applyBorder="1" applyAlignment="1">
      <alignment horizontal="center" vertical="center"/>
    </xf>
    <xf numFmtId="219" fontId="40" fillId="35" borderId="0" xfId="2" applyNumberFormat="1" applyFont="1" applyFill="1" applyAlignment="1">
      <alignment vertical="center"/>
    </xf>
    <xf numFmtId="0" fontId="15" fillId="35" borderId="0" xfId="2" applyFont="1" applyFill="1" applyAlignment="1">
      <alignment vertical="center"/>
    </xf>
    <xf numFmtId="17" fontId="39" fillId="129" borderId="106" xfId="2" quotePrefix="1" applyNumberFormat="1" applyFont="1" applyFill="1" applyBorder="1" applyAlignment="1">
      <alignment horizontal="center" vertical="center"/>
    </xf>
    <xf numFmtId="17" fontId="39" fillId="129" borderId="313" xfId="2" quotePrefix="1" applyNumberFormat="1" applyFont="1" applyFill="1" applyBorder="1" applyAlignment="1">
      <alignment horizontal="center" vertical="center"/>
    </xf>
    <xf numFmtId="2" fontId="40" fillId="35" borderId="5" xfId="2" applyNumberFormat="1" applyFont="1" applyFill="1" applyBorder="1" applyAlignment="1">
      <alignment horizontal="center" vertical="center"/>
    </xf>
    <xf numFmtId="2" fontId="40" fillId="35" borderId="307" xfId="2" applyNumberFormat="1" applyFont="1" applyFill="1" applyBorder="1" applyAlignment="1">
      <alignment horizontal="center" vertical="center"/>
    </xf>
    <xf numFmtId="17" fontId="15" fillId="35" borderId="0" xfId="2" applyNumberFormat="1" applyFont="1" applyFill="1" applyAlignment="1">
      <alignment vertical="center"/>
    </xf>
    <xf numFmtId="0" fontId="40" fillId="35" borderId="111" xfId="2" applyFont="1" applyFill="1" applyBorder="1" applyAlignment="1">
      <alignment horizontal="center" vertical="center"/>
    </xf>
    <xf numFmtId="0" fontId="40" fillId="35" borderId="112" xfId="2" applyFont="1" applyFill="1" applyBorder="1" applyAlignment="1">
      <alignment horizontal="center" vertical="center"/>
    </xf>
    <xf numFmtId="15" fontId="97" fillId="35" borderId="0" xfId="2" applyNumberFormat="1" applyFont="1" applyFill="1" applyAlignment="1">
      <alignment vertical="center"/>
    </xf>
    <xf numFmtId="289" fontId="39" fillId="129" borderId="109" xfId="2" applyNumberFormat="1" applyFont="1" applyFill="1" applyBorder="1" applyAlignment="1">
      <alignment horizontal="left" vertical="center"/>
    </xf>
    <xf numFmtId="3" fontId="40" fillId="35" borderId="113" xfId="2" applyNumberFormat="1" applyFont="1" applyFill="1" applyBorder="1" applyAlignment="1">
      <alignment horizontal="right" vertical="center"/>
    </xf>
    <xf numFmtId="3" fontId="40" fillId="35" borderId="110" xfId="2" applyNumberFormat="1" applyFont="1" applyFill="1" applyBorder="1" applyAlignment="1">
      <alignment horizontal="right" vertical="center"/>
    </xf>
    <xf numFmtId="3" fontId="40" fillId="35" borderId="118" xfId="2" applyNumberFormat="1" applyFont="1" applyFill="1" applyBorder="1" applyAlignment="1">
      <alignment horizontal="right" vertical="center"/>
    </xf>
    <xf numFmtId="0" fontId="40" fillId="35" borderId="110" xfId="2" applyFont="1" applyFill="1" applyBorder="1" applyAlignment="1">
      <alignment horizontal="right" vertical="center"/>
    </xf>
    <xf numFmtId="2" fontId="40" fillId="35" borderId="110" xfId="2" applyNumberFormat="1" applyFont="1" applyFill="1" applyBorder="1" applyAlignment="1">
      <alignment horizontal="right" vertical="center"/>
    </xf>
    <xf numFmtId="2" fontId="40" fillId="35" borderId="114" xfId="2" applyNumberFormat="1" applyFont="1" applyFill="1" applyBorder="1" applyAlignment="1">
      <alignment horizontal="right" vertical="center"/>
    </xf>
    <xf numFmtId="0" fontId="261" fillId="35" borderId="0" xfId="2" applyFont="1" applyFill="1" applyAlignment="1">
      <alignment vertical="center"/>
    </xf>
    <xf numFmtId="3" fontId="40" fillId="35" borderId="0" xfId="2" applyNumberFormat="1" applyFont="1" applyFill="1" applyBorder="1" applyAlignment="1">
      <alignment horizontal="right" vertical="center"/>
    </xf>
    <xf numFmtId="0" fontId="261" fillId="35" borderId="0" xfId="2" applyFont="1" applyFill="1" applyBorder="1" applyAlignment="1">
      <alignment vertical="center"/>
    </xf>
    <xf numFmtId="2" fontId="40" fillId="35" borderId="0" xfId="2" applyNumberFormat="1" applyFont="1" applyFill="1" applyBorder="1" applyAlignment="1">
      <alignment horizontal="right" vertical="center"/>
    </xf>
    <xf numFmtId="0" fontId="244" fillId="35" borderId="0" xfId="2" applyFont="1" applyFill="1" applyBorder="1" applyAlignment="1">
      <alignment vertical="center"/>
    </xf>
    <xf numFmtId="3" fontId="40" fillId="35" borderId="0" xfId="2" applyNumberFormat="1" applyFont="1" applyFill="1" applyAlignment="1">
      <alignment vertical="center"/>
    </xf>
    <xf numFmtId="0" fontId="240" fillId="35" borderId="0" xfId="2" applyFont="1" applyFill="1" applyAlignment="1">
      <alignment vertical="center"/>
    </xf>
    <xf numFmtId="0" fontId="39" fillId="129" borderId="234" xfId="2" applyFont="1" applyFill="1" applyBorder="1" applyAlignment="1">
      <alignment horizontal="center" vertical="center"/>
    </xf>
    <xf numFmtId="0" fontId="39" fillId="129" borderId="231" xfId="2" applyFont="1" applyFill="1" applyBorder="1" applyAlignment="1">
      <alignment horizontal="centerContinuous" vertical="center"/>
    </xf>
    <xf numFmtId="0" fontId="39" fillId="129" borderId="107" xfId="2" applyFont="1" applyFill="1" applyBorder="1" applyAlignment="1">
      <alignment horizontal="centerContinuous" vertical="center"/>
    </xf>
    <xf numFmtId="0" fontId="39" fillId="129" borderId="107" xfId="2" applyFont="1" applyFill="1" applyBorder="1" applyAlignment="1">
      <alignment horizontal="center" vertical="center"/>
    </xf>
    <xf numFmtId="0" fontId="314" fillId="139" borderId="314" xfId="2" applyFont="1" applyFill="1" applyBorder="1" applyAlignment="1">
      <alignment horizontal="centerContinuous" vertical="center"/>
    </xf>
    <xf numFmtId="0" fontId="39" fillId="139" borderId="101" xfId="2" applyFont="1" applyFill="1" applyBorder="1" applyAlignment="1">
      <alignment horizontal="centerContinuous" vertical="center"/>
    </xf>
    <xf numFmtId="0" fontId="39" fillId="139" borderId="142" xfId="2" applyFont="1" applyFill="1" applyBorder="1" applyAlignment="1">
      <alignment horizontal="centerContinuous" vertical="center"/>
    </xf>
    <xf numFmtId="0" fontId="39" fillId="139" borderId="28" xfId="2" applyFont="1" applyFill="1" applyBorder="1" applyAlignment="1">
      <alignment horizontal="centerContinuous" vertical="center"/>
    </xf>
    <xf numFmtId="288" fontId="40" fillId="129" borderId="162" xfId="2" applyNumberFormat="1" applyFont="1" applyFill="1" applyBorder="1" applyAlignment="1">
      <alignment horizontal="center" vertical="center"/>
    </xf>
    <xf numFmtId="0" fontId="40" fillId="35" borderId="165" xfId="2" applyFont="1" applyFill="1" applyBorder="1" applyAlignment="1">
      <alignment horizontal="center" vertical="center"/>
    </xf>
    <xf numFmtId="17" fontId="39" fillId="129" borderId="315" xfId="2" applyNumberFormat="1" applyFont="1" applyFill="1" applyBorder="1" applyAlignment="1">
      <alignment horizontal="center" vertical="center"/>
    </xf>
    <xf numFmtId="3" fontId="40" fillId="35" borderId="316" xfId="2" applyNumberFormat="1" applyFont="1" applyFill="1" applyBorder="1" applyAlignment="1">
      <alignment horizontal="center" vertical="center"/>
    </xf>
    <xf numFmtId="3" fontId="40" fillId="35" borderId="317" xfId="2" applyNumberFormat="1" applyFont="1" applyFill="1" applyBorder="1" applyAlignment="1">
      <alignment horizontal="center" vertical="center"/>
    </xf>
    <xf numFmtId="17" fontId="39" fillId="129" borderId="315" xfId="2" quotePrefix="1" applyNumberFormat="1" applyFont="1" applyFill="1" applyBorder="1" applyAlignment="1">
      <alignment horizontal="center" vertical="center"/>
    </xf>
    <xf numFmtId="0" fontId="40" fillId="35" borderId="316" xfId="2" applyFont="1" applyFill="1" applyBorder="1" applyAlignment="1">
      <alignment horizontal="center" vertical="center"/>
    </xf>
    <xf numFmtId="0" fontId="40" fillId="35" borderId="317" xfId="2" applyFont="1" applyFill="1" applyBorder="1" applyAlignment="1">
      <alignment horizontal="center" vertical="center"/>
    </xf>
    <xf numFmtId="1" fontId="40" fillId="35" borderId="27" xfId="2" applyNumberFormat="1" applyFont="1" applyFill="1" applyBorder="1" applyAlignment="1">
      <alignment horizontal="center" vertical="center"/>
    </xf>
    <xf numFmtId="3" fontId="40" fillId="35" borderId="278" xfId="2" applyNumberFormat="1" applyFont="1" applyFill="1" applyBorder="1" applyAlignment="1">
      <alignment horizontal="center" vertical="center"/>
    </xf>
    <xf numFmtId="17" fontId="39" fillId="129" borderId="318" xfId="2" applyNumberFormat="1" applyFont="1" applyFill="1" applyBorder="1" applyAlignment="1">
      <alignment horizontal="center" vertical="center"/>
    </xf>
    <xf numFmtId="3" fontId="40" fillId="35" borderId="319" xfId="2" applyNumberFormat="1" applyFont="1" applyFill="1" applyBorder="1" applyAlignment="1">
      <alignment horizontal="center" vertical="center"/>
    </xf>
    <xf numFmtId="3" fontId="40" fillId="35" borderId="307" xfId="2" applyNumberFormat="1" applyFont="1" applyFill="1" applyBorder="1" applyAlignment="1">
      <alignment horizontal="center" vertical="center"/>
    </xf>
    <xf numFmtId="2" fontId="40" fillId="35" borderId="47" xfId="2" applyNumberFormat="1" applyFont="1" applyFill="1" applyBorder="1" applyAlignment="1">
      <alignment horizontal="center" vertical="center"/>
    </xf>
    <xf numFmtId="2" fontId="40" fillId="35" borderId="0" xfId="2" applyNumberFormat="1" applyFont="1" applyFill="1" applyBorder="1" applyAlignment="1">
      <alignment horizontal="center" vertical="center"/>
    </xf>
    <xf numFmtId="17" fontId="39" fillId="129" borderId="273" xfId="2" applyNumberFormat="1" applyFont="1" applyFill="1" applyBorder="1" applyAlignment="1">
      <alignment horizontal="center" vertical="center"/>
    </xf>
    <xf numFmtId="0" fontId="40" fillId="35" borderId="141" xfId="2" applyFont="1" applyFill="1" applyBorder="1" applyAlignment="1">
      <alignment vertical="center"/>
    </xf>
    <xf numFmtId="3" fontId="40" fillId="35" borderId="28" xfId="2" applyNumberFormat="1" applyFont="1" applyFill="1" applyBorder="1" applyAlignment="1">
      <alignment horizontal="right" vertical="center"/>
    </xf>
    <xf numFmtId="3" fontId="40" fillId="35" borderId="142" xfId="2" applyNumberFormat="1" applyFont="1" applyFill="1" applyBorder="1" applyAlignment="1">
      <alignment horizontal="right" vertical="center"/>
    </xf>
    <xf numFmtId="0" fontId="40" fillId="35" borderId="28" xfId="2" applyFont="1" applyFill="1" applyBorder="1" applyAlignment="1">
      <alignment horizontal="right" vertical="center"/>
    </xf>
    <xf numFmtId="2" fontId="40" fillId="35" borderId="28" xfId="2" applyNumberFormat="1" applyFont="1" applyFill="1" applyBorder="1" applyAlignment="1">
      <alignment horizontal="right" vertical="center"/>
    </xf>
    <xf numFmtId="0" fontId="84" fillId="0" borderId="0" xfId="6683" applyFont="1" applyFill="1" applyBorder="1" applyAlignment="1" applyProtection="1">
      <alignment horizontal="left"/>
      <protection locked="0"/>
    </xf>
    <xf numFmtId="0" fontId="16" fillId="0" borderId="0" xfId="6683" applyFont="1" applyFill="1"/>
    <xf numFmtId="0" fontId="16" fillId="0" borderId="0" xfId="6683" applyFont="1"/>
    <xf numFmtId="0" fontId="16" fillId="0" borderId="0" xfId="6683"/>
    <xf numFmtId="0" fontId="380" fillId="0" borderId="12" xfId="6683" applyFont="1" applyBorder="1"/>
    <xf numFmtId="0" fontId="381" fillId="0" borderId="12" xfId="6683" applyFont="1" applyBorder="1" applyAlignment="1">
      <alignment horizontal="center"/>
    </xf>
    <xf numFmtId="0" fontId="38" fillId="0" borderId="12" xfId="6683" applyFont="1" applyBorder="1" applyAlignment="1">
      <alignment horizontal="right"/>
    </xf>
    <xf numFmtId="3" fontId="39" fillId="147" borderId="11" xfId="6683" applyNumberFormat="1" applyFont="1" applyFill="1" applyBorder="1" applyAlignment="1">
      <alignment horizontal="center" vertical="top"/>
    </xf>
    <xf numFmtId="0" fontId="16" fillId="0" borderId="0" xfId="6683" applyAlignment="1">
      <alignment vertical="top"/>
    </xf>
    <xf numFmtId="3" fontId="39" fillId="147" borderId="9" xfId="6683" applyNumberFormat="1" applyFont="1" applyFill="1" applyBorder="1" applyAlignment="1">
      <alignment horizontal="center" vertical="top"/>
    </xf>
    <xf numFmtId="0" fontId="97" fillId="147" borderId="10" xfId="6683" applyFont="1" applyFill="1" applyBorder="1" applyAlignment="1">
      <alignment vertical="top"/>
    </xf>
    <xf numFmtId="3" fontId="39" fillId="147" borderId="33" xfId="6683" applyNumberFormat="1" applyFont="1" applyFill="1" applyBorder="1" applyAlignment="1">
      <alignment horizontal="center" vertical="top"/>
    </xf>
    <xf numFmtId="3" fontId="39" fillId="3" borderId="11" xfId="6683" applyNumberFormat="1" applyFont="1" applyFill="1" applyBorder="1"/>
    <xf numFmtId="268" fontId="40" fillId="0" borderId="11" xfId="5421" applyNumberFormat="1" applyFont="1" applyFill="1" applyBorder="1"/>
    <xf numFmtId="268" fontId="40" fillId="0" borderId="300" xfId="5421" applyNumberFormat="1" applyFont="1" applyFill="1" applyBorder="1"/>
    <xf numFmtId="268" fontId="40" fillId="0" borderId="0" xfId="5421" applyNumberFormat="1" applyFont="1" applyFill="1" applyBorder="1"/>
    <xf numFmtId="268" fontId="40" fillId="0" borderId="9" xfId="5421" applyNumberFormat="1" applyFont="1" applyFill="1" applyBorder="1"/>
    <xf numFmtId="3" fontId="39" fillId="3" borderId="9" xfId="6683" applyNumberFormat="1" applyFont="1" applyFill="1" applyBorder="1"/>
    <xf numFmtId="268" fontId="40" fillId="0" borderId="38" xfId="5421" applyNumberFormat="1" applyFont="1" applyFill="1" applyBorder="1"/>
    <xf numFmtId="268" fontId="40" fillId="0" borderId="10" xfId="5421" applyNumberFormat="1" applyFont="1" applyFill="1" applyBorder="1"/>
    <xf numFmtId="268" fontId="40" fillId="0" borderId="163" xfId="5421" applyNumberFormat="1" applyFont="1" applyFill="1" applyBorder="1"/>
    <xf numFmtId="268" fontId="40" fillId="0" borderId="262" xfId="5421" applyNumberFormat="1" applyFont="1" applyFill="1" applyBorder="1"/>
    <xf numFmtId="3" fontId="39" fillId="3" borderId="33" xfId="6683" applyNumberFormat="1" applyFont="1" applyFill="1" applyBorder="1" applyAlignment="1">
      <alignment horizontal="left"/>
    </xf>
    <xf numFmtId="234" fontId="16" fillId="0" borderId="0" xfId="6683" applyNumberFormat="1"/>
    <xf numFmtId="206" fontId="16" fillId="0" borderId="0" xfId="6683" applyNumberFormat="1" applyFont="1"/>
    <xf numFmtId="3" fontId="244" fillId="0" borderId="0" xfId="6683" applyNumberFormat="1" applyFont="1" applyFill="1" applyBorder="1"/>
    <xf numFmtId="0" fontId="97" fillId="0" borderId="0" xfId="6683" applyFont="1"/>
    <xf numFmtId="0" fontId="244" fillId="0" borderId="0" xfId="6683" applyFont="1" applyFill="1" applyBorder="1"/>
    <xf numFmtId="0" fontId="6" fillId="0" borderId="0" xfId="6683" applyFont="1" applyFill="1" applyBorder="1"/>
    <xf numFmtId="169" fontId="6" fillId="0" borderId="0" xfId="6683" applyNumberFormat="1" applyFont="1" applyFill="1" applyBorder="1"/>
    <xf numFmtId="268" fontId="0" fillId="0" borderId="0" xfId="5421" applyNumberFormat="1" applyFont="1"/>
    <xf numFmtId="206" fontId="7" fillId="0" borderId="0" xfId="5421" applyNumberFormat="1" applyFont="1" applyFill="1" applyBorder="1"/>
    <xf numFmtId="206" fontId="215" fillId="0" borderId="0" xfId="5421" applyNumberFormat="1" applyFont="1"/>
    <xf numFmtId="206" fontId="0" fillId="0" borderId="0" xfId="5421" applyNumberFormat="1" applyFont="1"/>
    <xf numFmtId="0" fontId="6" fillId="0" borderId="0" xfId="6683" applyFont="1" applyBorder="1"/>
    <xf numFmtId="0" fontId="13" fillId="35" borderId="0" xfId="2" applyFont="1" applyFill="1"/>
    <xf numFmtId="0" fontId="16" fillId="35" borderId="0" xfId="2" applyFill="1"/>
    <xf numFmtId="0" fontId="16" fillId="123" borderId="103" xfId="2" applyFill="1" applyBorder="1" applyAlignment="1">
      <alignment vertical="center"/>
    </xf>
    <xf numFmtId="0" fontId="16" fillId="35" borderId="0" xfId="2" applyFill="1" applyAlignment="1">
      <alignment vertical="center"/>
    </xf>
    <xf numFmtId="0" fontId="16" fillId="0" borderId="0" xfId="2" applyAlignment="1">
      <alignment vertical="center"/>
    </xf>
    <xf numFmtId="0" fontId="16" fillId="123" borderId="106" xfId="2" applyFill="1" applyBorder="1" applyAlignment="1">
      <alignment vertical="center"/>
    </xf>
    <xf numFmtId="0" fontId="16" fillId="123" borderId="106" xfId="2" applyFont="1" applyFill="1" applyBorder="1" applyAlignment="1">
      <alignment vertical="center"/>
    </xf>
    <xf numFmtId="0" fontId="14" fillId="123" borderId="323" xfId="2" applyFont="1" applyFill="1" applyBorder="1" applyAlignment="1">
      <alignment horizontal="center" vertical="center"/>
    </xf>
    <xf numFmtId="0" fontId="14" fillId="123" borderId="324" xfId="2" applyFont="1" applyFill="1" applyBorder="1" applyAlignment="1">
      <alignment horizontal="center" vertical="center"/>
    </xf>
    <xf numFmtId="0" fontId="14" fillId="123" borderId="325" xfId="2" applyFont="1" applyFill="1" applyBorder="1" applyAlignment="1">
      <alignment horizontal="center" vertical="center"/>
    </xf>
    <xf numFmtId="0" fontId="16" fillId="123" borderId="109" xfId="2" applyFont="1" applyFill="1" applyBorder="1" applyAlignment="1">
      <alignment vertical="center"/>
    </xf>
    <xf numFmtId="0" fontId="19" fillId="123" borderId="6" xfId="2" applyFont="1" applyFill="1" applyBorder="1" applyAlignment="1">
      <alignment horizontal="center" vertical="center"/>
    </xf>
    <xf numFmtId="49" fontId="14" fillId="148" borderId="106" xfId="2" applyNumberFormat="1" applyFont="1" applyFill="1" applyBorder="1" applyAlignment="1">
      <alignment horizontal="left" vertical="center"/>
    </xf>
    <xf numFmtId="3" fontId="16" fillId="0" borderId="2" xfId="2" applyNumberFormat="1" applyFill="1" applyBorder="1" applyAlignment="1">
      <alignment vertical="center"/>
    </xf>
    <xf numFmtId="3" fontId="16" fillId="0" borderId="9" xfId="2" applyNumberFormat="1" applyFill="1" applyBorder="1" applyAlignment="1">
      <alignment vertical="center"/>
    </xf>
    <xf numFmtId="3" fontId="16" fillId="0" borderId="5" xfId="2" applyNumberFormat="1" applyFill="1" applyBorder="1" applyAlignment="1">
      <alignment vertical="center"/>
    </xf>
    <xf numFmtId="1" fontId="16" fillId="0" borderId="0" xfId="2" applyNumberFormat="1" applyFill="1" applyBorder="1" applyAlignment="1">
      <alignment vertical="center"/>
    </xf>
    <xf numFmtId="257" fontId="16" fillId="0" borderId="268" xfId="2" applyNumberFormat="1" applyFill="1" applyBorder="1" applyAlignment="1">
      <alignment horizontal="right" vertical="center"/>
    </xf>
    <xf numFmtId="234" fontId="14" fillId="0" borderId="5" xfId="2" applyNumberFormat="1" applyFont="1" applyFill="1" applyBorder="1" applyAlignment="1">
      <alignment vertical="center"/>
    </xf>
    <xf numFmtId="234" fontId="14" fillId="0" borderId="106" xfId="2" applyNumberFormat="1" applyFont="1" applyFill="1" applyBorder="1" applyAlignment="1">
      <alignment vertical="center"/>
    </xf>
    <xf numFmtId="268" fontId="16" fillId="35" borderId="0" xfId="5812" applyNumberFormat="1" applyFill="1" applyAlignment="1">
      <alignment vertical="center"/>
    </xf>
    <xf numFmtId="3" fontId="16" fillId="0" borderId="37" xfId="2" applyNumberFormat="1" applyFill="1" applyBorder="1" applyAlignment="1">
      <alignment vertical="center"/>
    </xf>
    <xf numFmtId="3" fontId="16" fillId="0" borderId="254" xfId="2" applyNumberFormat="1" applyFill="1" applyBorder="1" applyAlignment="1">
      <alignment vertical="center"/>
    </xf>
    <xf numFmtId="257" fontId="16" fillId="0" borderId="0" xfId="2" applyNumberFormat="1" applyFill="1" applyBorder="1" applyAlignment="1">
      <alignment horizontal="right" vertical="center"/>
    </xf>
    <xf numFmtId="3" fontId="215" fillId="0" borderId="0" xfId="2" applyNumberFormat="1" applyFont="1" applyFill="1" applyBorder="1" applyAlignment="1">
      <alignment horizontal="right" vertical="center"/>
    </xf>
    <xf numFmtId="3" fontId="16" fillId="0" borderId="0" xfId="2" applyNumberFormat="1" applyFill="1" applyBorder="1" applyAlignment="1">
      <alignment vertical="center"/>
    </xf>
    <xf numFmtId="49" fontId="14" fillId="148" borderId="2" xfId="2" applyNumberFormat="1" applyFont="1" applyFill="1" applyBorder="1" applyAlignment="1">
      <alignment horizontal="left" vertical="center"/>
    </xf>
    <xf numFmtId="3" fontId="16" fillId="0" borderId="254" xfId="2" applyNumberFormat="1" applyFill="1" applyBorder="1" applyAlignment="1">
      <alignment horizontal="right" vertical="center"/>
    </xf>
    <xf numFmtId="3" fontId="16" fillId="0" borderId="268" xfId="2" applyNumberFormat="1" applyFill="1" applyBorder="1" applyAlignment="1">
      <alignment vertical="center"/>
    </xf>
    <xf numFmtId="3" fontId="16" fillId="0" borderId="38" xfId="2" applyNumberFormat="1" applyFill="1" applyBorder="1" applyAlignment="1">
      <alignment vertical="center"/>
    </xf>
    <xf numFmtId="257" fontId="16" fillId="0" borderId="37" xfId="2" applyNumberFormat="1" applyFill="1" applyBorder="1" applyAlignment="1">
      <alignment horizontal="right" vertical="center"/>
    </xf>
    <xf numFmtId="3" fontId="16" fillId="0" borderId="268" xfId="2" applyNumberFormat="1" applyFont="1" applyFill="1" applyBorder="1" applyAlignment="1">
      <alignment horizontal="right" vertical="center"/>
    </xf>
    <xf numFmtId="17" fontId="14" fillId="148" borderId="2" xfId="2" applyNumberFormat="1" applyFont="1" applyFill="1" applyBorder="1" applyAlignment="1">
      <alignment horizontal="left" vertical="center"/>
    </xf>
    <xf numFmtId="17" fontId="14" fillId="148" borderId="106" xfId="2" applyNumberFormat="1" applyFont="1" applyFill="1" applyBorder="1" applyAlignment="1">
      <alignment horizontal="left" vertical="center"/>
    </xf>
    <xf numFmtId="3" fontId="16" fillId="0" borderId="2" xfId="2" applyNumberFormat="1" applyFill="1" applyBorder="1" applyAlignment="1">
      <alignment horizontal="right" vertical="center"/>
    </xf>
    <xf numFmtId="3" fontId="16" fillId="0" borderId="5" xfId="2" applyNumberFormat="1" applyFont="1" applyFill="1" applyBorder="1" applyAlignment="1">
      <alignment horizontal="right" vertical="center"/>
    </xf>
    <xf numFmtId="234" fontId="14" fillId="0" borderId="0" xfId="2" applyNumberFormat="1" applyFont="1" applyFill="1" applyBorder="1" applyAlignment="1">
      <alignment vertical="center"/>
    </xf>
    <xf numFmtId="3" fontId="16" fillId="0" borderId="0" xfId="2" applyNumberFormat="1" applyFill="1" applyBorder="1" applyAlignment="1">
      <alignment horizontal="right" vertical="center"/>
    </xf>
    <xf numFmtId="3" fontId="16" fillId="0" borderId="0" xfId="2" applyNumberFormat="1" applyFont="1" applyFill="1" applyBorder="1" applyAlignment="1">
      <alignment horizontal="right" vertical="center"/>
    </xf>
    <xf numFmtId="17" fontId="14" fillId="148" borderId="106" xfId="2" quotePrefix="1" applyNumberFormat="1" applyFont="1" applyFill="1" applyBorder="1" applyAlignment="1">
      <alignment horizontal="left" vertical="center"/>
    </xf>
    <xf numFmtId="257" fontId="16" fillId="35" borderId="0" xfId="2" applyNumberFormat="1" applyFill="1" applyAlignment="1">
      <alignment vertical="center"/>
    </xf>
    <xf numFmtId="17" fontId="14" fillId="123" borderId="106" xfId="2" quotePrefix="1" applyNumberFormat="1" applyFont="1" applyFill="1" applyBorder="1" applyAlignment="1">
      <alignment horizontal="left" vertical="center"/>
    </xf>
    <xf numFmtId="3" fontId="171" fillId="0" borderId="0" xfId="7903" applyNumberFormat="1" applyFont="1" applyFill="1" applyBorder="1" applyAlignment="1">
      <alignment horizontal="right" vertical="center"/>
    </xf>
    <xf numFmtId="3" fontId="171" fillId="0" borderId="9" xfId="7903" applyNumberFormat="1" applyFont="1" applyFill="1" applyBorder="1" applyAlignment="1">
      <alignment vertical="center"/>
    </xf>
    <xf numFmtId="3" fontId="16" fillId="0" borderId="268" xfId="7903" applyNumberFormat="1" applyFont="1" applyFill="1" applyBorder="1" applyAlignment="1">
      <alignment horizontal="right" vertical="center"/>
    </xf>
    <xf numFmtId="3" fontId="171" fillId="0" borderId="2" xfId="7903" applyNumberFormat="1" applyFont="1" applyFill="1" applyBorder="1" applyAlignment="1">
      <alignment vertical="center"/>
    </xf>
    <xf numFmtId="257" fontId="171" fillId="0" borderId="268" xfId="7903" applyNumberFormat="1" applyFont="1" applyFill="1" applyBorder="1" applyAlignment="1">
      <alignment horizontal="right" vertical="center"/>
    </xf>
    <xf numFmtId="234" fontId="14" fillId="0" borderId="5" xfId="7903" applyNumberFormat="1" applyFont="1" applyFill="1" applyBorder="1" applyAlignment="1">
      <alignment vertical="center"/>
    </xf>
    <xf numFmtId="3" fontId="16" fillId="0" borderId="0" xfId="7903" applyNumberFormat="1" applyFont="1" applyFill="1" applyBorder="1" applyAlignment="1">
      <alignment horizontal="right" vertical="center"/>
    </xf>
    <xf numFmtId="234" fontId="14" fillId="0" borderId="106" xfId="7903" applyNumberFormat="1" applyFont="1" applyFill="1" applyBorder="1" applyAlignment="1">
      <alignment vertical="center"/>
    </xf>
    <xf numFmtId="234" fontId="14" fillId="35" borderId="2" xfId="7903" applyNumberFormat="1" applyFont="1" applyFill="1" applyBorder="1" applyAlignment="1">
      <alignment vertical="center"/>
    </xf>
    <xf numFmtId="234" fontId="16" fillId="35" borderId="0" xfId="2" applyNumberFormat="1" applyFill="1" applyAlignment="1">
      <alignment vertical="center"/>
    </xf>
    <xf numFmtId="3" fontId="171" fillId="35" borderId="0" xfId="7903" applyNumberFormat="1" applyFont="1" applyFill="1" applyBorder="1" applyAlignment="1">
      <alignment horizontal="right" vertical="center"/>
    </xf>
    <xf numFmtId="3" fontId="171" fillId="35" borderId="9" xfId="7903" applyNumberFormat="1" applyFont="1" applyFill="1" applyBorder="1" applyAlignment="1">
      <alignment vertical="center"/>
    </xf>
    <xf numFmtId="3" fontId="16" fillId="35" borderId="0" xfId="7903" applyNumberFormat="1" applyFont="1" applyFill="1" applyBorder="1" applyAlignment="1">
      <alignment horizontal="right" vertical="center"/>
    </xf>
    <xf numFmtId="3" fontId="171" fillId="35" borderId="2" xfId="7903" applyNumberFormat="1" applyFont="1" applyFill="1" applyBorder="1" applyAlignment="1">
      <alignment vertical="center"/>
    </xf>
    <xf numFmtId="257" fontId="171" fillId="35" borderId="268" xfId="7903" applyNumberFormat="1" applyFont="1" applyFill="1" applyBorder="1" applyAlignment="1">
      <alignment horizontal="right" vertical="center"/>
    </xf>
    <xf numFmtId="234" fontId="14" fillId="35" borderId="106" xfId="2" applyNumberFormat="1" applyFont="1" applyFill="1" applyBorder="1" applyAlignment="1">
      <alignment vertical="center"/>
    </xf>
    <xf numFmtId="234" fontId="14" fillId="35" borderId="106" xfId="7903" applyNumberFormat="1" applyFont="1" applyFill="1" applyBorder="1" applyAlignment="1">
      <alignment vertical="center"/>
    </xf>
    <xf numFmtId="3" fontId="16" fillId="35" borderId="5" xfId="7903" applyNumberFormat="1" applyFont="1" applyFill="1" applyBorder="1" applyAlignment="1">
      <alignment horizontal="right" vertical="center"/>
    </xf>
    <xf numFmtId="17" fontId="14" fillId="123" borderId="109" xfId="2" quotePrefix="1" applyNumberFormat="1" applyFont="1" applyFill="1" applyBorder="1" applyAlignment="1">
      <alignment horizontal="left" vertical="center"/>
    </xf>
    <xf numFmtId="3" fontId="171" fillId="35" borderId="3" xfId="7903" applyNumberFormat="1" applyFont="1" applyFill="1" applyBorder="1" applyAlignment="1">
      <alignment vertical="center"/>
    </xf>
    <xf numFmtId="3" fontId="171" fillId="35" borderId="168" xfId="7903" applyNumberFormat="1" applyFont="1" applyFill="1" applyBorder="1" applyAlignment="1">
      <alignment vertical="center"/>
    </xf>
    <xf numFmtId="3" fontId="16" fillId="35" borderId="6" xfId="7903" applyNumberFormat="1" applyFont="1" applyFill="1" applyBorder="1" applyAlignment="1">
      <alignment horizontal="right" vertical="center"/>
    </xf>
    <xf numFmtId="257" fontId="171" fillId="35" borderId="271" xfId="7903" applyNumberFormat="1" applyFont="1" applyFill="1" applyBorder="1" applyAlignment="1">
      <alignment horizontal="right" vertical="center"/>
    </xf>
    <xf numFmtId="234" fontId="14" fillId="35" borderId="109" xfId="2" applyNumberFormat="1" applyFont="1" applyFill="1" applyBorder="1" applyAlignment="1">
      <alignment vertical="center"/>
    </xf>
    <xf numFmtId="234" fontId="14" fillId="35" borderId="109" xfId="7903" applyNumberFormat="1" applyFont="1" applyFill="1" applyBorder="1" applyAlignment="1">
      <alignment vertical="center"/>
    </xf>
    <xf numFmtId="0" fontId="19" fillId="35" borderId="0" xfId="2" applyFont="1" applyFill="1"/>
    <xf numFmtId="234" fontId="16" fillId="35" borderId="0" xfId="2" applyNumberFormat="1" applyFont="1" applyFill="1"/>
    <xf numFmtId="3" fontId="16" fillId="35" borderId="0" xfId="2" applyNumberFormat="1" applyFont="1" applyFill="1"/>
    <xf numFmtId="0" fontId="2" fillId="35" borderId="0" xfId="7903" applyFill="1"/>
    <xf numFmtId="0" fontId="382" fillId="35" borderId="0" xfId="2" applyFont="1" applyFill="1"/>
    <xf numFmtId="0" fontId="16" fillId="35" borderId="0" xfId="2" applyFont="1" applyFill="1"/>
    <xf numFmtId="3" fontId="16" fillId="35" borderId="0" xfId="2" applyNumberFormat="1" applyFill="1"/>
    <xf numFmtId="0" fontId="16" fillId="0" borderId="0" xfId="2"/>
    <xf numFmtId="0" fontId="9" fillId="35" borderId="0" xfId="2" applyFont="1" applyFill="1" applyBorder="1" applyAlignment="1">
      <alignment horizontal="left" vertical="center"/>
    </xf>
    <xf numFmtId="0" fontId="11" fillId="35" borderId="0" xfId="2" applyFont="1" applyFill="1" applyBorder="1" applyAlignment="1">
      <alignment vertical="center"/>
    </xf>
    <xf numFmtId="0" fontId="9" fillId="35" borderId="0" xfId="2" applyFont="1" applyFill="1" applyBorder="1" applyAlignment="1">
      <alignment vertical="center"/>
    </xf>
    <xf numFmtId="0" fontId="11" fillId="35" borderId="0" xfId="2" applyFont="1" applyFill="1" applyAlignment="1">
      <alignment vertical="center"/>
    </xf>
    <xf numFmtId="0" fontId="347" fillId="35" borderId="0" xfId="2" applyFont="1" applyFill="1" applyAlignment="1">
      <alignment vertical="center"/>
    </xf>
    <xf numFmtId="0" fontId="346" fillId="35" borderId="0" xfId="2" applyFont="1" applyFill="1" applyAlignment="1">
      <alignment vertical="center"/>
    </xf>
    <xf numFmtId="0" fontId="6" fillId="35" borderId="0" xfId="2" applyFont="1" applyFill="1" applyBorder="1" applyAlignment="1">
      <alignment vertical="center"/>
    </xf>
    <xf numFmtId="0" fontId="346" fillId="35" borderId="0" xfId="2" applyFont="1" applyFill="1" applyBorder="1" applyAlignment="1">
      <alignment horizontal="center" vertical="center"/>
    </xf>
    <xf numFmtId="0" fontId="346" fillId="35" borderId="0" xfId="2" applyFont="1" applyFill="1" applyBorder="1" applyAlignment="1">
      <alignment vertical="center"/>
    </xf>
    <xf numFmtId="0" fontId="37" fillId="125" borderId="103" xfId="2" applyFont="1" applyFill="1" applyBorder="1" applyAlignment="1">
      <alignment horizontal="center" vertical="center"/>
    </xf>
    <xf numFmtId="0" fontId="383" fillId="125" borderId="115" xfId="2" applyFont="1" applyFill="1" applyBorder="1" applyAlignment="1">
      <alignment horizontal="center" vertical="center"/>
    </xf>
    <xf numFmtId="0" fontId="383" fillId="125" borderId="104" xfId="2" applyFont="1" applyFill="1" applyBorder="1" applyAlignment="1">
      <alignment horizontal="center" vertical="center"/>
    </xf>
    <xf numFmtId="0" fontId="383" fillId="125" borderId="326" xfId="2" applyFont="1" applyFill="1" applyBorder="1" applyAlignment="1">
      <alignment horizontal="centerContinuous" vertical="center"/>
    </xf>
    <xf numFmtId="0" fontId="384" fillId="35" borderId="0" xfId="2" applyFont="1" applyFill="1" applyAlignment="1">
      <alignment vertical="center"/>
    </xf>
    <xf numFmtId="0" fontId="37" fillId="125" borderId="106" xfId="2" applyFont="1" applyFill="1" applyBorder="1" applyAlignment="1">
      <alignment horizontal="center" vertical="center"/>
    </xf>
    <xf numFmtId="0" fontId="383" fillId="125" borderId="111" xfId="2" applyFont="1" applyFill="1" applyBorder="1" applyAlignment="1">
      <alignment horizontal="center" vertical="center"/>
    </xf>
    <xf numFmtId="0" fontId="383" fillId="125" borderId="27" xfId="2" applyFont="1" applyFill="1" applyBorder="1" applyAlignment="1">
      <alignment horizontal="center" vertical="center"/>
    </xf>
    <xf numFmtId="0" fontId="383" fillId="125" borderId="111" xfId="2" applyFont="1" applyFill="1" applyBorder="1" applyAlignment="1">
      <alignment vertical="center"/>
    </xf>
    <xf numFmtId="0" fontId="386" fillId="125" borderId="109" xfId="2" applyFont="1" applyFill="1" applyBorder="1" applyAlignment="1">
      <alignment horizontal="center" vertical="center"/>
    </xf>
    <xf numFmtId="0" fontId="387" fillId="125" borderId="113" xfId="2" applyFont="1" applyFill="1" applyBorder="1" applyAlignment="1">
      <alignment horizontal="center" vertical="center"/>
    </xf>
    <xf numFmtId="0" fontId="387" fillId="125" borderId="110" xfId="2" applyFont="1" applyFill="1" applyBorder="1" applyAlignment="1">
      <alignment horizontal="center" vertical="center"/>
    </xf>
    <xf numFmtId="0" fontId="386" fillId="35" borderId="0" xfId="2" applyFont="1" applyFill="1" applyAlignment="1">
      <alignment horizontal="center" vertical="center"/>
    </xf>
    <xf numFmtId="266" fontId="37" fillId="125" borderId="106" xfId="2" applyNumberFormat="1" applyFont="1" applyFill="1" applyBorder="1" applyAlignment="1">
      <alignment horizontal="center" vertical="center"/>
    </xf>
    <xf numFmtId="0" fontId="37" fillId="35" borderId="115" xfId="2" applyFont="1" applyFill="1" applyBorder="1" applyAlignment="1">
      <alignment horizontal="center" vertical="center"/>
    </xf>
    <xf numFmtId="2" fontId="7" fillId="35" borderId="104" xfId="2" applyNumberFormat="1" applyFont="1" applyFill="1" applyBorder="1" applyAlignment="1">
      <alignment horizontal="center" vertical="center"/>
    </xf>
    <xf numFmtId="219" fontId="346" fillId="35" borderId="0" xfId="2" applyNumberFormat="1" applyFont="1" applyFill="1" applyAlignment="1">
      <alignment vertical="center"/>
    </xf>
    <xf numFmtId="2" fontId="346" fillId="35" borderId="0" xfId="2" applyNumberFormat="1" applyFont="1" applyFill="1" applyAlignment="1">
      <alignment vertical="center"/>
    </xf>
    <xf numFmtId="16" fontId="37" fillId="125" borderId="106" xfId="2" applyNumberFormat="1" applyFont="1" applyFill="1" applyBorder="1" applyAlignment="1">
      <alignment horizontal="center" vertical="center"/>
    </xf>
    <xf numFmtId="2" fontId="7" fillId="35" borderId="111" xfId="2" applyNumberFormat="1" applyFont="1" applyFill="1" applyBorder="1" applyAlignment="1">
      <alignment horizontal="center" vertical="center"/>
    </xf>
    <xf numFmtId="2" fontId="7" fillId="35" borderId="27" xfId="2" applyNumberFormat="1" applyFont="1" applyFill="1" applyBorder="1" applyAlignment="1">
      <alignment horizontal="center" vertical="center"/>
    </xf>
    <xf numFmtId="4" fontId="7" fillId="35" borderId="27" xfId="2" applyNumberFormat="1" applyFont="1" applyFill="1" applyBorder="1" applyAlignment="1">
      <alignment horizontal="center" vertical="center"/>
    </xf>
    <xf numFmtId="269" fontId="346" fillId="35" borderId="0" xfId="2" applyNumberFormat="1" applyFont="1" applyFill="1" applyAlignment="1">
      <alignment vertical="center"/>
    </xf>
    <xf numFmtId="4" fontId="346" fillId="35" borderId="0" xfId="2" applyNumberFormat="1" applyFont="1" applyFill="1" applyAlignment="1">
      <alignment vertical="center"/>
    </xf>
    <xf numFmtId="290" fontId="37" fillId="125" borderId="327" xfId="2" applyNumberFormat="1" applyFont="1" applyFill="1" applyBorder="1" applyAlignment="1">
      <alignment horizontal="center" vertical="center"/>
    </xf>
    <xf numFmtId="2" fontId="7" fillId="35" borderId="328" xfId="2" applyNumberFormat="1" applyFont="1" applyFill="1" applyBorder="1" applyAlignment="1">
      <alignment horizontal="center" vertical="center"/>
    </xf>
    <xf numFmtId="2" fontId="7" fillId="35" borderId="243" xfId="2" applyNumberFormat="1" applyFont="1" applyFill="1" applyBorder="1" applyAlignment="1">
      <alignment horizontal="center" vertical="center"/>
    </xf>
    <xf numFmtId="4" fontId="350" fillId="35" borderId="0" xfId="2" applyNumberFormat="1" applyFont="1" applyFill="1" applyAlignment="1">
      <alignment vertical="center"/>
    </xf>
    <xf numFmtId="219" fontId="388" fillId="35" borderId="0" xfId="2" applyNumberFormat="1" applyFont="1" applyFill="1" applyAlignment="1">
      <alignment vertical="center"/>
    </xf>
    <xf numFmtId="17" fontId="37" fillId="125" borderId="106" xfId="2" quotePrefix="1" applyNumberFormat="1" applyFont="1" applyFill="1" applyBorder="1" applyAlignment="1">
      <alignment horizontal="center" vertical="center"/>
    </xf>
    <xf numFmtId="17" fontId="37" fillId="125" borderId="313" xfId="2" quotePrefix="1" applyNumberFormat="1" applyFont="1" applyFill="1" applyBorder="1" applyAlignment="1">
      <alignment horizontal="center" vertical="center"/>
    </xf>
    <xf numFmtId="282" fontId="346" fillId="35" borderId="0" xfId="2" applyNumberFormat="1" applyFont="1" applyFill="1" applyAlignment="1">
      <alignment vertical="center"/>
    </xf>
    <xf numFmtId="17" fontId="37" fillId="125" borderId="109" xfId="2" applyNumberFormat="1" applyFont="1" applyFill="1" applyBorder="1" applyAlignment="1">
      <alignment horizontal="center" vertical="center"/>
    </xf>
    <xf numFmtId="2" fontId="7" fillId="35" borderId="113" xfId="2" applyNumberFormat="1" applyFont="1" applyFill="1" applyBorder="1" applyAlignment="1">
      <alignment horizontal="center" vertical="center"/>
    </xf>
    <xf numFmtId="2" fontId="7" fillId="35" borderId="110" xfId="2" applyNumberFormat="1" applyFont="1" applyFill="1" applyBorder="1" applyAlignment="1">
      <alignment horizontal="center" vertical="center"/>
    </xf>
    <xf numFmtId="17" fontId="276" fillId="35" borderId="0" xfId="2" applyNumberFormat="1" applyFont="1" applyFill="1" applyBorder="1" applyAlignment="1">
      <alignment horizontal="left" vertical="center"/>
    </xf>
    <xf numFmtId="2" fontId="346" fillId="35" borderId="0" xfId="2" applyNumberFormat="1" applyFont="1" applyFill="1" applyBorder="1" applyAlignment="1">
      <alignment vertical="center"/>
    </xf>
    <xf numFmtId="0" fontId="346" fillId="35" borderId="0" xfId="2" applyFont="1" applyFill="1" applyBorder="1" applyAlignment="1">
      <alignment horizontal="right" vertical="center"/>
    </xf>
    <xf numFmtId="0" fontId="241" fillId="35" borderId="0" xfId="2" applyFont="1" applyFill="1" applyAlignment="1">
      <alignment horizontal="left" vertical="center"/>
    </xf>
    <xf numFmtId="15" fontId="241" fillId="35" borderId="0" xfId="2" applyNumberFormat="1" applyFont="1" applyFill="1" applyAlignment="1">
      <alignment horizontal="left" vertical="center"/>
    </xf>
    <xf numFmtId="0" fontId="348" fillId="35" borderId="0" xfId="2" applyFont="1" applyFill="1" applyAlignment="1">
      <alignment vertical="center"/>
    </xf>
    <xf numFmtId="0" fontId="348" fillId="35" borderId="0" xfId="2" applyFont="1" applyFill="1" applyAlignment="1">
      <alignment horizontal="right" vertical="center"/>
    </xf>
    <xf numFmtId="15" fontId="348" fillId="35" borderId="0" xfId="2" applyNumberFormat="1" applyFont="1" applyFill="1" applyAlignment="1">
      <alignment horizontal="right" vertical="center"/>
    </xf>
    <xf numFmtId="0" fontId="38" fillId="35" borderId="0" xfId="2" applyFont="1" applyFill="1" applyAlignment="1">
      <alignment horizontal="left" vertical="center"/>
    </xf>
    <xf numFmtId="2" fontId="348" fillId="35" borderId="0" xfId="2" applyNumberFormat="1" applyFont="1" applyFill="1" applyBorder="1" applyAlignment="1">
      <alignment vertical="center"/>
    </xf>
    <xf numFmtId="0" fontId="39" fillId="35" borderId="0" xfId="2" applyFont="1" applyFill="1" applyAlignment="1">
      <alignment horizontal="left" vertical="center"/>
    </xf>
    <xf numFmtId="0" fontId="346" fillId="35" borderId="0" xfId="2" applyFont="1" applyFill="1" applyAlignment="1">
      <alignment horizontal="left" vertical="center"/>
    </xf>
    <xf numFmtId="0" fontId="346" fillId="35" borderId="0" xfId="2" applyFont="1" applyFill="1" applyAlignment="1">
      <alignment horizontal="center" vertical="center"/>
    </xf>
    <xf numFmtId="206" fontId="346" fillId="35" borderId="0" xfId="6001" applyNumberFormat="1" applyFont="1" applyFill="1" applyAlignment="1">
      <alignment vertical="center"/>
    </xf>
    <xf numFmtId="0" fontId="9" fillId="35" borderId="0" xfId="7904" applyFont="1" applyFill="1" applyBorder="1" applyAlignment="1">
      <alignment horizontal="left" vertical="center"/>
    </xf>
    <xf numFmtId="0" fontId="194" fillId="35" borderId="0" xfId="7904" applyFont="1" applyFill="1" applyBorder="1" applyAlignment="1">
      <alignment vertical="center"/>
    </xf>
    <xf numFmtId="0" fontId="16" fillId="35" borderId="0" xfId="7904" applyFont="1" applyFill="1" applyBorder="1" applyAlignment="1">
      <alignment horizontal="left" vertical="center" indent="1"/>
    </xf>
    <xf numFmtId="0" fontId="16" fillId="35" borderId="0" xfId="7904" applyFont="1" applyFill="1" applyBorder="1" applyAlignment="1">
      <alignment vertical="center"/>
    </xf>
    <xf numFmtId="0" fontId="6" fillId="2" borderId="306" xfId="7904" applyFont="1" applyFill="1" applyBorder="1" applyAlignment="1">
      <alignment horizontal="center" vertical="center"/>
    </xf>
    <xf numFmtId="172" fontId="39" fillId="2" borderId="288" xfId="7904" applyNumberFormat="1" applyFont="1" applyFill="1" applyBorder="1" applyAlignment="1">
      <alignment horizontal="center" vertical="center"/>
    </xf>
    <xf numFmtId="172" fontId="39" fillId="2" borderId="330" xfId="7904" applyNumberFormat="1" applyFont="1" applyFill="1" applyBorder="1" applyAlignment="1">
      <alignment horizontal="center" vertical="center"/>
    </xf>
    <xf numFmtId="172" fontId="84" fillId="2" borderId="330" xfId="7904" applyNumberFormat="1" applyFont="1" applyFill="1" applyBorder="1" applyAlignment="1">
      <alignment horizontal="center" vertical="center"/>
    </xf>
    <xf numFmtId="0" fontId="14" fillId="35" borderId="0" xfId="7904" applyFont="1" applyFill="1" applyBorder="1" applyAlignment="1">
      <alignment horizontal="center" vertical="center"/>
    </xf>
    <xf numFmtId="0" fontId="6" fillId="2" borderId="27" xfId="7904" applyFont="1" applyFill="1" applyBorder="1" applyAlignment="1">
      <alignment vertical="center"/>
    </xf>
    <xf numFmtId="0" fontId="40" fillId="35" borderId="96" xfId="7904" applyFont="1" applyFill="1" applyBorder="1" applyAlignment="1">
      <alignment horizontal="center" vertical="center"/>
    </xf>
    <xf numFmtId="0" fontId="40" fillId="35" borderId="96" xfId="7904" applyFont="1" applyFill="1" applyBorder="1" applyAlignment="1">
      <alignment vertical="center"/>
    </xf>
    <xf numFmtId="0" fontId="6" fillId="35" borderId="96" xfId="7904" applyFont="1" applyFill="1" applyBorder="1" applyAlignment="1">
      <alignment vertical="center"/>
    </xf>
    <xf numFmtId="0" fontId="6" fillId="2" borderId="27" xfId="7904" applyFont="1" applyFill="1" applyBorder="1" applyAlignment="1">
      <alignment horizontal="left" vertical="center" indent="1"/>
    </xf>
    <xf numFmtId="0" fontId="6" fillId="2" borderId="27" xfId="7904" applyFont="1" applyFill="1" applyBorder="1" applyAlignment="1">
      <alignment horizontal="centerContinuous" vertical="center"/>
    </xf>
    <xf numFmtId="0" fontId="40" fillId="149" borderId="29" xfId="7904" applyFont="1" applyFill="1" applyBorder="1" applyAlignment="1">
      <alignment vertical="center"/>
    </xf>
    <xf numFmtId="0" fontId="40" fillId="149" borderId="24" xfId="7904" applyFont="1" applyFill="1" applyBorder="1" applyAlignment="1">
      <alignment vertical="center"/>
    </xf>
    <xf numFmtId="0" fontId="6" fillId="149" borderId="25" xfId="7904" applyFont="1" applyFill="1" applyBorder="1" applyAlignment="1">
      <alignment vertical="center"/>
    </xf>
    <xf numFmtId="285" fontId="40" fillId="35" borderId="96" xfId="7905" applyNumberFormat="1" applyFont="1" applyFill="1" applyBorder="1" applyAlignment="1">
      <alignment vertical="center"/>
    </xf>
    <xf numFmtId="285" fontId="6" fillId="35" borderId="96" xfId="7905" applyNumberFormat="1" applyFont="1" applyFill="1" applyBorder="1" applyAlignment="1">
      <alignment vertical="center"/>
    </xf>
    <xf numFmtId="285" fontId="16" fillId="35" borderId="0" xfId="7905" applyNumberFormat="1" applyFont="1" applyFill="1" applyBorder="1" applyAlignment="1">
      <alignment vertical="center"/>
    </xf>
    <xf numFmtId="206" fontId="40" fillId="35" borderId="96" xfId="7905" applyNumberFormat="1" applyFont="1" applyFill="1" applyBorder="1" applyAlignment="1">
      <alignment horizontal="center" vertical="center"/>
    </xf>
    <xf numFmtId="206" fontId="6" fillId="35" borderId="96" xfId="7905" applyNumberFormat="1" applyFont="1" applyFill="1" applyBorder="1" applyAlignment="1">
      <alignment horizontal="center" vertical="center"/>
    </xf>
    <xf numFmtId="0" fontId="16" fillId="35" borderId="0" xfId="7904" applyFont="1" applyFill="1" applyBorder="1" applyAlignment="1">
      <alignment horizontal="center" vertical="center"/>
    </xf>
    <xf numFmtId="285" fontId="6" fillId="2" borderId="27" xfId="7905" applyNumberFormat="1" applyFont="1" applyFill="1" applyBorder="1" applyAlignment="1">
      <alignment vertical="center"/>
    </xf>
    <xf numFmtId="285" fontId="6" fillId="2" borderId="27" xfId="7905" applyNumberFormat="1" applyFont="1" applyFill="1" applyBorder="1" applyAlignment="1">
      <alignment horizontal="left" vertical="center" indent="2"/>
    </xf>
    <xf numFmtId="234" fontId="40" fillId="35" borderId="96" xfId="7904" applyNumberFormat="1" applyFont="1" applyFill="1" applyBorder="1" applyAlignment="1">
      <alignment vertical="center"/>
    </xf>
    <xf numFmtId="234" fontId="6" fillId="35" borderId="96" xfId="7904" applyNumberFormat="1" applyFont="1" applyFill="1" applyBorder="1" applyAlignment="1">
      <alignment vertical="center"/>
    </xf>
    <xf numFmtId="234" fontId="364" fillId="35" borderId="96" xfId="7904" applyNumberFormat="1" applyFont="1" applyFill="1" applyBorder="1" applyAlignment="1">
      <alignment vertical="center"/>
    </xf>
    <xf numFmtId="0" fontId="153" fillId="2" borderId="27" xfId="7904" applyFont="1" applyFill="1" applyBorder="1" applyAlignment="1">
      <alignment vertical="center"/>
    </xf>
    <xf numFmtId="0" fontId="364" fillId="35" borderId="96" xfId="7904" applyFont="1" applyFill="1" applyBorder="1" applyAlignment="1">
      <alignment vertical="center"/>
    </xf>
    <xf numFmtId="0" fontId="153" fillId="2" borderId="27" xfId="7904" applyFont="1" applyFill="1" applyBorder="1" applyAlignment="1">
      <alignment vertical="center" wrapText="1"/>
    </xf>
    <xf numFmtId="234" fontId="244" fillId="35" borderId="96" xfId="7904" applyNumberFormat="1" applyFont="1" applyFill="1" applyBorder="1" applyAlignment="1">
      <alignment vertical="center"/>
    </xf>
    <xf numFmtId="234" fontId="153" fillId="35" borderId="96" xfId="7904" applyNumberFormat="1" applyFont="1" applyFill="1" applyBorder="1" applyAlignment="1">
      <alignment vertical="center"/>
    </xf>
    <xf numFmtId="234" fontId="389" fillId="35" borderId="96" xfId="7904" applyNumberFormat="1" applyFont="1" applyFill="1" applyBorder="1" applyAlignment="1">
      <alignment vertical="center"/>
    </xf>
    <xf numFmtId="257" fontId="40" fillId="35" borderId="96" xfId="7904" applyNumberFormat="1" applyFont="1" applyFill="1" applyBorder="1" applyAlignment="1">
      <alignment vertical="center"/>
    </xf>
    <xf numFmtId="43" fontId="6" fillId="35" borderId="96" xfId="7905" applyFont="1" applyFill="1" applyBorder="1" applyAlignment="1">
      <alignment vertical="center"/>
    </xf>
    <xf numFmtId="257" fontId="6" fillId="35" borderId="96" xfId="7904" applyNumberFormat="1" applyFont="1" applyFill="1" applyBorder="1" applyAlignment="1">
      <alignment vertical="center"/>
    </xf>
    <xf numFmtId="0" fontId="122" fillId="2" borderId="28" xfId="7904" applyFont="1" applyFill="1" applyBorder="1" applyAlignment="1">
      <alignment horizontal="left" vertical="center" indent="1"/>
    </xf>
    <xf numFmtId="0" fontId="16" fillId="35" borderId="142" xfId="7904" applyFont="1" applyFill="1" applyBorder="1" applyAlignment="1">
      <alignment vertical="center"/>
    </xf>
    <xf numFmtId="0" fontId="7" fillId="35" borderId="142" xfId="7904" applyFont="1" applyFill="1" applyBorder="1" applyAlignment="1">
      <alignment vertical="center"/>
    </xf>
    <xf numFmtId="0" fontId="40" fillId="35" borderId="0" xfId="7904" applyFont="1" applyFill="1" applyBorder="1" applyAlignment="1">
      <alignment vertical="center"/>
    </xf>
    <xf numFmtId="0" fontId="244" fillId="35" borderId="0" xfId="7904" applyFont="1" applyFill="1" applyBorder="1" applyAlignment="1">
      <alignment horizontal="left" vertical="center" indent="1"/>
    </xf>
    <xf numFmtId="0" fontId="9" fillId="35" borderId="0" xfId="7904" applyFont="1" applyFill="1" applyBorder="1" applyAlignment="1">
      <alignment vertical="center"/>
    </xf>
    <xf numFmtId="0" fontId="2" fillId="35" borderId="0" xfId="7904" applyFill="1" applyBorder="1"/>
    <xf numFmtId="0" fontId="2" fillId="35" borderId="0" xfId="7904" applyFill="1"/>
    <xf numFmtId="0" fontId="6" fillId="2" borderId="107" xfId="7904" applyFont="1" applyFill="1" applyBorder="1" applyAlignment="1">
      <alignment horizontal="center" vertical="center"/>
    </xf>
    <xf numFmtId="172" fontId="14" fillId="125" borderId="161" xfId="7904" applyNumberFormat="1" applyFont="1" applyFill="1" applyBorder="1" applyAlignment="1">
      <alignment horizontal="center" vertical="center"/>
    </xf>
    <xf numFmtId="172" fontId="14" fillId="125" borderId="91" xfId="7904" applyNumberFormat="1" applyFont="1" applyFill="1" applyBorder="1" applyAlignment="1">
      <alignment horizontal="center" vertical="center"/>
    </xf>
    <xf numFmtId="172" fontId="39" fillId="125" borderId="91" xfId="7904" applyNumberFormat="1" applyFont="1" applyFill="1" applyBorder="1" applyAlignment="1">
      <alignment horizontal="center" vertical="center"/>
    </xf>
    <xf numFmtId="172" fontId="39" fillId="2" borderId="91" xfId="7904" applyNumberFormat="1" applyFont="1" applyFill="1" applyBorder="1" applyAlignment="1">
      <alignment horizontal="center" vertical="center"/>
    </xf>
    <xf numFmtId="0" fontId="46" fillId="35" borderId="0" xfId="7904" applyFont="1" applyFill="1" applyAlignment="1">
      <alignment horizontal="center" vertical="center"/>
    </xf>
    <xf numFmtId="0" fontId="6" fillId="2" borderId="27" xfId="7904" applyFont="1" applyFill="1" applyBorder="1" applyAlignment="1">
      <alignment horizontal="center" vertical="center"/>
    </xf>
    <xf numFmtId="17" fontId="14" fillId="149" borderId="98" xfId="7904" applyNumberFormat="1" applyFont="1" applyFill="1" applyBorder="1" applyAlignment="1">
      <alignment vertical="center"/>
    </xf>
    <xf numFmtId="0" fontId="6" fillId="2" borderId="27" xfId="7904" applyFont="1" applyFill="1" applyBorder="1" applyAlignment="1">
      <alignment horizontal="left" vertical="center"/>
    </xf>
    <xf numFmtId="206" fontId="46" fillId="35" borderId="96" xfId="7905" applyNumberFormat="1" applyFont="1" applyFill="1" applyBorder="1" applyAlignment="1">
      <alignment horizontal="center" vertical="center"/>
    </xf>
    <xf numFmtId="206" fontId="390" fillId="35" borderId="96" xfId="7905" applyNumberFormat="1" applyFont="1" applyFill="1" applyBorder="1" applyAlignment="1">
      <alignment horizontal="center" vertical="center"/>
    </xf>
    <xf numFmtId="206" fontId="46" fillId="35" borderId="142" xfId="7905" applyNumberFormat="1" applyFont="1" applyFill="1" applyBorder="1" applyAlignment="1">
      <alignment horizontal="center" vertical="center"/>
    </xf>
    <xf numFmtId="0" fontId="46" fillId="149" borderId="96" xfId="7904" applyFont="1" applyFill="1" applyBorder="1" applyAlignment="1">
      <alignment horizontal="center" vertical="center"/>
    </xf>
    <xf numFmtId="206" fontId="46" fillId="35" borderId="161" xfId="7905" applyNumberFormat="1" applyFont="1" applyFill="1" applyBorder="1" applyAlignment="1">
      <alignment horizontal="center" vertical="center"/>
    </xf>
    <xf numFmtId="206" fontId="390" fillId="35" borderId="161" xfId="7905" applyNumberFormat="1" applyFont="1" applyFill="1" applyBorder="1" applyAlignment="1">
      <alignment horizontal="center" vertical="center"/>
    </xf>
    <xf numFmtId="0" fontId="6" fillId="2" borderId="28" xfId="7904" applyFont="1" applyFill="1" applyBorder="1" applyAlignment="1">
      <alignment horizontal="left" vertical="center"/>
    </xf>
    <xf numFmtId="167" fontId="16" fillId="35" borderId="142" xfId="7904" applyNumberFormat="1" applyFont="1" applyFill="1" applyBorder="1" applyAlignment="1">
      <alignment horizontal="center" vertical="center"/>
    </xf>
    <xf numFmtId="167" fontId="391" fillId="35" borderId="142" xfId="7904" applyNumberFormat="1" applyFont="1" applyFill="1" applyBorder="1" applyAlignment="1">
      <alignment horizontal="center" vertical="center"/>
    </xf>
    <xf numFmtId="167" fontId="392" fillId="35" borderId="142" xfId="7904" applyNumberFormat="1" applyFont="1" applyFill="1" applyBorder="1" applyAlignment="1">
      <alignment horizontal="center" vertical="center"/>
    </xf>
    <xf numFmtId="0" fontId="244" fillId="35" borderId="0" xfId="7904" applyFont="1" applyFill="1" applyBorder="1" applyAlignment="1">
      <alignment vertical="center"/>
    </xf>
    <xf numFmtId="0" fontId="7" fillId="35" borderId="0" xfId="7904" applyFont="1" applyFill="1" applyBorder="1" applyAlignment="1">
      <alignment vertical="center"/>
    </xf>
    <xf numFmtId="0" fontId="9" fillId="0" borderId="0" xfId="7895" applyFont="1" applyFill="1" applyAlignment="1">
      <alignment vertical="center"/>
    </xf>
    <xf numFmtId="0" fontId="40" fillId="35" borderId="0" xfId="7895" applyFont="1" applyFill="1" applyAlignment="1">
      <alignment vertical="center"/>
    </xf>
    <xf numFmtId="0" fontId="40" fillId="35" borderId="0" xfId="6985" applyFont="1" applyFill="1" applyAlignment="1">
      <alignment vertical="center"/>
    </xf>
    <xf numFmtId="206" fontId="87" fillId="35" borderId="0" xfId="7906" applyNumberFormat="1" applyFont="1" applyFill="1" applyAlignment="1">
      <alignment vertical="center"/>
    </xf>
    <xf numFmtId="0" fontId="87" fillId="35" borderId="0" xfId="6985" applyFont="1" applyFill="1" applyAlignment="1">
      <alignment vertical="center"/>
    </xf>
    <xf numFmtId="0" fontId="39" fillId="3" borderId="25" xfId="7895" applyFont="1" applyFill="1" applyBorder="1" applyAlignment="1">
      <alignment horizontal="center" vertical="center"/>
    </xf>
    <xf numFmtId="0" fontId="84" fillId="3" borderId="29" xfId="7895" applyFont="1" applyFill="1" applyBorder="1" applyAlignment="1">
      <alignment horizontal="center" vertical="center"/>
    </xf>
    <xf numFmtId="0" fontId="84" fillId="3" borderId="309" xfId="7895" applyFont="1" applyFill="1" applyBorder="1" applyAlignment="1">
      <alignment horizontal="center" vertical="center"/>
    </xf>
    <xf numFmtId="0" fontId="84" fillId="3" borderId="303" xfId="7895" applyFont="1" applyFill="1" applyBorder="1" applyAlignment="1">
      <alignment horizontal="center" vertical="center"/>
    </xf>
    <xf numFmtId="0" fontId="84" fillId="3" borderId="304" xfId="7895" applyFont="1" applyFill="1" applyBorder="1" applyAlignment="1">
      <alignment horizontal="center" vertical="center"/>
    </xf>
    <xf numFmtId="0" fontId="84" fillId="3" borderId="47" xfId="7895" applyFont="1" applyFill="1" applyBorder="1" applyAlignment="1">
      <alignment horizontal="left" vertical="center"/>
    </xf>
    <xf numFmtId="0" fontId="40" fillId="35" borderId="89" xfId="7895" applyFont="1" applyFill="1" applyBorder="1" applyAlignment="1">
      <alignment horizontal="left" vertical="center"/>
    </xf>
    <xf numFmtId="0" fontId="40" fillId="35" borderId="90" xfId="7895" applyFont="1" applyFill="1" applyBorder="1" applyAlignment="1">
      <alignment horizontal="left" vertical="center"/>
    </xf>
    <xf numFmtId="3" fontId="40" fillId="35" borderId="90" xfId="7907" applyNumberFormat="1" applyFont="1" applyFill="1" applyBorder="1" applyAlignment="1">
      <alignment horizontal="right" vertical="center"/>
    </xf>
    <xf numFmtId="3" fontId="40" fillId="35" borderId="251" xfId="7907" applyNumberFormat="1" applyFont="1" applyFill="1" applyBorder="1" applyAlignment="1">
      <alignment horizontal="right" vertical="center"/>
    </xf>
    <xf numFmtId="3" fontId="40" fillId="35" borderId="9" xfId="7907" applyNumberFormat="1" applyFont="1" applyFill="1" applyBorder="1" applyAlignment="1">
      <alignment horizontal="right" vertical="center"/>
    </xf>
    <xf numFmtId="3" fontId="40" fillId="35" borderId="90" xfId="6985" applyNumberFormat="1" applyFont="1" applyFill="1" applyBorder="1" applyAlignment="1">
      <alignment horizontal="right" vertical="center"/>
    </xf>
    <xf numFmtId="3" fontId="40" fillId="35" borderId="251" xfId="6985" applyNumberFormat="1" applyFont="1" applyFill="1" applyBorder="1" applyAlignment="1">
      <alignment horizontal="right" vertical="center"/>
    </xf>
    <xf numFmtId="3" fontId="40" fillId="35" borderId="91" xfId="6985" applyNumberFormat="1" applyFont="1" applyFill="1" applyBorder="1" applyAlignment="1">
      <alignment horizontal="right" vertical="center"/>
    </xf>
    <xf numFmtId="0" fontId="40" fillId="35" borderId="92" xfId="7895" applyFont="1" applyFill="1" applyBorder="1" applyAlignment="1">
      <alignment horizontal="left" vertical="center"/>
    </xf>
    <xf numFmtId="0" fontId="40" fillId="35" borderId="9" xfId="7895" applyFont="1" applyFill="1" applyBorder="1" applyAlignment="1">
      <alignment horizontal="left" vertical="center"/>
    </xf>
    <xf numFmtId="3" fontId="40" fillId="35" borderId="0" xfId="7907" applyNumberFormat="1" applyFont="1" applyFill="1" applyBorder="1" applyAlignment="1">
      <alignment horizontal="right" vertical="center"/>
    </xf>
    <xf numFmtId="3" fontId="40" fillId="35" borderId="9" xfId="6985" applyNumberFormat="1" applyFont="1" applyFill="1" applyBorder="1" applyAlignment="1">
      <alignment horizontal="right" vertical="center"/>
    </xf>
    <xf numFmtId="3" fontId="40" fillId="35" borderId="9" xfId="6985" quotePrefix="1" applyNumberFormat="1" applyFont="1" applyFill="1" applyBorder="1" applyAlignment="1">
      <alignment horizontal="right" vertical="center"/>
    </xf>
    <xf numFmtId="3" fontId="40" fillId="35" borderId="37" xfId="6985" quotePrefix="1" applyNumberFormat="1" applyFont="1" applyFill="1" applyBorder="1" applyAlignment="1">
      <alignment horizontal="right" vertical="center"/>
    </xf>
    <xf numFmtId="3" fontId="40" fillId="0" borderId="93" xfId="6985" quotePrefix="1" applyNumberFormat="1" applyFont="1" applyFill="1" applyBorder="1" applyAlignment="1">
      <alignment horizontal="right" vertical="center"/>
    </xf>
    <xf numFmtId="3" fontId="40" fillId="35" borderId="93" xfId="6985" quotePrefix="1" applyNumberFormat="1" applyFont="1" applyFill="1" applyBorder="1" applyAlignment="1">
      <alignment horizontal="right" vertical="center"/>
    </xf>
    <xf numFmtId="3" fontId="40" fillId="35" borderId="9" xfId="7907" quotePrefix="1" applyNumberFormat="1" applyFont="1" applyFill="1" applyBorder="1" applyAlignment="1">
      <alignment horizontal="right" vertical="center"/>
    </xf>
    <xf numFmtId="3" fontId="40" fillId="35" borderId="37" xfId="7907" quotePrefix="1" applyNumberFormat="1" applyFont="1" applyFill="1" applyBorder="1" applyAlignment="1">
      <alignment horizontal="right" vertical="center"/>
    </xf>
    <xf numFmtId="3" fontId="40" fillId="0" borderId="93" xfId="7907" quotePrefix="1" applyNumberFormat="1" applyFont="1" applyFill="1" applyBorder="1" applyAlignment="1">
      <alignment horizontal="right" vertical="center"/>
    </xf>
    <xf numFmtId="0" fontId="40" fillId="0" borderId="92" xfId="7895" applyFont="1" applyFill="1" applyBorder="1" applyAlignment="1">
      <alignment horizontal="left" vertical="center"/>
    </xf>
    <xf numFmtId="0" fontId="40" fillId="0" borderId="9" xfId="7895" applyFont="1" applyFill="1" applyBorder="1" applyAlignment="1">
      <alignment horizontal="left" vertical="center"/>
    </xf>
    <xf numFmtId="257" fontId="40" fillId="0" borderId="9" xfId="7907" applyNumberFormat="1" applyFont="1" applyFill="1" applyBorder="1" applyAlignment="1">
      <alignment horizontal="right" vertical="center"/>
    </xf>
    <xf numFmtId="257" fontId="40" fillId="0" borderId="0" xfId="7907" applyNumberFormat="1" applyFont="1" applyFill="1" applyBorder="1" applyAlignment="1">
      <alignment horizontal="right" vertical="center"/>
    </xf>
    <xf numFmtId="257" fontId="40" fillId="0" borderId="37" xfId="7907" applyNumberFormat="1" applyFont="1" applyFill="1" applyBorder="1" applyAlignment="1">
      <alignment horizontal="right" vertical="center"/>
    </xf>
    <xf numFmtId="291" fontId="40" fillId="0" borderId="37" xfId="6008" quotePrefix="1" applyNumberFormat="1" applyFont="1" applyFill="1" applyBorder="1" applyAlignment="1">
      <alignment horizontal="right" vertical="center" wrapText="1"/>
    </xf>
    <xf numFmtId="291" fontId="40" fillId="0" borderId="93" xfId="6008" applyNumberFormat="1" applyFont="1" applyFill="1" applyBorder="1" applyAlignment="1">
      <alignment horizontal="right" vertical="center" wrapText="1"/>
    </xf>
    <xf numFmtId="3" fontId="40" fillId="0" borderId="9" xfId="7907" applyNumberFormat="1" applyFont="1" applyFill="1" applyBorder="1" applyAlignment="1">
      <alignment horizontal="right" vertical="center"/>
    </xf>
    <xf numFmtId="3" fontId="40" fillId="0" borderId="0" xfId="7907" applyNumberFormat="1" applyFont="1" applyFill="1" applyBorder="1" applyAlignment="1">
      <alignment horizontal="right" vertical="center"/>
    </xf>
    <xf numFmtId="3" fontId="40" fillId="0" borderId="9" xfId="7907" quotePrefix="1" applyNumberFormat="1" applyFont="1" applyFill="1" applyBorder="1" applyAlignment="1">
      <alignment horizontal="right" vertical="center"/>
    </xf>
    <xf numFmtId="3" fontId="40" fillId="0" borderId="37" xfId="7907" applyNumberFormat="1" applyFont="1" applyFill="1" applyBorder="1" applyAlignment="1">
      <alignment horizontal="right" vertical="center"/>
    </xf>
    <xf numFmtId="3" fontId="40" fillId="0" borderId="37" xfId="7907" quotePrefix="1" applyNumberFormat="1" applyFont="1" applyFill="1" applyBorder="1" applyAlignment="1">
      <alignment horizontal="right" vertical="center"/>
    </xf>
    <xf numFmtId="3" fontId="40" fillId="0" borderId="9" xfId="7908" quotePrefix="1" applyNumberFormat="1" applyFont="1" applyFill="1" applyBorder="1" applyAlignment="1">
      <alignment horizontal="right" vertical="center"/>
    </xf>
    <xf numFmtId="292" fontId="40" fillId="35" borderId="9" xfId="7907" applyNumberFormat="1" applyFont="1" applyFill="1" applyBorder="1" applyAlignment="1">
      <alignment vertical="center"/>
    </xf>
    <xf numFmtId="292" fontId="40" fillId="35" borderId="0" xfId="7907" applyNumberFormat="1" applyFont="1" applyFill="1" applyBorder="1" applyAlignment="1">
      <alignment vertical="center"/>
    </xf>
    <xf numFmtId="257" fontId="40" fillId="35" borderId="9" xfId="7907" applyNumberFormat="1" applyFont="1" applyFill="1" applyBorder="1" applyAlignment="1">
      <alignment horizontal="right" vertical="center"/>
    </xf>
    <xf numFmtId="257" fontId="40" fillId="35" borderId="37" xfId="7907" applyNumberFormat="1" applyFont="1" applyFill="1" applyBorder="1" applyAlignment="1">
      <alignment horizontal="right" vertical="center"/>
    </xf>
    <xf numFmtId="291" fontId="40" fillId="35" borderId="37" xfId="6008" applyNumberFormat="1" applyFont="1" applyFill="1" applyBorder="1" applyAlignment="1">
      <alignment horizontal="right" vertical="center" wrapText="1"/>
    </xf>
    <xf numFmtId="291" fontId="40" fillId="35" borderId="93" xfId="6008" applyNumberFormat="1" applyFont="1" applyFill="1" applyBorder="1" applyAlignment="1">
      <alignment horizontal="right" vertical="center" wrapText="1"/>
    </xf>
    <xf numFmtId="292" fontId="40" fillId="35" borderId="37" xfId="6008" applyNumberFormat="1" applyFont="1" applyFill="1" applyBorder="1" applyAlignment="1">
      <alignment horizontal="right" vertical="center" wrapText="1"/>
    </xf>
    <xf numFmtId="292" fontId="40" fillId="35" borderId="93" xfId="6008" applyNumberFormat="1" applyFont="1" applyFill="1" applyBorder="1" applyAlignment="1">
      <alignment horizontal="right" vertical="center" wrapText="1"/>
    </xf>
    <xf numFmtId="1" fontId="40" fillId="35" borderId="9" xfId="7895" quotePrefix="1" applyNumberFormat="1" applyFont="1" applyFill="1" applyBorder="1" applyAlignment="1">
      <alignment horizontal="right" vertical="center"/>
    </xf>
    <xf numFmtId="1" fontId="40" fillId="35" borderId="37" xfId="7895" quotePrefix="1" applyNumberFormat="1" applyFont="1" applyFill="1" applyBorder="1" applyAlignment="1">
      <alignment horizontal="right" vertical="center"/>
    </xf>
    <xf numFmtId="3" fontId="40" fillId="35" borderId="9" xfId="7908" quotePrefix="1" applyNumberFormat="1" applyFont="1" applyFill="1" applyBorder="1" applyAlignment="1">
      <alignment horizontal="right" vertical="center"/>
    </xf>
    <xf numFmtId="3" fontId="40" fillId="35" borderId="37" xfId="7908" quotePrefix="1" applyNumberFormat="1" applyFont="1" applyFill="1" applyBorder="1" applyAlignment="1">
      <alignment horizontal="right" vertical="center"/>
    </xf>
    <xf numFmtId="3" fontId="40" fillId="35" borderId="93" xfId="7908" quotePrefix="1" applyNumberFormat="1" applyFont="1" applyFill="1" applyBorder="1" applyAlignment="1">
      <alignment horizontal="right" vertical="center"/>
    </xf>
    <xf numFmtId="3" fontId="40" fillId="35" borderId="9" xfId="7895" quotePrefix="1" applyNumberFormat="1" applyFont="1" applyFill="1" applyBorder="1" applyAlignment="1">
      <alignment horizontal="right" vertical="center"/>
    </xf>
    <xf numFmtId="3" fontId="40" fillId="35" borderId="37" xfId="7895" quotePrefix="1" applyNumberFormat="1" applyFont="1" applyFill="1" applyBorder="1" applyAlignment="1">
      <alignment horizontal="right" vertical="center"/>
    </xf>
    <xf numFmtId="293" fontId="40" fillId="35" borderId="9" xfId="7895" applyNumberFormat="1" applyFont="1" applyFill="1" applyBorder="1" applyAlignment="1">
      <alignment horizontal="right" vertical="center"/>
    </xf>
    <xf numFmtId="293" fontId="40" fillId="35" borderId="9" xfId="7895" quotePrefix="1" applyNumberFormat="1" applyFont="1" applyFill="1" applyBorder="1" applyAlignment="1">
      <alignment horizontal="right" vertical="center"/>
    </xf>
    <xf numFmtId="293" fontId="40" fillId="35" borderId="37" xfId="7895" quotePrefix="1" applyNumberFormat="1" applyFont="1" applyFill="1" applyBorder="1" applyAlignment="1">
      <alignment horizontal="right" vertical="center"/>
    </xf>
    <xf numFmtId="0" fontId="84" fillId="3" borderId="27" xfId="7895" applyFont="1" applyFill="1" applyBorder="1" applyAlignment="1">
      <alignment horizontal="left" vertical="center"/>
    </xf>
    <xf numFmtId="3" fontId="40" fillId="35" borderId="37" xfId="7907" applyNumberFormat="1" applyFont="1" applyFill="1" applyBorder="1" applyAlignment="1">
      <alignment horizontal="right" vertical="center"/>
    </xf>
    <xf numFmtId="293" fontId="40" fillId="35" borderId="93" xfId="7895" quotePrefix="1" applyNumberFormat="1" applyFont="1" applyFill="1" applyBorder="1" applyAlignment="1">
      <alignment horizontal="right" vertical="center"/>
    </xf>
    <xf numFmtId="206" fontId="40" fillId="35" borderId="9" xfId="7906" quotePrefix="1" applyNumberFormat="1" applyFont="1" applyFill="1" applyBorder="1" applyAlignment="1">
      <alignment horizontal="right" vertical="center"/>
    </xf>
    <xf numFmtId="206" fontId="40" fillId="35" borderId="37" xfId="7906" applyNumberFormat="1" applyFont="1" applyFill="1" applyBorder="1" applyAlignment="1">
      <alignment horizontal="right" vertical="center"/>
    </xf>
    <xf numFmtId="206" fontId="40" fillId="35" borderId="9" xfId="7906" applyNumberFormat="1" applyFont="1" applyFill="1" applyBorder="1" applyAlignment="1">
      <alignment horizontal="right" vertical="center"/>
    </xf>
    <xf numFmtId="206" fontId="40" fillId="35" borderId="37" xfId="7906" quotePrefix="1" applyNumberFormat="1" applyFont="1" applyFill="1" applyBorder="1" applyAlignment="1">
      <alignment horizontal="right" vertical="center"/>
    </xf>
    <xf numFmtId="206" fontId="40" fillId="35" borderId="93" xfId="7906" quotePrefix="1" applyNumberFormat="1" applyFont="1" applyFill="1" applyBorder="1" applyAlignment="1">
      <alignment horizontal="right" vertical="center"/>
    </xf>
    <xf numFmtId="206" fontId="40" fillId="35" borderId="0" xfId="7906" applyNumberFormat="1" applyFont="1" applyFill="1" applyAlignment="1">
      <alignment vertical="center"/>
    </xf>
    <xf numFmtId="3" fontId="40" fillId="0" borderId="37" xfId="6985" quotePrefix="1" applyNumberFormat="1" applyFont="1" applyFill="1" applyBorder="1" applyAlignment="1">
      <alignment horizontal="right" vertical="center"/>
    </xf>
    <xf numFmtId="3" fontId="40" fillId="0" borderId="9" xfId="6985" applyNumberFormat="1" applyFont="1" applyFill="1" applyBorder="1" applyAlignment="1">
      <alignment horizontal="right" vertical="center"/>
    </xf>
    <xf numFmtId="3" fontId="40" fillId="0" borderId="9" xfId="6985" quotePrefix="1" applyNumberFormat="1" applyFont="1" applyFill="1" applyBorder="1" applyAlignment="1">
      <alignment horizontal="right" vertical="center"/>
    </xf>
    <xf numFmtId="257" fontId="40" fillId="0" borderId="37" xfId="7907" quotePrefix="1" applyNumberFormat="1" applyFont="1" applyFill="1" applyBorder="1" applyAlignment="1">
      <alignment horizontal="right" vertical="center"/>
    </xf>
    <xf numFmtId="257" fontId="40" fillId="0" borderId="9" xfId="7907" quotePrefix="1" applyNumberFormat="1" applyFont="1" applyFill="1" applyBorder="1" applyAlignment="1">
      <alignment horizontal="right" vertical="center"/>
    </xf>
    <xf numFmtId="292" fontId="40" fillId="0" borderId="93" xfId="6008" applyNumberFormat="1" applyFont="1" applyFill="1" applyBorder="1" applyAlignment="1">
      <alignment horizontal="right" vertical="center" wrapText="1"/>
    </xf>
    <xf numFmtId="268" fontId="40" fillId="35" borderId="93" xfId="7906" applyNumberFormat="1" applyFont="1" applyFill="1" applyBorder="1" applyAlignment="1">
      <alignment horizontal="right" vertical="center" wrapText="1"/>
    </xf>
    <xf numFmtId="268" fontId="40" fillId="0" borderId="93" xfId="7906" applyNumberFormat="1" applyFont="1" applyFill="1" applyBorder="1" applyAlignment="1">
      <alignment horizontal="right" vertical="center" wrapText="1"/>
    </xf>
    <xf numFmtId="0" fontId="40" fillId="0" borderId="92" xfId="7909" applyFont="1" applyFill="1" applyBorder="1" applyAlignment="1">
      <alignment horizontal="left" vertical="center"/>
    </xf>
    <xf numFmtId="3" fontId="40" fillId="0" borderId="93" xfId="6986" applyNumberFormat="1" applyFont="1" applyFill="1" applyBorder="1" applyAlignment="1">
      <alignment vertical="center"/>
    </xf>
    <xf numFmtId="257" fontId="40" fillId="0" borderId="93" xfId="6986" applyNumberFormat="1" applyFont="1" applyFill="1" applyBorder="1" applyAlignment="1">
      <alignment vertical="center"/>
    </xf>
    <xf numFmtId="3" fontId="7" fillId="0" borderId="93" xfId="7910" applyNumberFormat="1" applyFont="1" applyFill="1" applyBorder="1" applyAlignment="1">
      <alignment vertical="center"/>
    </xf>
    <xf numFmtId="257" fontId="40" fillId="35" borderId="0" xfId="6985" applyNumberFormat="1" applyFont="1" applyFill="1" applyAlignment="1">
      <alignment vertical="center"/>
    </xf>
    <xf numFmtId="234" fontId="40" fillId="0" borderId="9" xfId="7907" applyNumberFormat="1" applyFont="1" applyFill="1" applyBorder="1" applyAlignment="1">
      <alignment horizontal="right" vertical="center"/>
    </xf>
    <xf numFmtId="234" fontId="40" fillId="0" borderId="93" xfId="6986" applyNumberFormat="1" applyFont="1" applyFill="1" applyBorder="1" applyAlignment="1">
      <alignment vertical="center"/>
    </xf>
    <xf numFmtId="0" fontId="39" fillId="3" borderId="28" xfId="7895" applyFont="1" applyFill="1" applyBorder="1" applyAlignment="1">
      <alignment horizontal="left" vertical="center"/>
    </xf>
    <xf numFmtId="0" fontId="40" fillId="35" borderId="99" xfId="7895" applyFont="1" applyFill="1" applyBorder="1" applyAlignment="1">
      <alignment horizontal="left" vertical="center"/>
    </xf>
    <xf numFmtId="0" fontId="261" fillId="35" borderId="101" xfId="7895" applyFont="1" applyFill="1" applyBorder="1" applyAlignment="1">
      <alignment horizontal="left" vertical="center"/>
    </xf>
    <xf numFmtId="0" fontId="40" fillId="35" borderId="101" xfId="6985" applyFont="1" applyFill="1" applyBorder="1" applyAlignment="1">
      <alignment vertical="center"/>
    </xf>
    <xf numFmtId="0" fontId="40" fillId="35" borderId="229" xfId="6985" applyFont="1" applyFill="1" applyBorder="1" applyAlignment="1">
      <alignment vertical="center"/>
    </xf>
    <xf numFmtId="0" fontId="40" fillId="35" borderId="102" xfId="6985" applyFont="1" applyFill="1" applyBorder="1" applyAlignment="1">
      <alignment vertical="center"/>
    </xf>
    <xf numFmtId="0" fontId="261" fillId="35" borderId="0" xfId="7895" applyFont="1" applyFill="1" applyAlignment="1">
      <alignment vertical="center"/>
    </xf>
    <xf numFmtId="0" fontId="244" fillId="35" borderId="0" xfId="7895" applyFont="1" applyFill="1" applyAlignment="1">
      <alignment vertical="center"/>
    </xf>
    <xf numFmtId="265" fontId="40" fillId="35" borderId="0" xfId="6985" applyNumberFormat="1" applyFont="1" applyFill="1" applyAlignment="1">
      <alignment vertical="center"/>
    </xf>
    <xf numFmtId="0" fontId="261" fillId="35" borderId="0" xfId="6895" applyFont="1" applyFill="1" applyAlignment="1">
      <alignment vertical="center"/>
    </xf>
    <xf numFmtId="234" fontId="40" fillId="35" borderId="0" xfId="6985" applyNumberFormat="1" applyFont="1" applyFill="1" applyAlignment="1">
      <alignment vertical="center"/>
    </xf>
    <xf numFmtId="0" fontId="244" fillId="35" borderId="0" xfId="6895" quotePrefix="1" applyFont="1" applyFill="1" applyAlignment="1">
      <alignment horizontal="left" vertical="center"/>
    </xf>
    <xf numFmtId="0" fontId="244" fillId="35" borderId="0" xfId="6895" quotePrefix="1" applyFont="1" applyFill="1" applyAlignment="1">
      <alignment horizontal="left" vertical="center" wrapText="1"/>
    </xf>
    <xf numFmtId="0" fontId="40" fillId="35" borderId="0" xfId="7911" applyFont="1" applyFill="1" applyAlignment="1">
      <alignment vertical="center"/>
    </xf>
    <xf numFmtId="0" fontId="244" fillId="35" borderId="0" xfId="6895" quotePrefix="1" applyFont="1" applyFill="1" applyBorder="1" applyAlignment="1">
      <alignment horizontal="left" vertical="center"/>
    </xf>
    <xf numFmtId="0" fontId="244" fillId="35" borderId="0" xfId="6895" quotePrefix="1" applyFont="1" applyFill="1" applyBorder="1" applyAlignment="1">
      <alignment horizontal="left" vertical="center" wrapText="1"/>
    </xf>
    <xf numFmtId="0" fontId="244" fillId="35" borderId="0" xfId="6895" applyFont="1" applyFill="1" applyAlignment="1">
      <alignment vertical="center"/>
    </xf>
    <xf numFmtId="0" fontId="39" fillId="35" borderId="0" xfId="7895" applyFont="1" applyFill="1" applyAlignment="1">
      <alignment vertical="center"/>
    </xf>
    <xf numFmtId="0" fontId="14" fillId="0" borderId="0" xfId="0" applyFont="1" applyBorder="1"/>
    <xf numFmtId="0" fontId="217" fillId="0" borderId="0" xfId="0" applyFont="1" applyBorder="1" applyAlignment="1">
      <alignment horizontal="left"/>
    </xf>
    <xf numFmtId="0" fontId="217" fillId="0" borderId="0" xfId="0" applyFont="1" applyBorder="1"/>
    <xf numFmtId="0" fontId="215" fillId="0" borderId="0" xfId="0" applyFont="1" applyBorder="1"/>
    <xf numFmtId="0" fontId="15" fillId="0" borderId="0" xfId="0" applyFont="1" applyAlignment="1">
      <alignment horizontal="center"/>
    </xf>
    <xf numFmtId="40" fontId="0" fillId="0" borderId="0" xfId="1" applyFont="1"/>
    <xf numFmtId="0" fontId="97" fillId="0" borderId="0" xfId="0" applyFont="1"/>
    <xf numFmtId="0" fontId="193" fillId="0" borderId="0" xfId="0" applyFont="1" applyBorder="1"/>
    <xf numFmtId="0" fontId="217" fillId="0" borderId="0" xfId="0" applyFont="1" applyBorder="1" applyAlignment="1">
      <alignment horizontal="center"/>
    </xf>
    <xf numFmtId="0" fontId="193" fillId="90" borderId="220" xfId="0" applyFont="1" applyFill="1" applyBorder="1"/>
    <xf numFmtId="0" fontId="193" fillId="90" borderId="172" xfId="0" applyFont="1" applyFill="1" applyBorder="1" applyAlignment="1">
      <alignment horizontal="center"/>
    </xf>
    <xf numFmtId="170" fontId="217" fillId="90" borderId="172" xfId="0" applyNumberFormat="1" applyFont="1" applyFill="1" applyBorder="1" applyAlignment="1">
      <alignment horizontal="center"/>
    </xf>
    <xf numFmtId="0" fontId="215" fillId="90" borderId="172" xfId="0" applyFont="1" applyFill="1" applyBorder="1" applyAlignment="1">
      <alignment horizontal="center"/>
    </xf>
    <xf numFmtId="0" fontId="97" fillId="90" borderId="161" xfId="0" applyFont="1" applyFill="1" applyBorder="1"/>
    <xf numFmtId="40" fontId="0" fillId="0" borderId="47" xfId="1" applyFont="1" applyBorder="1"/>
    <xf numFmtId="0" fontId="193" fillId="90" borderId="47" xfId="0" applyFont="1" applyFill="1" applyBorder="1"/>
    <xf numFmtId="0" fontId="193" fillId="90" borderId="0" xfId="0" applyFont="1" applyFill="1" applyBorder="1" applyAlignment="1">
      <alignment horizontal="center"/>
    </xf>
    <xf numFmtId="170" fontId="217" fillId="90" borderId="0" xfId="0" applyNumberFormat="1" applyFont="1" applyFill="1" applyBorder="1" applyAlignment="1">
      <alignment horizontal="center"/>
    </xf>
    <xf numFmtId="0" fontId="215" fillId="90" borderId="0" xfId="0" applyFont="1" applyFill="1" applyBorder="1" applyAlignment="1">
      <alignment horizontal="center"/>
    </xf>
    <xf numFmtId="170" fontId="193" fillId="90" borderId="0" xfId="0" applyNumberFormat="1" applyFont="1" applyFill="1" applyBorder="1" applyAlignment="1">
      <alignment horizontal="center"/>
    </xf>
    <xf numFmtId="0" fontId="97" fillId="90" borderId="96" xfId="0" applyFont="1" applyFill="1" applyBorder="1"/>
    <xf numFmtId="0" fontId="215" fillId="90" borderId="0" xfId="0" applyFont="1" applyFill="1" applyBorder="1"/>
    <xf numFmtId="4" fontId="193" fillId="90" borderId="0" xfId="0" applyNumberFormat="1" applyFont="1" applyFill="1" applyBorder="1" applyAlignment="1">
      <alignment horizontal="right"/>
    </xf>
    <xf numFmtId="4" fontId="215" fillId="0" borderId="0" xfId="0" applyNumberFormat="1" applyFont="1" applyBorder="1"/>
    <xf numFmtId="0" fontId="97" fillId="0" borderId="96" xfId="0" applyFont="1" applyBorder="1"/>
    <xf numFmtId="0" fontId="0" fillId="0" borderId="47" xfId="0" applyBorder="1"/>
    <xf numFmtId="0" fontId="215" fillId="90" borderId="47" xfId="0" applyFont="1" applyFill="1" applyBorder="1"/>
    <xf numFmtId="3" fontId="215" fillId="0" borderId="0" xfId="0" applyNumberFormat="1" applyFont="1" applyBorder="1" applyAlignment="1"/>
    <xf numFmtId="3" fontId="193" fillId="0" borderId="0" xfId="0" applyNumberFormat="1" applyFont="1" applyBorder="1" applyAlignment="1">
      <alignment horizontal="center"/>
    </xf>
    <xf numFmtId="3" fontId="215" fillId="0" borderId="12" xfId="0" applyNumberFormat="1" applyFont="1" applyBorder="1" applyAlignment="1"/>
    <xf numFmtId="0" fontId="40" fillId="0" borderId="0" xfId="0" applyFont="1" applyBorder="1"/>
    <xf numFmtId="206" fontId="215" fillId="0" borderId="0" xfId="1" applyNumberFormat="1" applyFont="1" applyBorder="1" applyAlignment="1">
      <alignment horizontal="center"/>
    </xf>
    <xf numFmtId="0" fontId="40" fillId="90" borderId="47" xfId="0" applyFont="1" applyFill="1" applyBorder="1"/>
    <xf numFmtId="3" fontId="215" fillId="0" borderId="331" xfId="0" applyNumberFormat="1" applyFont="1" applyBorder="1" applyAlignment="1"/>
    <xf numFmtId="0" fontId="217" fillId="90" borderId="47" xfId="0" applyFont="1" applyFill="1" applyBorder="1"/>
    <xf numFmtId="0" fontId="193" fillId="0" borderId="0" xfId="0" applyFont="1" applyBorder="1" applyAlignment="1">
      <alignment horizontal="center"/>
    </xf>
    <xf numFmtId="3" fontId="243" fillId="0" borderId="0" xfId="0" applyNumberFormat="1" applyFont="1" applyBorder="1"/>
    <xf numFmtId="39" fontId="215" fillId="0" borderId="0" xfId="0" applyNumberFormat="1" applyFont="1" applyBorder="1"/>
    <xf numFmtId="40" fontId="0" fillId="0" borderId="47" xfId="0" applyNumberFormat="1" applyBorder="1"/>
    <xf numFmtId="3" fontId="215" fillId="0" borderId="11" xfId="0" applyNumberFormat="1" applyFont="1" applyBorder="1"/>
    <xf numFmtId="3" fontId="215" fillId="0" borderId="9" xfId="0" applyNumberFormat="1" applyFont="1" applyBorder="1"/>
    <xf numFmtId="3" fontId="215" fillId="0" borderId="10" xfId="0" applyNumberFormat="1" applyFont="1" applyBorder="1"/>
    <xf numFmtId="3" fontId="0" fillId="0" borderId="0" xfId="0" applyNumberFormat="1"/>
    <xf numFmtId="3" fontId="215" fillId="0" borderId="0" xfId="0" applyNumberFormat="1" applyFont="1" applyBorder="1" applyAlignment="1">
      <alignment horizontal="right"/>
    </xf>
    <xf numFmtId="3" fontId="215" fillId="0" borderId="0" xfId="0" applyNumberFormat="1" applyFont="1" applyBorder="1"/>
    <xf numFmtId="3" fontId="215" fillId="0" borderId="12" xfId="0" applyNumberFormat="1" applyFont="1" applyBorder="1"/>
    <xf numFmtId="0" fontId="395" fillId="90" borderId="47" xfId="0" applyFont="1" applyFill="1" applyBorder="1"/>
    <xf numFmtId="3" fontId="215" fillId="0" borderId="86" xfId="0" applyNumberFormat="1" applyFont="1" applyBorder="1"/>
    <xf numFmtId="0" fontId="215" fillId="90" borderId="223" xfId="0" applyFont="1" applyFill="1" applyBorder="1"/>
    <xf numFmtId="0" fontId="215" fillId="0" borderId="35" xfId="0" applyFont="1" applyBorder="1"/>
    <xf numFmtId="39" fontId="215" fillId="0" borderId="35" xfId="0" applyNumberFormat="1" applyFont="1" applyBorder="1"/>
    <xf numFmtId="0" fontId="97" fillId="0" borderId="142" xfId="0" applyFont="1" applyBorder="1"/>
    <xf numFmtId="0" fontId="97" fillId="0" borderId="0" xfId="0" applyFont="1" applyBorder="1"/>
    <xf numFmtId="0" fontId="0" fillId="0" borderId="0" xfId="0" applyBorder="1"/>
    <xf numFmtId="0" fontId="243" fillId="0" borderId="0" xfId="0" applyFont="1" applyBorder="1"/>
    <xf numFmtId="0" fontId="396" fillId="0" borderId="0" xfId="0" applyFont="1"/>
    <xf numFmtId="39" fontId="396" fillId="0" borderId="0" xfId="0" applyNumberFormat="1" applyFont="1"/>
    <xf numFmtId="39" fontId="397" fillId="0" borderId="0" xfId="0" applyNumberFormat="1" applyFont="1"/>
    <xf numFmtId="0" fontId="398" fillId="0" borderId="0" xfId="0" applyFont="1"/>
    <xf numFmtId="40" fontId="396" fillId="0" borderId="0" xfId="1" applyFont="1"/>
    <xf numFmtId="0" fontId="244" fillId="35" borderId="0" xfId="6895" quotePrefix="1" applyFont="1" applyFill="1" applyAlignment="1">
      <alignment horizontal="left" vertical="center" wrapText="1"/>
    </xf>
    <xf numFmtId="0" fontId="9" fillId="35" borderId="0" xfId="2" applyFont="1" applyFill="1" applyAlignment="1">
      <alignment horizontal="left"/>
    </xf>
    <xf numFmtId="0" fontId="39" fillId="2" borderId="116" xfId="2" applyFont="1" applyFill="1" applyBorder="1" applyAlignment="1">
      <alignment horizontal="center"/>
    </xf>
    <xf numFmtId="0" fontId="39" fillId="2" borderId="157" xfId="2" applyFont="1" applyFill="1" applyBorder="1" applyAlignment="1">
      <alignment horizontal="center"/>
    </xf>
    <xf numFmtId="0" fontId="244" fillId="35" borderId="51" xfId="2" applyFont="1" applyFill="1" applyBorder="1" applyAlignment="1">
      <alignment horizontal="center"/>
    </xf>
    <xf numFmtId="0" fontId="241" fillId="35" borderId="51" xfId="6846" applyFont="1" applyFill="1" applyBorder="1" applyAlignment="1">
      <alignment horizontal="center" vertical="center"/>
    </xf>
    <xf numFmtId="0" fontId="151" fillId="35" borderId="0" xfId="2" applyFont="1" applyFill="1" applyBorder="1" applyAlignment="1">
      <alignment horizontal="left" vertical="center" wrapText="1"/>
    </xf>
    <xf numFmtId="0" fontId="244" fillId="35" borderId="172" xfId="2" applyFont="1" applyFill="1" applyBorder="1" applyAlignment="1">
      <alignment horizontal="center" vertical="top" wrapText="1"/>
    </xf>
    <xf numFmtId="0" fontId="244" fillId="35" borderId="7" xfId="2" applyFont="1" applyFill="1" applyBorder="1" applyAlignment="1" applyProtection="1">
      <alignment horizontal="right" vertical="center"/>
    </xf>
    <xf numFmtId="4" fontId="39" fillId="2" borderId="248" xfId="2" applyNumberFormat="1" applyFont="1" applyFill="1" applyBorder="1" applyAlignment="1" applyProtection="1">
      <alignment horizontal="center" vertical="center"/>
    </xf>
    <xf numFmtId="4" fontId="39" fillId="2" borderId="157" xfId="2" applyNumberFormat="1" applyFont="1" applyFill="1" applyBorder="1" applyAlignment="1" applyProtection="1">
      <alignment horizontal="center" vertical="center"/>
    </xf>
    <xf numFmtId="0" fontId="39" fillId="2" borderId="116" xfId="2" applyFont="1" applyFill="1" applyBorder="1" applyAlignment="1" applyProtection="1">
      <alignment horizontal="center" vertical="center"/>
    </xf>
    <xf numFmtId="0" fontId="39" fillId="2" borderId="157" xfId="2" applyFont="1" applyFill="1" applyBorder="1" applyAlignment="1" applyProtection="1">
      <alignment horizontal="center" vertical="center"/>
    </xf>
    <xf numFmtId="0" fontId="314" fillId="35" borderId="0" xfId="7105" applyFont="1" applyFill="1" applyBorder="1" applyAlignment="1">
      <alignment horizontal="center" vertical="center"/>
    </xf>
    <xf numFmtId="0" fontId="39" fillId="129" borderId="220" xfId="7105" applyFont="1" applyFill="1" applyBorder="1" applyAlignment="1">
      <alignment horizontal="center" vertical="center"/>
    </xf>
    <xf numFmtId="0" fontId="39" fillId="129" borderId="161" xfId="7105" applyFont="1" applyFill="1" applyBorder="1" applyAlignment="1">
      <alignment horizontal="center" vertical="center"/>
    </xf>
    <xf numFmtId="0" fontId="37" fillId="129" borderId="24" xfId="7105" applyFont="1" applyFill="1" applyBorder="1" applyAlignment="1">
      <alignment horizontal="center" vertical="center"/>
    </xf>
    <xf numFmtId="0" fontId="37" fillId="129" borderId="29" xfId="7105" applyFont="1" applyFill="1" applyBorder="1" applyAlignment="1">
      <alignment horizontal="center" vertical="center"/>
    </xf>
    <xf numFmtId="0" fontId="37" fillId="129" borderId="26" xfId="7105" applyFont="1" applyFill="1" applyBorder="1" applyAlignment="1">
      <alignment horizontal="center" vertical="center"/>
    </xf>
    <xf numFmtId="0" fontId="39" fillId="125" borderId="227" xfId="7105" applyFont="1" applyFill="1" applyBorder="1" applyAlignment="1">
      <alignment horizontal="left" vertical="center"/>
    </xf>
    <xf numFmtId="0" fontId="39" fillId="125" borderId="228" xfId="7105" applyFont="1" applyFill="1" applyBorder="1" applyAlignment="1">
      <alignment horizontal="left" vertical="center"/>
    </xf>
    <xf numFmtId="0" fontId="152" fillId="125" borderId="29" xfId="7105" applyFont="1" applyFill="1" applyBorder="1" applyAlignment="1">
      <alignment horizontal="center" vertical="center"/>
    </xf>
    <xf numFmtId="0" fontId="152" fillId="125" borderId="26" xfId="7105" applyFont="1" applyFill="1" applyBorder="1" applyAlignment="1">
      <alignment horizontal="center" vertical="center"/>
    </xf>
    <xf numFmtId="0" fontId="9" fillId="35" borderId="0" xfId="7098" applyFont="1" applyFill="1" applyAlignment="1">
      <alignment horizontal="left" vertical="center"/>
    </xf>
    <xf numFmtId="0" fontId="84" fillId="136" borderId="24" xfId="7098" applyFont="1" applyFill="1" applyBorder="1" applyAlignment="1">
      <alignment horizontal="center" vertical="center"/>
    </xf>
    <xf numFmtId="0" fontId="84" fillId="136" borderId="29" xfId="7098" applyFont="1" applyFill="1" applyBorder="1" applyAlignment="1">
      <alignment horizontal="center" vertical="center"/>
    </xf>
    <xf numFmtId="49" fontId="84" fillId="35" borderId="47" xfId="6218" applyNumberFormat="1" applyFont="1" applyFill="1" applyBorder="1" applyAlignment="1">
      <alignment horizontal="center" vertical="center"/>
    </xf>
    <xf numFmtId="49" fontId="84" fillId="35" borderId="96" xfId="6218" applyNumberFormat="1" applyFont="1" applyFill="1" applyBorder="1" applyAlignment="1">
      <alignment horizontal="center" vertical="center"/>
    </xf>
    <xf numFmtId="38" fontId="39" fillId="35" borderId="223" xfId="7098" applyNumberFormat="1" applyFont="1" applyFill="1" applyBorder="1" applyAlignment="1">
      <alignment horizontal="center" vertical="center"/>
    </xf>
    <xf numFmtId="38" fontId="39" fillId="35" borderId="35" xfId="7098" applyNumberFormat="1" applyFont="1" applyFill="1" applyBorder="1" applyAlignment="1">
      <alignment horizontal="center" vertical="center"/>
    </xf>
    <xf numFmtId="38" fontId="39" fillId="35" borderId="142" xfId="7098" applyNumberFormat="1" applyFont="1" applyFill="1" applyBorder="1" applyAlignment="1">
      <alignment horizontal="center" vertical="center"/>
    </xf>
    <xf numFmtId="2" fontId="84" fillId="35" borderId="47" xfId="6218" applyNumberFormat="1" applyFont="1" applyFill="1" applyBorder="1" applyAlignment="1">
      <alignment horizontal="center" vertical="center"/>
    </xf>
    <xf numFmtId="2" fontId="84" fillId="35" borderId="96" xfId="6218" applyNumberFormat="1" applyFont="1" applyFill="1" applyBorder="1" applyAlignment="1">
      <alignment horizontal="center" vertical="center"/>
    </xf>
    <xf numFmtId="40" fontId="84" fillId="35" borderId="47" xfId="6218" applyNumberFormat="1" applyFont="1" applyFill="1" applyBorder="1" applyAlignment="1">
      <alignment horizontal="center" vertical="center"/>
    </xf>
    <xf numFmtId="40" fontId="84" fillId="35" borderId="96" xfId="6218" applyNumberFormat="1" applyFont="1" applyFill="1" applyBorder="1" applyAlignment="1">
      <alignment horizontal="center" vertical="center"/>
    </xf>
    <xf numFmtId="274" fontId="84" fillId="35" borderId="47" xfId="6218" applyNumberFormat="1" applyFont="1" applyFill="1" applyBorder="1" applyAlignment="1">
      <alignment horizontal="center" vertical="center"/>
    </xf>
    <xf numFmtId="274" fontId="84" fillId="35" borderId="96" xfId="6218" applyNumberFormat="1" applyFont="1" applyFill="1" applyBorder="1" applyAlignment="1">
      <alignment horizontal="center" vertical="center"/>
    </xf>
    <xf numFmtId="15" fontId="84" fillId="131" borderId="24" xfId="7098" applyNumberFormat="1" applyFont="1" applyFill="1" applyBorder="1" applyAlignment="1">
      <alignment horizontal="center" vertical="center"/>
    </xf>
    <xf numFmtId="15" fontId="84" fillId="131" borderId="26" xfId="7098" applyNumberFormat="1" applyFont="1" applyFill="1" applyBorder="1" applyAlignment="1">
      <alignment horizontal="center" vertical="center"/>
    </xf>
    <xf numFmtId="274" fontId="84" fillId="35" borderId="220" xfId="6218" applyNumberFormat="1" applyFont="1" applyFill="1" applyBorder="1" applyAlignment="1">
      <alignment horizontal="center" vertical="center"/>
    </xf>
    <xf numFmtId="274" fontId="84" fillId="35" borderId="161" xfId="6218" applyNumberFormat="1" applyFont="1" applyFill="1" applyBorder="1" applyAlignment="1">
      <alignment horizontal="center" vertical="center"/>
    </xf>
    <xf numFmtId="0" fontId="153" fillId="35" borderId="0" xfId="7098" applyFont="1" applyFill="1" applyBorder="1" applyAlignment="1">
      <alignment horizontal="right" vertical="center"/>
    </xf>
    <xf numFmtId="0" fontId="84" fillId="135" borderId="24" xfId="7098" applyFont="1" applyFill="1" applyBorder="1" applyAlignment="1">
      <alignment horizontal="center" vertical="center"/>
    </xf>
    <xf numFmtId="0" fontId="84" fillId="135" borderId="29" xfId="7098" applyFont="1" applyFill="1" applyBorder="1" applyAlignment="1">
      <alignment horizontal="center" vertical="center"/>
    </xf>
    <xf numFmtId="0" fontId="84" fillId="135" borderId="26" xfId="7098" applyFont="1" applyFill="1" applyBorder="1" applyAlignment="1">
      <alignment horizontal="center" vertical="center"/>
    </xf>
    <xf numFmtId="234" fontId="39" fillId="135" borderId="24" xfId="7098" applyNumberFormat="1" applyFont="1" applyFill="1" applyBorder="1" applyAlignment="1">
      <alignment horizontal="center" vertical="center"/>
    </xf>
    <xf numFmtId="234" fontId="39" fillId="135" borderId="26" xfId="7098" applyNumberFormat="1" applyFont="1" applyFill="1" applyBorder="1" applyAlignment="1">
      <alignment horizontal="center" vertical="center"/>
    </xf>
    <xf numFmtId="0" fontId="11" fillId="35" borderId="223" xfId="7105" applyFont="1" applyFill="1" applyBorder="1" applyAlignment="1">
      <alignment horizontal="center" vertical="center"/>
    </xf>
    <xf numFmtId="0" fontId="11" fillId="35" borderId="142" xfId="7105" applyFont="1" applyFill="1" applyBorder="1" applyAlignment="1">
      <alignment horizontal="center" vertical="center"/>
    </xf>
    <xf numFmtId="0" fontId="9" fillId="133" borderId="0" xfId="7105" applyFont="1" applyFill="1" applyBorder="1" applyAlignment="1">
      <alignment horizontal="left" vertical="center"/>
    </xf>
    <xf numFmtId="0" fontId="9" fillId="133" borderId="96" xfId="7105" applyFont="1" applyFill="1" applyBorder="1" applyAlignment="1">
      <alignment horizontal="left" vertical="center"/>
    </xf>
    <xf numFmtId="40" fontId="9" fillId="35" borderId="47" xfId="6087" applyNumberFormat="1" applyFont="1" applyFill="1" applyBorder="1" applyAlignment="1">
      <alignment horizontal="center" vertical="center"/>
    </xf>
    <xf numFmtId="40" fontId="9" fillId="35" borderId="96" xfId="6087" applyNumberFormat="1" applyFont="1" applyFill="1" applyBorder="1" applyAlignment="1">
      <alignment horizontal="center" vertical="center"/>
    </xf>
    <xf numFmtId="274" fontId="9" fillId="35" borderId="47" xfId="6087" applyNumberFormat="1" applyFont="1" applyFill="1" applyBorder="1" applyAlignment="1">
      <alignment horizontal="center" vertical="center"/>
    </xf>
    <xf numFmtId="274" fontId="9" fillId="35" borderId="96" xfId="6087" applyNumberFormat="1" applyFont="1" applyFill="1" applyBorder="1" applyAlignment="1">
      <alignment horizontal="center" vertical="center"/>
    </xf>
    <xf numFmtId="0" fontId="9" fillId="133" borderId="172" xfId="7105" applyFont="1" applyFill="1" applyBorder="1" applyAlignment="1">
      <alignment horizontal="left" vertical="center"/>
    </xf>
    <xf numFmtId="0" fontId="9" fillId="133" borderId="161" xfId="7105" applyFont="1" applyFill="1" applyBorder="1" applyAlignment="1">
      <alignment horizontal="left" vertical="center"/>
    </xf>
    <xf numFmtId="15" fontId="9" fillId="135" borderId="223" xfId="7105" applyNumberFormat="1" applyFont="1" applyFill="1" applyBorder="1" applyAlignment="1">
      <alignment horizontal="center" vertical="center"/>
    </xf>
    <xf numFmtId="15" fontId="9" fillId="135" borderId="142" xfId="7105" applyNumberFormat="1" applyFont="1" applyFill="1" applyBorder="1" applyAlignment="1">
      <alignment horizontal="center" vertical="center"/>
    </xf>
    <xf numFmtId="275" fontId="9" fillId="35" borderId="47" xfId="6087" applyNumberFormat="1" applyFont="1" applyFill="1" applyBorder="1" applyAlignment="1">
      <alignment horizontal="center" vertical="center"/>
    </xf>
    <xf numFmtId="275" fontId="9" fillId="35" borderId="96" xfId="6087" applyNumberFormat="1" applyFont="1" applyFill="1" applyBorder="1" applyAlignment="1">
      <alignment horizontal="center" vertical="center"/>
    </xf>
    <xf numFmtId="0" fontId="9" fillId="35" borderId="0" xfId="7105" applyFont="1" applyFill="1" applyAlignment="1">
      <alignment horizontal="left" vertical="center" wrapText="1"/>
    </xf>
    <xf numFmtId="0" fontId="9" fillId="135" borderId="220" xfId="7105" applyFont="1" applyFill="1" applyBorder="1" applyAlignment="1">
      <alignment horizontal="center" vertical="center"/>
    </xf>
    <xf numFmtId="0" fontId="9" fillId="135" borderId="161" xfId="7105" applyFont="1" applyFill="1" applyBorder="1" applyAlignment="1">
      <alignment horizontal="center" vertical="center"/>
    </xf>
    <xf numFmtId="276" fontId="9" fillId="35" borderId="220" xfId="6132" applyNumberFormat="1" applyFont="1" applyFill="1" applyBorder="1" applyAlignment="1">
      <alignment horizontal="center" vertical="center"/>
    </xf>
    <xf numFmtId="276" fontId="9" fillId="35" borderId="161" xfId="6132" applyNumberFormat="1" applyFont="1" applyFill="1" applyBorder="1" applyAlignment="1">
      <alignment horizontal="center" vertical="center"/>
    </xf>
    <xf numFmtId="0" fontId="302" fillId="35" borderId="0" xfId="7105" applyFont="1" applyFill="1" applyAlignment="1">
      <alignment horizontal="left" vertical="center"/>
    </xf>
    <xf numFmtId="0" fontId="9" fillId="35" borderId="0" xfId="7105" applyFont="1" applyFill="1" applyAlignment="1">
      <alignment horizontal="left" vertical="center"/>
    </xf>
    <xf numFmtId="0" fontId="9" fillId="128" borderId="220" xfId="7105" applyFont="1" applyFill="1" applyBorder="1" applyAlignment="1">
      <alignment horizontal="center" vertical="center" wrapText="1"/>
    </xf>
    <xf numFmtId="0" fontId="11" fillId="128" borderId="161" xfId="7105" applyFont="1" applyFill="1" applyBorder="1" applyAlignment="1">
      <alignment horizontal="center" vertical="center" wrapText="1"/>
    </xf>
    <xf numFmtId="0" fontId="11" fillId="128" borderId="223" xfId="7105" applyFont="1" applyFill="1" applyBorder="1" applyAlignment="1">
      <alignment horizontal="center" vertical="center" wrapText="1"/>
    </xf>
    <xf numFmtId="0" fontId="11" fillId="128" borderId="142" xfId="7105" applyFont="1" applyFill="1" applyBorder="1" applyAlignment="1">
      <alignment horizontal="center" vertical="center" wrapText="1"/>
    </xf>
    <xf numFmtId="234" fontId="9" fillId="128" borderId="29" xfId="7105" applyNumberFormat="1" applyFont="1" applyFill="1" applyBorder="1" applyAlignment="1">
      <alignment horizontal="center" vertical="center"/>
    </xf>
    <xf numFmtId="234" fontId="9" fillId="128" borderId="26" xfId="7105" applyNumberFormat="1" applyFont="1" applyFill="1" applyBorder="1" applyAlignment="1">
      <alignment horizontal="center" vertical="center"/>
    </xf>
    <xf numFmtId="0" fontId="323" fillId="35" borderId="0" xfId="7105" applyFont="1" applyFill="1" applyBorder="1" applyAlignment="1">
      <alignment horizontal="left" vertical="center"/>
    </xf>
    <xf numFmtId="0" fontId="302" fillId="35" borderId="0" xfId="7105" applyFont="1" applyFill="1" applyBorder="1" applyAlignment="1">
      <alignment horizontal="left" vertical="center"/>
    </xf>
    <xf numFmtId="276" fontId="9" fillId="35" borderId="47" xfId="6087" applyNumberFormat="1" applyFont="1" applyFill="1" applyBorder="1" applyAlignment="1">
      <alignment horizontal="center" vertical="center"/>
    </xf>
    <xf numFmtId="276" fontId="9" fillId="35" borderId="96" xfId="6087" applyNumberFormat="1" applyFont="1" applyFill="1" applyBorder="1" applyAlignment="1">
      <alignment horizontal="center" vertical="center"/>
    </xf>
    <xf numFmtId="0" fontId="153" fillId="35" borderId="0" xfId="7887" applyFont="1" applyFill="1" applyBorder="1" applyAlignment="1">
      <alignment horizontal="left" vertical="center"/>
    </xf>
    <xf numFmtId="0" fontId="318" fillId="35" borderId="0" xfId="7887" applyFont="1" applyFill="1" applyBorder="1" applyAlignment="1">
      <alignment horizontal="left" vertical="center"/>
    </xf>
    <xf numFmtId="49" fontId="9" fillId="35" borderId="47" xfId="6218" applyNumberFormat="1" applyFont="1" applyFill="1" applyBorder="1" applyAlignment="1">
      <alignment horizontal="center" vertical="center"/>
    </xf>
    <xf numFmtId="49" fontId="9" fillId="35" borderId="0" xfId="6218" applyNumberFormat="1" applyFont="1" applyFill="1" applyBorder="1" applyAlignment="1">
      <alignment horizontal="center" vertical="center"/>
    </xf>
    <xf numFmtId="49" fontId="9" fillId="35" borderId="96" xfId="6218" applyNumberFormat="1" applyFont="1" applyFill="1" applyBorder="1" applyAlignment="1">
      <alignment horizontal="center" vertical="center"/>
    </xf>
    <xf numFmtId="38" fontId="9" fillId="35" borderId="223" xfId="7098" applyNumberFormat="1" applyFont="1" applyFill="1" applyBorder="1" applyAlignment="1">
      <alignment horizontal="center" vertical="center"/>
    </xf>
    <xf numFmtId="38" fontId="9" fillId="35" borderId="35" xfId="7098" applyNumberFormat="1" applyFont="1" applyFill="1" applyBorder="1" applyAlignment="1">
      <alignment horizontal="center" vertical="center"/>
    </xf>
    <xf numFmtId="38" fontId="9" fillId="35" borderId="142" xfId="7098" applyNumberFormat="1" applyFont="1" applyFill="1" applyBorder="1" applyAlignment="1">
      <alignment horizontal="center" vertical="center"/>
    </xf>
    <xf numFmtId="0" fontId="153" fillId="35" borderId="172" xfId="7887" applyFont="1" applyFill="1" applyBorder="1" applyAlignment="1">
      <alignment horizontal="left" vertical="top"/>
    </xf>
    <xf numFmtId="274" fontId="9" fillId="35" borderId="47" xfId="6218" applyNumberFormat="1" applyFont="1" applyFill="1" applyBorder="1" applyAlignment="1">
      <alignment horizontal="center" vertical="center"/>
    </xf>
    <xf numFmtId="274" fontId="9" fillId="35" borderId="0" xfId="6218" applyNumberFormat="1" applyFont="1" applyFill="1" applyBorder="1" applyAlignment="1">
      <alignment horizontal="center" vertical="center"/>
    </xf>
    <xf numFmtId="274" fontId="9" fillId="35" borderId="96" xfId="6218" applyNumberFormat="1" applyFont="1" applyFill="1" applyBorder="1" applyAlignment="1">
      <alignment horizontal="center" vertical="center"/>
    </xf>
    <xf numFmtId="2" fontId="9" fillId="35" borderId="47" xfId="6218" applyNumberFormat="1" applyFont="1" applyFill="1" applyBorder="1" applyAlignment="1">
      <alignment horizontal="center" vertical="center"/>
    </xf>
    <xf numFmtId="2" fontId="9" fillId="35" borderId="0" xfId="6218" applyNumberFormat="1" applyFont="1" applyFill="1" applyBorder="1" applyAlignment="1">
      <alignment horizontal="center" vertical="center"/>
    </xf>
    <xf numFmtId="2" fontId="9" fillId="35" borderId="96" xfId="6218" applyNumberFormat="1" applyFont="1" applyFill="1" applyBorder="1" applyAlignment="1">
      <alignment horizontal="center" vertical="center"/>
    </xf>
    <xf numFmtId="40" fontId="9" fillId="35" borderId="47" xfId="6218" applyNumberFormat="1" applyFont="1" applyFill="1" applyBorder="1" applyAlignment="1">
      <alignment horizontal="center" vertical="center"/>
    </xf>
    <xf numFmtId="40" fontId="9" fillId="35" borderId="0" xfId="6218" applyNumberFormat="1" applyFont="1" applyFill="1" applyBorder="1" applyAlignment="1">
      <alignment horizontal="center" vertical="center"/>
    </xf>
    <xf numFmtId="40" fontId="9" fillId="35" borderId="96" xfId="6218" applyNumberFormat="1" applyFont="1" applyFill="1" applyBorder="1" applyAlignment="1">
      <alignment horizontal="center" vertical="center"/>
    </xf>
    <xf numFmtId="274" fontId="9" fillId="35" borderId="220" xfId="6218" applyNumberFormat="1" applyFont="1" applyFill="1" applyBorder="1" applyAlignment="1">
      <alignment horizontal="center" vertical="center"/>
    </xf>
    <xf numFmtId="274" fontId="9" fillId="35" borderId="172" xfId="6218" applyNumberFormat="1" applyFont="1" applyFill="1" applyBorder="1" applyAlignment="1">
      <alignment horizontal="center" vertical="center"/>
    </xf>
    <xf numFmtId="274" fontId="9" fillId="35" borderId="161" xfId="6218" applyNumberFormat="1" applyFont="1" applyFill="1" applyBorder="1" applyAlignment="1">
      <alignment horizontal="center" vertical="center"/>
    </xf>
    <xf numFmtId="217" fontId="295" fillId="3" borderId="223" xfId="7887" applyNumberFormat="1" applyFont="1" applyFill="1" applyBorder="1" applyAlignment="1">
      <alignment horizontal="center"/>
    </xf>
    <xf numFmtId="0" fontId="325" fillId="3" borderId="100" xfId="7887" applyFont="1" applyFill="1" applyBorder="1" applyAlignment="1">
      <alignment horizontal="center"/>
    </xf>
    <xf numFmtId="0" fontId="295" fillId="35" borderId="0" xfId="7887" applyFont="1" applyFill="1" applyAlignment="1">
      <alignment horizontal="left" vertical="center"/>
    </xf>
    <xf numFmtId="0" fontId="326" fillId="139" borderId="226" xfId="6895" applyFont="1" applyFill="1" applyBorder="1" applyAlignment="1">
      <alignment horizontal="center" vertical="center"/>
    </xf>
    <xf numFmtId="0" fontId="326" fillId="139" borderId="227" xfId="6895" applyFont="1" applyFill="1" applyBorder="1" applyAlignment="1">
      <alignment horizontal="center" vertical="center"/>
    </xf>
    <xf numFmtId="0" fontId="326" fillId="139" borderId="238" xfId="6895" applyFont="1" applyFill="1" applyBorder="1" applyAlignment="1">
      <alignment horizontal="center" vertical="center"/>
    </xf>
    <xf numFmtId="0" fontId="326" fillId="139" borderId="240" xfId="6895" applyFont="1" applyFill="1" applyBorder="1" applyAlignment="1">
      <alignment horizontal="center" vertical="center"/>
    </xf>
    <xf numFmtId="234" fontId="9" fillId="135" borderId="24" xfId="7098" applyNumberFormat="1" applyFont="1" applyFill="1" applyBorder="1" applyAlignment="1">
      <alignment horizontal="center" vertical="center"/>
    </xf>
    <xf numFmtId="234" fontId="9" fillId="135" borderId="29" xfId="7098" applyNumberFormat="1" applyFont="1" applyFill="1" applyBorder="1" applyAlignment="1">
      <alignment horizontal="center" vertical="center"/>
    </xf>
    <xf numFmtId="234" fontId="9" fillId="135" borderId="26" xfId="7098" applyNumberFormat="1" applyFont="1" applyFill="1" applyBorder="1" applyAlignment="1">
      <alignment horizontal="center" vertical="center"/>
    </xf>
    <xf numFmtId="217" fontId="295" fillId="3" borderId="47" xfId="7887" applyNumberFormat="1" applyFont="1" applyFill="1" applyBorder="1" applyAlignment="1">
      <alignment horizontal="center" vertical="center"/>
    </xf>
    <xf numFmtId="0" fontId="325" fillId="3" borderId="38" xfId="7887" applyFont="1" applyFill="1" applyBorder="1" applyAlignment="1">
      <alignment horizontal="center"/>
    </xf>
    <xf numFmtId="0" fontId="295" fillId="3" borderId="220" xfId="7887" applyFont="1" applyFill="1" applyBorder="1" applyAlignment="1">
      <alignment horizontal="center" vertical="center" wrapText="1"/>
    </xf>
    <xf numFmtId="0" fontId="295" fillId="3" borderId="160" xfId="7887" applyFont="1" applyFill="1" applyBorder="1" applyAlignment="1">
      <alignment horizontal="center" vertical="center" wrapText="1"/>
    </xf>
    <xf numFmtId="0" fontId="295" fillId="3" borderId="223" xfId="7887" applyFont="1" applyFill="1" applyBorder="1" applyAlignment="1">
      <alignment horizontal="center" vertical="center" wrapText="1"/>
    </xf>
    <xf numFmtId="0" fontId="295" fillId="3" borderId="100" xfId="7887" applyFont="1" applyFill="1" applyBorder="1" applyAlignment="1">
      <alignment horizontal="center" vertical="center" wrapText="1"/>
    </xf>
    <xf numFmtId="217" fontId="295" fillId="35" borderId="220" xfId="7887" applyNumberFormat="1" applyFont="1" applyFill="1" applyBorder="1" applyAlignment="1">
      <alignment horizontal="center" vertical="center"/>
    </xf>
    <xf numFmtId="0" fontId="325" fillId="35" borderId="160" xfId="7887" applyFont="1" applyFill="1" applyBorder="1"/>
    <xf numFmtId="217" fontId="295" fillId="35" borderId="47" xfId="7887" applyNumberFormat="1" applyFont="1" applyFill="1" applyBorder="1" applyAlignment="1">
      <alignment horizontal="center" vertical="center"/>
    </xf>
    <xf numFmtId="0" fontId="325" fillId="35" borderId="38" xfId="7887" applyFont="1" applyFill="1" applyBorder="1"/>
    <xf numFmtId="277" fontId="295" fillId="3" borderId="47" xfId="7887" applyNumberFormat="1" applyFont="1" applyFill="1" applyBorder="1" applyAlignment="1">
      <alignment horizontal="center" vertical="center"/>
    </xf>
    <xf numFmtId="277" fontId="295" fillId="3" borderId="38" xfId="7887" applyNumberFormat="1" applyFont="1" applyFill="1" applyBorder="1" applyAlignment="1">
      <alignment horizontal="center" vertical="center"/>
    </xf>
    <xf numFmtId="0" fontId="330" fillId="35" borderId="0" xfId="7887" applyFont="1" applyFill="1" applyBorder="1" applyAlignment="1">
      <alignment horizontal="left" vertical="top"/>
    </xf>
    <xf numFmtId="0" fontId="261" fillId="35" borderId="0" xfId="7887" applyFont="1" applyFill="1" applyBorder="1" applyAlignment="1">
      <alignment vertical="center"/>
    </xf>
    <xf numFmtId="40" fontId="9" fillId="35" borderId="47" xfId="6253" applyNumberFormat="1" applyFont="1" applyFill="1" applyBorder="1" applyAlignment="1">
      <alignment horizontal="center" vertical="center"/>
    </xf>
    <xf numFmtId="40" fontId="9" fillId="35" borderId="96" xfId="6253" applyNumberFormat="1" applyFont="1" applyFill="1" applyBorder="1" applyAlignment="1">
      <alignment horizontal="center" vertical="center"/>
    </xf>
    <xf numFmtId="40" fontId="9" fillId="35" borderId="0" xfId="6253" applyNumberFormat="1" applyFont="1" applyFill="1" applyBorder="1" applyAlignment="1">
      <alignment horizontal="center" vertical="center"/>
    </xf>
    <xf numFmtId="219" fontId="9" fillId="35" borderId="47" xfId="6253" applyNumberFormat="1" applyFont="1" applyFill="1" applyBorder="1" applyAlignment="1">
      <alignment horizontal="center" vertical="center"/>
    </xf>
    <xf numFmtId="219" fontId="9" fillId="35" borderId="96" xfId="6253" applyNumberFormat="1" applyFont="1" applyFill="1" applyBorder="1" applyAlignment="1">
      <alignment horizontal="center" vertical="center"/>
    </xf>
    <xf numFmtId="219" fontId="9" fillId="35" borderId="0" xfId="6253" applyNumberFormat="1" applyFont="1" applyFill="1" applyBorder="1" applyAlignment="1">
      <alignment horizontal="center" vertical="center"/>
    </xf>
    <xf numFmtId="38" fontId="9" fillId="35" borderId="223" xfId="7887" applyNumberFormat="1" applyFont="1" applyFill="1" applyBorder="1" applyAlignment="1">
      <alignment horizontal="center" vertical="center"/>
    </xf>
    <xf numFmtId="38" fontId="9" fillId="35" borderId="142" xfId="7887" applyNumberFormat="1" applyFont="1" applyFill="1" applyBorder="1" applyAlignment="1">
      <alignment horizontal="center" vertical="center"/>
    </xf>
    <xf numFmtId="38" fontId="9" fillId="35" borderId="0" xfId="7887" applyNumberFormat="1" applyFont="1" applyFill="1" applyBorder="1" applyAlignment="1">
      <alignment horizontal="center" vertical="center"/>
    </xf>
    <xf numFmtId="15" fontId="9" fillId="131" borderId="24" xfId="7887" applyNumberFormat="1" applyFont="1" applyFill="1" applyBorder="1" applyAlignment="1">
      <alignment horizontal="center" vertical="center"/>
    </xf>
    <xf numFmtId="15" fontId="9" fillId="131" borderId="26" xfId="7887" applyNumberFormat="1" applyFont="1" applyFill="1" applyBorder="1" applyAlignment="1">
      <alignment horizontal="center" vertical="center"/>
    </xf>
    <xf numFmtId="15" fontId="9" fillId="141" borderId="0" xfId="7887" applyNumberFormat="1" applyFont="1" applyFill="1" applyBorder="1" applyAlignment="1">
      <alignment horizontal="center" vertical="center"/>
    </xf>
    <xf numFmtId="274" fontId="9" fillId="35" borderId="220" xfId="6253" applyNumberFormat="1" applyFont="1" applyFill="1" applyBorder="1" applyAlignment="1">
      <alignment horizontal="center" vertical="center"/>
    </xf>
    <xf numFmtId="274" fontId="9" fillId="35" borderId="161" xfId="6253" applyNumberFormat="1" applyFont="1" applyFill="1" applyBorder="1" applyAlignment="1">
      <alignment horizontal="center" vertical="center"/>
    </xf>
    <xf numFmtId="274" fontId="9" fillId="35" borderId="0" xfId="6253" applyNumberFormat="1" applyFont="1" applyFill="1" applyBorder="1" applyAlignment="1">
      <alignment horizontal="center" vertical="center"/>
    </xf>
    <xf numFmtId="2" fontId="9" fillId="35" borderId="47" xfId="6253" applyNumberFormat="1" applyFont="1" applyFill="1" applyBorder="1" applyAlignment="1">
      <alignment horizontal="center" vertical="center"/>
    </xf>
    <xf numFmtId="2" fontId="9" fillId="35" borderId="96" xfId="6253" applyNumberFormat="1" applyFont="1" applyFill="1" applyBorder="1" applyAlignment="1">
      <alignment horizontal="center" vertical="center"/>
    </xf>
    <xf numFmtId="2" fontId="9" fillId="35" borderId="0" xfId="6253" applyNumberFormat="1" applyFont="1" applyFill="1" applyBorder="1" applyAlignment="1">
      <alignment horizontal="center" vertical="center"/>
    </xf>
    <xf numFmtId="0" fontId="318" fillId="35" borderId="0" xfId="7887" applyFont="1" applyFill="1" applyBorder="1" applyAlignment="1">
      <alignment vertical="center"/>
    </xf>
    <xf numFmtId="234" fontId="9" fillId="135" borderId="24" xfId="7887" applyNumberFormat="1" applyFont="1" applyFill="1" applyBorder="1" applyAlignment="1">
      <alignment horizontal="center" vertical="center"/>
    </xf>
    <xf numFmtId="234" fontId="9" fillId="135" borderId="26" xfId="7887" applyNumberFormat="1" applyFont="1" applyFill="1" applyBorder="1" applyAlignment="1">
      <alignment horizontal="center" vertical="center"/>
    </xf>
    <xf numFmtId="234" fontId="9" fillId="140" borderId="0" xfId="7887" applyNumberFormat="1" applyFont="1" applyFill="1" applyBorder="1" applyAlignment="1">
      <alignment horizontal="center" vertical="center"/>
    </xf>
    <xf numFmtId="0" fontId="330" fillId="35" borderId="172" xfId="7887" applyFont="1" applyFill="1" applyBorder="1" applyAlignment="1">
      <alignment horizontal="left" vertical="top"/>
    </xf>
    <xf numFmtId="0" fontId="244" fillId="35" borderId="172" xfId="7887" applyFont="1" applyFill="1" applyBorder="1" applyAlignment="1">
      <alignment horizontal="left" vertical="top"/>
    </xf>
    <xf numFmtId="0" fontId="244" fillId="35" borderId="0" xfId="7887" applyFont="1" applyFill="1" applyBorder="1" applyAlignment="1">
      <alignment horizontal="left" vertical="center"/>
    </xf>
    <xf numFmtId="0" fontId="261" fillId="35" borderId="0" xfId="7887" applyFont="1" applyFill="1" applyBorder="1" applyAlignment="1">
      <alignment horizontal="left" vertical="center"/>
    </xf>
    <xf numFmtId="0" fontId="244" fillId="35" borderId="0" xfId="7887" applyFont="1" applyFill="1" applyBorder="1" applyAlignment="1">
      <alignment horizontal="left" vertical="top"/>
    </xf>
    <xf numFmtId="0" fontId="84" fillId="3" borderId="25" xfId="7105" applyFont="1" applyFill="1" applyBorder="1" applyAlignment="1">
      <alignment horizontal="center" vertical="center"/>
    </xf>
    <xf numFmtId="0" fontId="243" fillId="35" borderId="0" xfId="6829" applyFont="1" applyFill="1" applyAlignment="1">
      <alignment horizontal="left" vertical="center"/>
    </xf>
    <xf numFmtId="4" fontId="16" fillId="35" borderId="47" xfId="6829" applyNumberFormat="1" applyFont="1" applyFill="1" applyBorder="1" applyAlignment="1">
      <alignment horizontal="center" vertical="center"/>
    </xf>
    <xf numFmtId="4" fontId="16" fillId="35" borderId="0" xfId="6829" applyNumberFormat="1" applyFont="1" applyFill="1" applyBorder="1" applyAlignment="1">
      <alignment horizontal="center" vertical="center"/>
    </xf>
    <xf numFmtId="0" fontId="242" fillId="35" borderId="0" xfId="6829" applyFont="1" applyFill="1" applyAlignment="1">
      <alignment horizontal="left" vertical="center"/>
    </xf>
    <xf numFmtId="0" fontId="314" fillId="139" borderId="312" xfId="2" applyFont="1" applyFill="1" applyBorder="1" applyAlignment="1">
      <alignment horizontal="center" vertical="center"/>
    </xf>
    <xf numFmtId="0" fontId="314" fillId="139" borderId="227" xfId="2" applyFont="1" applyFill="1" applyBorder="1" applyAlignment="1">
      <alignment horizontal="center" vertical="center"/>
    </xf>
    <xf numFmtId="0" fontId="314" fillId="139" borderId="228" xfId="2" applyFont="1" applyFill="1" applyBorder="1" applyAlignment="1">
      <alignment horizontal="center" vertical="center"/>
    </xf>
    <xf numFmtId="0" fontId="314" fillId="139" borderId="226" xfId="2" applyFont="1" applyFill="1" applyBorder="1" applyAlignment="1">
      <alignment horizontal="center" vertical="center"/>
    </xf>
    <xf numFmtId="0" fontId="323" fillId="35" borderId="0" xfId="2" applyFont="1" applyFill="1" applyBorder="1" applyAlignment="1">
      <alignment horizontal="left" vertical="center"/>
    </xf>
    <xf numFmtId="0" fontId="314" fillId="139" borderId="24" xfId="2" applyFont="1" applyFill="1" applyBorder="1" applyAlignment="1">
      <alignment horizontal="center" vertical="center"/>
    </xf>
    <xf numFmtId="0" fontId="314" fillId="139" borderId="26" xfId="2" applyFont="1" applyFill="1" applyBorder="1" applyAlignment="1">
      <alignment horizontal="center" vertical="center"/>
    </xf>
    <xf numFmtId="0" fontId="38" fillId="35" borderId="0" xfId="7877" applyFont="1" applyFill="1" applyAlignment="1">
      <alignment horizontal="left" vertical="center" wrapText="1"/>
    </xf>
    <xf numFmtId="0" fontId="38" fillId="0" borderId="0" xfId="7877" applyFont="1" applyFill="1" applyAlignment="1">
      <alignment vertical="center" wrapText="1"/>
    </xf>
    <xf numFmtId="3" fontId="39" fillId="147" borderId="43" xfId="6683" applyNumberFormat="1" applyFont="1" applyFill="1" applyBorder="1" applyAlignment="1">
      <alignment horizontal="center" vertical="top" wrapText="1"/>
    </xf>
    <xf numFmtId="3" fontId="39" fillId="147" borderId="34" xfId="6683" applyNumberFormat="1" applyFont="1" applyFill="1" applyBorder="1" applyAlignment="1">
      <alignment horizontal="center" vertical="top" wrapText="1"/>
    </xf>
    <xf numFmtId="3" fontId="39" fillId="147" borderId="300" xfId="6683" applyNumberFormat="1" applyFont="1" applyFill="1" applyBorder="1" applyAlignment="1">
      <alignment horizontal="center" vertical="top" wrapText="1"/>
    </xf>
    <xf numFmtId="0" fontId="97" fillId="147" borderId="262" xfId="6683" applyFont="1" applyFill="1" applyBorder="1" applyAlignment="1">
      <alignment horizontal="center" vertical="top" wrapText="1"/>
    </xf>
    <xf numFmtId="0" fontId="97" fillId="147" borderId="12" xfId="6683" applyFont="1" applyFill="1" applyBorder="1" applyAlignment="1">
      <alignment horizontal="center" vertical="top" wrapText="1"/>
    </xf>
    <xf numFmtId="0" fontId="97" fillId="147" borderId="163" xfId="6683" applyFont="1" applyFill="1" applyBorder="1" applyAlignment="1">
      <alignment horizontal="center" vertical="top" wrapText="1"/>
    </xf>
    <xf numFmtId="0" fontId="97" fillId="147" borderId="38" xfId="6683" applyFont="1" applyFill="1" applyBorder="1" applyAlignment="1">
      <alignment horizontal="center" vertical="top" wrapText="1"/>
    </xf>
    <xf numFmtId="3" fontId="39" fillId="147" borderId="43" xfId="6683" applyNumberFormat="1" applyFont="1" applyFill="1" applyBorder="1" applyAlignment="1">
      <alignment horizontal="center" vertical="top"/>
    </xf>
    <xf numFmtId="3" fontId="39" fillId="147" borderId="34" xfId="6683" applyNumberFormat="1" applyFont="1" applyFill="1" applyBorder="1" applyAlignment="1">
      <alignment horizontal="center" vertical="top"/>
    </xf>
    <xf numFmtId="3" fontId="39" fillId="147" borderId="300" xfId="6683" applyNumberFormat="1" applyFont="1" applyFill="1" applyBorder="1" applyAlignment="1">
      <alignment horizontal="center" vertical="top"/>
    </xf>
    <xf numFmtId="3" fontId="39" fillId="147" borderId="11" xfId="6683" applyNumberFormat="1" applyFont="1" applyFill="1" applyBorder="1" applyAlignment="1">
      <alignment horizontal="center" vertical="top" wrapText="1"/>
    </xf>
    <xf numFmtId="3" fontId="39" fillId="147" borderId="9" xfId="6683" applyNumberFormat="1" applyFont="1" applyFill="1" applyBorder="1" applyAlignment="1">
      <alignment horizontal="center" vertical="top" wrapText="1"/>
    </xf>
    <xf numFmtId="3" fontId="39" fillId="147" borderId="10" xfId="6683" applyNumberFormat="1" applyFont="1" applyFill="1" applyBorder="1" applyAlignment="1">
      <alignment horizontal="center" vertical="top" wrapText="1"/>
    </xf>
    <xf numFmtId="0" fontId="97" fillId="147" borderId="262" xfId="6683" applyFont="1" applyFill="1" applyBorder="1" applyAlignment="1">
      <alignment vertical="top" wrapText="1"/>
    </xf>
    <xf numFmtId="0" fontId="97" fillId="147" borderId="10" xfId="6683" applyFont="1" applyFill="1" applyBorder="1" applyAlignment="1">
      <alignment vertical="top" wrapText="1"/>
    </xf>
    <xf numFmtId="0" fontId="97" fillId="147" borderId="163" xfId="6683" applyFont="1" applyFill="1" applyBorder="1" applyAlignment="1">
      <alignment vertical="top" wrapText="1"/>
    </xf>
    <xf numFmtId="0" fontId="14" fillId="123" borderId="24" xfId="7879" applyFont="1" applyFill="1" applyBorder="1" applyAlignment="1">
      <alignment horizontal="center" vertical="center"/>
    </xf>
    <xf numFmtId="0" fontId="14" fillId="123" borderId="29" xfId="7879" applyFont="1" applyFill="1" applyBorder="1" applyAlignment="1">
      <alignment horizontal="center" vertical="center"/>
    </xf>
    <xf numFmtId="0" fontId="14" fillId="123" borderId="26" xfId="7879" applyFont="1" applyFill="1" applyBorder="1" applyAlignment="1">
      <alignment horizontal="center" vertical="center"/>
    </xf>
    <xf numFmtId="0" fontId="14" fillId="123" borderId="29" xfId="7879" applyFont="1" applyFill="1" applyBorder="1" applyAlignment="1">
      <alignment horizontal="left" vertical="center"/>
    </xf>
    <xf numFmtId="0" fontId="14" fillId="123" borderId="26" xfId="7879" applyFont="1" applyFill="1" applyBorder="1" applyAlignment="1">
      <alignment horizontal="left" vertical="center"/>
    </xf>
    <xf numFmtId="0" fontId="375" fillId="35" borderId="0" xfId="7879" applyFont="1" applyFill="1" applyBorder="1" applyAlignment="1">
      <alignment horizontal="left" vertical="top" wrapText="1"/>
    </xf>
    <xf numFmtId="3" fontId="15" fillId="35" borderId="0" xfId="7879" applyNumberFormat="1" applyFont="1" applyFill="1" applyAlignment="1">
      <alignment horizontal="left" vertical="center" wrapText="1"/>
    </xf>
    <xf numFmtId="234" fontId="40" fillId="35" borderId="28" xfId="6823" applyNumberFormat="1" applyFont="1" applyFill="1" applyBorder="1" applyAlignment="1">
      <alignment horizontal="center" vertical="center"/>
    </xf>
    <xf numFmtId="0" fontId="241" fillId="35" borderId="0" xfId="6823" applyFont="1" applyFill="1" applyBorder="1" applyAlignment="1">
      <alignment horizontal="center" vertical="center"/>
    </xf>
    <xf numFmtId="0" fontId="84" fillId="123" borderId="103" xfId="6823" applyFont="1" applyFill="1" applyBorder="1" applyAlignment="1">
      <alignment horizontal="center" vertical="center" wrapText="1"/>
    </xf>
    <xf numFmtId="0" fontId="84" fillId="123" borderId="109" xfId="6823" applyFont="1" applyFill="1" applyBorder="1" applyAlignment="1">
      <alignment horizontal="center" vertical="center" wrapText="1"/>
    </xf>
    <xf numFmtId="0" fontId="84" fillId="123" borderId="248" xfId="6823" applyFont="1" applyFill="1" applyBorder="1" applyAlignment="1">
      <alignment horizontal="center" vertical="center"/>
    </xf>
    <xf numFmtId="0" fontId="84" fillId="123" borderId="157" xfId="6823" applyFont="1" applyFill="1" applyBorder="1" applyAlignment="1">
      <alignment horizontal="center" vertical="center"/>
    </xf>
    <xf numFmtId="0" fontId="84" fillId="123" borderId="116" xfId="6823" applyFont="1" applyFill="1" applyBorder="1" applyAlignment="1">
      <alignment horizontal="center" vertical="center"/>
    </xf>
    <xf numFmtId="0" fontId="84" fillId="123" borderId="249" xfId="6823" applyFont="1" applyFill="1" applyBorder="1" applyAlignment="1">
      <alignment horizontal="center" vertical="center"/>
    </xf>
    <xf numFmtId="0" fontId="84" fillId="123" borderId="117" xfId="6823" applyFont="1" applyFill="1" applyBorder="1" applyAlignment="1">
      <alignment horizontal="center" vertical="center"/>
    </xf>
    <xf numFmtId="234" fontId="40" fillId="35" borderId="27" xfId="6823" applyNumberFormat="1" applyFont="1" applyFill="1" applyBorder="1" applyAlignment="1">
      <alignment horizontal="center" vertical="center"/>
    </xf>
    <xf numFmtId="234" fontId="40" fillId="35" borderId="47" xfId="6823" applyNumberFormat="1" applyFont="1" applyFill="1" applyBorder="1" applyAlignment="1">
      <alignment horizontal="center" vertical="center"/>
    </xf>
    <xf numFmtId="234" fontId="40" fillId="35" borderId="96" xfId="6823" applyNumberFormat="1" applyFont="1" applyFill="1" applyBorder="1" applyAlignment="1">
      <alignment horizontal="center" vertical="center"/>
    </xf>
    <xf numFmtId="0" fontId="84" fillId="143" borderId="24" xfId="6823" applyFont="1" applyFill="1" applyBorder="1" applyAlignment="1">
      <alignment horizontal="center" vertical="center" wrapText="1"/>
    </xf>
    <xf numFmtId="0" fontId="84" fillId="143" borderId="26" xfId="6823" applyFont="1" applyFill="1" applyBorder="1" applyAlignment="1">
      <alignment horizontal="center" vertical="center" wrapText="1"/>
    </xf>
    <xf numFmtId="0" fontId="14" fillId="123" borderId="320" xfId="2" applyFont="1" applyFill="1" applyBorder="1" applyAlignment="1">
      <alignment horizontal="center" vertical="center" wrapText="1"/>
    </xf>
    <xf numFmtId="0" fontId="2" fillId="3" borderId="254" xfId="7903" applyFill="1" applyBorder="1" applyAlignment="1">
      <alignment horizontal="center" vertical="center" wrapText="1"/>
    </xf>
    <xf numFmtId="0" fontId="2" fillId="3" borderId="255" xfId="7903" applyFill="1" applyBorder="1" applyAlignment="1">
      <alignment horizontal="center" vertical="center" wrapText="1"/>
    </xf>
    <xf numFmtId="0" fontId="14" fillId="123" borderId="103" xfId="2" applyFont="1" applyFill="1" applyBorder="1" applyAlignment="1">
      <alignment horizontal="center" vertical="center" wrapText="1"/>
    </xf>
    <xf numFmtId="0" fontId="2" fillId="3" borderId="106" xfId="7903" applyFill="1" applyBorder="1" applyAlignment="1">
      <alignment horizontal="center" vertical="center" wrapText="1"/>
    </xf>
    <xf numFmtId="0" fontId="2" fillId="3" borderId="109" xfId="7903" applyFill="1" applyBorder="1" applyAlignment="1">
      <alignment horizontal="center" vertical="center" wrapText="1"/>
    </xf>
    <xf numFmtId="0" fontId="14" fillId="123" borderId="254" xfId="2" applyFont="1" applyFill="1" applyBorder="1" applyAlignment="1">
      <alignment horizontal="center" vertical="center"/>
    </xf>
    <xf numFmtId="0" fontId="14" fillId="123" borderId="9" xfId="2" applyFont="1" applyFill="1" applyBorder="1" applyAlignment="1">
      <alignment horizontal="center" vertical="center"/>
    </xf>
    <xf numFmtId="0" fontId="14" fillId="123" borderId="268" xfId="2" applyFont="1" applyFill="1" applyBorder="1" applyAlignment="1">
      <alignment horizontal="center" vertical="center"/>
    </xf>
    <xf numFmtId="0" fontId="14" fillId="123" borderId="255" xfId="2" applyFont="1" applyFill="1" applyBorder="1" applyAlignment="1">
      <alignment horizontal="center" vertical="center"/>
    </xf>
    <xf numFmtId="0" fontId="14" fillId="123" borderId="168" xfId="2" applyFont="1" applyFill="1" applyBorder="1" applyAlignment="1">
      <alignment horizontal="center" vertical="center"/>
    </xf>
    <xf numFmtId="0" fontId="14" fillId="123" borderId="271" xfId="2" applyFont="1" applyFill="1" applyBorder="1" applyAlignment="1">
      <alignment horizontal="center" vertical="center"/>
    </xf>
    <xf numFmtId="0" fontId="19" fillId="123" borderId="176" xfId="2" applyFont="1" applyFill="1" applyBorder="1" applyAlignment="1">
      <alignment horizontal="center" vertical="center"/>
    </xf>
    <xf numFmtId="0" fontId="19" fillId="123" borderId="136" xfId="2" applyFont="1" applyFill="1" applyBorder="1" applyAlignment="1">
      <alignment horizontal="center" vertical="center"/>
    </xf>
    <xf numFmtId="0" fontId="19" fillId="123" borderId="138" xfId="2" applyFont="1" applyFill="1" applyBorder="1" applyAlignment="1">
      <alignment horizontal="center" vertical="center"/>
    </xf>
    <xf numFmtId="0" fontId="14" fillId="123" borderId="320" xfId="2" applyFont="1" applyFill="1" applyBorder="1" applyAlignment="1">
      <alignment horizontal="center" vertical="center"/>
    </xf>
    <xf numFmtId="0" fontId="14" fillId="123" borderId="321" xfId="2" applyFont="1" applyFill="1" applyBorder="1" applyAlignment="1">
      <alignment horizontal="center" vertical="center"/>
    </xf>
    <xf numFmtId="0" fontId="14" fillId="123" borderId="322" xfId="2" applyFont="1" applyFill="1" applyBorder="1" applyAlignment="1">
      <alignment horizontal="center" vertical="center"/>
    </xf>
    <xf numFmtId="233" fontId="7" fillId="35" borderId="47" xfId="2" applyNumberFormat="1" applyFont="1" applyFill="1" applyBorder="1" applyAlignment="1">
      <alignment horizontal="center" vertical="center"/>
    </xf>
    <xf numFmtId="233" fontId="7" fillId="35" borderId="5" xfId="2" applyNumberFormat="1" applyFont="1" applyFill="1" applyBorder="1" applyAlignment="1">
      <alignment horizontal="center" vertical="center"/>
    </xf>
    <xf numFmtId="233" fontId="7" fillId="35" borderId="167" xfId="2" applyNumberFormat="1" applyFont="1" applyFill="1" applyBorder="1" applyAlignment="1">
      <alignment horizontal="center" vertical="center"/>
    </xf>
    <xf numFmtId="233" fontId="7" fillId="35" borderId="271" xfId="2" applyNumberFormat="1" applyFont="1" applyFill="1" applyBorder="1" applyAlignment="1">
      <alignment horizontal="center" vertical="center"/>
    </xf>
    <xf numFmtId="233" fontId="7" fillId="35" borderId="0" xfId="2" applyNumberFormat="1" applyFont="1" applyFill="1" applyBorder="1" applyAlignment="1">
      <alignment horizontal="center" vertical="center"/>
    </xf>
    <xf numFmtId="233" fontId="7" fillId="35" borderId="38" xfId="2" applyNumberFormat="1" applyFont="1" applyFill="1" applyBorder="1" applyAlignment="1">
      <alignment horizontal="center" vertical="center"/>
    </xf>
    <xf numFmtId="233" fontId="7" fillId="35" borderId="268" xfId="2" applyNumberFormat="1" applyFont="1" applyFill="1" applyBorder="1" applyAlignment="1">
      <alignment horizontal="center" vertical="center"/>
    </xf>
    <xf numFmtId="2" fontId="7" fillId="35" borderId="0" xfId="2" applyNumberFormat="1" applyFont="1" applyFill="1" applyBorder="1" applyAlignment="1">
      <alignment horizontal="center" vertical="center"/>
    </xf>
    <xf numFmtId="2" fontId="7" fillId="35" borderId="5" xfId="2" applyNumberFormat="1" applyFont="1" applyFill="1" applyBorder="1" applyAlignment="1">
      <alignment horizontal="center" vertical="center"/>
    </xf>
    <xf numFmtId="233" fontId="7" fillId="35" borderId="86" xfId="2" applyNumberFormat="1" applyFont="1" applyFill="1" applyBorder="1" applyAlignment="1">
      <alignment horizontal="center" vertical="center"/>
    </xf>
    <xf numFmtId="233" fontId="7" fillId="35" borderId="329" xfId="2" applyNumberFormat="1" applyFont="1" applyFill="1" applyBorder="1" applyAlignment="1">
      <alignment horizontal="center" vertical="center"/>
    </xf>
    <xf numFmtId="0" fontId="383" fillId="125" borderId="250" xfId="2" applyFont="1" applyFill="1" applyBorder="1" applyAlignment="1">
      <alignment horizontal="center" vertical="center"/>
    </xf>
    <xf numFmtId="0" fontId="383" fillId="125" borderId="4" xfId="2" applyFont="1" applyFill="1" applyBorder="1" applyAlignment="1">
      <alignment horizontal="center" vertical="center"/>
    </xf>
    <xf numFmtId="0" fontId="383" fillId="125" borderId="47" xfId="2" applyFont="1" applyFill="1" applyBorder="1" applyAlignment="1">
      <alignment horizontal="center" vertical="center"/>
    </xf>
    <xf numFmtId="0" fontId="383" fillId="125" borderId="5" xfId="2" applyFont="1" applyFill="1" applyBorder="1" applyAlignment="1">
      <alignment horizontal="center" vertical="center"/>
    </xf>
    <xf numFmtId="0" fontId="387" fillId="125" borderId="173" xfId="2" applyFont="1" applyFill="1" applyBorder="1" applyAlignment="1">
      <alignment horizontal="center" vertical="center"/>
    </xf>
    <xf numFmtId="0" fontId="387" fillId="125" borderId="6" xfId="2" applyFont="1" applyFill="1" applyBorder="1" applyAlignment="1">
      <alignment horizontal="center" vertical="center"/>
    </xf>
    <xf numFmtId="0" fontId="37" fillId="35" borderId="8" xfId="2" applyFont="1" applyFill="1" applyBorder="1" applyAlignment="1">
      <alignment horizontal="center" vertical="center"/>
    </xf>
    <xf numFmtId="0" fontId="37" fillId="35" borderId="4" xfId="2" applyFont="1" applyFill="1" applyBorder="1" applyAlignment="1">
      <alignment horizontal="center" vertical="center"/>
    </xf>
    <xf numFmtId="0" fontId="244" fillId="2" borderId="27" xfId="7098" applyFont="1" applyFill="1" applyBorder="1" applyAlignment="1">
      <alignment horizontal="center" vertical="center" wrapText="1"/>
    </xf>
    <xf numFmtId="0" fontId="244" fillId="2" borderId="110" xfId="7098" applyFont="1" applyFill="1" applyBorder="1" applyAlignment="1">
      <alignment horizontal="center" vertical="center" wrapText="1"/>
    </xf>
    <xf numFmtId="0" fontId="39" fillId="127" borderId="13" xfId="7892" applyFont="1" applyFill="1" applyBorder="1" applyAlignment="1">
      <alignment horizontal="center" vertical="center"/>
    </xf>
    <xf numFmtId="0" fontId="39" fillId="127" borderId="265" xfId="7892" applyFont="1" applyFill="1" applyBorder="1" applyAlignment="1">
      <alignment horizontal="center" vertical="center"/>
    </xf>
    <xf numFmtId="0" fontId="39" fillId="127" borderId="266" xfId="7892" applyFont="1" applyFill="1" applyBorder="1" applyAlignment="1">
      <alignment horizontal="center" vertical="center"/>
    </xf>
    <xf numFmtId="0" fontId="244" fillId="2" borderId="254" xfId="7098" applyFont="1" applyFill="1" applyBorder="1" applyAlignment="1">
      <alignment horizontal="center" vertical="center" wrapText="1"/>
    </xf>
    <xf numFmtId="0" fontId="244" fillId="2" borderId="255" xfId="7098" applyFont="1" applyFill="1" applyBorder="1" applyAlignment="1">
      <alignment horizontal="center" vertical="center" wrapText="1"/>
    </xf>
    <xf numFmtId="0" fontId="244" fillId="2" borderId="93" xfId="7098" applyFont="1" applyFill="1" applyBorder="1" applyAlignment="1">
      <alignment horizontal="center" vertical="center" wrapText="1"/>
    </xf>
    <xf numFmtId="0" fontId="244" fillId="2" borderId="170" xfId="7098" applyFont="1" applyFill="1" applyBorder="1" applyAlignment="1">
      <alignment horizontal="center" vertical="center" wrapText="1"/>
    </xf>
    <xf numFmtId="0" fontId="244" fillId="2" borderId="92" xfId="7098" applyFont="1" applyFill="1" applyBorder="1" applyAlignment="1">
      <alignment horizontal="center" vertical="center" wrapText="1"/>
    </xf>
    <xf numFmtId="0" fontId="244" fillId="2" borderId="169" xfId="7098" applyFont="1" applyFill="1" applyBorder="1" applyAlignment="1">
      <alignment horizontal="center" vertical="center" wrapText="1"/>
    </xf>
    <xf numFmtId="0" fontId="244" fillId="2" borderId="253" xfId="7098" applyFont="1" applyFill="1" applyBorder="1" applyAlignment="1">
      <alignment horizontal="center" vertical="center" wrapText="1"/>
    </xf>
    <xf numFmtId="0" fontId="244" fillId="2" borderId="256" xfId="7098" applyFont="1" applyFill="1" applyBorder="1" applyAlignment="1">
      <alignment horizontal="center" vertical="center" wrapText="1"/>
    </xf>
    <xf numFmtId="0" fontId="244" fillId="35" borderId="0" xfId="7894" applyFont="1" applyFill="1" applyBorder="1" applyAlignment="1">
      <alignment horizontal="left" wrapText="1" readingOrder="1"/>
    </xf>
    <xf numFmtId="0" fontId="9" fillId="35" borderId="0" xfId="7894" applyFont="1" applyFill="1" applyAlignment="1">
      <alignment horizontal="left" wrapText="1"/>
    </xf>
    <xf numFmtId="0" fontId="37" fillId="3" borderId="274" xfId="7894" applyFont="1" applyFill="1" applyBorder="1" applyAlignment="1">
      <alignment horizontal="center"/>
    </xf>
    <xf numFmtId="0" fontId="37" fillId="3" borderId="80" xfId="7894" applyFont="1" applyFill="1" applyBorder="1" applyAlignment="1">
      <alignment horizontal="center"/>
    </xf>
    <xf numFmtId="0" fontId="37" fillId="3" borderId="275" xfId="7894" applyFont="1" applyFill="1" applyBorder="1" applyAlignment="1">
      <alignment horizontal="center"/>
    </xf>
    <xf numFmtId="0" fontId="37" fillId="3" borderId="276" xfId="7894" applyFont="1" applyFill="1" applyBorder="1" applyAlignment="1">
      <alignment horizontal="center"/>
    </xf>
    <xf numFmtId="0" fontId="37" fillId="3" borderId="172" xfId="7894" applyFont="1" applyFill="1" applyBorder="1" applyAlignment="1">
      <alignment horizontal="center"/>
    </xf>
    <xf numFmtId="0" fontId="37" fillId="3" borderId="160" xfId="7894" applyFont="1" applyFill="1" applyBorder="1" applyAlignment="1">
      <alignment horizontal="center"/>
    </xf>
    <xf numFmtId="0" fontId="37" fillId="3" borderId="161" xfId="7894" applyFont="1" applyFill="1" applyBorder="1" applyAlignment="1">
      <alignment horizontal="center"/>
    </xf>
    <xf numFmtId="0" fontId="37" fillId="144" borderId="274" xfId="7894" applyFont="1" applyFill="1" applyBorder="1" applyAlignment="1">
      <alignment horizontal="center"/>
    </xf>
    <xf numFmtId="0" fontId="37" fillId="144" borderId="80" xfId="7894" applyFont="1" applyFill="1" applyBorder="1" applyAlignment="1">
      <alignment horizontal="center"/>
    </xf>
    <xf numFmtId="0" fontId="37" fillId="144" borderId="275" xfId="7894" applyFont="1" applyFill="1" applyBorder="1" applyAlignment="1">
      <alignment horizontal="center"/>
    </xf>
    <xf numFmtId="0" fontId="37" fillId="144" borderId="287" xfId="7894" applyFont="1" applyFill="1" applyBorder="1" applyAlignment="1">
      <alignment horizontal="center"/>
    </xf>
    <xf numFmtId="0" fontId="37" fillId="144" borderId="288" xfId="7894" applyFont="1" applyFill="1" applyBorder="1" applyAlignment="1">
      <alignment horizontal="center"/>
    </xf>
    <xf numFmtId="3" fontId="357" fillId="35" borderId="0" xfId="6895" quotePrefix="1" applyNumberFormat="1" applyFont="1" applyFill="1" applyAlignment="1">
      <alignment horizontal="center" vertical="center"/>
    </xf>
    <xf numFmtId="0" fontId="14" fillId="123" borderId="248" xfId="7879" applyFont="1" applyFill="1" applyBorder="1" applyAlignment="1">
      <alignment horizontal="center" vertical="center"/>
    </xf>
    <xf numFmtId="0" fontId="14" fillId="123" borderId="117" xfId="7879" applyFont="1" applyFill="1" applyBorder="1" applyAlignment="1">
      <alignment horizontal="center" vertical="center"/>
    </xf>
    <xf numFmtId="0" fontId="14" fillId="123" borderId="231" xfId="7879" applyFont="1" applyFill="1" applyBorder="1" applyAlignment="1">
      <alignment horizontal="center" vertical="center"/>
    </xf>
    <xf numFmtId="0" fontId="14" fillId="123" borderId="113" xfId="7879" applyFont="1" applyFill="1" applyBorder="1" applyAlignment="1">
      <alignment horizontal="center" vertical="center"/>
    </xf>
    <xf numFmtId="0" fontId="243" fillId="35" borderId="0" xfId="6895" applyFont="1" applyFill="1" applyBorder="1" applyAlignment="1">
      <alignment horizontal="left" vertical="top" wrapText="1"/>
    </xf>
    <xf numFmtId="0" fontId="16" fillId="35" borderId="0" xfId="6683" applyFill="1" applyBorder="1" applyAlignment="1">
      <alignment horizontal="left" vertical="top" wrapText="1"/>
    </xf>
    <xf numFmtId="0" fontId="16" fillId="3" borderId="37" xfId="6683" applyFont="1" applyFill="1" applyBorder="1" applyAlignment="1">
      <alignment horizontal="left" vertical="center"/>
    </xf>
    <xf numFmtId="0" fontId="16" fillId="3" borderId="38" xfId="6683" applyFont="1" applyFill="1" applyBorder="1" applyAlignment="1">
      <alignment horizontal="left" vertical="center"/>
    </xf>
    <xf numFmtId="0" fontId="14" fillId="3" borderId="262" xfId="6683" applyFont="1" applyFill="1" applyBorder="1" applyAlignment="1">
      <alignment horizontal="left" vertical="center"/>
    </xf>
    <xf numFmtId="0" fontId="14" fillId="3" borderId="163" xfId="6683" applyFont="1" applyFill="1" applyBorder="1" applyAlignment="1">
      <alignment horizontal="left" vertical="center"/>
    </xf>
    <xf numFmtId="0" fontId="242" fillId="35" borderId="34" xfId="6683" applyFont="1" applyFill="1" applyBorder="1" applyAlignment="1">
      <alignment horizontal="left" vertical="top" wrapText="1"/>
    </xf>
    <xf numFmtId="0" fontId="242" fillId="35" borderId="0" xfId="6683" applyFont="1" applyFill="1" applyBorder="1" applyAlignment="1">
      <alignment horizontal="left" vertical="top" wrapText="1"/>
    </xf>
    <xf numFmtId="285" fontId="14" fillId="35" borderId="71" xfId="5643" applyNumberFormat="1" applyFont="1" applyFill="1" applyBorder="1" applyAlignment="1">
      <alignment horizontal="center" vertical="center" wrapText="1"/>
    </xf>
    <xf numFmtId="285" fontId="14" fillId="35" borderId="72" xfId="5643" applyNumberFormat="1" applyFont="1" applyFill="1" applyBorder="1" applyAlignment="1">
      <alignment horizontal="center" vertical="center" wrapText="1"/>
    </xf>
    <xf numFmtId="0" fontId="14" fillId="3" borderId="32" xfId="6683" applyFont="1" applyFill="1" applyBorder="1" applyAlignment="1">
      <alignment horizontal="center" vertical="center" wrapText="1"/>
    </xf>
    <xf numFmtId="0" fontId="16" fillId="3" borderId="84" xfId="6683" applyFont="1" applyFill="1" applyBorder="1" applyAlignment="1">
      <alignment horizontal="center" vertical="center" wrapText="1"/>
    </xf>
    <xf numFmtId="49" fontId="14" fillId="3" borderId="11" xfId="6683" applyNumberFormat="1" applyFont="1" applyFill="1" applyBorder="1" applyAlignment="1">
      <alignment horizontal="center" vertical="center" wrapText="1"/>
    </xf>
    <xf numFmtId="49" fontId="14" fillId="3" borderId="10" xfId="6683" applyNumberFormat="1" applyFont="1" applyFill="1" applyBorder="1" applyAlignment="1">
      <alignment horizontal="center" vertical="center" wrapText="1"/>
    </xf>
    <xf numFmtId="49" fontId="14" fillId="3" borderId="74" xfId="6683" applyNumberFormat="1" applyFont="1" applyFill="1" applyBorder="1" applyAlignment="1">
      <alignment horizontal="center" vertical="center" wrapText="1"/>
    </xf>
    <xf numFmtId="49" fontId="14" fillId="3" borderId="62" xfId="6683" applyNumberFormat="1" applyFont="1" applyFill="1" applyBorder="1" applyAlignment="1">
      <alignment horizontal="center" vertical="center" wrapText="1"/>
    </xf>
    <xf numFmtId="0" fontId="14" fillId="3" borderId="297" xfId="6683" applyFont="1" applyFill="1" applyBorder="1" applyAlignment="1">
      <alignment horizontal="center" vertical="center" wrapText="1"/>
    </xf>
    <xf numFmtId="0" fontId="14" fillId="3" borderId="298" xfId="6683" applyFont="1" applyFill="1" applyBorder="1" applyAlignment="1">
      <alignment horizontal="center" vertical="center" wrapText="1"/>
    </xf>
    <xf numFmtId="0" fontId="16" fillId="35" borderId="0" xfId="6895" applyFill="1" applyBorder="1" applyAlignment="1">
      <alignment horizontal="left" vertical="top" wrapText="1"/>
    </xf>
    <xf numFmtId="0" fontId="14" fillId="3" borderId="71" xfId="6895" applyFont="1" applyFill="1" applyBorder="1" applyAlignment="1">
      <alignment horizontal="center" vertical="center"/>
    </xf>
    <xf numFmtId="0" fontId="14" fillId="3" borderId="72" xfId="6895" applyFont="1" applyFill="1" applyBorder="1" applyAlignment="1">
      <alignment horizontal="center" vertical="center"/>
    </xf>
    <xf numFmtId="0" fontId="243" fillId="35" borderId="76" xfId="6895" applyFont="1" applyFill="1" applyBorder="1" applyAlignment="1">
      <alignment horizontal="left" vertical="center" wrapText="1"/>
    </xf>
    <xf numFmtId="0" fontId="14" fillId="3" borderId="32" xfId="6895" applyFont="1" applyFill="1" applyBorder="1" applyAlignment="1">
      <alignment horizontal="center" vertical="center" wrapText="1"/>
    </xf>
    <xf numFmtId="0" fontId="16" fillId="3" borderId="84" xfId="6895" applyFont="1" applyFill="1" applyBorder="1" applyAlignment="1">
      <alignment horizontal="center" vertical="center" wrapText="1"/>
    </xf>
    <xf numFmtId="0" fontId="14" fillId="3" borderId="43" xfId="6895" applyFont="1" applyFill="1" applyBorder="1" applyAlignment="1">
      <alignment horizontal="left" vertical="center"/>
    </xf>
    <xf numFmtId="0" fontId="14" fillId="3" borderId="300" xfId="6895" applyFont="1" applyFill="1" applyBorder="1" applyAlignment="1">
      <alignment horizontal="left" vertical="center"/>
    </xf>
    <xf numFmtId="0" fontId="14" fillId="3" borderId="37" xfId="6895" applyFont="1" applyFill="1" applyBorder="1" applyAlignment="1">
      <alignment horizontal="left" vertical="center"/>
    </xf>
    <xf numFmtId="0" fontId="14" fillId="3" borderId="38" xfId="6895" applyFont="1" applyFill="1" applyBorder="1" applyAlignment="1">
      <alignment horizontal="left" vertical="center"/>
    </xf>
    <xf numFmtId="0" fontId="16" fillId="3" borderId="37" xfId="6895" applyFont="1" applyFill="1" applyBorder="1" applyAlignment="1">
      <alignment horizontal="left" vertical="center"/>
    </xf>
    <xf numFmtId="0" fontId="16" fillId="3" borderId="38" xfId="6895" applyFont="1" applyFill="1" applyBorder="1" applyAlignment="1">
      <alignment horizontal="left" vertical="center"/>
    </xf>
    <xf numFmtId="0" fontId="0" fillId="3" borderId="37" xfId="6895" applyFont="1" applyFill="1" applyBorder="1" applyAlignment="1">
      <alignment horizontal="left" vertical="center"/>
    </xf>
    <xf numFmtId="0" fontId="242" fillId="35" borderId="34" xfId="6895" applyFont="1" applyFill="1" applyBorder="1" applyAlignment="1">
      <alignment horizontal="left" vertical="top" wrapText="1"/>
    </xf>
    <xf numFmtId="0" fontId="242" fillId="35" borderId="0" xfId="6895" applyFont="1" applyFill="1" applyBorder="1" applyAlignment="1">
      <alignment horizontal="left" vertical="top" wrapText="1"/>
    </xf>
    <xf numFmtId="49" fontId="14" fillId="3" borderId="11" xfId="6895" applyNumberFormat="1" applyFont="1" applyFill="1" applyBorder="1" applyAlignment="1">
      <alignment horizontal="center" vertical="center" wrapText="1"/>
    </xf>
    <xf numFmtId="49" fontId="14" fillId="3" borderId="10" xfId="6895" applyNumberFormat="1" applyFont="1" applyFill="1" applyBorder="1" applyAlignment="1">
      <alignment horizontal="center" vertical="center" wrapText="1"/>
    </xf>
    <xf numFmtId="49" fontId="14" fillId="3" borderId="74" xfId="6895" applyNumberFormat="1" applyFont="1" applyFill="1" applyBorder="1" applyAlignment="1">
      <alignment horizontal="center" vertical="center" wrapText="1"/>
    </xf>
    <xf numFmtId="49" fontId="14" fillId="3" borderId="62" xfId="6895" applyNumberFormat="1" applyFont="1" applyFill="1" applyBorder="1" applyAlignment="1">
      <alignment horizontal="center" vertical="center" wrapText="1"/>
    </xf>
    <xf numFmtId="0" fontId="14" fillId="3" borderId="297" xfId="6895" applyFont="1" applyFill="1" applyBorder="1" applyAlignment="1">
      <alignment horizontal="center" vertical="center" wrapText="1"/>
    </xf>
    <xf numFmtId="0" fontId="14" fillId="3" borderId="298" xfId="6895" applyFont="1" applyFill="1" applyBorder="1" applyAlignment="1">
      <alignment horizontal="center" vertical="center" wrapText="1"/>
    </xf>
    <xf numFmtId="0" fontId="360" fillId="0" borderId="0" xfId="7892" applyFont="1" applyBorder="1" applyAlignment="1">
      <alignment horizontal="center" vertical="center" wrapText="1"/>
    </xf>
    <xf numFmtId="0" fontId="363" fillId="0" borderId="25" xfId="7892" applyFont="1" applyBorder="1" applyAlignment="1">
      <alignment horizontal="center" wrapText="1"/>
    </xf>
    <xf numFmtId="0" fontId="363" fillId="0" borderId="24" xfId="7892" applyFont="1" applyBorder="1" applyAlignment="1">
      <alignment horizontal="center" wrapText="1"/>
    </xf>
    <xf numFmtId="0" fontId="365" fillId="0" borderId="172" xfId="7892" applyFont="1" applyBorder="1" applyAlignment="1">
      <alignment horizontal="left" wrapText="1"/>
    </xf>
    <xf numFmtId="0" fontId="330" fillId="0" borderId="172" xfId="7897" applyFont="1" applyBorder="1" applyAlignment="1">
      <alignment wrapText="1"/>
    </xf>
    <xf numFmtId="0" fontId="16" fillId="0" borderId="172" xfId="6683" applyBorder="1" applyAlignment="1">
      <alignment wrapText="1"/>
    </xf>
    <xf numFmtId="0" fontId="369" fillId="0" borderId="0" xfId="7897" applyFont="1" applyAlignment="1">
      <alignment horizontal="left" wrapText="1"/>
    </xf>
    <xf numFmtId="0" fontId="16" fillId="0" borderId="0" xfId="6683" applyAlignment="1">
      <alignment wrapText="1"/>
    </xf>
    <xf numFmtId="0" fontId="9" fillId="146" borderId="89" xfId="7897" applyFont="1" applyFill="1" applyBorder="1" applyAlignment="1">
      <alignment horizontal="center"/>
    </xf>
    <xf numFmtId="0" fontId="9" fillId="146" borderId="95" xfId="7897" applyFont="1" applyFill="1" applyBorder="1" applyAlignment="1">
      <alignment horizontal="center"/>
    </xf>
    <xf numFmtId="0" fontId="300" fillId="146" borderId="251" xfId="7897" applyFont="1" applyFill="1" applyBorder="1" applyAlignment="1">
      <alignment horizontal="center" vertical="top" wrapText="1"/>
    </xf>
    <xf numFmtId="0" fontId="300" fillId="146" borderId="262" xfId="7897" applyFont="1" applyFill="1" applyBorder="1" applyAlignment="1">
      <alignment horizontal="center" vertical="top" wrapText="1"/>
    </xf>
    <xf numFmtId="0" fontId="131" fillId="146" borderId="24" xfId="7897" applyFont="1" applyFill="1" applyBorder="1" applyAlignment="1">
      <alignment horizontal="center" vertical="center" wrapText="1"/>
    </xf>
    <xf numFmtId="0" fontId="131" fillId="146" borderId="29" xfId="7897" applyFont="1" applyFill="1" applyBorder="1" applyAlignment="1">
      <alignment horizontal="center" vertical="center" wrapText="1"/>
    </xf>
    <xf numFmtId="0" fontId="131" fillId="146" borderId="107" xfId="7897" applyFont="1" applyFill="1" applyBorder="1" applyAlignment="1">
      <alignment horizontal="center" vertical="center" wrapText="1"/>
    </xf>
    <xf numFmtId="0" fontId="16" fillId="0" borderId="165" xfId="6683" applyFont="1" applyBorder="1" applyAlignment="1">
      <alignment horizontal="center" vertical="center" wrapText="1"/>
    </xf>
    <xf numFmtId="0" fontId="251" fillId="146" borderId="251" xfId="7897" applyFont="1" applyFill="1" applyBorder="1" applyAlignment="1">
      <alignment horizontal="center"/>
    </xf>
    <xf numFmtId="0" fontId="251" fillId="146" borderId="262" xfId="7897" applyFont="1" applyFill="1" applyBorder="1" applyAlignment="1">
      <alignment horizontal="center"/>
    </xf>
    <xf numFmtId="0" fontId="39" fillId="2" borderId="116" xfId="6846" applyFont="1" applyFill="1" applyBorder="1" applyAlignment="1">
      <alignment horizontal="center" vertical="center"/>
    </xf>
    <xf numFmtId="0" fontId="39" fillId="2" borderId="117" xfId="6846" applyFont="1" applyFill="1" applyBorder="1" applyAlignment="1">
      <alignment horizontal="center" vertical="center"/>
    </xf>
    <xf numFmtId="0" fontId="153" fillId="35" borderId="0" xfId="6846" applyFont="1" applyFill="1" applyBorder="1" applyAlignment="1">
      <alignment horizontal="left" vertical="center" wrapText="1"/>
    </xf>
  </cellXfs>
  <cellStyles count="7912">
    <cellStyle name=" 1" xfId="3"/>
    <cellStyle name=" Writer Import]_x000d__x000a_Display Dialog=No_x000d__x000a__x000d__x000a_[Horizontal Arrange]_x000d__x000a_Dimensions Interlocking=Yes_x000d__x000a_Sum Hierarchy=Yes_x000d__x000a_Generate" xfId="4"/>
    <cellStyle name=" Writer Import]_x000d__x000a_Display Dialog=No_x000d__x000a__x000d__x000a_[Horizontal Arrange]_x000d__x000a_Dimensions Interlocking=Yes_x000d__x000a_Sum Hierarchy=Yes_x000d__x000a_Generate 2" xfId="5"/>
    <cellStyle name="$" xfId="6"/>
    <cellStyle name="$ &amp; ¢" xfId="7"/>
    <cellStyle name="$ &amp; ¢ 2" xfId="8"/>
    <cellStyle name="$ &amp; ¢ 3" xfId="9"/>
    <cellStyle name="$ 2" xfId="10"/>
    <cellStyle name="$ 3" xfId="11"/>
    <cellStyle name="$ 4" xfId="12"/>
    <cellStyle name="$_Bank Info Shameen Nov.2008" xfId="13"/>
    <cellStyle name="$_Bank Info Shameen Oct.2008" xfId="14"/>
    <cellStyle name="$_Book5" xfId="15"/>
    <cellStyle name="$_Derivatives-Aug 08" xfId="16"/>
    <cellStyle name="$_Derivatives-Sep-08" xfId="17"/>
    <cellStyle name="$_FV of Derivatives - 30 09 08 Amended" xfId="18"/>
    <cellStyle name="$_FV of Derivatives - 30 11 08 - Latest" xfId="19"/>
    <cellStyle name="$_FV of Derivatives - 31 10 08" xfId="20"/>
    <cellStyle name="$_FV of Derivatives - 31 12 08 (Final)" xfId="21"/>
    <cellStyle name="$_IBM Input Sheet 20080930 v1 2 - Submit 04" xfId="22"/>
    <cellStyle name="$_IBM Input Sheet 20081031 v0 8 submit 03" xfId="23"/>
    <cellStyle name="$_Investment-Sep_08" xfId="24"/>
    <cellStyle name="$_MUR position" xfId="25"/>
    <cellStyle name="$_PL" xfId="26"/>
    <cellStyle name="$_PL_MUR position" xfId="27"/>
    <cellStyle name="$_PL_Report Finance" xfId="28"/>
    <cellStyle name="$_PL_Sheet1" xfId="29"/>
    <cellStyle name="$_Schedules 20080930" xfId="30"/>
    <cellStyle name="$_Sheet1" xfId="31"/>
    <cellStyle name="%" xfId="32"/>
    <cellStyle name="%.00" xfId="33"/>
    <cellStyle name="??" xfId="34"/>
    <cellStyle name="?? [0.00]_PLDT" xfId="35"/>
    <cellStyle name="???? [0.00]_PLDT" xfId="36"/>
    <cellStyle name="????_PLDT" xfId="37"/>
    <cellStyle name="??_10-08" xfId="38"/>
    <cellStyle name="]_x000d__x000a_Width=797_x000d__x000a_Height=554_x000d__x000a__x000d__x000a_[Code]_x000d__x000a_Code0=/nyf50_x000d__x000a_Code1=4500000136_x000d__x000a_Code2=ME23_x000d__x000a_Code3=4500002322_x000d__x000a_Code4=#_x000d__x000a_Code5=MB01_x000d__x000a_" xfId="39"/>
    <cellStyle name="]_x000d__x000a_Width=797_x000d__x000a_Height=554_x000d__x000a__x000d__x000a_[Code]_x000d__x000a_Code0=/nyf50_x000d__x000a_Code1=4500000136_x000d__x000a_Code2=ME23_x000d__x000a_Code3=4500002322_x000d__x000a_Code4=#_x000d__x000a_Code5=MB01_x000d__x000a_ 2" xfId="40"/>
    <cellStyle name="^February 1992" xfId="41"/>
    <cellStyle name="_%(SignOnly)" xfId="42"/>
    <cellStyle name="_%(SignSpaceOnly)" xfId="43"/>
    <cellStyle name="_(07) Feb-08 Loan" xfId="44"/>
    <cellStyle name="_(07) Feb-08 Loan_MUR position" xfId="45"/>
    <cellStyle name="_(07) Feb-08 Loan_Recon" xfId="46"/>
    <cellStyle name="_(07) Feb-08 Loan_Recon W1" xfId="47"/>
    <cellStyle name="_(07) Feb-08 Loan_Recon W1_Sheet1" xfId="48"/>
    <cellStyle name="_(07) Feb-08 Loan_Recon_1" xfId="49"/>
    <cellStyle name="_(07) Feb-08 Loan_Recon_1_Sheet1" xfId="50"/>
    <cellStyle name="_(07) Feb-08 Loan_Recon_2" xfId="51"/>
    <cellStyle name="_(07) Feb-08 Loan_Recon_2_Sheet1" xfId="52"/>
    <cellStyle name="_(07) Feb-08 Loan_Recon_3" xfId="53"/>
    <cellStyle name="_(07) Feb-08 Loan_Recon_3_Sheet1" xfId="54"/>
    <cellStyle name="_(07) Feb-08 Loan_Recon_4" xfId="55"/>
    <cellStyle name="_(07) Feb-08 Loan_Recon_5" xfId="56"/>
    <cellStyle name="_(07) Feb-08 Loan_Recon_Sheet1" xfId="57"/>
    <cellStyle name="_(07) Feb-08 Loan_Reconciliation" xfId="58"/>
    <cellStyle name="_(07) Feb-08 Loan_Reconciliation_1" xfId="59"/>
    <cellStyle name="_(07) Feb-08 Loan_Reconciliation_1_Sheet1" xfId="60"/>
    <cellStyle name="_(07) Feb-08 Loan_Reconciliation_2" xfId="61"/>
    <cellStyle name="_(07) Feb-08 Loan_Reconciliation_2_Sheet1" xfId="62"/>
    <cellStyle name="_(07) Feb-08 Loan_Reconciliation_3" xfId="63"/>
    <cellStyle name="_(07) Feb-08 Loan_Reconciliation_3_Sheet1" xfId="64"/>
    <cellStyle name="_(07) Feb-08 Loan_Reconciliation_Sheet1" xfId="65"/>
    <cellStyle name="_(07) Feb-08 Loan_Sheet1" xfId="66"/>
    <cellStyle name="_(08) Mar-08 Loan" xfId="67"/>
    <cellStyle name="_(08) Mar-08 Loan_MUR position" xfId="68"/>
    <cellStyle name="_(08) Mar-08 Loan_Recon" xfId="69"/>
    <cellStyle name="_(08) Mar-08 Loan_Recon W1" xfId="70"/>
    <cellStyle name="_(08) Mar-08 Loan_Recon W1_Sheet1" xfId="71"/>
    <cellStyle name="_(08) Mar-08 Loan_Recon_1" xfId="72"/>
    <cellStyle name="_(08) Mar-08 Loan_Recon_1_Sheet1" xfId="73"/>
    <cellStyle name="_(08) Mar-08 Loan_Recon_2" xfId="74"/>
    <cellStyle name="_(08) Mar-08 Loan_Recon_2_Sheet1" xfId="75"/>
    <cellStyle name="_(08) Mar-08 Loan_Recon_3" xfId="76"/>
    <cellStyle name="_(08) Mar-08 Loan_Recon_3_Sheet1" xfId="77"/>
    <cellStyle name="_(08) Mar-08 Loan_Recon_4" xfId="78"/>
    <cellStyle name="_(08) Mar-08 Loan_Recon_5" xfId="79"/>
    <cellStyle name="_(08) Mar-08 Loan_Recon_Sheet1" xfId="80"/>
    <cellStyle name="_(08) Mar-08 Loan_Reconciliation" xfId="81"/>
    <cellStyle name="_(08) Mar-08 Loan_Reconciliation_1" xfId="82"/>
    <cellStyle name="_(08) Mar-08 Loan_Reconciliation_1_Sheet1" xfId="83"/>
    <cellStyle name="_(08) Mar-08 Loan_Reconciliation_2" xfId="84"/>
    <cellStyle name="_(08) Mar-08 Loan_Reconciliation_2_Sheet1" xfId="85"/>
    <cellStyle name="_(08) Mar-08 Loan_Reconciliation_3" xfId="86"/>
    <cellStyle name="_(08) Mar-08 Loan_Reconciliation_3_Sheet1" xfId="87"/>
    <cellStyle name="_(08) Mar-08 Loan_Reconciliation_Sheet1" xfId="88"/>
    <cellStyle name="_(08) Mar-08 Loan_Sheet1" xfId="89"/>
    <cellStyle name="_~temp~705547512a" xfId="90"/>
    <cellStyle name="_~temp~705547512a_MUR position" xfId="91"/>
    <cellStyle name="_~temp~705547512a_Sheet1" xfId="92"/>
    <cellStyle name="_050802 Pool_Information" xfId="93"/>
    <cellStyle name="_050802 Pool_Information_MUR position" xfId="94"/>
    <cellStyle name="_050802 Pool_Information_Sheet1" xfId="95"/>
    <cellStyle name="_06.27.05 CBO XIV West LB" xfId="96"/>
    <cellStyle name="_08_IBM_Centralised_FINAL_Interdiv Recon final" xfId="97"/>
    <cellStyle name="_08_IBM_Centralised_FINAL_Interdiv Recon final_(26) Oct-09 (AL)" xfId="98"/>
    <cellStyle name="_08_IBM_Centralised_FINAL_Interdiv Recon final_(26) Oct-09 (AL)_IBM_Grouped(2)" xfId="99"/>
    <cellStyle name="_08_IBM_Centralised_FINAL_Interdiv Recon final_(26) Oct-09 (AL)_IBM_Grouped(2)_Recon" xfId="100"/>
    <cellStyle name="_08_IBM_Centralised_FINAL_Interdiv Recon final_(26) Oct-09 (AL)_IBM_Grouped(2)_Recon to Segmental Report" xfId="101"/>
    <cellStyle name="_08_IBM_Centralised_FINAL_Interdiv Recon final_(26) Oct-09 (AL)_IBM_Grouped(2)_Recon_1" xfId="102"/>
    <cellStyle name="_08_IBM_Centralised_FINAL_Interdiv Recon final_(26) Oct-09 (AL)_IBM_Grouped(2)_Recon_2" xfId="103"/>
    <cellStyle name="_08_IBM_Centralised_FINAL_Interdiv Recon final_(26) Oct-09 (AL)_IBM_Grouped(2)_Recon_2_Sheet1" xfId="104"/>
    <cellStyle name="_08_IBM_Centralised_FINAL_Interdiv Recon final_(26) Oct-09 (AL)_IBM_Grouped(2)_Recon_3" xfId="105"/>
    <cellStyle name="_08_IBM_Centralised_FINAL_Interdiv Recon final_(26) Oct-09 (AL)_IBM_Grouped(2)_Recon_3_Sheet1" xfId="106"/>
    <cellStyle name="_08_IBM_Centralised_FINAL_Interdiv Recon final_(26) Oct-09 (AL)_IBM_Grouped(2)_Recon_4" xfId="107"/>
    <cellStyle name="_08_IBM_Centralised_FINAL_Interdiv Recon final_(26) Oct-09 (AL)_IBM_Grouped(2)_Recon_4_Sheet1" xfId="108"/>
    <cellStyle name="_08_IBM_Centralised_FINAL_Interdiv Recon final_(26) Oct-09 (AL)_IBM_Grouped(2)_Recon_5" xfId="109"/>
    <cellStyle name="_08_IBM_Centralised_FINAL_Interdiv Recon final_(26) Oct-09 (AL)_IBM_Grouped(2)_Recon_6" xfId="110"/>
    <cellStyle name="_08_IBM_Centralised_FINAL_Interdiv Recon final_(26) Oct-09 (AL)_IBM_Grouped(2)_Recon_Sheet1" xfId="111"/>
    <cellStyle name="_08_IBM_Centralised_FINAL_Interdiv Recon final_(26) Oct-09 (AL)_IBM_Grouped(2)_Reconciliation" xfId="112"/>
    <cellStyle name="_08_IBM_Centralised_FINAL_Interdiv Recon final_(26) Oct-09 (AL)_IBM_Grouped(2)_Reconciliation_1" xfId="113"/>
    <cellStyle name="_08_IBM_Centralised_FINAL_Interdiv Recon final_(26) Oct-09 (AL)_IBM_Grouped(2)_Reconciliation_1_Sheet1" xfId="114"/>
    <cellStyle name="_08_IBM_Centralised_FINAL_Interdiv Recon final_(26) Oct-09 (AL)_IBM_Grouped(2)_Reconciliation_2" xfId="115"/>
    <cellStyle name="_08_IBM_Centralised_FINAL_Interdiv Recon final_(26) Oct-09 (AL)_IBM_Grouped(2)_Reconciliation_3" xfId="116"/>
    <cellStyle name="_08_IBM_Centralised_FINAL_Interdiv Recon final_(26) Oct-09 (AL)_IBM_Grouped(2)_Reconciliation_3_Sheet1" xfId="117"/>
    <cellStyle name="_08_IBM_Centralised_FINAL_Interdiv Recon final_(26) Oct-09 (AL)_IBM_Grouped(2)_Reconciliation_Sheet1" xfId="118"/>
    <cellStyle name="_08_IBM_Centralised_FINAL_Interdiv Recon final_(26) Oct-09 (AL)_IBM_Grouped(2)_Sheet1" xfId="119"/>
    <cellStyle name="_08_IBM_Centralised_FINAL_Interdiv Recon final_(26) Oct-09 (AL)_Recon" xfId="120"/>
    <cellStyle name="_08_IBM_Centralised_FINAL_Interdiv Recon final_(26) Oct-09 (AL)_Recon W1" xfId="121"/>
    <cellStyle name="_08_IBM_Centralised_FINAL_Interdiv Recon final_(26) Oct-09 (AL)_Recon W1_Sheet1" xfId="122"/>
    <cellStyle name="_08_IBM_Centralised_FINAL_Interdiv Recon final_(26) Oct-09 (AL)_Recon_1" xfId="123"/>
    <cellStyle name="_08_IBM_Centralised_FINAL_Interdiv Recon final_(26) Oct-09 (AL)_Recon_1_Sheet1" xfId="124"/>
    <cellStyle name="_08_IBM_Centralised_FINAL_Interdiv Recon final_(26) Oct-09 (AL)_Recon_2" xfId="125"/>
    <cellStyle name="_08_IBM_Centralised_FINAL_Interdiv Recon final_(26) Oct-09 (AL)_Recon_2_Sheet1" xfId="126"/>
    <cellStyle name="_08_IBM_Centralised_FINAL_Interdiv Recon final_(26) Oct-09 (AL)_Recon_3" xfId="127"/>
    <cellStyle name="_08_IBM_Centralised_FINAL_Interdiv Recon final_(26) Oct-09 (AL)_Recon_3_Sheet1" xfId="128"/>
    <cellStyle name="_08_IBM_Centralised_FINAL_Interdiv Recon final_(26) Oct-09 (AL)_Recon_4" xfId="129"/>
    <cellStyle name="_08_IBM_Centralised_FINAL_Interdiv Recon final_(26) Oct-09 (AL)_Recon_5" xfId="130"/>
    <cellStyle name="_08_IBM_Centralised_FINAL_Interdiv Recon final_(26) Oct-09 (AL)_Recon_Sheet1" xfId="131"/>
    <cellStyle name="_08_IBM_Centralised_FINAL_Interdiv Recon final_(26) Oct-09 (AL)_Reconciliation" xfId="132"/>
    <cellStyle name="_08_IBM_Centralised_FINAL_Interdiv Recon final_(26) Oct-09 (AL)_Reconciliation_1" xfId="133"/>
    <cellStyle name="_08_IBM_Centralised_FINAL_Interdiv Recon final_(26) Oct-09 (AL)_Reconciliation_1_Sheet1" xfId="134"/>
    <cellStyle name="_08_IBM_Centralised_FINAL_Interdiv Recon final_(26) Oct-09 (AL)_Reconciliation_2" xfId="135"/>
    <cellStyle name="_08_IBM_Centralised_FINAL_Interdiv Recon final_(26) Oct-09 (AL)_Reconciliation_2_Sheet1" xfId="136"/>
    <cellStyle name="_08_IBM_Centralised_FINAL_Interdiv Recon final_(26) Oct-09 (AL)_Reconciliation_3" xfId="137"/>
    <cellStyle name="_08_IBM_Centralised_FINAL_Interdiv Recon final_(26) Oct-09 (AL)_Reconciliation_3_Sheet1" xfId="138"/>
    <cellStyle name="_08_IBM_Centralised_FINAL_Interdiv Recon final_(26) Oct-09 (AL)_Reconciliation_Sheet1" xfId="139"/>
    <cellStyle name="_08_IBM_Centralised_FINAL_Interdiv Recon final_(27) Nov-09 (AL)" xfId="140"/>
    <cellStyle name="_08_IBM_Centralised_FINAL_Interdiv Recon final_(27) Nov-09 (AL)_IBM_Grouped(2)" xfId="141"/>
    <cellStyle name="_08_IBM_Centralised_FINAL_Interdiv Recon final_(27) Nov-09 (AL)_IBM_Grouped(2)_Recon" xfId="142"/>
    <cellStyle name="_08_IBM_Centralised_FINAL_Interdiv Recon final_(27) Nov-09 (AL)_IBM_Grouped(2)_Recon to Segmental Report" xfId="143"/>
    <cellStyle name="_08_IBM_Centralised_FINAL_Interdiv Recon final_(27) Nov-09 (AL)_IBM_Grouped(2)_Recon_1" xfId="144"/>
    <cellStyle name="_08_IBM_Centralised_FINAL_Interdiv Recon final_(27) Nov-09 (AL)_IBM_Grouped(2)_Recon_2" xfId="145"/>
    <cellStyle name="_08_IBM_Centralised_FINAL_Interdiv Recon final_(27) Nov-09 (AL)_IBM_Grouped(2)_Recon_2_Sheet1" xfId="146"/>
    <cellStyle name="_08_IBM_Centralised_FINAL_Interdiv Recon final_(27) Nov-09 (AL)_IBM_Grouped(2)_Recon_3" xfId="147"/>
    <cellStyle name="_08_IBM_Centralised_FINAL_Interdiv Recon final_(27) Nov-09 (AL)_IBM_Grouped(2)_Recon_3_Sheet1" xfId="148"/>
    <cellStyle name="_08_IBM_Centralised_FINAL_Interdiv Recon final_(27) Nov-09 (AL)_IBM_Grouped(2)_Recon_4" xfId="149"/>
    <cellStyle name="_08_IBM_Centralised_FINAL_Interdiv Recon final_(27) Nov-09 (AL)_IBM_Grouped(2)_Recon_4_Sheet1" xfId="150"/>
    <cellStyle name="_08_IBM_Centralised_FINAL_Interdiv Recon final_(27) Nov-09 (AL)_IBM_Grouped(2)_Recon_5" xfId="151"/>
    <cellStyle name="_08_IBM_Centralised_FINAL_Interdiv Recon final_(27) Nov-09 (AL)_IBM_Grouped(2)_Recon_6" xfId="152"/>
    <cellStyle name="_08_IBM_Centralised_FINAL_Interdiv Recon final_(27) Nov-09 (AL)_IBM_Grouped(2)_Recon_Sheet1" xfId="153"/>
    <cellStyle name="_08_IBM_Centralised_FINAL_Interdiv Recon final_(27) Nov-09 (AL)_IBM_Grouped(2)_Reconciliation" xfId="154"/>
    <cellStyle name="_08_IBM_Centralised_FINAL_Interdiv Recon final_(27) Nov-09 (AL)_IBM_Grouped(2)_Reconciliation_1" xfId="155"/>
    <cellStyle name="_08_IBM_Centralised_FINAL_Interdiv Recon final_(27) Nov-09 (AL)_IBM_Grouped(2)_Reconciliation_1_Sheet1" xfId="156"/>
    <cellStyle name="_08_IBM_Centralised_FINAL_Interdiv Recon final_(27) Nov-09 (AL)_IBM_Grouped(2)_Reconciliation_2" xfId="157"/>
    <cellStyle name="_08_IBM_Centralised_FINAL_Interdiv Recon final_(27) Nov-09 (AL)_IBM_Grouped(2)_Reconciliation_3" xfId="158"/>
    <cellStyle name="_08_IBM_Centralised_FINAL_Interdiv Recon final_(27) Nov-09 (AL)_IBM_Grouped(2)_Reconciliation_3_Sheet1" xfId="159"/>
    <cellStyle name="_08_IBM_Centralised_FINAL_Interdiv Recon final_(27) Nov-09 (AL)_IBM_Grouped(2)_Reconciliation_Sheet1" xfId="160"/>
    <cellStyle name="_08_IBM_Centralised_FINAL_Interdiv Recon final_(27) Nov-09 (AL)_IBM_Grouped(2)_Sheet1" xfId="161"/>
    <cellStyle name="_08_IBM_Centralised_FINAL_Interdiv Recon final_(27) Nov-09 (AL)_Recon" xfId="162"/>
    <cellStyle name="_08_IBM_Centralised_FINAL_Interdiv Recon final_(27) Nov-09 (AL)_Recon W1" xfId="163"/>
    <cellStyle name="_08_IBM_Centralised_FINAL_Interdiv Recon final_(27) Nov-09 (AL)_Recon W1_Sheet1" xfId="164"/>
    <cellStyle name="_08_IBM_Centralised_FINAL_Interdiv Recon final_(27) Nov-09 (AL)_Recon_1" xfId="165"/>
    <cellStyle name="_08_IBM_Centralised_FINAL_Interdiv Recon final_(27) Nov-09 (AL)_Recon_1_Sheet1" xfId="166"/>
    <cellStyle name="_08_IBM_Centralised_FINAL_Interdiv Recon final_(27) Nov-09 (AL)_Recon_2" xfId="167"/>
    <cellStyle name="_08_IBM_Centralised_FINAL_Interdiv Recon final_(27) Nov-09 (AL)_Recon_2_Sheet1" xfId="168"/>
    <cellStyle name="_08_IBM_Centralised_FINAL_Interdiv Recon final_(27) Nov-09 (AL)_Recon_3" xfId="169"/>
    <cellStyle name="_08_IBM_Centralised_FINAL_Interdiv Recon final_(27) Nov-09 (AL)_Recon_3_Sheet1" xfId="170"/>
    <cellStyle name="_08_IBM_Centralised_FINAL_Interdiv Recon final_(27) Nov-09 (AL)_Recon_4" xfId="171"/>
    <cellStyle name="_08_IBM_Centralised_FINAL_Interdiv Recon final_(27) Nov-09 (AL)_Recon_5" xfId="172"/>
    <cellStyle name="_08_IBM_Centralised_FINAL_Interdiv Recon final_(27) Nov-09 (AL)_Recon_Sheet1" xfId="173"/>
    <cellStyle name="_08_IBM_Centralised_FINAL_Interdiv Recon final_(27) Nov-09 (AL)_Reconciliation" xfId="174"/>
    <cellStyle name="_08_IBM_Centralised_FINAL_Interdiv Recon final_(27) Nov-09 (AL)_Reconciliation_1" xfId="175"/>
    <cellStyle name="_08_IBM_Centralised_FINAL_Interdiv Recon final_(27) Nov-09 (AL)_Reconciliation_1_Sheet1" xfId="176"/>
    <cellStyle name="_08_IBM_Centralised_FINAL_Interdiv Recon final_(27) Nov-09 (AL)_Reconciliation_2" xfId="177"/>
    <cellStyle name="_08_IBM_Centralised_FINAL_Interdiv Recon final_(27) Nov-09 (AL)_Reconciliation_2_Sheet1" xfId="178"/>
    <cellStyle name="_08_IBM_Centralised_FINAL_Interdiv Recon final_(27) Nov-09 (AL)_Reconciliation_3" xfId="179"/>
    <cellStyle name="_08_IBM_Centralised_FINAL_Interdiv Recon final_(27) Nov-09 (AL)_Reconciliation_3_Sheet1" xfId="180"/>
    <cellStyle name="_08_IBM_Centralised_FINAL_Interdiv Recon final_(27) Nov-09 (AL)_Reconciliation_Sheet1" xfId="181"/>
    <cellStyle name="_08_IBM_Centralised_FINAL_Interdiv Recon final_09_IBM_A5.6.3_Sig Acc and SFOT Determination" xfId="182"/>
    <cellStyle name="_08_IBM_Centralised_FINAL_Interdiv Recon final_09_IBM_Preliminary PM (Interim) 31.03.010" xfId="183"/>
    <cellStyle name="_08_IBM_Centralised_FINAL_Interdiv Recon final_10_IBM_Bank Recon" xfId="184"/>
    <cellStyle name="_08_IBM_Centralised_FINAL_Interdiv Recon final_10_IBM_J8_Cash Cut Off" xfId="185"/>
    <cellStyle name="_08_IBM_Centralised_FINAL_Interdiv Recon final_10_IBM_Other liabilities" xfId="186"/>
    <cellStyle name="_08_IBM_Centralised_FINAL_Interdiv Recon final_10_IBM_PLSF_Circularisation status" xfId="187"/>
    <cellStyle name="_08_IBM_Centralised_FINAL_Interdiv Recon final_10_IBM_Preliminary PM " xfId="188"/>
    <cellStyle name="_08_IBM_Centralised_FINAL_Interdiv Recon final_10_IBM_Sig Acc and SFOT determination " xfId="189"/>
    <cellStyle name="_08_IBM_Centralised_FINAL_Interdiv Recon final_31.12.09 Mauritius-USD based ledger - Final1" xfId="190"/>
    <cellStyle name="_08_IBM_Centralised_FINAL_Interdiv Recon final_Book1 (4)" xfId="191"/>
    <cellStyle name="_08_IBM_Centralised_FINAL_Interdiv Recon final_Book4" xfId="192"/>
    <cellStyle name="_08_IBM_Centralised_FINAL_Interdiv Recon final_Book4_Recon" xfId="193"/>
    <cellStyle name="_08_IBM_Centralised_FINAL_Interdiv Recon final_Book4_Recon W1" xfId="194"/>
    <cellStyle name="_08_IBM_Centralised_FINAL_Interdiv Recon final_Book4_Recon W1_Sheet1" xfId="195"/>
    <cellStyle name="_08_IBM_Centralised_FINAL_Interdiv Recon final_Book4_Recon_1" xfId="196"/>
    <cellStyle name="_08_IBM_Centralised_FINAL_Interdiv Recon final_Book4_Recon_1_Sheet1" xfId="197"/>
    <cellStyle name="_08_IBM_Centralised_FINAL_Interdiv Recon final_Book4_Recon_2" xfId="198"/>
    <cellStyle name="_08_IBM_Centralised_FINAL_Interdiv Recon final_Book4_Recon_2_Sheet1" xfId="199"/>
    <cellStyle name="_08_IBM_Centralised_FINAL_Interdiv Recon final_Book4_Recon_3" xfId="200"/>
    <cellStyle name="_08_IBM_Centralised_FINAL_Interdiv Recon final_Book4_Recon_3_Sheet1" xfId="201"/>
    <cellStyle name="_08_IBM_Centralised_FINAL_Interdiv Recon final_Book4_Recon_4" xfId="202"/>
    <cellStyle name="_08_IBM_Centralised_FINAL_Interdiv Recon final_Book4_Recon_5" xfId="203"/>
    <cellStyle name="_08_IBM_Centralised_FINAL_Interdiv Recon final_Book4_Recon_Sheet1" xfId="204"/>
    <cellStyle name="_08_IBM_Centralised_FINAL_Interdiv Recon final_Book4_Reconciliation" xfId="205"/>
    <cellStyle name="_08_IBM_Centralised_FINAL_Interdiv Recon final_Book4_Reconciliation_1" xfId="206"/>
    <cellStyle name="_08_IBM_Centralised_FINAL_Interdiv Recon final_Book4_Reconciliation_1_Sheet1" xfId="207"/>
    <cellStyle name="_08_IBM_Centralised_FINAL_Interdiv Recon final_Book4_Reconciliation_2" xfId="208"/>
    <cellStyle name="_08_IBM_Centralised_FINAL_Interdiv Recon final_Book4_Reconciliation_2_Sheet1" xfId="209"/>
    <cellStyle name="_08_IBM_Centralised_FINAL_Interdiv Recon final_Book4_Reconciliation_3" xfId="210"/>
    <cellStyle name="_08_IBM_Centralised_FINAL_Interdiv Recon final_Book4_Reconciliation_3_Sheet1" xfId="211"/>
    <cellStyle name="_08_IBM_Centralised_FINAL_Interdiv Recon final_Book4_Reconciliation_Sheet1" xfId="212"/>
    <cellStyle name="_08_IBM_Centralised_FINAL_Interdiv Recon final_capital adequacy September 2009" xfId="213"/>
    <cellStyle name="_08_IBM_Centralised_FINAL_Interdiv Recon final_capital adequacy September 2009_IBM_Grouped(2)" xfId="214"/>
    <cellStyle name="_08_IBM_Centralised_FINAL_Interdiv Recon final_capital adequacy September 2009_IBM_Grouped(2)_Recon" xfId="215"/>
    <cellStyle name="_08_IBM_Centralised_FINAL_Interdiv Recon final_capital adequacy September 2009_IBM_Grouped(2)_Recon to Segmental Report" xfId="216"/>
    <cellStyle name="_08_IBM_Centralised_FINAL_Interdiv Recon final_capital adequacy September 2009_IBM_Grouped(2)_Recon_1" xfId="217"/>
    <cellStyle name="_08_IBM_Centralised_FINAL_Interdiv Recon final_capital adequacy September 2009_IBM_Grouped(2)_Recon_2" xfId="218"/>
    <cellStyle name="_08_IBM_Centralised_FINAL_Interdiv Recon final_capital adequacy September 2009_IBM_Grouped(2)_Recon_2_Sheet1" xfId="219"/>
    <cellStyle name="_08_IBM_Centralised_FINAL_Interdiv Recon final_capital adequacy September 2009_IBM_Grouped(2)_Recon_3" xfId="220"/>
    <cellStyle name="_08_IBM_Centralised_FINAL_Interdiv Recon final_capital adequacy September 2009_IBM_Grouped(2)_Recon_3_Sheet1" xfId="221"/>
    <cellStyle name="_08_IBM_Centralised_FINAL_Interdiv Recon final_capital adequacy September 2009_IBM_Grouped(2)_Recon_4" xfId="222"/>
    <cellStyle name="_08_IBM_Centralised_FINAL_Interdiv Recon final_capital adequacy September 2009_IBM_Grouped(2)_Recon_4_Sheet1" xfId="223"/>
    <cellStyle name="_08_IBM_Centralised_FINAL_Interdiv Recon final_capital adequacy September 2009_IBM_Grouped(2)_Recon_5" xfId="224"/>
    <cellStyle name="_08_IBM_Centralised_FINAL_Interdiv Recon final_capital adequacy September 2009_IBM_Grouped(2)_Recon_6" xfId="225"/>
    <cellStyle name="_08_IBM_Centralised_FINAL_Interdiv Recon final_capital adequacy September 2009_IBM_Grouped(2)_Recon_Sheet1" xfId="226"/>
    <cellStyle name="_08_IBM_Centralised_FINAL_Interdiv Recon final_capital adequacy September 2009_IBM_Grouped(2)_Reconciliation" xfId="227"/>
    <cellStyle name="_08_IBM_Centralised_FINAL_Interdiv Recon final_capital adequacy September 2009_IBM_Grouped(2)_Reconciliation_1" xfId="228"/>
    <cellStyle name="_08_IBM_Centralised_FINAL_Interdiv Recon final_capital adequacy September 2009_IBM_Grouped(2)_Reconciliation_1_Sheet1" xfId="229"/>
    <cellStyle name="_08_IBM_Centralised_FINAL_Interdiv Recon final_capital adequacy September 2009_IBM_Grouped(2)_Reconciliation_2" xfId="230"/>
    <cellStyle name="_08_IBM_Centralised_FINAL_Interdiv Recon final_capital adequacy September 2009_IBM_Grouped(2)_Reconciliation_3" xfId="231"/>
    <cellStyle name="_08_IBM_Centralised_FINAL_Interdiv Recon final_capital adequacy September 2009_IBM_Grouped(2)_Reconciliation_3_Sheet1" xfId="232"/>
    <cellStyle name="_08_IBM_Centralised_FINAL_Interdiv Recon final_capital adequacy September 2009_IBM_Grouped(2)_Reconciliation_Sheet1" xfId="233"/>
    <cellStyle name="_08_IBM_Centralised_FINAL_Interdiv Recon final_capital adequacy September 2009_IBM_Grouped(2)_Sheet1" xfId="234"/>
    <cellStyle name="_08_IBM_Centralised_FINAL_Interdiv Recon final_capital adequacy September 2009_Recon" xfId="235"/>
    <cellStyle name="_08_IBM_Centralised_FINAL_Interdiv Recon final_capital adequacy September 2009_Recon W1" xfId="236"/>
    <cellStyle name="_08_IBM_Centralised_FINAL_Interdiv Recon final_capital adequacy September 2009_Recon W1_Sheet1" xfId="237"/>
    <cellStyle name="_08_IBM_Centralised_FINAL_Interdiv Recon final_capital adequacy September 2009_Recon_1" xfId="238"/>
    <cellStyle name="_08_IBM_Centralised_FINAL_Interdiv Recon final_capital adequacy September 2009_Recon_1_Sheet1" xfId="239"/>
    <cellStyle name="_08_IBM_Centralised_FINAL_Interdiv Recon final_capital adequacy September 2009_Recon_2" xfId="240"/>
    <cellStyle name="_08_IBM_Centralised_FINAL_Interdiv Recon final_capital adequacy September 2009_Recon_2_Sheet1" xfId="241"/>
    <cellStyle name="_08_IBM_Centralised_FINAL_Interdiv Recon final_capital adequacy September 2009_Recon_3" xfId="242"/>
    <cellStyle name="_08_IBM_Centralised_FINAL_Interdiv Recon final_capital adequacy September 2009_Recon_3_Sheet1" xfId="243"/>
    <cellStyle name="_08_IBM_Centralised_FINAL_Interdiv Recon final_capital adequacy September 2009_Recon_4" xfId="244"/>
    <cellStyle name="_08_IBM_Centralised_FINAL_Interdiv Recon final_capital adequacy September 2009_Recon_5" xfId="245"/>
    <cellStyle name="_08_IBM_Centralised_FINAL_Interdiv Recon final_capital adequacy September 2009_Recon_Sheet1" xfId="246"/>
    <cellStyle name="_08_IBM_Centralised_FINAL_Interdiv Recon final_capital adequacy September 2009_Reconciliation" xfId="247"/>
    <cellStyle name="_08_IBM_Centralised_FINAL_Interdiv Recon final_capital adequacy September 2009_Reconciliation_1" xfId="248"/>
    <cellStyle name="_08_IBM_Centralised_FINAL_Interdiv Recon final_capital adequacy September 2009_Reconciliation_1_Sheet1" xfId="249"/>
    <cellStyle name="_08_IBM_Centralised_FINAL_Interdiv Recon final_capital adequacy September 2009_Reconciliation_2" xfId="250"/>
    <cellStyle name="_08_IBM_Centralised_FINAL_Interdiv Recon final_capital adequacy September 2009_Reconciliation_2_Sheet1" xfId="251"/>
    <cellStyle name="_08_IBM_Centralised_FINAL_Interdiv Recon final_capital adequacy September 2009_Reconciliation_3" xfId="252"/>
    <cellStyle name="_08_IBM_Centralised_FINAL_Interdiv Recon final_capital adequacy September 2009_Reconciliation_3_Sheet1" xfId="253"/>
    <cellStyle name="_08_IBM_Centralised_FINAL_Interdiv Recon final_capital adequacy September 2009_Reconciliation_Sheet1" xfId="254"/>
    <cellStyle name="_08_IBM_Centralised_FINAL_Interdiv Recon final_Circularisation Status Specialised Finance Division 17 Mar 10" xfId="255"/>
    <cellStyle name="_08_IBM_Centralised_FINAL_Interdiv Recon final_Copy of Mauritius-USD based ledger" xfId="256"/>
    <cellStyle name="_08_IBM_Centralised_FINAL_Interdiv Recon final_Copy of Mauritius-USD based ledger_Recon" xfId="257"/>
    <cellStyle name="_08_IBM_Centralised_FINAL_Interdiv Recon final_Copy of Mauritius-USD based ledger_Recon W1" xfId="258"/>
    <cellStyle name="_08_IBM_Centralised_FINAL_Interdiv Recon final_Copy of Mauritius-USD based ledger_Recon W1_Sheet1" xfId="259"/>
    <cellStyle name="_08_IBM_Centralised_FINAL_Interdiv Recon final_Copy of Mauritius-USD based ledger_Recon_1" xfId="260"/>
    <cellStyle name="_08_IBM_Centralised_FINAL_Interdiv Recon final_Copy of Mauritius-USD based ledger_Recon_1_Sheet1" xfId="261"/>
    <cellStyle name="_08_IBM_Centralised_FINAL_Interdiv Recon final_Copy of Mauritius-USD based ledger_Recon_2" xfId="262"/>
    <cellStyle name="_08_IBM_Centralised_FINAL_Interdiv Recon final_Copy of Mauritius-USD based ledger_Recon_2_Sheet1" xfId="263"/>
    <cellStyle name="_08_IBM_Centralised_FINAL_Interdiv Recon final_Copy of Mauritius-USD based ledger_Recon_3" xfId="264"/>
    <cellStyle name="_08_IBM_Centralised_FINAL_Interdiv Recon final_Copy of Mauritius-USD based ledger_Recon_3_Sheet1" xfId="265"/>
    <cellStyle name="_08_IBM_Centralised_FINAL_Interdiv Recon final_Copy of Mauritius-USD based ledger_Reconciliation" xfId="266"/>
    <cellStyle name="_08_IBM_Centralised_FINAL_Interdiv Recon final_Copy of Mauritius-USD based ledger_Reconciliation_1" xfId="267"/>
    <cellStyle name="_08_IBM_Centralised_FINAL_Interdiv Recon final_Copy of Mauritius-USD based ledger_Reconciliation_2" xfId="268"/>
    <cellStyle name="_08_IBM_Centralised_FINAL_Interdiv Recon final_Copy of Mauritius-USD based ledger_Reconciliation_3" xfId="269"/>
    <cellStyle name="_08_IBM_Centralised_FINAL_Interdiv Recon final_Fixed Assets Register 11 Feb10" xfId="270"/>
    <cellStyle name="_08_IBM_Centralised_FINAL_Interdiv Recon final_Fixed Assets Register 11 Feb10_(19) Loan Feb-11(Feb-11 figures)" xfId="271"/>
    <cellStyle name="_08_IBM_Centralised_FINAL_Interdiv Recon final_Fixed Assets Register 12 Mar10.xls" xfId="272"/>
    <cellStyle name="_08_IBM_Centralised_FINAL_Interdiv Recon final_Fixed Assets Register 12 Mar10.xls_(19) Loan Feb-11(Feb-11 figures)" xfId="273"/>
    <cellStyle name="_08_IBM_Centralised_FINAL_Interdiv Recon final_IBM Input Sheet 31.03.2010 v0.4" xfId="274"/>
    <cellStyle name="_08_IBM_Centralised_FINAL_Interdiv Recon final_IBM Input Sheet 31.03.2010 v0.4_(19) Loan Feb-11(Feb-11 figures)" xfId="275"/>
    <cellStyle name="_08_IBM_Centralised_FINAL_Interdiv Recon final_IBM_Grouped(2)" xfId="276"/>
    <cellStyle name="_08_IBM_Centralised_FINAL_Interdiv Recon final_IBM_Grouped(2)_Recon" xfId="277"/>
    <cellStyle name="_08_IBM_Centralised_FINAL_Interdiv Recon final_IBM_Grouped(2)_Recon W1" xfId="278"/>
    <cellStyle name="_08_IBM_Centralised_FINAL_Interdiv Recon final_IBM_Grouped(2)_Recon_1" xfId="279"/>
    <cellStyle name="_08_IBM_Centralised_FINAL_Interdiv Recon final_IBM_Grouped(2)_Recon_2" xfId="280"/>
    <cellStyle name="_08_IBM_Centralised_FINAL_Interdiv Recon final_IBM_Grouped(2)_Recon_3" xfId="281"/>
    <cellStyle name="_08_IBM_Centralised_FINAL_Interdiv Recon final_IBM_Grouped(2)_Reconciliation" xfId="282"/>
    <cellStyle name="_08_IBM_Centralised_FINAL_Interdiv Recon final_IBM_Grouped(2)_Reconciliation_1" xfId="283"/>
    <cellStyle name="_08_IBM_Centralised_FINAL_Interdiv Recon final_IBM_Grouped(2)_Reconciliation_2" xfId="284"/>
    <cellStyle name="_08_IBM_Centralised_FINAL_Interdiv Recon final_IBM_Grouped(2)_Reconciliation_3" xfId="285"/>
    <cellStyle name="_08_IBM_Centralised_FINAL_Interdiv Recon final_IBM_Grouped_USD" xfId="286"/>
    <cellStyle name="_08_IBM_Centralised_FINAL_Interdiv Recon final_IBM_Grouped_USD_Recon" xfId="287"/>
    <cellStyle name="_08_IBM_Centralised_FINAL_Interdiv Recon final_IBM_Grouped_USD_Recon W1" xfId="288"/>
    <cellStyle name="_08_IBM_Centralised_FINAL_Interdiv Recon final_IBM_Grouped_USD_Recon_1" xfId="289"/>
    <cellStyle name="_08_IBM_Centralised_FINAL_Interdiv Recon final_IBM_Grouped_USD_Recon_2" xfId="290"/>
    <cellStyle name="_08_IBM_Centralised_FINAL_Interdiv Recon final_IBM_Grouped_USD_Recon_3" xfId="291"/>
    <cellStyle name="_08_IBM_Centralised_FINAL_Interdiv Recon final_IBM_Grouped_USD_Reconciliation" xfId="292"/>
    <cellStyle name="_08_IBM_Centralised_FINAL_Interdiv Recon final_IBM_Grouped_USD_Reconciliation_1" xfId="293"/>
    <cellStyle name="_08_IBM_Centralised_FINAL_Interdiv Recon final_IBM_Grouped_USD_Reconciliation_2" xfId="294"/>
    <cellStyle name="_08_IBM_Centralised_FINAL_Interdiv Recon final_IBM_Grouped_USD_Reconciliation_3" xfId="295"/>
    <cellStyle name="_08_IBM_Centralised_FINAL_Interdiv Recon final_IBM_Grouped_ZAR" xfId="296"/>
    <cellStyle name="_08_IBM_Centralised_FINAL_Interdiv Recon final_IBM_Grouped_ZAR_Recon" xfId="297"/>
    <cellStyle name="_08_IBM_Centralised_FINAL_Interdiv Recon final_IBM_Grouped_ZAR_Recon W1" xfId="298"/>
    <cellStyle name="_08_IBM_Centralised_FINAL_Interdiv Recon final_IBM_Grouped_ZAR_Recon_1" xfId="299"/>
    <cellStyle name="_08_IBM_Centralised_FINAL_Interdiv Recon final_IBM_Grouped_ZAR_Recon_2" xfId="300"/>
    <cellStyle name="_08_IBM_Centralised_FINAL_Interdiv Recon final_IBM_Grouped_ZAR_Recon_3" xfId="301"/>
    <cellStyle name="_08_IBM_Centralised_FINAL_Interdiv Recon final_IBM_Grouped_ZAR_Reconciliation" xfId="302"/>
    <cellStyle name="_08_IBM_Centralised_FINAL_Interdiv Recon final_IBM_Grouped_ZAR_Reconciliation_1" xfId="303"/>
    <cellStyle name="_08_IBM_Centralised_FINAL_Interdiv Recon final_IBM_Grouped_ZAR_Reconciliation_2" xfId="304"/>
    <cellStyle name="_08_IBM_Centralised_FINAL_Interdiv Recon final_IBM_Grouped_ZAR_Reconciliation_3" xfId="305"/>
    <cellStyle name="_08_IBM_Centralised_FINAL_Interdiv Recon final_Liquidity and repricing" xfId="306"/>
    <cellStyle name="_08_IBM_Centralised_FINAL_Interdiv Recon final_Liquidity and repricing_IBM_Grouped(2)" xfId="307"/>
    <cellStyle name="_08_IBM_Centralised_FINAL_Interdiv Recon final_Liquidity and repricing_IBM_Grouped(2)_Recon" xfId="308"/>
    <cellStyle name="_08_IBM_Centralised_FINAL_Interdiv Recon final_Liquidity and repricing_IBM_Grouped(2)_Recon to Segmental Report" xfId="309"/>
    <cellStyle name="_08_IBM_Centralised_FINAL_Interdiv Recon final_Liquidity and repricing_IBM_Grouped(2)_Recon_1" xfId="310"/>
    <cellStyle name="_08_IBM_Centralised_FINAL_Interdiv Recon final_Liquidity and repricing_IBM_Grouped(2)_Recon_2" xfId="311"/>
    <cellStyle name="_08_IBM_Centralised_FINAL_Interdiv Recon final_Liquidity and repricing_IBM_Grouped(2)_Recon_3" xfId="312"/>
    <cellStyle name="_08_IBM_Centralised_FINAL_Interdiv Recon final_Liquidity and repricing_IBM_Grouped(2)_Recon_4" xfId="313"/>
    <cellStyle name="_08_IBM_Centralised_FINAL_Interdiv Recon final_Liquidity and repricing_IBM_Grouped(2)_Reconciliation" xfId="314"/>
    <cellStyle name="_08_IBM_Centralised_FINAL_Interdiv Recon final_Liquidity and repricing_IBM_Grouped(2)_Reconciliation_1" xfId="315"/>
    <cellStyle name="_08_IBM_Centralised_FINAL_Interdiv Recon final_Liquidity and repricing_IBM_Grouped(2)_Reconciliation_2" xfId="316"/>
    <cellStyle name="_08_IBM_Centralised_FINAL_Interdiv Recon final_Liquidity and repricing_IBM_Grouped(2)_Reconciliation_3" xfId="317"/>
    <cellStyle name="_08_IBM_Centralised_FINAL_Interdiv Recon final_Liquidity and repricing_Recon" xfId="318"/>
    <cellStyle name="_08_IBM_Centralised_FINAL_Interdiv Recon final_Liquidity and repricing_Recon W1" xfId="319"/>
    <cellStyle name="_08_IBM_Centralised_FINAL_Interdiv Recon final_Liquidity and repricing_Recon_1" xfId="320"/>
    <cellStyle name="_08_IBM_Centralised_FINAL_Interdiv Recon final_Liquidity and repricing_Recon_2" xfId="321"/>
    <cellStyle name="_08_IBM_Centralised_FINAL_Interdiv Recon final_Liquidity and repricing_Recon_3" xfId="322"/>
    <cellStyle name="_08_IBM_Centralised_FINAL_Interdiv Recon final_Liquidity and repricing_Reconciliation" xfId="323"/>
    <cellStyle name="_08_IBM_Centralised_FINAL_Interdiv Recon final_Liquidity and repricing_Reconciliation_1" xfId="324"/>
    <cellStyle name="_08_IBM_Centralised_FINAL_Interdiv Recon final_Liquidity and repricing_Reconciliation_2" xfId="325"/>
    <cellStyle name="_08_IBM_Centralised_FINAL_Interdiv Recon final_Liquidity and repricing_Reconciliation_3" xfId="326"/>
    <cellStyle name="_08_IBM_Centralised_FINAL_Interdiv Recon final_MUR position" xfId="327"/>
    <cellStyle name="_08_IBM_Centralised_FINAL_Interdiv Recon final_MUR position_1" xfId="328"/>
    <cellStyle name="_08_IBM_Centralised_FINAL_Interdiv Recon final_NOP 2010 01 31 USD BASED" xfId="329"/>
    <cellStyle name="_08_IBM_Centralised_FINAL_Interdiv Recon final_NOP 2010 01 31 USD BASED_Report Finance" xfId="330"/>
    <cellStyle name="_08_IBM_Centralised_FINAL_Interdiv Recon final_NOP 2010 02 28 USD BASED Final" xfId="331"/>
    <cellStyle name="_08_IBM_Centralised_FINAL_Interdiv Recon final_NOP 2010 02 28 USD BASED Final_Report Finance" xfId="332"/>
    <cellStyle name="_08_IBM_Centralised_FINAL_Interdiv Recon final_NOP 2010 03 31 USD BASEDrevised" xfId="333"/>
    <cellStyle name="_08_IBM_Centralised_FINAL_Interdiv Recon final_NOP 2010 03 31 USD BASEDrevised_Report Finance" xfId="334"/>
    <cellStyle name="_08_IBM_Centralised_FINAL_Interdiv Recon final_NOP 2010 04 30" xfId="335"/>
    <cellStyle name="_08_IBM_Centralised_FINAL_Interdiv Recon final_NOP 2010 04 30_Recon" xfId="336"/>
    <cellStyle name="_08_IBM_Centralised_FINAL_Interdiv Recon final_NOP 2010 04 30_Recon W1" xfId="337"/>
    <cellStyle name="_08_IBM_Centralised_FINAL_Interdiv Recon final_NOP 2010 04 30_Recon_1" xfId="338"/>
    <cellStyle name="_08_IBM_Centralised_FINAL_Interdiv Recon final_NOP 2010 04 30_Recon_2" xfId="339"/>
    <cellStyle name="_08_IBM_Centralised_FINAL_Interdiv Recon final_NOP 2010 04 30_Recon_3" xfId="340"/>
    <cellStyle name="_08_IBM_Centralised_FINAL_Interdiv Recon final_NOP 2010 04 30_Reconciliation" xfId="341"/>
    <cellStyle name="_08_IBM_Centralised_FINAL_Interdiv Recon final_NOP 2010 04 30_Reconciliation_1" xfId="342"/>
    <cellStyle name="_08_IBM_Centralised_FINAL_Interdiv Recon final_NOP 2010 04 30_Reconciliation_2" xfId="343"/>
    <cellStyle name="_08_IBM_Centralised_FINAL_Interdiv Recon final_NOP 2010 04 30_Reconciliation_3" xfId="344"/>
    <cellStyle name="_08_IBM_Centralised_FINAL_Interdiv Recon final_NOP 2010 04 30_Report Finance" xfId="345"/>
    <cellStyle name="_08_IBM_Centralised_FINAL_Interdiv Recon final_ORIGINAL NOP 2009 12 31 USD BASED" xfId="346"/>
    <cellStyle name="_08_IBM_Centralised_FINAL_Interdiv Recon final_ORIGINAL NOP 2009 12 31 USD BASED_Report Finance" xfId="347"/>
    <cellStyle name="_08_IBM_Centralised_FINAL_Interdiv Recon final_Recon" xfId="348"/>
    <cellStyle name="_08_IBM_Centralised_FINAL_Interdiv Recon final_Recon W1" xfId="349"/>
    <cellStyle name="_08_IBM_Centralised_FINAL_Interdiv Recon final_Recon_1" xfId="350"/>
    <cellStyle name="_08_IBM_Centralised_FINAL_Interdiv Recon final_Recon_2" xfId="351"/>
    <cellStyle name="_08_IBM_Centralised_FINAL_Interdiv Recon final_Recon_3" xfId="352"/>
    <cellStyle name="_08_IBM_Centralised_FINAL_Interdiv Recon final_Reconciliation" xfId="353"/>
    <cellStyle name="_08_IBM_Centralised_FINAL_Interdiv Recon final_Reconciliation_1" xfId="354"/>
    <cellStyle name="_08_IBM_Centralised_FINAL_Interdiv Recon final_Reconciliation_2" xfId="355"/>
    <cellStyle name="_08_IBM_Centralised_FINAL_Interdiv Recon final_Reconciliation_3" xfId="356"/>
    <cellStyle name="_08_IBM_Centralised_FINAL_Interdiv Recon final_Report Finance" xfId="357"/>
    <cellStyle name="_08_IBM_Centralised_FINAL_Interdiv Recon final_SC_Treasury_Other" xfId="358"/>
    <cellStyle name="_08_IBM_Centralised_FINAL_Interdiv Recon final_SC_Treasury_Other_Recon" xfId="359"/>
    <cellStyle name="_08_IBM_Centralised_FINAL_Interdiv Recon final_SC_Treasury_Other_Recon_1" xfId="360"/>
    <cellStyle name="_08_IBM_Centralised_FINAL_Interdiv Recon final_SC_Treasury_Other_Recon_2" xfId="361"/>
    <cellStyle name="_08_IBM_Centralised_FINAL_Interdiv Recon final_SC_Treasury_Other_Recon_3" xfId="362"/>
    <cellStyle name="_08_IBM_Centralised_FINAL_Interdiv Recon final_SC_Treasury_Other_Reconciliation" xfId="363"/>
    <cellStyle name="_08_IBM_Centralised_FINAL_Interdiv Recon final_SC_Treasury_Other_Reconciliation_1" xfId="364"/>
    <cellStyle name="_08_IBM_Centralised_FINAL_Interdiv Recon final_Sheet1" xfId="365"/>
    <cellStyle name="_08_IBM_Centralised_FINAL_Interdiv Recon final_Sheet1_1" xfId="366"/>
    <cellStyle name="_08_IBM_E.50.1 Arrears report as at 31.01.08" xfId="367"/>
    <cellStyle name="_08_IBM_E.50.1 Arrears report as at 31.01.08_(26) Oct-09 (AL)" xfId="368"/>
    <cellStyle name="_08_IBM_E.50.1 Arrears report as at 31.01.08_(26) Oct-09 (AL)_IBM_Grouped(2)" xfId="369"/>
    <cellStyle name="_08_IBM_E.50.1 Arrears report as at 31.01.08_(26) Oct-09 (AL)_IBM_Grouped(2)_Recon" xfId="370"/>
    <cellStyle name="_08_IBM_E.50.1 Arrears report as at 31.01.08_(26) Oct-09 (AL)_IBM_Grouped(2)_Recon to Segmental Report" xfId="371"/>
    <cellStyle name="_08_IBM_E.50.1 Arrears report as at 31.01.08_(26) Oct-09 (AL)_IBM_Grouped(2)_Recon_1" xfId="372"/>
    <cellStyle name="_08_IBM_E.50.1 Arrears report as at 31.01.08_(26) Oct-09 (AL)_IBM_Grouped(2)_Recon_2" xfId="373"/>
    <cellStyle name="_08_IBM_E.50.1 Arrears report as at 31.01.08_(26) Oct-09 (AL)_IBM_Grouped(2)_Recon_3" xfId="374"/>
    <cellStyle name="_08_IBM_E.50.1 Arrears report as at 31.01.08_(26) Oct-09 (AL)_IBM_Grouped(2)_Recon_4" xfId="375"/>
    <cellStyle name="_08_IBM_E.50.1 Arrears report as at 31.01.08_(26) Oct-09 (AL)_IBM_Grouped(2)_Reconciliation" xfId="376"/>
    <cellStyle name="_08_IBM_E.50.1 Arrears report as at 31.01.08_(26) Oct-09 (AL)_IBM_Grouped(2)_Reconciliation_1" xfId="377"/>
    <cellStyle name="_08_IBM_E.50.1 Arrears report as at 31.01.08_(26) Oct-09 (AL)_IBM_Grouped(2)_Reconciliation_2" xfId="378"/>
    <cellStyle name="_08_IBM_E.50.1 Arrears report as at 31.01.08_(26) Oct-09 (AL)_IBM_Grouped(2)_Reconciliation_3" xfId="379"/>
    <cellStyle name="_08_IBM_E.50.1 Arrears report as at 31.01.08_(26) Oct-09 (AL)_Recon" xfId="380"/>
    <cellStyle name="_08_IBM_E.50.1 Arrears report as at 31.01.08_(26) Oct-09 (AL)_Recon W1" xfId="381"/>
    <cellStyle name="_08_IBM_E.50.1 Arrears report as at 31.01.08_(26) Oct-09 (AL)_Recon_1" xfId="382"/>
    <cellStyle name="_08_IBM_E.50.1 Arrears report as at 31.01.08_(26) Oct-09 (AL)_Recon_2" xfId="383"/>
    <cellStyle name="_08_IBM_E.50.1 Arrears report as at 31.01.08_(26) Oct-09 (AL)_Recon_3" xfId="384"/>
    <cellStyle name="_08_IBM_E.50.1 Arrears report as at 31.01.08_(26) Oct-09 (AL)_Reconciliation" xfId="385"/>
    <cellStyle name="_08_IBM_E.50.1 Arrears report as at 31.01.08_(26) Oct-09 (AL)_Reconciliation_1" xfId="386"/>
    <cellStyle name="_08_IBM_E.50.1 Arrears report as at 31.01.08_(26) Oct-09 (AL)_Reconciliation_2" xfId="387"/>
    <cellStyle name="_08_IBM_E.50.1 Arrears report as at 31.01.08_(26) Oct-09 (AL)_Reconciliation_3" xfId="388"/>
    <cellStyle name="_08_IBM_E.50.1 Arrears report as at 31.01.08_(27) Nov-09 (AL)" xfId="389"/>
    <cellStyle name="_08_IBM_E.50.1 Arrears report as at 31.01.08_(27) Nov-09 (AL)_IBM_Grouped(2)" xfId="390"/>
    <cellStyle name="_08_IBM_E.50.1 Arrears report as at 31.01.08_(27) Nov-09 (AL)_IBM_Grouped(2)_Recon" xfId="391"/>
    <cellStyle name="_08_IBM_E.50.1 Arrears report as at 31.01.08_(27) Nov-09 (AL)_IBM_Grouped(2)_Recon to Segmental Report" xfId="392"/>
    <cellStyle name="_08_IBM_E.50.1 Arrears report as at 31.01.08_(27) Nov-09 (AL)_IBM_Grouped(2)_Recon_1" xfId="393"/>
    <cellStyle name="_08_IBM_E.50.1 Arrears report as at 31.01.08_(27) Nov-09 (AL)_IBM_Grouped(2)_Recon_2" xfId="394"/>
    <cellStyle name="_08_IBM_E.50.1 Arrears report as at 31.01.08_(27) Nov-09 (AL)_IBM_Grouped(2)_Recon_3" xfId="395"/>
    <cellStyle name="_08_IBM_E.50.1 Arrears report as at 31.01.08_(27) Nov-09 (AL)_IBM_Grouped(2)_Recon_4" xfId="396"/>
    <cellStyle name="_08_IBM_E.50.1 Arrears report as at 31.01.08_(27) Nov-09 (AL)_IBM_Grouped(2)_Reconciliation" xfId="397"/>
    <cellStyle name="_08_IBM_E.50.1 Arrears report as at 31.01.08_(27) Nov-09 (AL)_IBM_Grouped(2)_Reconciliation_1" xfId="398"/>
    <cellStyle name="_08_IBM_E.50.1 Arrears report as at 31.01.08_(27) Nov-09 (AL)_IBM_Grouped(2)_Reconciliation_2" xfId="399"/>
    <cellStyle name="_08_IBM_E.50.1 Arrears report as at 31.01.08_(27) Nov-09 (AL)_IBM_Grouped(2)_Reconciliation_3" xfId="400"/>
    <cellStyle name="_08_IBM_E.50.1 Arrears report as at 31.01.08_(27) Nov-09 (AL)_Recon" xfId="401"/>
    <cellStyle name="_08_IBM_E.50.1 Arrears report as at 31.01.08_(27) Nov-09 (AL)_Recon W1" xfId="402"/>
    <cellStyle name="_08_IBM_E.50.1 Arrears report as at 31.01.08_(27) Nov-09 (AL)_Recon_1" xfId="403"/>
    <cellStyle name="_08_IBM_E.50.1 Arrears report as at 31.01.08_(27) Nov-09 (AL)_Recon_2" xfId="404"/>
    <cellStyle name="_08_IBM_E.50.1 Arrears report as at 31.01.08_(27) Nov-09 (AL)_Recon_3" xfId="405"/>
    <cellStyle name="_08_IBM_E.50.1 Arrears report as at 31.01.08_(27) Nov-09 (AL)_Reconciliation" xfId="406"/>
    <cellStyle name="_08_IBM_E.50.1 Arrears report as at 31.01.08_(27) Nov-09 (AL)_Reconciliation_1" xfId="407"/>
    <cellStyle name="_08_IBM_E.50.1 Arrears report as at 31.01.08_(27) Nov-09 (AL)_Reconciliation_2" xfId="408"/>
    <cellStyle name="_08_IBM_E.50.1 Arrears report as at 31.01.08_(27) Nov-09 (AL)_Reconciliation_3" xfId="409"/>
    <cellStyle name="_08_IBM_E.50.1 Arrears report as at 31.01.08_09_IBM_A5.6.3_Sig Acc and SFOT Determination" xfId="410"/>
    <cellStyle name="_08_IBM_E.50.1 Arrears report as at 31.01.08_09_IBM_Pre-Final WP_Share capital_BS_H4 - N4_07.04.09" xfId="411"/>
    <cellStyle name="_08_IBM_E.50.1 Arrears report as at 31.01.08_09_IBM_Preliminary PM (Interim) 31.03.010" xfId="412"/>
    <cellStyle name="_08_IBM_E.50.1 Arrears report as at 31.01.08_09_Sep_IBM_Final WP_Share capital_BS_F-4_Investments" xfId="413"/>
    <cellStyle name="_08_IBM_E.50.1 Arrears report as at 31.01.08_10_IBM_Bank Recon" xfId="414"/>
    <cellStyle name="_08_IBM_E.50.1 Arrears report as at 31.01.08_10_IBM_J8_Cash Cut Off" xfId="415"/>
    <cellStyle name="_08_IBM_E.50.1 Arrears report as at 31.01.08_10_IBM_Other liabilities" xfId="416"/>
    <cellStyle name="_08_IBM_E.50.1 Arrears report as at 31.01.08_10_IBM_PLSF_Circularisation status" xfId="417"/>
    <cellStyle name="_08_IBM_E.50.1 Arrears report as at 31.01.08_10_IBM_Preliminary PM " xfId="418"/>
    <cellStyle name="_08_IBM_E.50.1 Arrears report as at 31.01.08_10_IBM_Sig Acc and SFOT determination " xfId="419"/>
    <cellStyle name="_08_IBM_E.50.1 Arrears report as at 31.01.08_31.12.09 Mauritius-USD based ledger - Final1" xfId="420"/>
    <cellStyle name="_08_IBM_E.50.1 Arrears report as at 31.01.08_Book1" xfId="421"/>
    <cellStyle name="_08_IBM_E.50.1 Arrears report as at 31.01.08_Book1 (4)" xfId="422"/>
    <cellStyle name="_08_IBM_E.50.1 Arrears report as at 31.01.08_Book4" xfId="423"/>
    <cellStyle name="_08_IBM_E.50.1 Arrears report as at 31.01.08_Book4_Recon" xfId="424"/>
    <cellStyle name="_08_IBM_E.50.1 Arrears report as at 31.01.08_Book4_Recon W1" xfId="425"/>
    <cellStyle name="_08_IBM_E.50.1 Arrears report as at 31.01.08_Book4_Recon_1" xfId="426"/>
    <cellStyle name="_08_IBM_E.50.1 Arrears report as at 31.01.08_Book4_Recon_2" xfId="427"/>
    <cellStyle name="_08_IBM_E.50.1 Arrears report as at 31.01.08_Book4_Recon_3" xfId="428"/>
    <cellStyle name="_08_IBM_E.50.1 Arrears report as at 31.01.08_Book4_Reconciliation" xfId="429"/>
    <cellStyle name="_08_IBM_E.50.1 Arrears report as at 31.01.08_Book4_Reconciliation_1" xfId="430"/>
    <cellStyle name="_08_IBM_E.50.1 Arrears report as at 31.01.08_Book4_Reconciliation_2" xfId="431"/>
    <cellStyle name="_08_IBM_E.50.1 Arrears report as at 31.01.08_Book4_Reconciliation_3" xfId="432"/>
    <cellStyle name="_08_IBM_E.50.1 Arrears report as at 31.01.08_capital adequacy September 2009" xfId="433"/>
    <cellStyle name="_08_IBM_E.50.1 Arrears report as at 31.01.08_capital adequacy September 2009_IBM_Grouped(2)" xfId="434"/>
    <cellStyle name="_08_IBM_E.50.1 Arrears report as at 31.01.08_capital adequacy September 2009_IBM_Grouped(2)_Recon" xfId="435"/>
    <cellStyle name="_08_IBM_E.50.1 Arrears report as at 31.01.08_capital adequacy September 2009_IBM_Grouped(2)_Recon to Segmental Report" xfId="436"/>
    <cellStyle name="_08_IBM_E.50.1 Arrears report as at 31.01.08_capital adequacy September 2009_IBM_Grouped(2)_Recon_1" xfId="437"/>
    <cellStyle name="_08_IBM_E.50.1 Arrears report as at 31.01.08_capital adequacy September 2009_IBM_Grouped(2)_Recon_2" xfId="438"/>
    <cellStyle name="_08_IBM_E.50.1 Arrears report as at 31.01.08_capital adequacy September 2009_IBM_Grouped(2)_Recon_3" xfId="439"/>
    <cellStyle name="_08_IBM_E.50.1 Arrears report as at 31.01.08_capital adequacy September 2009_IBM_Grouped(2)_Recon_4" xfId="440"/>
    <cellStyle name="_08_IBM_E.50.1 Arrears report as at 31.01.08_capital adequacy September 2009_IBM_Grouped(2)_Reconciliation" xfId="441"/>
    <cellStyle name="_08_IBM_E.50.1 Arrears report as at 31.01.08_capital adequacy September 2009_IBM_Grouped(2)_Reconciliation_1" xfId="442"/>
    <cellStyle name="_08_IBM_E.50.1 Arrears report as at 31.01.08_capital adequacy September 2009_IBM_Grouped(2)_Reconciliation_2" xfId="443"/>
    <cellStyle name="_08_IBM_E.50.1 Arrears report as at 31.01.08_capital adequacy September 2009_IBM_Grouped(2)_Reconciliation_3" xfId="444"/>
    <cellStyle name="_08_IBM_E.50.1 Arrears report as at 31.01.08_capital adequacy September 2009_Recon" xfId="445"/>
    <cellStyle name="_08_IBM_E.50.1 Arrears report as at 31.01.08_capital adequacy September 2009_Recon W1" xfId="446"/>
    <cellStyle name="_08_IBM_E.50.1 Arrears report as at 31.01.08_capital adequacy September 2009_Recon_1" xfId="447"/>
    <cellStyle name="_08_IBM_E.50.1 Arrears report as at 31.01.08_capital adequacy September 2009_Recon_2" xfId="448"/>
    <cellStyle name="_08_IBM_E.50.1 Arrears report as at 31.01.08_capital adequacy September 2009_Recon_3" xfId="449"/>
    <cellStyle name="_08_IBM_E.50.1 Arrears report as at 31.01.08_capital adequacy September 2009_Reconciliation" xfId="450"/>
    <cellStyle name="_08_IBM_E.50.1 Arrears report as at 31.01.08_capital adequacy September 2009_Reconciliation_1" xfId="451"/>
    <cellStyle name="_08_IBM_E.50.1 Arrears report as at 31.01.08_capital adequacy September 2009_Reconciliation_2" xfId="452"/>
    <cellStyle name="_08_IBM_E.50.1 Arrears report as at 31.01.08_capital adequacy September 2009_Reconciliation_3" xfId="453"/>
    <cellStyle name="_08_IBM_E.50.1 Arrears report as at 31.01.08_Circularisation Status Specialised Finance Division 17 Mar 10" xfId="454"/>
    <cellStyle name="_08_IBM_E.50.1 Arrears report as at 31.01.08_Copy of Mauritius-USD based ledger" xfId="455"/>
    <cellStyle name="_08_IBM_E.50.1 Arrears report as at 31.01.08_Copy of Mauritius-USD based ledger_Recon" xfId="456"/>
    <cellStyle name="_08_IBM_E.50.1 Arrears report as at 31.01.08_Copy of Mauritius-USD based ledger_Recon W1" xfId="457"/>
    <cellStyle name="_08_IBM_E.50.1 Arrears report as at 31.01.08_Copy of Mauritius-USD based ledger_Recon_1" xfId="458"/>
    <cellStyle name="_08_IBM_E.50.1 Arrears report as at 31.01.08_Copy of Mauritius-USD based ledger_Recon_2" xfId="459"/>
    <cellStyle name="_08_IBM_E.50.1 Arrears report as at 31.01.08_Copy of Mauritius-USD based ledger_Recon_3" xfId="460"/>
    <cellStyle name="_08_IBM_E.50.1 Arrears report as at 31.01.08_Copy of Mauritius-USD based ledger_Reconciliation" xfId="461"/>
    <cellStyle name="_08_IBM_E.50.1 Arrears report as at 31.01.08_Copy of Mauritius-USD based ledger_Reconciliation_1" xfId="462"/>
    <cellStyle name="_08_IBM_E.50.1 Arrears report as at 31.01.08_Copy of Mauritius-USD based ledger_Reconciliation_2" xfId="463"/>
    <cellStyle name="_08_IBM_E.50.1 Arrears report as at 31.01.08_Copy of Mauritius-USD based ledger_Reconciliation_3" xfId="464"/>
    <cellStyle name="_08_IBM_E.50.1 Arrears report as at 31.01.08_Fixed Assets Register 11 Feb10" xfId="465"/>
    <cellStyle name="_08_IBM_E.50.1 Arrears report as at 31.01.08_Fixed Assets Register 11 Feb10_(19) Loan Feb-11(Feb-11 figures)" xfId="466"/>
    <cellStyle name="_08_IBM_E.50.1 Arrears report as at 31.01.08_Fixed Assets Register 12 Mar10.xls" xfId="467"/>
    <cellStyle name="_08_IBM_E.50.1 Arrears report as at 31.01.08_Fixed Assets Register 12 Mar10.xls_(19) Loan Feb-11(Feb-11 figures)" xfId="468"/>
    <cellStyle name="_08_IBM_E.50.1 Arrears report as at 31.01.08_IBM Input Sheet 31.03.2010 v0.4" xfId="469"/>
    <cellStyle name="_08_IBM_E.50.1 Arrears report as at 31.01.08_IBM Input Sheet 31.03.2010 v0.4_(19) Loan Feb-11(Feb-11 figures)" xfId="470"/>
    <cellStyle name="_08_IBM_E.50.1 Arrears report as at 31.01.08_IBM_Grouped(2)" xfId="471"/>
    <cellStyle name="_08_IBM_E.50.1 Arrears report as at 31.01.08_IBM_Grouped(2)_Recon" xfId="472"/>
    <cellStyle name="_08_IBM_E.50.1 Arrears report as at 31.01.08_IBM_Grouped(2)_Recon W1" xfId="473"/>
    <cellStyle name="_08_IBM_E.50.1 Arrears report as at 31.01.08_IBM_Grouped(2)_Recon_1" xfId="474"/>
    <cellStyle name="_08_IBM_E.50.1 Arrears report as at 31.01.08_IBM_Grouped(2)_Recon_2" xfId="475"/>
    <cellStyle name="_08_IBM_E.50.1 Arrears report as at 31.01.08_IBM_Grouped(2)_Recon_3" xfId="476"/>
    <cellStyle name="_08_IBM_E.50.1 Arrears report as at 31.01.08_IBM_Grouped(2)_Reconciliation" xfId="477"/>
    <cellStyle name="_08_IBM_E.50.1 Arrears report as at 31.01.08_IBM_Grouped(2)_Reconciliation_1" xfId="478"/>
    <cellStyle name="_08_IBM_E.50.1 Arrears report as at 31.01.08_IBM_Grouped(2)_Reconciliation_2" xfId="479"/>
    <cellStyle name="_08_IBM_E.50.1 Arrears report as at 31.01.08_IBM_Grouped(2)_Reconciliation_3" xfId="480"/>
    <cellStyle name="_08_IBM_E.50.1 Arrears report as at 31.01.08_IBM_Grouped_USD" xfId="481"/>
    <cellStyle name="_08_IBM_E.50.1 Arrears report as at 31.01.08_IBM_Grouped_USD_Recon" xfId="482"/>
    <cellStyle name="_08_IBM_E.50.1 Arrears report as at 31.01.08_IBM_Grouped_USD_Recon W1" xfId="483"/>
    <cellStyle name="_08_IBM_E.50.1 Arrears report as at 31.01.08_IBM_Grouped_USD_Recon_1" xfId="484"/>
    <cellStyle name="_08_IBM_E.50.1 Arrears report as at 31.01.08_IBM_Grouped_USD_Recon_2" xfId="485"/>
    <cellStyle name="_08_IBM_E.50.1 Arrears report as at 31.01.08_IBM_Grouped_USD_Recon_3" xfId="486"/>
    <cellStyle name="_08_IBM_E.50.1 Arrears report as at 31.01.08_IBM_Grouped_USD_Reconciliation" xfId="487"/>
    <cellStyle name="_08_IBM_E.50.1 Arrears report as at 31.01.08_IBM_Grouped_USD_Reconciliation_1" xfId="488"/>
    <cellStyle name="_08_IBM_E.50.1 Arrears report as at 31.01.08_IBM_Grouped_USD_Reconciliation_2" xfId="489"/>
    <cellStyle name="_08_IBM_E.50.1 Arrears report as at 31.01.08_IBM_Grouped_USD_Reconciliation_3" xfId="490"/>
    <cellStyle name="_08_IBM_E.50.1 Arrears report as at 31.01.08_IBM_Grouped_ZAR" xfId="491"/>
    <cellStyle name="_08_IBM_E.50.1 Arrears report as at 31.01.08_IBM_Grouped_ZAR_Recon" xfId="492"/>
    <cellStyle name="_08_IBM_E.50.1 Arrears report as at 31.01.08_IBM_Grouped_ZAR_Recon W1" xfId="493"/>
    <cellStyle name="_08_IBM_E.50.1 Arrears report as at 31.01.08_IBM_Grouped_ZAR_Recon_1" xfId="494"/>
    <cellStyle name="_08_IBM_E.50.1 Arrears report as at 31.01.08_IBM_Grouped_ZAR_Recon_2" xfId="495"/>
    <cellStyle name="_08_IBM_E.50.1 Arrears report as at 31.01.08_IBM_Grouped_ZAR_Recon_3" xfId="496"/>
    <cellStyle name="_08_IBM_E.50.1 Arrears report as at 31.01.08_IBM_Grouped_ZAR_Reconciliation" xfId="497"/>
    <cellStyle name="_08_IBM_E.50.1 Arrears report as at 31.01.08_IBM_Grouped_ZAR_Reconciliation_1" xfId="498"/>
    <cellStyle name="_08_IBM_E.50.1 Arrears report as at 31.01.08_IBM_Grouped_ZAR_Reconciliation_2" xfId="499"/>
    <cellStyle name="_08_IBM_E.50.1 Arrears report as at 31.01.08_IBM_Grouped_ZAR_Reconciliation_3" xfId="500"/>
    <cellStyle name="_08_IBM_E.50.1 Arrears report as at 31.01.08_Liquidity and repricing" xfId="501"/>
    <cellStyle name="_08_IBM_E.50.1 Arrears report as at 31.01.08_Liquidity and repricing_IBM_Grouped(2)" xfId="502"/>
    <cellStyle name="_08_IBM_E.50.1 Arrears report as at 31.01.08_Liquidity and repricing_IBM_Grouped(2)_Recon" xfId="503"/>
    <cellStyle name="_08_IBM_E.50.1 Arrears report as at 31.01.08_Liquidity and repricing_IBM_Grouped(2)_Recon to Segmental Report" xfId="504"/>
    <cellStyle name="_08_IBM_E.50.1 Arrears report as at 31.01.08_Liquidity and repricing_IBM_Grouped(2)_Recon_1" xfId="505"/>
    <cellStyle name="_08_IBM_E.50.1 Arrears report as at 31.01.08_Liquidity and repricing_IBM_Grouped(2)_Recon_2" xfId="506"/>
    <cellStyle name="_08_IBM_E.50.1 Arrears report as at 31.01.08_Liquidity and repricing_IBM_Grouped(2)_Recon_3" xfId="507"/>
    <cellStyle name="_08_IBM_E.50.1 Arrears report as at 31.01.08_Liquidity and repricing_IBM_Grouped(2)_Recon_4" xfId="508"/>
    <cellStyle name="_08_IBM_E.50.1 Arrears report as at 31.01.08_Liquidity and repricing_IBM_Grouped(2)_Reconciliation" xfId="509"/>
    <cellStyle name="_08_IBM_E.50.1 Arrears report as at 31.01.08_Liquidity and repricing_IBM_Grouped(2)_Reconciliation_1" xfId="510"/>
    <cellStyle name="_08_IBM_E.50.1 Arrears report as at 31.01.08_Liquidity and repricing_IBM_Grouped(2)_Reconciliation_2" xfId="511"/>
    <cellStyle name="_08_IBM_E.50.1 Arrears report as at 31.01.08_Liquidity and repricing_IBM_Grouped(2)_Reconciliation_3" xfId="512"/>
    <cellStyle name="_08_IBM_E.50.1 Arrears report as at 31.01.08_Liquidity and repricing_Recon" xfId="513"/>
    <cellStyle name="_08_IBM_E.50.1 Arrears report as at 31.01.08_Liquidity and repricing_Recon W1" xfId="514"/>
    <cellStyle name="_08_IBM_E.50.1 Arrears report as at 31.01.08_Liquidity and repricing_Recon_1" xfId="515"/>
    <cellStyle name="_08_IBM_E.50.1 Arrears report as at 31.01.08_Liquidity and repricing_Recon_2" xfId="516"/>
    <cellStyle name="_08_IBM_E.50.1 Arrears report as at 31.01.08_Liquidity and repricing_Recon_3" xfId="517"/>
    <cellStyle name="_08_IBM_E.50.1 Arrears report as at 31.01.08_Liquidity and repricing_Reconciliation" xfId="518"/>
    <cellStyle name="_08_IBM_E.50.1 Arrears report as at 31.01.08_Liquidity and repricing_Reconciliation_1" xfId="519"/>
    <cellStyle name="_08_IBM_E.50.1 Arrears report as at 31.01.08_Liquidity and repricing_Reconciliation_2" xfId="520"/>
    <cellStyle name="_08_IBM_E.50.1 Arrears report as at 31.01.08_Liquidity and repricing_Reconciliation_3" xfId="521"/>
    <cellStyle name="_08_IBM_E.50.1 Arrears report as at 31.01.08_MUR position" xfId="522"/>
    <cellStyle name="_08_IBM_E.50.1 Arrears report as at 31.01.08_NOP 2010 01 31 USD BASED" xfId="523"/>
    <cellStyle name="_08_IBM_E.50.1 Arrears report as at 31.01.08_NOP 2010 01 31 USD BASED_Report Finance" xfId="524"/>
    <cellStyle name="_08_IBM_E.50.1 Arrears report as at 31.01.08_NOP 2010 02 28 USD BASED Final" xfId="525"/>
    <cellStyle name="_08_IBM_E.50.1 Arrears report as at 31.01.08_NOP 2010 02 28 USD BASED Final_Report Finance" xfId="526"/>
    <cellStyle name="_08_IBM_E.50.1 Arrears report as at 31.01.08_NOP 2010 03 31 USD BASEDrevised" xfId="527"/>
    <cellStyle name="_08_IBM_E.50.1 Arrears report as at 31.01.08_NOP 2010 03 31 USD BASEDrevised_Report Finance" xfId="528"/>
    <cellStyle name="_08_IBM_E.50.1 Arrears report as at 31.01.08_NOP 2010 04 30" xfId="529"/>
    <cellStyle name="_08_IBM_E.50.1 Arrears report as at 31.01.08_NOP 2010 04 30_Recon" xfId="530"/>
    <cellStyle name="_08_IBM_E.50.1 Arrears report as at 31.01.08_NOP 2010 04 30_Recon W1" xfId="531"/>
    <cellStyle name="_08_IBM_E.50.1 Arrears report as at 31.01.08_NOP 2010 04 30_Recon_1" xfId="532"/>
    <cellStyle name="_08_IBM_E.50.1 Arrears report as at 31.01.08_NOP 2010 04 30_Recon_2" xfId="533"/>
    <cellStyle name="_08_IBM_E.50.1 Arrears report as at 31.01.08_NOP 2010 04 30_Recon_3" xfId="534"/>
    <cellStyle name="_08_IBM_E.50.1 Arrears report as at 31.01.08_NOP 2010 04 30_Reconciliation" xfId="535"/>
    <cellStyle name="_08_IBM_E.50.1 Arrears report as at 31.01.08_NOP 2010 04 30_Reconciliation_1" xfId="536"/>
    <cellStyle name="_08_IBM_E.50.1 Arrears report as at 31.01.08_NOP 2010 04 30_Reconciliation_2" xfId="537"/>
    <cellStyle name="_08_IBM_E.50.1 Arrears report as at 31.01.08_NOP 2010 04 30_Reconciliation_3" xfId="538"/>
    <cellStyle name="_08_IBM_E.50.1 Arrears report as at 31.01.08_NOP 2010 04 30_Report Finance" xfId="539"/>
    <cellStyle name="_08_IBM_E.50.1 Arrears report as at 31.01.08_ORIGINAL NOP 2009 12 31 USD BASED" xfId="540"/>
    <cellStyle name="_08_IBM_E.50.1 Arrears report as at 31.01.08_ORIGINAL NOP 2009 12 31 USD BASED_Report Finance" xfId="541"/>
    <cellStyle name="_08_IBM_E.50.1 Arrears report as at 31.01.08_Recon" xfId="542"/>
    <cellStyle name="_08_IBM_E.50.1 Arrears report as at 31.01.08_Recon W1" xfId="543"/>
    <cellStyle name="_08_IBM_E.50.1 Arrears report as at 31.01.08_Recon_1" xfId="544"/>
    <cellStyle name="_08_IBM_E.50.1 Arrears report as at 31.01.08_Recon_2" xfId="545"/>
    <cellStyle name="_08_IBM_E.50.1 Arrears report as at 31.01.08_Recon_3" xfId="546"/>
    <cellStyle name="_08_IBM_E.50.1 Arrears report as at 31.01.08_Reconciliation" xfId="547"/>
    <cellStyle name="_08_IBM_E.50.1 Arrears report as at 31.01.08_Reconciliation_1" xfId="548"/>
    <cellStyle name="_08_IBM_E.50.1 Arrears report as at 31.01.08_Reconciliation_2" xfId="549"/>
    <cellStyle name="_08_IBM_E.50.1 Arrears report as at 31.01.08_Reconciliation_3" xfId="550"/>
    <cellStyle name="_08_IBM_E.50.1 Arrears report as at 31.01.08_Report Finance" xfId="551"/>
    <cellStyle name="_08_IBM_E.50.1 Arrears report as at 31.01.08_SC_Treasury_Other" xfId="552"/>
    <cellStyle name="_08_IBM_E.50.1 Arrears report as at 31.01.08_SC_Treasury_Other_Recon" xfId="553"/>
    <cellStyle name="_08_IBM_E.50.1 Arrears report as at 31.01.08_SC_Treasury_Other_Recon_1" xfId="554"/>
    <cellStyle name="_08_IBM_E.50.1 Arrears report as at 31.01.08_SC_Treasury_Other_Recon_2" xfId="555"/>
    <cellStyle name="_08_IBM_E.50.1 Arrears report as at 31.01.08_SC_Treasury_Other_Recon_3" xfId="556"/>
    <cellStyle name="_08_IBM_E.50.1 Arrears report as at 31.01.08_SC_Treasury_Other_Reconciliation" xfId="557"/>
    <cellStyle name="_08_IBM_E.50.1 Arrears report as at 31.01.08_SC_Treasury_Other_Reconciliation_1" xfId="558"/>
    <cellStyle name="_08_IBM_E.50.1 Arrears report as at 31.01.08_Sheet1" xfId="559"/>
    <cellStyle name="_08_IBM_E.50.1 Arrears report as at 31.01.08_Sheet1_1" xfId="560"/>
    <cellStyle name="_08_IBM_E.51 Credit Impairment testing-Robert" xfId="561"/>
    <cellStyle name="_08_IBM_E.51 Credit Impairment testing-Robert_(26) Oct-09 (AL)" xfId="562"/>
    <cellStyle name="_08_IBM_E.51 Credit Impairment testing-Robert_(26) Oct-09 (AL)_IBM_Grouped(2)" xfId="563"/>
    <cellStyle name="_08_IBM_E.51 Credit Impairment testing-Robert_(26) Oct-09 (AL)_IBM_Grouped(2)_Recon" xfId="564"/>
    <cellStyle name="_08_IBM_E.51 Credit Impairment testing-Robert_(26) Oct-09 (AL)_IBM_Grouped(2)_Recon to Segmental Report" xfId="565"/>
    <cellStyle name="_08_IBM_E.51 Credit Impairment testing-Robert_(26) Oct-09 (AL)_IBM_Grouped(2)_Recon_1" xfId="566"/>
    <cellStyle name="_08_IBM_E.51 Credit Impairment testing-Robert_(26) Oct-09 (AL)_IBM_Grouped(2)_Recon_2" xfId="567"/>
    <cellStyle name="_08_IBM_E.51 Credit Impairment testing-Robert_(26) Oct-09 (AL)_IBM_Grouped(2)_Recon_3" xfId="568"/>
    <cellStyle name="_08_IBM_E.51 Credit Impairment testing-Robert_(26) Oct-09 (AL)_IBM_Grouped(2)_Recon_4" xfId="569"/>
    <cellStyle name="_08_IBM_E.51 Credit Impairment testing-Robert_(26) Oct-09 (AL)_IBM_Grouped(2)_Reconciliation" xfId="570"/>
    <cellStyle name="_08_IBM_E.51 Credit Impairment testing-Robert_(26) Oct-09 (AL)_IBM_Grouped(2)_Reconciliation_1" xfId="571"/>
    <cellStyle name="_08_IBM_E.51 Credit Impairment testing-Robert_(26) Oct-09 (AL)_IBM_Grouped(2)_Reconciliation_2" xfId="572"/>
    <cellStyle name="_08_IBM_E.51 Credit Impairment testing-Robert_(26) Oct-09 (AL)_IBM_Grouped(2)_Reconciliation_3" xfId="573"/>
    <cellStyle name="_08_IBM_E.51 Credit Impairment testing-Robert_(26) Oct-09 (AL)_Recon" xfId="574"/>
    <cellStyle name="_08_IBM_E.51 Credit Impairment testing-Robert_(26) Oct-09 (AL)_Recon W1" xfId="575"/>
    <cellStyle name="_08_IBM_E.51 Credit Impairment testing-Robert_(26) Oct-09 (AL)_Recon_1" xfId="576"/>
    <cellStyle name="_08_IBM_E.51 Credit Impairment testing-Robert_(26) Oct-09 (AL)_Recon_2" xfId="577"/>
    <cellStyle name="_08_IBM_E.51 Credit Impairment testing-Robert_(26) Oct-09 (AL)_Recon_3" xfId="578"/>
    <cellStyle name="_08_IBM_E.51 Credit Impairment testing-Robert_(26) Oct-09 (AL)_Reconciliation" xfId="579"/>
    <cellStyle name="_08_IBM_E.51 Credit Impairment testing-Robert_(26) Oct-09 (AL)_Reconciliation_1" xfId="580"/>
    <cellStyle name="_08_IBM_E.51 Credit Impairment testing-Robert_(26) Oct-09 (AL)_Reconciliation_2" xfId="581"/>
    <cellStyle name="_08_IBM_E.51 Credit Impairment testing-Robert_(26) Oct-09 (AL)_Reconciliation_3" xfId="582"/>
    <cellStyle name="_08_IBM_E.51 Credit Impairment testing-Robert_(27) Nov-09 (AL)" xfId="583"/>
    <cellStyle name="_08_IBM_E.51 Credit Impairment testing-Robert_(27) Nov-09 (AL)_IBM_Grouped(2)" xfId="584"/>
    <cellStyle name="_08_IBM_E.51 Credit Impairment testing-Robert_(27) Nov-09 (AL)_IBM_Grouped(2)_Recon" xfId="585"/>
    <cellStyle name="_08_IBM_E.51 Credit Impairment testing-Robert_(27) Nov-09 (AL)_IBM_Grouped(2)_Recon to Segmental Report" xfId="586"/>
    <cellStyle name="_08_IBM_E.51 Credit Impairment testing-Robert_(27) Nov-09 (AL)_IBM_Grouped(2)_Recon_1" xfId="587"/>
    <cellStyle name="_08_IBM_E.51 Credit Impairment testing-Robert_(27) Nov-09 (AL)_IBM_Grouped(2)_Recon_2" xfId="588"/>
    <cellStyle name="_08_IBM_E.51 Credit Impairment testing-Robert_(27) Nov-09 (AL)_IBM_Grouped(2)_Recon_3" xfId="589"/>
    <cellStyle name="_08_IBM_E.51 Credit Impairment testing-Robert_(27) Nov-09 (AL)_IBM_Grouped(2)_Recon_4" xfId="590"/>
    <cellStyle name="_08_IBM_E.51 Credit Impairment testing-Robert_(27) Nov-09 (AL)_IBM_Grouped(2)_Reconciliation" xfId="591"/>
    <cellStyle name="_08_IBM_E.51 Credit Impairment testing-Robert_(27) Nov-09 (AL)_IBM_Grouped(2)_Reconciliation_1" xfId="592"/>
    <cellStyle name="_08_IBM_E.51 Credit Impairment testing-Robert_(27) Nov-09 (AL)_IBM_Grouped(2)_Reconciliation_2" xfId="593"/>
    <cellStyle name="_08_IBM_E.51 Credit Impairment testing-Robert_(27) Nov-09 (AL)_IBM_Grouped(2)_Reconciliation_3" xfId="594"/>
    <cellStyle name="_08_IBM_E.51 Credit Impairment testing-Robert_(27) Nov-09 (AL)_Recon" xfId="595"/>
    <cellStyle name="_08_IBM_E.51 Credit Impairment testing-Robert_(27) Nov-09 (AL)_Recon W1" xfId="596"/>
    <cellStyle name="_08_IBM_E.51 Credit Impairment testing-Robert_(27) Nov-09 (AL)_Recon_1" xfId="597"/>
    <cellStyle name="_08_IBM_E.51 Credit Impairment testing-Robert_(27) Nov-09 (AL)_Recon_2" xfId="598"/>
    <cellStyle name="_08_IBM_E.51 Credit Impairment testing-Robert_(27) Nov-09 (AL)_Recon_3" xfId="599"/>
    <cellStyle name="_08_IBM_E.51 Credit Impairment testing-Robert_(27) Nov-09 (AL)_Reconciliation" xfId="600"/>
    <cellStyle name="_08_IBM_E.51 Credit Impairment testing-Robert_(27) Nov-09 (AL)_Reconciliation_1" xfId="601"/>
    <cellStyle name="_08_IBM_E.51 Credit Impairment testing-Robert_(27) Nov-09 (AL)_Reconciliation_2" xfId="602"/>
    <cellStyle name="_08_IBM_E.51 Credit Impairment testing-Robert_(27) Nov-09 (AL)_Reconciliation_3" xfId="603"/>
    <cellStyle name="_08_IBM_E.51 Credit Impairment testing-Robert_09_IBM_A5.6.3_Sig Acc and SFOT Determination" xfId="604"/>
    <cellStyle name="_08_IBM_E.51 Credit Impairment testing-Robert_09_IBM_Pre-Final WP_Share capital_BS_H4 - N4_07.04.09" xfId="605"/>
    <cellStyle name="_08_IBM_E.51 Credit Impairment testing-Robert_09_IBM_Preliminary PM (Interim) 31.03.010" xfId="606"/>
    <cellStyle name="_08_IBM_E.51 Credit Impairment testing-Robert_09_Sep_IBM_Final WP_Share capital_BS_F-4_Investments" xfId="607"/>
    <cellStyle name="_08_IBM_E.51 Credit Impairment testing-Robert_10_IBM_Bank Recon" xfId="608"/>
    <cellStyle name="_08_IBM_E.51 Credit Impairment testing-Robert_10_IBM_J8_Cash Cut Off" xfId="609"/>
    <cellStyle name="_08_IBM_E.51 Credit Impairment testing-Robert_10_IBM_Other liabilities" xfId="610"/>
    <cellStyle name="_08_IBM_E.51 Credit Impairment testing-Robert_10_IBM_PLSF_Circularisation status" xfId="611"/>
    <cellStyle name="_08_IBM_E.51 Credit Impairment testing-Robert_10_IBM_Preliminary PM " xfId="612"/>
    <cellStyle name="_08_IBM_E.51 Credit Impairment testing-Robert_10_IBM_Sig Acc and SFOT determination " xfId="613"/>
    <cellStyle name="_08_IBM_E.51 Credit Impairment testing-Robert_31.12.09 Mauritius-USD based ledger - Final1" xfId="614"/>
    <cellStyle name="_08_IBM_E.51 Credit Impairment testing-Robert_Book1" xfId="615"/>
    <cellStyle name="_08_IBM_E.51 Credit Impairment testing-Robert_Book1 (4)" xfId="616"/>
    <cellStyle name="_08_IBM_E.51 Credit Impairment testing-Robert_Book4" xfId="617"/>
    <cellStyle name="_08_IBM_E.51 Credit Impairment testing-Robert_Book4_Recon" xfId="618"/>
    <cellStyle name="_08_IBM_E.51 Credit Impairment testing-Robert_Book4_Recon W1" xfId="619"/>
    <cellStyle name="_08_IBM_E.51 Credit Impairment testing-Robert_Book4_Recon_1" xfId="620"/>
    <cellStyle name="_08_IBM_E.51 Credit Impairment testing-Robert_Book4_Recon_2" xfId="621"/>
    <cellStyle name="_08_IBM_E.51 Credit Impairment testing-Robert_Book4_Recon_3" xfId="622"/>
    <cellStyle name="_08_IBM_E.51 Credit Impairment testing-Robert_Book4_Reconciliation" xfId="623"/>
    <cellStyle name="_08_IBM_E.51 Credit Impairment testing-Robert_Book4_Reconciliation_1" xfId="624"/>
    <cellStyle name="_08_IBM_E.51 Credit Impairment testing-Robert_Book4_Reconciliation_2" xfId="625"/>
    <cellStyle name="_08_IBM_E.51 Credit Impairment testing-Robert_Book4_Reconciliation_3" xfId="626"/>
    <cellStyle name="_08_IBM_E.51 Credit Impairment testing-Robert_capital adequacy September 2009" xfId="627"/>
    <cellStyle name="_08_IBM_E.51 Credit Impairment testing-Robert_capital adequacy September 2009_IBM_Grouped(2)" xfId="628"/>
    <cellStyle name="_08_IBM_E.51 Credit Impairment testing-Robert_capital adequacy September 2009_IBM_Grouped(2)_Recon" xfId="629"/>
    <cellStyle name="_08_IBM_E.51 Credit Impairment testing-Robert_capital adequacy September 2009_IBM_Grouped(2)_Recon to Segmental Report" xfId="630"/>
    <cellStyle name="_08_IBM_E.51 Credit Impairment testing-Robert_capital adequacy September 2009_IBM_Grouped(2)_Recon_1" xfId="631"/>
    <cellStyle name="_08_IBM_E.51 Credit Impairment testing-Robert_capital adequacy September 2009_IBM_Grouped(2)_Recon_2" xfId="632"/>
    <cellStyle name="_08_IBM_E.51 Credit Impairment testing-Robert_capital adequacy September 2009_IBM_Grouped(2)_Recon_3" xfId="633"/>
    <cellStyle name="_08_IBM_E.51 Credit Impairment testing-Robert_capital adequacy September 2009_IBM_Grouped(2)_Recon_4" xfId="634"/>
    <cellStyle name="_08_IBM_E.51 Credit Impairment testing-Robert_capital adequacy September 2009_IBM_Grouped(2)_Reconciliation" xfId="635"/>
    <cellStyle name="_08_IBM_E.51 Credit Impairment testing-Robert_capital adequacy September 2009_IBM_Grouped(2)_Reconciliation_1" xfId="636"/>
    <cellStyle name="_08_IBM_E.51 Credit Impairment testing-Robert_capital adequacy September 2009_IBM_Grouped(2)_Reconciliation_2" xfId="637"/>
    <cellStyle name="_08_IBM_E.51 Credit Impairment testing-Robert_capital adequacy September 2009_IBM_Grouped(2)_Reconciliation_3" xfId="638"/>
    <cellStyle name="_08_IBM_E.51 Credit Impairment testing-Robert_capital adequacy September 2009_Recon" xfId="639"/>
    <cellStyle name="_08_IBM_E.51 Credit Impairment testing-Robert_capital adequacy September 2009_Recon W1" xfId="640"/>
    <cellStyle name="_08_IBM_E.51 Credit Impairment testing-Robert_capital adequacy September 2009_Recon_1" xfId="641"/>
    <cellStyle name="_08_IBM_E.51 Credit Impairment testing-Robert_capital adequacy September 2009_Recon_2" xfId="642"/>
    <cellStyle name="_08_IBM_E.51 Credit Impairment testing-Robert_capital adequacy September 2009_Recon_3" xfId="643"/>
    <cellStyle name="_08_IBM_E.51 Credit Impairment testing-Robert_capital adequacy September 2009_Reconciliation" xfId="644"/>
    <cellStyle name="_08_IBM_E.51 Credit Impairment testing-Robert_capital adequacy September 2009_Reconciliation_1" xfId="645"/>
    <cellStyle name="_08_IBM_E.51 Credit Impairment testing-Robert_capital adequacy September 2009_Reconciliation_2" xfId="646"/>
    <cellStyle name="_08_IBM_E.51 Credit Impairment testing-Robert_capital adequacy September 2009_Reconciliation_3" xfId="647"/>
    <cellStyle name="_08_IBM_E.51 Credit Impairment testing-Robert_Circularisation Status Specialised Finance Division 17 Mar 10" xfId="648"/>
    <cellStyle name="_08_IBM_E.51 Credit Impairment testing-Robert_Copy of Mauritius-USD based ledger" xfId="649"/>
    <cellStyle name="_08_IBM_E.51 Credit Impairment testing-Robert_Copy of Mauritius-USD based ledger_Recon" xfId="650"/>
    <cellStyle name="_08_IBM_E.51 Credit Impairment testing-Robert_Copy of Mauritius-USD based ledger_Recon W1" xfId="651"/>
    <cellStyle name="_08_IBM_E.51 Credit Impairment testing-Robert_Copy of Mauritius-USD based ledger_Recon_1" xfId="652"/>
    <cellStyle name="_08_IBM_E.51 Credit Impairment testing-Robert_Copy of Mauritius-USD based ledger_Recon_2" xfId="653"/>
    <cellStyle name="_08_IBM_E.51 Credit Impairment testing-Robert_Copy of Mauritius-USD based ledger_Recon_3" xfId="654"/>
    <cellStyle name="_08_IBM_E.51 Credit Impairment testing-Robert_Copy of Mauritius-USD based ledger_Reconciliation" xfId="655"/>
    <cellStyle name="_08_IBM_E.51 Credit Impairment testing-Robert_Copy of Mauritius-USD based ledger_Reconciliation_1" xfId="656"/>
    <cellStyle name="_08_IBM_E.51 Credit Impairment testing-Robert_Copy of Mauritius-USD based ledger_Reconciliation_2" xfId="657"/>
    <cellStyle name="_08_IBM_E.51 Credit Impairment testing-Robert_Copy of Mauritius-USD based ledger_Reconciliation_3" xfId="658"/>
    <cellStyle name="_08_IBM_E.51 Credit Impairment testing-Robert_Fixed Assets Register 11 Feb10" xfId="659"/>
    <cellStyle name="_08_IBM_E.51 Credit Impairment testing-Robert_Fixed Assets Register 11 Feb10_(19) Loan Feb-11(Feb-11 figures)" xfId="660"/>
    <cellStyle name="_08_IBM_E.51 Credit Impairment testing-Robert_Fixed Assets Register 12 Mar10.xls" xfId="661"/>
    <cellStyle name="_08_IBM_E.51 Credit Impairment testing-Robert_Fixed Assets Register 12 Mar10.xls_(19) Loan Feb-11(Feb-11 figures)" xfId="662"/>
    <cellStyle name="_08_IBM_E.51 Credit Impairment testing-Robert_IBM Input Sheet 31.03.2010 v0.4" xfId="663"/>
    <cellStyle name="_08_IBM_E.51 Credit Impairment testing-Robert_IBM Input Sheet 31.03.2010 v0.4_(19) Loan Feb-11(Feb-11 figures)" xfId="664"/>
    <cellStyle name="_08_IBM_E.51 Credit Impairment testing-Robert_IBM_Grouped(2)" xfId="665"/>
    <cellStyle name="_08_IBM_E.51 Credit Impairment testing-Robert_IBM_Grouped(2)_Recon" xfId="666"/>
    <cellStyle name="_08_IBM_E.51 Credit Impairment testing-Robert_IBM_Grouped(2)_Recon W1" xfId="667"/>
    <cellStyle name="_08_IBM_E.51 Credit Impairment testing-Robert_IBM_Grouped(2)_Recon_1" xfId="668"/>
    <cellStyle name="_08_IBM_E.51 Credit Impairment testing-Robert_IBM_Grouped(2)_Recon_2" xfId="669"/>
    <cellStyle name="_08_IBM_E.51 Credit Impairment testing-Robert_IBM_Grouped(2)_Recon_3" xfId="670"/>
    <cellStyle name="_08_IBM_E.51 Credit Impairment testing-Robert_IBM_Grouped(2)_Reconciliation" xfId="671"/>
    <cellStyle name="_08_IBM_E.51 Credit Impairment testing-Robert_IBM_Grouped(2)_Reconciliation_1" xfId="672"/>
    <cellStyle name="_08_IBM_E.51 Credit Impairment testing-Robert_IBM_Grouped(2)_Reconciliation_2" xfId="673"/>
    <cellStyle name="_08_IBM_E.51 Credit Impairment testing-Robert_IBM_Grouped(2)_Reconciliation_3" xfId="674"/>
    <cellStyle name="_08_IBM_E.51 Credit Impairment testing-Robert_IBM_Grouped_USD" xfId="675"/>
    <cellStyle name="_08_IBM_E.51 Credit Impairment testing-Robert_IBM_Grouped_USD_Recon" xfId="676"/>
    <cellStyle name="_08_IBM_E.51 Credit Impairment testing-Robert_IBM_Grouped_USD_Recon W1" xfId="677"/>
    <cellStyle name="_08_IBM_E.51 Credit Impairment testing-Robert_IBM_Grouped_USD_Recon_1" xfId="678"/>
    <cellStyle name="_08_IBM_E.51 Credit Impairment testing-Robert_IBM_Grouped_USD_Recon_2" xfId="679"/>
    <cellStyle name="_08_IBM_E.51 Credit Impairment testing-Robert_IBM_Grouped_USD_Recon_3" xfId="680"/>
    <cellStyle name="_08_IBM_E.51 Credit Impairment testing-Robert_IBM_Grouped_USD_Reconciliation" xfId="681"/>
    <cellStyle name="_08_IBM_E.51 Credit Impairment testing-Robert_IBM_Grouped_USD_Reconciliation_1" xfId="682"/>
    <cellStyle name="_08_IBM_E.51 Credit Impairment testing-Robert_IBM_Grouped_USD_Reconciliation_2" xfId="683"/>
    <cellStyle name="_08_IBM_E.51 Credit Impairment testing-Robert_IBM_Grouped_USD_Reconciliation_3" xfId="684"/>
    <cellStyle name="_08_IBM_E.51 Credit Impairment testing-Robert_IBM_Grouped_ZAR" xfId="685"/>
    <cellStyle name="_08_IBM_E.51 Credit Impairment testing-Robert_IBM_Grouped_ZAR_Recon" xfId="686"/>
    <cellStyle name="_08_IBM_E.51 Credit Impairment testing-Robert_IBM_Grouped_ZAR_Recon W1" xfId="687"/>
    <cellStyle name="_08_IBM_E.51 Credit Impairment testing-Robert_IBM_Grouped_ZAR_Recon_1" xfId="688"/>
    <cellStyle name="_08_IBM_E.51 Credit Impairment testing-Robert_IBM_Grouped_ZAR_Recon_2" xfId="689"/>
    <cellStyle name="_08_IBM_E.51 Credit Impairment testing-Robert_IBM_Grouped_ZAR_Recon_3" xfId="690"/>
    <cellStyle name="_08_IBM_E.51 Credit Impairment testing-Robert_IBM_Grouped_ZAR_Reconciliation" xfId="691"/>
    <cellStyle name="_08_IBM_E.51 Credit Impairment testing-Robert_IBM_Grouped_ZAR_Reconciliation_1" xfId="692"/>
    <cellStyle name="_08_IBM_E.51 Credit Impairment testing-Robert_IBM_Grouped_ZAR_Reconciliation_2" xfId="693"/>
    <cellStyle name="_08_IBM_E.51 Credit Impairment testing-Robert_IBM_Grouped_ZAR_Reconciliation_3" xfId="694"/>
    <cellStyle name="_08_IBM_E.51 Credit Impairment testing-Robert_Liquidity and repricing" xfId="695"/>
    <cellStyle name="_08_IBM_E.51 Credit Impairment testing-Robert_Liquidity and repricing_IBM_Grouped(2)" xfId="696"/>
    <cellStyle name="_08_IBM_E.51 Credit Impairment testing-Robert_Liquidity and repricing_IBM_Grouped(2)_Recon" xfId="697"/>
    <cellStyle name="_08_IBM_E.51 Credit Impairment testing-Robert_Liquidity and repricing_IBM_Grouped(2)_Recon to Segmental Report" xfId="698"/>
    <cellStyle name="_08_IBM_E.51 Credit Impairment testing-Robert_Liquidity and repricing_IBM_Grouped(2)_Recon_1" xfId="699"/>
    <cellStyle name="_08_IBM_E.51 Credit Impairment testing-Robert_Liquidity and repricing_IBM_Grouped(2)_Recon_2" xfId="700"/>
    <cellStyle name="_08_IBM_E.51 Credit Impairment testing-Robert_Liquidity and repricing_IBM_Grouped(2)_Recon_3" xfId="701"/>
    <cellStyle name="_08_IBM_E.51 Credit Impairment testing-Robert_Liquidity and repricing_IBM_Grouped(2)_Recon_4" xfId="702"/>
    <cellStyle name="_08_IBM_E.51 Credit Impairment testing-Robert_Liquidity and repricing_IBM_Grouped(2)_Reconciliation" xfId="703"/>
    <cellStyle name="_08_IBM_E.51 Credit Impairment testing-Robert_Liquidity and repricing_IBM_Grouped(2)_Reconciliation_1" xfId="704"/>
    <cellStyle name="_08_IBM_E.51 Credit Impairment testing-Robert_Liquidity and repricing_IBM_Grouped(2)_Reconciliation_2" xfId="705"/>
    <cellStyle name="_08_IBM_E.51 Credit Impairment testing-Robert_Liquidity and repricing_IBM_Grouped(2)_Reconciliation_3" xfId="706"/>
    <cellStyle name="_08_IBM_E.51 Credit Impairment testing-Robert_Liquidity and repricing_Recon" xfId="707"/>
    <cellStyle name="_08_IBM_E.51 Credit Impairment testing-Robert_Liquidity and repricing_Recon W1" xfId="708"/>
    <cellStyle name="_08_IBM_E.51 Credit Impairment testing-Robert_Liquidity and repricing_Recon_1" xfId="709"/>
    <cellStyle name="_08_IBM_E.51 Credit Impairment testing-Robert_Liquidity and repricing_Recon_2" xfId="710"/>
    <cellStyle name="_08_IBM_E.51 Credit Impairment testing-Robert_Liquidity and repricing_Recon_3" xfId="711"/>
    <cellStyle name="_08_IBM_E.51 Credit Impairment testing-Robert_Liquidity and repricing_Reconciliation" xfId="712"/>
    <cellStyle name="_08_IBM_E.51 Credit Impairment testing-Robert_Liquidity and repricing_Reconciliation_1" xfId="713"/>
    <cellStyle name="_08_IBM_E.51 Credit Impairment testing-Robert_Liquidity and repricing_Reconciliation_2" xfId="714"/>
    <cellStyle name="_08_IBM_E.51 Credit Impairment testing-Robert_Liquidity and repricing_Reconciliation_3" xfId="715"/>
    <cellStyle name="_08_IBM_E.51 Credit Impairment testing-Robert_MUR position" xfId="716"/>
    <cellStyle name="_08_IBM_E.51 Credit Impairment testing-Robert_NOP 2010 01 31 USD BASED" xfId="717"/>
    <cellStyle name="_08_IBM_E.51 Credit Impairment testing-Robert_NOP 2010 01 31 USD BASED_Report Finance" xfId="718"/>
    <cellStyle name="_08_IBM_E.51 Credit Impairment testing-Robert_NOP 2010 02 28 USD BASED Final" xfId="719"/>
    <cellStyle name="_08_IBM_E.51 Credit Impairment testing-Robert_NOP 2010 02 28 USD BASED Final_Report Finance" xfId="720"/>
    <cellStyle name="_08_IBM_E.51 Credit Impairment testing-Robert_NOP 2010 03 31 USD BASEDrevised" xfId="721"/>
    <cellStyle name="_08_IBM_E.51 Credit Impairment testing-Robert_NOP 2010 03 31 USD BASEDrevised_Report Finance" xfId="722"/>
    <cellStyle name="_08_IBM_E.51 Credit Impairment testing-Robert_NOP 2010 04 30" xfId="723"/>
    <cellStyle name="_08_IBM_E.51 Credit Impairment testing-Robert_NOP 2010 04 30_Recon" xfId="724"/>
    <cellStyle name="_08_IBM_E.51 Credit Impairment testing-Robert_NOP 2010 04 30_Recon W1" xfId="725"/>
    <cellStyle name="_08_IBM_E.51 Credit Impairment testing-Robert_NOP 2010 04 30_Recon_1" xfId="726"/>
    <cellStyle name="_08_IBM_E.51 Credit Impairment testing-Robert_NOP 2010 04 30_Recon_2" xfId="727"/>
    <cellStyle name="_08_IBM_E.51 Credit Impairment testing-Robert_NOP 2010 04 30_Recon_3" xfId="728"/>
    <cellStyle name="_08_IBM_E.51 Credit Impairment testing-Robert_NOP 2010 04 30_Reconciliation" xfId="729"/>
    <cellStyle name="_08_IBM_E.51 Credit Impairment testing-Robert_NOP 2010 04 30_Reconciliation_1" xfId="730"/>
    <cellStyle name="_08_IBM_E.51 Credit Impairment testing-Robert_NOP 2010 04 30_Reconciliation_2" xfId="731"/>
    <cellStyle name="_08_IBM_E.51 Credit Impairment testing-Robert_NOP 2010 04 30_Reconciliation_3" xfId="732"/>
    <cellStyle name="_08_IBM_E.51 Credit Impairment testing-Robert_NOP 2010 04 30_Report Finance" xfId="733"/>
    <cellStyle name="_08_IBM_E.51 Credit Impairment testing-Robert_ORIGINAL NOP 2009 12 31 USD BASED" xfId="734"/>
    <cellStyle name="_08_IBM_E.51 Credit Impairment testing-Robert_ORIGINAL NOP 2009 12 31 USD BASED_Report Finance" xfId="735"/>
    <cellStyle name="_08_IBM_E.51 Credit Impairment testing-Robert_Recon" xfId="736"/>
    <cellStyle name="_08_IBM_E.51 Credit Impairment testing-Robert_Recon W1" xfId="737"/>
    <cellStyle name="_08_IBM_E.51 Credit Impairment testing-Robert_Recon_1" xfId="738"/>
    <cellStyle name="_08_IBM_E.51 Credit Impairment testing-Robert_Recon_2" xfId="739"/>
    <cellStyle name="_08_IBM_E.51 Credit Impairment testing-Robert_Recon_3" xfId="740"/>
    <cellStyle name="_08_IBM_E.51 Credit Impairment testing-Robert_Reconciliation" xfId="741"/>
    <cellStyle name="_08_IBM_E.51 Credit Impairment testing-Robert_Reconciliation_1" xfId="742"/>
    <cellStyle name="_08_IBM_E.51 Credit Impairment testing-Robert_Reconciliation_2" xfId="743"/>
    <cellStyle name="_08_IBM_E.51 Credit Impairment testing-Robert_Reconciliation_3" xfId="744"/>
    <cellStyle name="_08_IBM_E.51 Credit Impairment testing-Robert_Report Finance" xfId="745"/>
    <cellStyle name="_08_IBM_E.51 Credit Impairment testing-Robert_SC_Treasury_Other" xfId="746"/>
    <cellStyle name="_08_IBM_E.51 Credit Impairment testing-Robert_SC_Treasury_Other_Recon" xfId="747"/>
    <cellStyle name="_08_IBM_E.51 Credit Impairment testing-Robert_SC_Treasury_Other_Recon_1" xfId="748"/>
    <cellStyle name="_08_IBM_E.51 Credit Impairment testing-Robert_SC_Treasury_Other_Recon_2" xfId="749"/>
    <cellStyle name="_08_IBM_E.51 Credit Impairment testing-Robert_SC_Treasury_Other_Recon_3" xfId="750"/>
    <cellStyle name="_08_IBM_E.51 Credit Impairment testing-Robert_SC_Treasury_Other_Reconciliation" xfId="751"/>
    <cellStyle name="_08_IBM_E.51 Credit Impairment testing-Robert_SC_Treasury_Other_Reconciliation_1" xfId="752"/>
    <cellStyle name="_08_IBM_E.51 Credit Impairment testing-Robert_Sheet1" xfId="753"/>
    <cellStyle name="_08_IBM_E.51 Credit Impairment testing-Robert_Sheet1_1" xfId="754"/>
    <cellStyle name="_08_IBM_Final_Specialised Finance_BS" xfId="755"/>
    <cellStyle name="_08_IBM_Final_Specialised Finance_BS_Circularisation Status Specialised Finance Division 17 Mar 10" xfId="756"/>
    <cellStyle name="_08_IBM_Final_Specialised Finance_BS_Sheet1" xfId="757"/>
    <cellStyle name="_08_IBM_Final_Specialised Finance_IS" xfId="758"/>
    <cellStyle name="_08_IBM_Final_Specialised Finance_IS_Circularisation Status Specialised Finance Division 17 Mar 10" xfId="759"/>
    <cellStyle name="_08_IBM_Final_Specialised Finance_IS_Sheet1" xfId="760"/>
    <cellStyle name="_08_IBM_H.4 - H.5 - Intercompany reconciliation_centralised_Poo to review" xfId="761"/>
    <cellStyle name="_08_IBM_H.4 - H.5 - Intercompany reconciliation_centralised_Poo to review_(26) Oct-09 (AL)" xfId="762"/>
    <cellStyle name="_08_IBM_H.4 - H.5 - Intercompany reconciliation_centralised_Poo to review_(26) Oct-09 (AL)_IBM_Grouped(2)" xfId="763"/>
    <cellStyle name="_08_IBM_H.4 - H.5 - Intercompany reconciliation_centralised_Poo to review_(26) Oct-09 (AL)_IBM_Grouped(2)_Recon" xfId="764"/>
    <cellStyle name="_08_IBM_H.4 - H.5 - Intercompany reconciliation_centralised_Poo to review_(26) Oct-09 (AL)_IBM_Grouped(2)_Recon to Segmental Report" xfId="765"/>
    <cellStyle name="_08_IBM_H.4 - H.5 - Intercompany reconciliation_centralised_Poo to review_(26) Oct-09 (AL)_IBM_Grouped(2)_Recon_1" xfId="766"/>
    <cellStyle name="_08_IBM_H.4 - H.5 - Intercompany reconciliation_centralised_Poo to review_(26) Oct-09 (AL)_IBM_Grouped(2)_Recon_2" xfId="767"/>
    <cellStyle name="_08_IBM_H.4 - H.5 - Intercompany reconciliation_centralised_Poo to review_(26) Oct-09 (AL)_IBM_Grouped(2)_Recon_3" xfId="768"/>
    <cellStyle name="_08_IBM_H.4 - H.5 - Intercompany reconciliation_centralised_Poo to review_(26) Oct-09 (AL)_IBM_Grouped(2)_Recon_4" xfId="769"/>
    <cellStyle name="_08_IBM_H.4 - H.5 - Intercompany reconciliation_centralised_Poo to review_(26) Oct-09 (AL)_IBM_Grouped(2)_Reconciliation" xfId="770"/>
    <cellStyle name="_08_IBM_H.4 - H.5 - Intercompany reconciliation_centralised_Poo to review_(26) Oct-09 (AL)_IBM_Grouped(2)_Reconciliation_1" xfId="771"/>
    <cellStyle name="_08_IBM_H.4 - H.5 - Intercompany reconciliation_centralised_Poo to review_(26) Oct-09 (AL)_IBM_Grouped(2)_Reconciliation_2" xfId="772"/>
    <cellStyle name="_08_IBM_H.4 - H.5 - Intercompany reconciliation_centralised_Poo to review_(26) Oct-09 (AL)_IBM_Grouped(2)_Reconciliation_3" xfId="773"/>
    <cellStyle name="_08_IBM_H.4 - H.5 - Intercompany reconciliation_centralised_Poo to review_(26) Oct-09 (AL)_Recon" xfId="774"/>
    <cellStyle name="_08_IBM_H.4 - H.5 - Intercompany reconciliation_centralised_Poo to review_(26) Oct-09 (AL)_Recon W1" xfId="775"/>
    <cellStyle name="_08_IBM_H.4 - H.5 - Intercompany reconciliation_centralised_Poo to review_(26) Oct-09 (AL)_Recon_1" xfId="776"/>
    <cellStyle name="_08_IBM_H.4 - H.5 - Intercompany reconciliation_centralised_Poo to review_(26) Oct-09 (AL)_Recon_2" xfId="777"/>
    <cellStyle name="_08_IBM_H.4 - H.5 - Intercompany reconciliation_centralised_Poo to review_(26) Oct-09 (AL)_Recon_3" xfId="778"/>
    <cellStyle name="_08_IBM_H.4 - H.5 - Intercompany reconciliation_centralised_Poo to review_(26) Oct-09 (AL)_Reconciliation" xfId="779"/>
    <cellStyle name="_08_IBM_H.4 - H.5 - Intercompany reconciliation_centralised_Poo to review_(26) Oct-09 (AL)_Reconciliation_1" xfId="780"/>
    <cellStyle name="_08_IBM_H.4 - H.5 - Intercompany reconciliation_centralised_Poo to review_(26) Oct-09 (AL)_Reconciliation_2" xfId="781"/>
    <cellStyle name="_08_IBM_H.4 - H.5 - Intercompany reconciliation_centralised_Poo to review_(26) Oct-09 (AL)_Reconciliation_3" xfId="782"/>
    <cellStyle name="_08_IBM_H.4 - H.5 - Intercompany reconciliation_centralised_Poo to review_(27) Nov-09 (AL)" xfId="783"/>
    <cellStyle name="_08_IBM_H.4 - H.5 - Intercompany reconciliation_centralised_Poo to review_(27) Nov-09 (AL)_IBM_Grouped(2)" xfId="784"/>
    <cellStyle name="_08_IBM_H.4 - H.5 - Intercompany reconciliation_centralised_Poo to review_(27) Nov-09 (AL)_IBM_Grouped(2)_Recon" xfId="785"/>
    <cellStyle name="_08_IBM_H.4 - H.5 - Intercompany reconciliation_centralised_Poo to review_(27) Nov-09 (AL)_IBM_Grouped(2)_Recon to Segmental Report" xfId="786"/>
    <cellStyle name="_08_IBM_H.4 - H.5 - Intercompany reconciliation_centralised_Poo to review_(27) Nov-09 (AL)_IBM_Grouped(2)_Recon_1" xfId="787"/>
    <cellStyle name="_08_IBM_H.4 - H.5 - Intercompany reconciliation_centralised_Poo to review_(27) Nov-09 (AL)_IBM_Grouped(2)_Recon_2" xfId="788"/>
    <cellStyle name="_08_IBM_H.4 - H.5 - Intercompany reconciliation_centralised_Poo to review_(27) Nov-09 (AL)_IBM_Grouped(2)_Recon_3" xfId="789"/>
    <cellStyle name="_08_IBM_H.4 - H.5 - Intercompany reconciliation_centralised_Poo to review_(27) Nov-09 (AL)_IBM_Grouped(2)_Recon_4" xfId="790"/>
    <cellStyle name="_08_IBM_H.4 - H.5 - Intercompany reconciliation_centralised_Poo to review_(27) Nov-09 (AL)_IBM_Grouped(2)_Reconciliation" xfId="791"/>
    <cellStyle name="_08_IBM_H.4 - H.5 - Intercompany reconciliation_centralised_Poo to review_(27) Nov-09 (AL)_IBM_Grouped(2)_Reconciliation_1" xfId="792"/>
    <cellStyle name="_08_IBM_H.4 - H.5 - Intercompany reconciliation_centralised_Poo to review_(27) Nov-09 (AL)_IBM_Grouped(2)_Reconciliation_2" xfId="793"/>
    <cellStyle name="_08_IBM_H.4 - H.5 - Intercompany reconciliation_centralised_Poo to review_(27) Nov-09 (AL)_IBM_Grouped(2)_Reconciliation_3" xfId="794"/>
    <cellStyle name="_08_IBM_H.4 - H.5 - Intercompany reconciliation_centralised_Poo to review_(27) Nov-09 (AL)_Recon" xfId="795"/>
    <cellStyle name="_08_IBM_H.4 - H.5 - Intercompany reconciliation_centralised_Poo to review_(27) Nov-09 (AL)_Recon W1" xfId="796"/>
    <cellStyle name="_08_IBM_H.4 - H.5 - Intercompany reconciliation_centralised_Poo to review_(27) Nov-09 (AL)_Recon_1" xfId="797"/>
    <cellStyle name="_08_IBM_H.4 - H.5 - Intercompany reconciliation_centralised_Poo to review_(27) Nov-09 (AL)_Recon_2" xfId="798"/>
    <cellStyle name="_08_IBM_H.4 - H.5 - Intercompany reconciliation_centralised_Poo to review_(27) Nov-09 (AL)_Recon_3" xfId="799"/>
    <cellStyle name="_08_IBM_H.4 - H.5 - Intercompany reconciliation_centralised_Poo to review_(27) Nov-09 (AL)_Reconciliation" xfId="800"/>
    <cellStyle name="_08_IBM_H.4 - H.5 - Intercompany reconciliation_centralised_Poo to review_(27) Nov-09 (AL)_Reconciliation_1" xfId="801"/>
    <cellStyle name="_08_IBM_H.4 - H.5 - Intercompany reconciliation_centralised_Poo to review_(27) Nov-09 (AL)_Reconciliation_2" xfId="802"/>
    <cellStyle name="_08_IBM_H.4 - H.5 - Intercompany reconciliation_centralised_Poo to review_(27) Nov-09 (AL)_Reconciliation_3" xfId="803"/>
    <cellStyle name="_08_IBM_H.4 - H.5 - Intercompany reconciliation_centralised_Poo to review_09_IBM_A5.6.3_Sig Acc and SFOT Determination" xfId="804"/>
    <cellStyle name="_08_IBM_H.4 - H.5 - Intercompany reconciliation_centralised_Poo to review_09_IBM_Preliminary PM (Interim) 31.03.010" xfId="805"/>
    <cellStyle name="_08_IBM_H.4 - H.5 - Intercompany reconciliation_centralised_Poo to review_10_IBM_Bank Recon" xfId="806"/>
    <cellStyle name="_08_IBM_H.4 - H.5 - Intercompany reconciliation_centralised_Poo to review_10_IBM_J8_Cash Cut Off" xfId="807"/>
    <cellStyle name="_08_IBM_H.4 - H.5 - Intercompany reconciliation_centralised_Poo to review_10_IBM_Other liabilities" xfId="808"/>
    <cellStyle name="_08_IBM_H.4 - H.5 - Intercompany reconciliation_centralised_Poo to review_10_IBM_PLSF_Circularisation status" xfId="809"/>
    <cellStyle name="_08_IBM_H.4 - H.5 - Intercompany reconciliation_centralised_Poo to review_10_IBM_Preliminary PM " xfId="810"/>
    <cellStyle name="_08_IBM_H.4 - H.5 - Intercompany reconciliation_centralised_Poo to review_10_IBM_Sig Acc and SFOT determination " xfId="811"/>
    <cellStyle name="_08_IBM_H.4 - H.5 - Intercompany reconciliation_centralised_Poo to review_31.12.09 Mauritius-USD based ledger - Final1" xfId="812"/>
    <cellStyle name="_08_IBM_H.4 - H.5 - Intercompany reconciliation_centralised_Poo to review_Book1 (4)" xfId="813"/>
    <cellStyle name="_08_IBM_H.4 - H.5 - Intercompany reconciliation_centralised_Poo to review_Book4" xfId="814"/>
    <cellStyle name="_08_IBM_H.4 - H.5 - Intercompany reconciliation_centralised_Poo to review_Book4_Recon" xfId="815"/>
    <cellStyle name="_08_IBM_H.4 - H.5 - Intercompany reconciliation_centralised_Poo to review_Book4_Recon W1" xfId="816"/>
    <cellStyle name="_08_IBM_H.4 - H.5 - Intercompany reconciliation_centralised_Poo to review_Book4_Recon_1" xfId="817"/>
    <cellStyle name="_08_IBM_H.4 - H.5 - Intercompany reconciliation_centralised_Poo to review_Book4_Recon_2" xfId="818"/>
    <cellStyle name="_08_IBM_H.4 - H.5 - Intercompany reconciliation_centralised_Poo to review_Book4_Recon_3" xfId="819"/>
    <cellStyle name="_08_IBM_H.4 - H.5 - Intercompany reconciliation_centralised_Poo to review_Book4_Reconciliation" xfId="820"/>
    <cellStyle name="_08_IBM_H.4 - H.5 - Intercompany reconciliation_centralised_Poo to review_Book4_Reconciliation_1" xfId="821"/>
    <cellStyle name="_08_IBM_H.4 - H.5 - Intercompany reconciliation_centralised_Poo to review_Book4_Reconciliation_2" xfId="822"/>
    <cellStyle name="_08_IBM_H.4 - H.5 - Intercompany reconciliation_centralised_Poo to review_Book4_Reconciliation_3" xfId="823"/>
    <cellStyle name="_08_IBM_H.4 - H.5 - Intercompany reconciliation_centralised_Poo to review_capital adequacy September 2009" xfId="824"/>
    <cellStyle name="_08_IBM_H.4 - H.5 - Intercompany reconciliation_centralised_Poo to review_capital adequacy September 2009_IBM_Grouped(2)" xfId="825"/>
    <cellStyle name="_08_IBM_H.4 - H.5 - Intercompany reconciliation_centralised_Poo to review_capital adequacy September 2009_IBM_Grouped(2)_Recon" xfId="826"/>
    <cellStyle name="_08_IBM_H.4 - H.5 - Intercompany reconciliation_centralised_Poo to review_capital adequacy September 2009_IBM_Grouped(2)_Recon to Segmental Report" xfId="827"/>
    <cellStyle name="_08_IBM_H.4 - H.5 - Intercompany reconciliation_centralised_Poo to review_capital adequacy September 2009_IBM_Grouped(2)_Recon_1" xfId="828"/>
    <cellStyle name="_08_IBM_H.4 - H.5 - Intercompany reconciliation_centralised_Poo to review_capital adequacy September 2009_IBM_Grouped(2)_Recon_2" xfId="829"/>
    <cellStyle name="_08_IBM_H.4 - H.5 - Intercompany reconciliation_centralised_Poo to review_capital adequacy September 2009_IBM_Grouped(2)_Recon_3" xfId="830"/>
    <cellStyle name="_08_IBM_H.4 - H.5 - Intercompany reconciliation_centralised_Poo to review_capital adequacy September 2009_IBM_Grouped(2)_Recon_4" xfId="831"/>
    <cellStyle name="_08_IBM_H.4 - H.5 - Intercompany reconciliation_centralised_Poo to review_capital adequacy September 2009_IBM_Grouped(2)_Reconciliation" xfId="832"/>
    <cellStyle name="_08_IBM_H.4 - H.5 - Intercompany reconciliation_centralised_Poo to review_capital adequacy September 2009_IBM_Grouped(2)_Reconciliation_1" xfId="833"/>
    <cellStyle name="_08_IBM_H.4 - H.5 - Intercompany reconciliation_centralised_Poo to review_capital adequacy September 2009_IBM_Grouped(2)_Reconciliation_2" xfId="834"/>
    <cellStyle name="_08_IBM_H.4 - H.5 - Intercompany reconciliation_centralised_Poo to review_capital adequacy September 2009_IBM_Grouped(2)_Reconciliation_3" xfId="835"/>
    <cellStyle name="_08_IBM_H.4 - H.5 - Intercompany reconciliation_centralised_Poo to review_capital adequacy September 2009_Recon" xfId="836"/>
    <cellStyle name="_08_IBM_H.4 - H.5 - Intercompany reconciliation_centralised_Poo to review_capital adequacy September 2009_Recon W1" xfId="837"/>
    <cellStyle name="_08_IBM_H.4 - H.5 - Intercompany reconciliation_centralised_Poo to review_capital adequacy September 2009_Recon_1" xfId="838"/>
    <cellStyle name="_08_IBM_H.4 - H.5 - Intercompany reconciliation_centralised_Poo to review_capital adequacy September 2009_Recon_2" xfId="839"/>
    <cellStyle name="_08_IBM_H.4 - H.5 - Intercompany reconciliation_centralised_Poo to review_capital adequacy September 2009_Recon_3" xfId="840"/>
    <cellStyle name="_08_IBM_H.4 - H.5 - Intercompany reconciliation_centralised_Poo to review_capital adequacy September 2009_Reconciliation" xfId="841"/>
    <cellStyle name="_08_IBM_H.4 - H.5 - Intercompany reconciliation_centralised_Poo to review_capital adequacy September 2009_Reconciliation_1" xfId="842"/>
    <cellStyle name="_08_IBM_H.4 - H.5 - Intercompany reconciliation_centralised_Poo to review_capital adequacy September 2009_Reconciliation_2" xfId="843"/>
    <cellStyle name="_08_IBM_H.4 - H.5 - Intercompany reconciliation_centralised_Poo to review_capital adequacy September 2009_Reconciliation_3" xfId="844"/>
    <cellStyle name="_08_IBM_H.4 - H.5 - Intercompany reconciliation_centralised_Poo to review_Circularisation Status Specialised Finance Division 17 Mar 10" xfId="845"/>
    <cellStyle name="_08_IBM_H.4 - H.5 - Intercompany reconciliation_centralised_Poo to review_Copy of Mauritius-USD based ledger" xfId="846"/>
    <cellStyle name="_08_IBM_H.4 - H.5 - Intercompany reconciliation_centralised_Poo to review_Copy of Mauritius-USD based ledger_Recon" xfId="847"/>
    <cellStyle name="_08_IBM_H.4 - H.5 - Intercompany reconciliation_centralised_Poo to review_Copy of Mauritius-USD based ledger_Recon W1" xfId="848"/>
    <cellStyle name="_08_IBM_H.4 - H.5 - Intercompany reconciliation_centralised_Poo to review_Copy of Mauritius-USD based ledger_Recon_1" xfId="849"/>
    <cellStyle name="_08_IBM_H.4 - H.5 - Intercompany reconciliation_centralised_Poo to review_Copy of Mauritius-USD based ledger_Recon_2" xfId="850"/>
    <cellStyle name="_08_IBM_H.4 - H.5 - Intercompany reconciliation_centralised_Poo to review_Copy of Mauritius-USD based ledger_Recon_3" xfId="851"/>
    <cellStyle name="_08_IBM_H.4 - H.5 - Intercompany reconciliation_centralised_Poo to review_Copy of Mauritius-USD based ledger_Reconciliation" xfId="852"/>
    <cellStyle name="_08_IBM_H.4 - H.5 - Intercompany reconciliation_centralised_Poo to review_Copy of Mauritius-USD based ledger_Reconciliation_1" xfId="853"/>
    <cellStyle name="_08_IBM_H.4 - H.5 - Intercompany reconciliation_centralised_Poo to review_Copy of Mauritius-USD based ledger_Reconciliation_2" xfId="854"/>
    <cellStyle name="_08_IBM_H.4 - H.5 - Intercompany reconciliation_centralised_Poo to review_Copy of Mauritius-USD based ledger_Reconciliation_3" xfId="855"/>
    <cellStyle name="_08_IBM_H.4 - H.5 - Intercompany reconciliation_centralised_Poo to review_Fixed Assets Register 11 Feb10" xfId="856"/>
    <cellStyle name="_08_IBM_H.4 - H.5 - Intercompany reconciliation_centralised_Poo to review_Fixed Assets Register 11 Feb10_(19) Loan Feb-11(Feb-11 figures)" xfId="857"/>
    <cellStyle name="_08_IBM_H.4 - H.5 - Intercompany reconciliation_centralised_Poo to review_Fixed Assets Register 12 Mar10.xls" xfId="858"/>
    <cellStyle name="_08_IBM_H.4 - H.5 - Intercompany reconciliation_centralised_Poo to review_Fixed Assets Register 12 Mar10.xls_(19) Loan Feb-11(Feb-11 figures)" xfId="859"/>
    <cellStyle name="_08_IBM_H.4 - H.5 - Intercompany reconciliation_centralised_Poo to review_IBM Input Sheet 31.03.2010 v0.4" xfId="860"/>
    <cellStyle name="_08_IBM_H.4 - H.5 - Intercompany reconciliation_centralised_Poo to review_IBM Input Sheet 31.03.2010 v0.4_(19) Loan Feb-11(Feb-11 figures)" xfId="861"/>
    <cellStyle name="_08_IBM_H.4 - H.5 - Intercompany reconciliation_centralised_Poo to review_IBM_Grouped(2)" xfId="862"/>
    <cellStyle name="_08_IBM_H.4 - H.5 - Intercompany reconciliation_centralised_Poo to review_IBM_Grouped(2)_Recon" xfId="863"/>
    <cellStyle name="_08_IBM_H.4 - H.5 - Intercompany reconciliation_centralised_Poo to review_IBM_Grouped(2)_Recon W1" xfId="864"/>
    <cellStyle name="_08_IBM_H.4 - H.5 - Intercompany reconciliation_centralised_Poo to review_IBM_Grouped(2)_Recon_1" xfId="865"/>
    <cellStyle name="_08_IBM_H.4 - H.5 - Intercompany reconciliation_centralised_Poo to review_IBM_Grouped(2)_Recon_2" xfId="866"/>
    <cellStyle name="_08_IBM_H.4 - H.5 - Intercompany reconciliation_centralised_Poo to review_IBM_Grouped(2)_Recon_3" xfId="867"/>
    <cellStyle name="_08_IBM_H.4 - H.5 - Intercompany reconciliation_centralised_Poo to review_IBM_Grouped(2)_Reconciliation" xfId="868"/>
    <cellStyle name="_08_IBM_H.4 - H.5 - Intercompany reconciliation_centralised_Poo to review_IBM_Grouped(2)_Reconciliation_1" xfId="869"/>
    <cellStyle name="_08_IBM_H.4 - H.5 - Intercompany reconciliation_centralised_Poo to review_IBM_Grouped(2)_Reconciliation_2" xfId="870"/>
    <cellStyle name="_08_IBM_H.4 - H.5 - Intercompany reconciliation_centralised_Poo to review_IBM_Grouped(2)_Reconciliation_3" xfId="871"/>
    <cellStyle name="_08_IBM_H.4 - H.5 - Intercompany reconciliation_centralised_Poo to review_IBM_Grouped_USD" xfId="872"/>
    <cellStyle name="_08_IBM_H.4 - H.5 - Intercompany reconciliation_centralised_Poo to review_IBM_Grouped_USD_Recon" xfId="873"/>
    <cellStyle name="_08_IBM_H.4 - H.5 - Intercompany reconciliation_centralised_Poo to review_IBM_Grouped_USD_Recon W1" xfId="874"/>
    <cellStyle name="_08_IBM_H.4 - H.5 - Intercompany reconciliation_centralised_Poo to review_IBM_Grouped_USD_Recon_1" xfId="875"/>
    <cellStyle name="_08_IBM_H.4 - H.5 - Intercompany reconciliation_centralised_Poo to review_IBM_Grouped_USD_Recon_2" xfId="876"/>
    <cellStyle name="_08_IBM_H.4 - H.5 - Intercompany reconciliation_centralised_Poo to review_IBM_Grouped_USD_Recon_3" xfId="877"/>
    <cellStyle name="_08_IBM_H.4 - H.5 - Intercompany reconciliation_centralised_Poo to review_IBM_Grouped_USD_Reconciliation" xfId="878"/>
    <cellStyle name="_08_IBM_H.4 - H.5 - Intercompany reconciliation_centralised_Poo to review_IBM_Grouped_USD_Reconciliation_1" xfId="879"/>
    <cellStyle name="_08_IBM_H.4 - H.5 - Intercompany reconciliation_centralised_Poo to review_IBM_Grouped_USD_Reconciliation_2" xfId="880"/>
    <cellStyle name="_08_IBM_H.4 - H.5 - Intercompany reconciliation_centralised_Poo to review_IBM_Grouped_USD_Reconciliation_3" xfId="881"/>
    <cellStyle name="_08_IBM_H.4 - H.5 - Intercompany reconciliation_centralised_Poo to review_IBM_Grouped_ZAR" xfId="882"/>
    <cellStyle name="_08_IBM_H.4 - H.5 - Intercompany reconciliation_centralised_Poo to review_IBM_Grouped_ZAR_Recon" xfId="883"/>
    <cellStyle name="_08_IBM_H.4 - H.5 - Intercompany reconciliation_centralised_Poo to review_IBM_Grouped_ZAR_Recon W1" xfId="884"/>
    <cellStyle name="_08_IBM_H.4 - H.5 - Intercompany reconciliation_centralised_Poo to review_IBM_Grouped_ZAR_Recon_1" xfId="885"/>
    <cellStyle name="_08_IBM_H.4 - H.5 - Intercompany reconciliation_centralised_Poo to review_IBM_Grouped_ZAR_Recon_2" xfId="886"/>
    <cellStyle name="_08_IBM_H.4 - H.5 - Intercompany reconciliation_centralised_Poo to review_IBM_Grouped_ZAR_Recon_3" xfId="887"/>
    <cellStyle name="_08_IBM_H.4 - H.5 - Intercompany reconciliation_centralised_Poo to review_IBM_Grouped_ZAR_Reconciliation" xfId="888"/>
    <cellStyle name="_08_IBM_H.4 - H.5 - Intercompany reconciliation_centralised_Poo to review_IBM_Grouped_ZAR_Reconciliation_1" xfId="889"/>
    <cellStyle name="_08_IBM_H.4 - H.5 - Intercompany reconciliation_centralised_Poo to review_IBM_Grouped_ZAR_Reconciliation_2" xfId="890"/>
    <cellStyle name="_08_IBM_H.4 - H.5 - Intercompany reconciliation_centralised_Poo to review_IBM_Grouped_ZAR_Reconciliation_3" xfId="891"/>
    <cellStyle name="_08_IBM_H.4 - H.5 - Intercompany reconciliation_centralised_Poo to review_Liquidity and repricing" xfId="892"/>
    <cellStyle name="_08_IBM_H.4 - H.5 - Intercompany reconciliation_centralised_Poo to review_Liquidity and repricing_IBM_Grouped(2)" xfId="893"/>
    <cellStyle name="_08_IBM_H.4 - H.5 - Intercompany reconciliation_centralised_Poo to review_Liquidity and repricing_IBM_Grouped(2)_Recon" xfId="894"/>
    <cellStyle name="_08_IBM_H.4 - H.5 - Intercompany reconciliation_centralised_Poo to review_Liquidity and repricing_IBM_Grouped(2)_Recon to Segmental Report" xfId="895"/>
    <cellStyle name="_08_IBM_H.4 - H.5 - Intercompany reconciliation_centralised_Poo to review_Liquidity and repricing_IBM_Grouped(2)_Recon_1" xfId="896"/>
    <cellStyle name="_08_IBM_H.4 - H.5 - Intercompany reconciliation_centralised_Poo to review_Liquidity and repricing_IBM_Grouped(2)_Recon_2" xfId="897"/>
    <cellStyle name="_08_IBM_H.4 - H.5 - Intercompany reconciliation_centralised_Poo to review_Liquidity and repricing_IBM_Grouped(2)_Recon_3" xfId="898"/>
    <cellStyle name="_08_IBM_H.4 - H.5 - Intercompany reconciliation_centralised_Poo to review_Liquidity and repricing_IBM_Grouped(2)_Recon_4" xfId="899"/>
    <cellStyle name="_08_IBM_H.4 - H.5 - Intercompany reconciliation_centralised_Poo to review_Liquidity and repricing_IBM_Grouped(2)_Reconciliation" xfId="900"/>
    <cellStyle name="_08_IBM_H.4 - H.5 - Intercompany reconciliation_centralised_Poo to review_Liquidity and repricing_IBM_Grouped(2)_Reconciliation_1" xfId="901"/>
    <cellStyle name="_08_IBM_H.4 - H.5 - Intercompany reconciliation_centralised_Poo to review_Liquidity and repricing_IBM_Grouped(2)_Reconciliation_2" xfId="902"/>
    <cellStyle name="_08_IBM_H.4 - H.5 - Intercompany reconciliation_centralised_Poo to review_Liquidity and repricing_IBM_Grouped(2)_Reconciliation_3" xfId="903"/>
    <cellStyle name="_08_IBM_H.4 - H.5 - Intercompany reconciliation_centralised_Poo to review_Liquidity and repricing_Recon" xfId="904"/>
    <cellStyle name="_08_IBM_H.4 - H.5 - Intercompany reconciliation_centralised_Poo to review_Liquidity and repricing_Recon W1" xfId="905"/>
    <cellStyle name="_08_IBM_H.4 - H.5 - Intercompany reconciliation_centralised_Poo to review_Liquidity and repricing_Recon_1" xfId="906"/>
    <cellStyle name="_08_IBM_H.4 - H.5 - Intercompany reconciliation_centralised_Poo to review_Liquidity and repricing_Recon_2" xfId="907"/>
    <cellStyle name="_08_IBM_H.4 - H.5 - Intercompany reconciliation_centralised_Poo to review_Liquidity and repricing_Recon_3" xfId="908"/>
    <cellStyle name="_08_IBM_H.4 - H.5 - Intercompany reconciliation_centralised_Poo to review_Liquidity and repricing_Reconciliation" xfId="909"/>
    <cellStyle name="_08_IBM_H.4 - H.5 - Intercompany reconciliation_centralised_Poo to review_Liquidity and repricing_Reconciliation_1" xfId="910"/>
    <cellStyle name="_08_IBM_H.4 - H.5 - Intercompany reconciliation_centralised_Poo to review_Liquidity and repricing_Reconciliation_2" xfId="911"/>
    <cellStyle name="_08_IBM_H.4 - H.5 - Intercompany reconciliation_centralised_Poo to review_Liquidity and repricing_Reconciliation_3" xfId="912"/>
    <cellStyle name="_08_IBM_H.4 - H.5 - Intercompany reconciliation_centralised_Poo to review_MUR position" xfId="913"/>
    <cellStyle name="_08_IBM_H.4 - H.5 - Intercompany reconciliation_centralised_Poo to review_NOP 2010 01 31 USD BASED" xfId="914"/>
    <cellStyle name="_08_IBM_H.4 - H.5 - Intercompany reconciliation_centralised_Poo to review_NOP 2010 01 31 USD BASED_Report Finance" xfId="915"/>
    <cellStyle name="_08_IBM_H.4 - H.5 - Intercompany reconciliation_centralised_Poo to review_NOP 2010 02 28 USD BASED Final" xfId="916"/>
    <cellStyle name="_08_IBM_H.4 - H.5 - Intercompany reconciliation_centralised_Poo to review_NOP 2010 02 28 USD BASED Final_Report Finance" xfId="917"/>
    <cellStyle name="_08_IBM_H.4 - H.5 - Intercompany reconciliation_centralised_Poo to review_NOP 2010 03 31 USD BASEDrevised" xfId="918"/>
    <cellStyle name="_08_IBM_H.4 - H.5 - Intercompany reconciliation_centralised_Poo to review_NOP 2010 03 31 USD BASEDrevised_Report Finance" xfId="919"/>
    <cellStyle name="_08_IBM_H.4 - H.5 - Intercompany reconciliation_centralised_Poo to review_NOP 2010 04 30" xfId="920"/>
    <cellStyle name="_08_IBM_H.4 - H.5 - Intercompany reconciliation_centralised_Poo to review_NOP 2010 04 30_Recon" xfId="921"/>
    <cellStyle name="_08_IBM_H.4 - H.5 - Intercompany reconciliation_centralised_Poo to review_NOP 2010 04 30_Recon W1" xfId="922"/>
    <cellStyle name="_08_IBM_H.4 - H.5 - Intercompany reconciliation_centralised_Poo to review_NOP 2010 04 30_Recon_1" xfId="923"/>
    <cellStyle name="_08_IBM_H.4 - H.5 - Intercompany reconciliation_centralised_Poo to review_NOP 2010 04 30_Recon_2" xfId="924"/>
    <cellStyle name="_08_IBM_H.4 - H.5 - Intercompany reconciliation_centralised_Poo to review_NOP 2010 04 30_Recon_3" xfId="925"/>
    <cellStyle name="_08_IBM_H.4 - H.5 - Intercompany reconciliation_centralised_Poo to review_NOP 2010 04 30_Reconciliation" xfId="926"/>
    <cellStyle name="_08_IBM_H.4 - H.5 - Intercompany reconciliation_centralised_Poo to review_NOP 2010 04 30_Reconciliation_1" xfId="927"/>
    <cellStyle name="_08_IBM_H.4 - H.5 - Intercompany reconciliation_centralised_Poo to review_NOP 2010 04 30_Reconciliation_2" xfId="928"/>
    <cellStyle name="_08_IBM_H.4 - H.5 - Intercompany reconciliation_centralised_Poo to review_NOP 2010 04 30_Reconciliation_3" xfId="929"/>
    <cellStyle name="_08_IBM_H.4 - H.5 - Intercompany reconciliation_centralised_Poo to review_NOP 2010 04 30_Report Finance" xfId="930"/>
    <cellStyle name="_08_IBM_H.4 - H.5 - Intercompany reconciliation_centralised_Poo to review_ORIGINAL NOP 2009 12 31 USD BASED" xfId="931"/>
    <cellStyle name="_08_IBM_H.4 - H.5 - Intercompany reconciliation_centralised_Poo to review_ORIGINAL NOP 2009 12 31 USD BASED_Report Finance" xfId="932"/>
    <cellStyle name="_08_IBM_H.4 - H.5 - Intercompany reconciliation_centralised_Poo to review_Recon" xfId="933"/>
    <cellStyle name="_08_IBM_H.4 - H.5 - Intercompany reconciliation_centralised_Poo to review_Recon W1" xfId="934"/>
    <cellStyle name="_08_IBM_H.4 - H.5 - Intercompany reconciliation_centralised_Poo to review_Recon_1" xfId="935"/>
    <cellStyle name="_08_IBM_H.4 - H.5 - Intercompany reconciliation_centralised_Poo to review_Recon_2" xfId="936"/>
    <cellStyle name="_08_IBM_H.4 - H.5 - Intercompany reconciliation_centralised_Poo to review_Recon_3" xfId="937"/>
    <cellStyle name="_08_IBM_H.4 - H.5 - Intercompany reconciliation_centralised_Poo to review_Reconciliation" xfId="938"/>
    <cellStyle name="_08_IBM_H.4 - H.5 - Intercompany reconciliation_centralised_Poo to review_Reconciliation_1" xfId="939"/>
    <cellStyle name="_08_IBM_H.4 - H.5 - Intercompany reconciliation_centralised_Poo to review_Reconciliation_2" xfId="940"/>
    <cellStyle name="_08_IBM_H.4 - H.5 - Intercompany reconciliation_centralised_Poo to review_Reconciliation_3" xfId="941"/>
    <cellStyle name="_08_IBM_H.4 - H.5 - Intercompany reconciliation_centralised_Poo to review_Report Finance" xfId="942"/>
    <cellStyle name="_08_IBM_H.4 - H.5 - Intercompany reconciliation_centralised_Poo to review_SC_Treasury_Other" xfId="943"/>
    <cellStyle name="_08_IBM_H.4 - H.5 - Intercompany reconciliation_centralised_Poo to review_SC_Treasury_Other_Recon" xfId="944"/>
    <cellStyle name="_08_IBM_H.4 - H.5 - Intercompany reconciliation_centralised_Poo to review_SC_Treasury_Other_Recon_1" xfId="945"/>
    <cellStyle name="_08_IBM_H.4 - H.5 - Intercompany reconciliation_centralised_Poo to review_SC_Treasury_Other_Recon_2" xfId="946"/>
    <cellStyle name="_08_IBM_H.4 - H.5 - Intercompany reconciliation_centralised_Poo to review_SC_Treasury_Other_Recon_3" xfId="947"/>
    <cellStyle name="_08_IBM_H.4 - H.5 - Intercompany reconciliation_centralised_Poo to review_SC_Treasury_Other_Reconciliation" xfId="948"/>
    <cellStyle name="_08_IBM_H.4 - H.5 - Intercompany reconciliation_centralised_Poo to review_SC_Treasury_Other_Reconciliation_1" xfId="949"/>
    <cellStyle name="_08_IBM_H.4 - H.5 - Intercompany reconciliation_centralised_Poo to review_Sheet1" xfId="950"/>
    <cellStyle name="_08_IBM_H.4 - H.5 - Intercompany reconciliation_centralised_Poo to review_Sheet1_1" xfId="951"/>
    <cellStyle name="_08_IBM_H.4_Interdiv reconciliation_centralised" xfId="952"/>
    <cellStyle name="_08_IBM_H.4_Interdiv reconciliation_centralised_(26) Oct-09 (AL)" xfId="953"/>
    <cellStyle name="_08_IBM_H.4_Interdiv reconciliation_centralised_(26) Oct-09 (AL)_IBM_Grouped(2)" xfId="954"/>
    <cellStyle name="_08_IBM_H.4_Interdiv reconciliation_centralised_(26) Oct-09 (AL)_IBM_Grouped(2)_Recon" xfId="955"/>
    <cellStyle name="_08_IBM_H.4_Interdiv reconciliation_centralised_(26) Oct-09 (AL)_IBM_Grouped(2)_Recon to Segmental Report" xfId="956"/>
    <cellStyle name="_08_IBM_H.4_Interdiv reconciliation_centralised_(26) Oct-09 (AL)_IBM_Grouped(2)_Recon_1" xfId="957"/>
    <cellStyle name="_08_IBM_H.4_Interdiv reconciliation_centralised_(26) Oct-09 (AL)_IBM_Grouped(2)_Recon_2" xfId="958"/>
    <cellStyle name="_08_IBM_H.4_Interdiv reconciliation_centralised_(26) Oct-09 (AL)_IBM_Grouped(2)_Recon_3" xfId="959"/>
    <cellStyle name="_08_IBM_H.4_Interdiv reconciliation_centralised_(26) Oct-09 (AL)_IBM_Grouped(2)_Recon_4" xfId="960"/>
    <cellStyle name="_08_IBM_H.4_Interdiv reconciliation_centralised_(26) Oct-09 (AL)_IBM_Grouped(2)_Reconciliation" xfId="961"/>
    <cellStyle name="_08_IBM_H.4_Interdiv reconciliation_centralised_(26) Oct-09 (AL)_IBM_Grouped(2)_Reconciliation_1" xfId="962"/>
    <cellStyle name="_08_IBM_H.4_Interdiv reconciliation_centralised_(26) Oct-09 (AL)_IBM_Grouped(2)_Reconciliation_2" xfId="963"/>
    <cellStyle name="_08_IBM_H.4_Interdiv reconciliation_centralised_(26) Oct-09 (AL)_IBM_Grouped(2)_Reconciliation_3" xfId="964"/>
    <cellStyle name="_08_IBM_H.4_Interdiv reconciliation_centralised_(26) Oct-09 (AL)_Recon" xfId="965"/>
    <cellStyle name="_08_IBM_H.4_Interdiv reconciliation_centralised_(26) Oct-09 (AL)_Recon W1" xfId="966"/>
    <cellStyle name="_08_IBM_H.4_Interdiv reconciliation_centralised_(26) Oct-09 (AL)_Recon_1" xfId="967"/>
    <cellStyle name="_08_IBM_H.4_Interdiv reconciliation_centralised_(26) Oct-09 (AL)_Recon_2" xfId="968"/>
    <cellStyle name="_08_IBM_H.4_Interdiv reconciliation_centralised_(26) Oct-09 (AL)_Recon_3" xfId="969"/>
    <cellStyle name="_08_IBM_H.4_Interdiv reconciliation_centralised_(26) Oct-09 (AL)_Reconciliation" xfId="970"/>
    <cellStyle name="_08_IBM_H.4_Interdiv reconciliation_centralised_(26) Oct-09 (AL)_Reconciliation_1" xfId="971"/>
    <cellStyle name="_08_IBM_H.4_Interdiv reconciliation_centralised_(26) Oct-09 (AL)_Reconciliation_2" xfId="972"/>
    <cellStyle name="_08_IBM_H.4_Interdiv reconciliation_centralised_(26) Oct-09 (AL)_Reconciliation_3" xfId="973"/>
    <cellStyle name="_08_IBM_H.4_Interdiv reconciliation_centralised_(27) Nov-09 (AL)" xfId="974"/>
    <cellStyle name="_08_IBM_H.4_Interdiv reconciliation_centralised_(27) Nov-09 (AL)_IBM_Grouped(2)" xfId="975"/>
    <cellStyle name="_08_IBM_H.4_Interdiv reconciliation_centralised_(27) Nov-09 (AL)_IBM_Grouped(2)_Recon" xfId="976"/>
    <cellStyle name="_08_IBM_H.4_Interdiv reconciliation_centralised_(27) Nov-09 (AL)_IBM_Grouped(2)_Recon to Segmental Report" xfId="977"/>
    <cellStyle name="_08_IBM_H.4_Interdiv reconciliation_centralised_(27) Nov-09 (AL)_IBM_Grouped(2)_Recon_1" xfId="978"/>
    <cellStyle name="_08_IBM_H.4_Interdiv reconciliation_centralised_(27) Nov-09 (AL)_IBM_Grouped(2)_Recon_2" xfId="979"/>
    <cellStyle name="_08_IBM_H.4_Interdiv reconciliation_centralised_(27) Nov-09 (AL)_IBM_Grouped(2)_Recon_3" xfId="980"/>
    <cellStyle name="_08_IBM_H.4_Interdiv reconciliation_centralised_(27) Nov-09 (AL)_IBM_Grouped(2)_Recon_4" xfId="981"/>
    <cellStyle name="_08_IBM_H.4_Interdiv reconciliation_centralised_(27) Nov-09 (AL)_IBM_Grouped(2)_Reconciliation" xfId="982"/>
    <cellStyle name="_08_IBM_H.4_Interdiv reconciliation_centralised_(27) Nov-09 (AL)_IBM_Grouped(2)_Reconciliation_1" xfId="983"/>
    <cellStyle name="_08_IBM_H.4_Interdiv reconciliation_centralised_(27) Nov-09 (AL)_IBM_Grouped(2)_Reconciliation_2" xfId="984"/>
    <cellStyle name="_08_IBM_H.4_Interdiv reconciliation_centralised_(27) Nov-09 (AL)_IBM_Grouped(2)_Reconciliation_3" xfId="985"/>
    <cellStyle name="_08_IBM_H.4_Interdiv reconciliation_centralised_(27) Nov-09 (AL)_Recon" xfId="986"/>
    <cellStyle name="_08_IBM_H.4_Interdiv reconciliation_centralised_(27) Nov-09 (AL)_Recon W1" xfId="987"/>
    <cellStyle name="_08_IBM_H.4_Interdiv reconciliation_centralised_(27) Nov-09 (AL)_Recon_1" xfId="988"/>
    <cellStyle name="_08_IBM_H.4_Interdiv reconciliation_centralised_(27) Nov-09 (AL)_Recon_2" xfId="989"/>
    <cellStyle name="_08_IBM_H.4_Interdiv reconciliation_centralised_(27) Nov-09 (AL)_Recon_3" xfId="990"/>
    <cellStyle name="_08_IBM_H.4_Interdiv reconciliation_centralised_(27) Nov-09 (AL)_Reconciliation" xfId="991"/>
    <cellStyle name="_08_IBM_H.4_Interdiv reconciliation_centralised_(27) Nov-09 (AL)_Reconciliation_1" xfId="992"/>
    <cellStyle name="_08_IBM_H.4_Interdiv reconciliation_centralised_(27) Nov-09 (AL)_Reconciliation_2" xfId="993"/>
    <cellStyle name="_08_IBM_H.4_Interdiv reconciliation_centralised_(27) Nov-09 (AL)_Reconciliation_3" xfId="994"/>
    <cellStyle name="_08_IBM_H.4_Interdiv reconciliation_centralised_09_IBM_A5.6.3_Sig Acc and SFOT Determination" xfId="995"/>
    <cellStyle name="_08_IBM_H.4_Interdiv reconciliation_centralised_09_IBM_Pre-Final WP_Share capital_BS_H4 - N4_07.04.09" xfId="996"/>
    <cellStyle name="_08_IBM_H.4_Interdiv reconciliation_centralised_09_IBM_Preliminary PM (Interim) 31.03.010" xfId="997"/>
    <cellStyle name="_08_IBM_H.4_Interdiv reconciliation_centralised_09_Sep_IBM_Final WP_Share capital_BS_F-4_Investments" xfId="998"/>
    <cellStyle name="_08_IBM_H.4_Interdiv reconciliation_centralised_10_IBM_Bank Recon" xfId="999"/>
    <cellStyle name="_08_IBM_H.4_Interdiv reconciliation_centralised_10_IBM_J8_Cash Cut Off" xfId="1000"/>
    <cellStyle name="_08_IBM_H.4_Interdiv reconciliation_centralised_10_IBM_Other liabilities" xfId="1001"/>
    <cellStyle name="_08_IBM_H.4_Interdiv reconciliation_centralised_10_IBM_PLSF_Circularisation status" xfId="1002"/>
    <cellStyle name="_08_IBM_H.4_Interdiv reconciliation_centralised_10_IBM_Preliminary PM " xfId="1003"/>
    <cellStyle name="_08_IBM_H.4_Interdiv reconciliation_centralised_10_IBM_Sig Acc and SFOT determination " xfId="1004"/>
    <cellStyle name="_08_IBM_H.4_Interdiv reconciliation_centralised_31.12.09 Mauritius-USD based ledger - Final1" xfId="1005"/>
    <cellStyle name="_08_IBM_H.4_Interdiv reconciliation_centralised_Book1" xfId="1006"/>
    <cellStyle name="_08_IBM_H.4_Interdiv reconciliation_centralised_Book1 (4)" xfId="1007"/>
    <cellStyle name="_08_IBM_H.4_Interdiv reconciliation_centralised_Book4" xfId="1008"/>
    <cellStyle name="_08_IBM_H.4_Interdiv reconciliation_centralised_Book4_Recon" xfId="1009"/>
    <cellStyle name="_08_IBM_H.4_Interdiv reconciliation_centralised_Book4_Recon W1" xfId="1010"/>
    <cellStyle name="_08_IBM_H.4_Interdiv reconciliation_centralised_Book4_Recon_1" xfId="1011"/>
    <cellStyle name="_08_IBM_H.4_Interdiv reconciliation_centralised_Book4_Recon_2" xfId="1012"/>
    <cellStyle name="_08_IBM_H.4_Interdiv reconciliation_centralised_Book4_Recon_3" xfId="1013"/>
    <cellStyle name="_08_IBM_H.4_Interdiv reconciliation_centralised_Book4_Reconciliation" xfId="1014"/>
    <cellStyle name="_08_IBM_H.4_Interdiv reconciliation_centralised_Book4_Reconciliation_1" xfId="1015"/>
    <cellStyle name="_08_IBM_H.4_Interdiv reconciliation_centralised_Book4_Reconciliation_2" xfId="1016"/>
    <cellStyle name="_08_IBM_H.4_Interdiv reconciliation_centralised_Book4_Reconciliation_3" xfId="1017"/>
    <cellStyle name="_08_IBM_H.4_Interdiv reconciliation_centralised_capital adequacy September 2009" xfId="1018"/>
    <cellStyle name="_08_IBM_H.4_Interdiv reconciliation_centralised_capital adequacy September 2009_IBM_Grouped(2)" xfId="1019"/>
    <cellStyle name="_08_IBM_H.4_Interdiv reconciliation_centralised_capital adequacy September 2009_IBM_Grouped(2)_Recon" xfId="1020"/>
    <cellStyle name="_08_IBM_H.4_Interdiv reconciliation_centralised_capital adequacy September 2009_IBM_Grouped(2)_Recon to Segmental Report" xfId="1021"/>
    <cellStyle name="_08_IBM_H.4_Interdiv reconciliation_centralised_capital adequacy September 2009_IBM_Grouped(2)_Recon_1" xfId="1022"/>
    <cellStyle name="_08_IBM_H.4_Interdiv reconciliation_centralised_capital adequacy September 2009_IBM_Grouped(2)_Recon_2" xfId="1023"/>
    <cellStyle name="_08_IBM_H.4_Interdiv reconciliation_centralised_capital adequacy September 2009_IBM_Grouped(2)_Recon_3" xfId="1024"/>
    <cellStyle name="_08_IBM_H.4_Interdiv reconciliation_centralised_capital adequacy September 2009_IBM_Grouped(2)_Recon_4" xfId="1025"/>
    <cellStyle name="_08_IBM_H.4_Interdiv reconciliation_centralised_capital adequacy September 2009_IBM_Grouped(2)_Reconciliation" xfId="1026"/>
    <cellStyle name="_08_IBM_H.4_Interdiv reconciliation_centralised_capital adequacy September 2009_IBM_Grouped(2)_Reconciliation_1" xfId="1027"/>
    <cellStyle name="_08_IBM_H.4_Interdiv reconciliation_centralised_capital adequacy September 2009_IBM_Grouped(2)_Reconciliation_2" xfId="1028"/>
    <cellStyle name="_08_IBM_H.4_Interdiv reconciliation_centralised_capital adequacy September 2009_IBM_Grouped(2)_Reconciliation_3" xfId="1029"/>
    <cellStyle name="_08_IBM_H.4_Interdiv reconciliation_centralised_capital adequacy September 2009_Recon" xfId="1030"/>
    <cellStyle name="_08_IBM_H.4_Interdiv reconciliation_centralised_capital adequacy September 2009_Recon W1" xfId="1031"/>
    <cellStyle name="_08_IBM_H.4_Interdiv reconciliation_centralised_capital adequacy September 2009_Recon_1" xfId="1032"/>
    <cellStyle name="_08_IBM_H.4_Interdiv reconciliation_centralised_capital adequacy September 2009_Recon_2" xfId="1033"/>
    <cellStyle name="_08_IBM_H.4_Interdiv reconciliation_centralised_capital adequacy September 2009_Recon_3" xfId="1034"/>
    <cellStyle name="_08_IBM_H.4_Interdiv reconciliation_centralised_capital adequacy September 2009_Reconciliation" xfId="1035"/>
    <cellStyle name="_08_IBM_H.4_Interdiv reconciliation_centralised_capital adequacy September 2009_Reconciliation_1" xfId="1036"/>
    <cellStyle name="_08_IBM_H.4_Interdiv reconciliation_centralised_capital adequacy September 2009_Reconciliation_2" xfId="1037"/>
    <cellStyle name="_08_IBM_H.4_Interdiv reconciliation_centralised_capital adequacy September 2009_Reconciliation_3" xfId="1038"/>
    <cellStyle name="_08_IBM_H.4_Interdiv reconciliation_centralised_Circularisation Status Specialised Finance Division 17 Mar 10" xfId="1039"/>
    <cellStyle name="_08_IBM_H.4_Interdiv reconciliation_centralised_Copy of Mauritius-USD based ledger" xfId="1040"/>
    <cellStyle name="_08_IBM_H.4_Interdiv reconciliation_centralised_Copy of Mauritius-USD based ledger_Recon" xfId="1041"/>
    <cellStyle name="_08_IBM_H.4_Interdiv reconciliation_centralised_Copy of Mauritius-USD based ledger_Recon W1" xfId="1042"/>
    <cellStyle name="_08_IBM_H.4_Interdiv reconciliation_centralised_Copy of Mauritius-USD based ledger_Recon_1" xfId="1043"/>
    <cellStyle name="_08_IBM_H.4_Interdiv reconciliation_centralised_Copy of Mauritius-USD based ledger_Recon_2" xfId="1044"/>
    <cellStyle name="_08_IBM_H.4_Interdiv reconciliation_centralised_Copy of Mauritius-USD based ledger_Recon_3" xfId="1045"/>
    <cellStyle name="_08_IBM_H.4_Interdiv reconciliation_centralised_Copy of Mauritius-USD based ledger_Reconciliation" xfId="1046"/>
    <cellStyle name="_08_IBM_H.4_Interdiv reconciliation_centralised_Copy of Mauritius-USD based ledger_Reconciliation_1" xfId="1047"/>
    <cellStyle name="_08_IBM_H.4_Interdiv reconciliation_centralised_Copy of Mauritius-USD based ledger_Reconciliation_2" xfId="1048"/>
    <cellStyle name="_08_IBM_H.4_Interdiv reconciliation_centralised_Copy of Mauritius-USD based ledger_Reconciliation_3" xfId="1049"/>
    <cellStyle name="_08_IBM_H.4_Interdiv reconciliation_centralised_Fixed Assets Register 11 Feb10" xfId="1050"/>
    <cellStyle name="_08_IBM_H.4_Interdiv reconciliation_centralised_Fixed Assets Register 11 Feb10_(19) Loan Feb-11(Feb-11 figures)" xfId="1051"/>
    <cellStyle name="_08_IBM_H.4_Interdiv reconciliation_centralised_Fixed Assets Register 12 Mar10.xls" xfId="1052"/>
    <cellStyle name="_08_IBM_H.4_Interdiv reconciliation_centralised_Fixed Assets Register 12 Mar10.xls_(19) Loan Feb-11(Feb-11 figures)" xfId="1053"/>
    <cellStyle name="_08_IBM_H.4_Interdiv reconciliation_centralised_IBM Input Sheet 31.03.2010 v0.4" xfId="1054"/>
    <cellStyle name="_08_IBM_H.4_Interdiv reconciliation_centralised_IBM Input Sheet 31.03.2010 v0.4_(19) Loan Feb-11(Feb-11 figures)" xfId="1055"/>
    <cellStyle name="_08_IBM_H.4_Interdiv reconciliation_centralised_IBM_Grouped(2)" xfId="1056"/>
    <cellStyle name="_08_IBM_H.4_Interdiv reconciliation_centralised_IBM_Grouped(2)_Recon" xfId="1057"/>
    <cellStyle name="_08_IBM_H.4_Interdiv reconciliation_centralised_IBM_Grouped(2)_Recon W1" xfId="1058"/>
    <cellStyle name="_08_IBM_H.4_Interdiv reconciliation_centralised_IBM_Grouped(2)_Recon_1" xfId="1059"/>
    <cellStyle name="_08_IBM_H.4_Interdiv reconciliation_centralised_IBM_Grouped(2)_Recon_2" xfId="1060"/>
    <cellStyle name="_08_IBM_H.4_Interdiv reconciliation_centralised_IBM_Grouped(2)_Recon_3" xfId="1061"/>
    <cellStyle name="_08_IBM_H.4_Interdiv reconciliation_centralised_IBM_Grouped(2)_Reconciliation" xfId="1062"/>
    <cellStyle name="_08_IBM_H.4_Interdiv reconciliation_centralised_IBM_Grouped(2)_Reconciliation_1" xfId="1063"/>
    <cellStyle name="_08_IBM_H.4_Interdiv reconciliation_centralised_IBM_Grouped(2)_Reconciliation_2" xfId="1064"/>
    <cellStyle name="_08_IBM_H.4_Interdiv reconciliation_centralised_IBM_Grouped(2)_Reconciliation_3" xfId="1065"/>
    <cellStyle name="_08_IBM_H.4_Interdiv reconciliation_centralised_IBM_Grouped_USD" xfId="1066"/>
    <cellStyle name="_08_IBM_H.4_Interdiv reconciliation_centralised_IBM_Grouped_USD_Recon" xfId="1067"/>
    <cellStyle name="_08_IBM_H.4_Interdiv reconciliation_centralised_IBM_Grouped_USD_Recon W1" xfId="1068"/>
    <cellStyle name="_08_IBM_H.4_Interdiv reconciliation_centralised_IBM_Grouped_USD_Recon_1" xfId="1069"/>
    <cellStyle name="_08_IBM_H.4_Interdiv reconciliation_centralised_IBM_Grouped_USD_Recon_2" xfId="1070"/>
    <cellStyle name="_08_IBM_H.4_Interdiv reconciliation_centralised_IBM_Grouped_USD_Recon_3" xfId="1071"/>
    <cellStyle name="_08_IBM_H.4_Interdiv reconciliation_centralised_IBM_Grouped_USD_Reconciliation" xfId="1072"/>
    <cellStyle name="_08_IBM_H.4_Interdiv reconciliation_centralised_IBM_Grouped_USD_Reconciliation_1" xfId="1073"/>
    <cellStyle name="_08_IBM_H.4_Interdiv reconciliation_centralised_IBM_Grouped_USD_Reconciliation_2" xfId="1074"/>
    <cellStyle name="_08_IBM_H.4_Interdiv reconciliation_centralised_IBM_Grouped_USD_Reconciliation_3" xfId="1075"/>
    <cellStyle name="_08_IBM_H.4_Interdiv reconciliation_centralised_IBM_Grouped_ZAR" xfId="1076"/>
    <cellStyle name="_08_IBM_H.4_Interdiv reconciliation_centralised_IBM_Grouped_ZAR_Recon" xfId="1077"/>
    <cellStyle name="_08_IBM_H.4_Interdiv reconciliation_centralised_IBM_Grouped_ZAR_Recon W1" xfId="1078"/>
    <cellStyle name="_08_IBM_H.4_Interdiv reconciliation_centralised_IBM_Grouped_ZAR_Recon_1" xfId="1079"/>
    <cellStyle name="_08_IBM_H.4_Interdiv reconciliation_centralised_IBM_Grouped_ZAR_Recon_2" xfId="1080"/>
    <cellStyle name="_08_IBM_H.4_Interdiv reconciliation_centralised_IBM_Grouped_ZAR_Recon_3" xfId="1081"/>
    <cellStyle name="_08_IBM_H.4_Interdiv reconciliation_centralised_IBM_Grouped_ZAR_Reconciliation" xfId="1082"/>
    <cellStyle name="_08_IBM_H.4_Interdiv reconciliation_centralised_IBM_Grouped_ZAR_Reconciliation_1" xfId="1083"/>
    <cellStyle name="_08_IBM_H.4_Interdiv reconciliation_centralised_IBM_Grouped_ZAR_Reconciliation_2" xfId="1084"/>
    <cellStyle name="_08_IBM_H.4_Interdiv reconciliation_centralised_IBM_Grouped_ZAR_Reconciliation_3" xfId="1085"/>
    <cellStyle name="_08_IBM_H.4_Interdiv reconciliation_centralised_Liquidity and repricing" xfId="1086"/>
    <cellStyle name="_08_IBM_H.4_Interdiv reconciliation_centralised_Liquidity and repricing_IBM_Grouped(2)" xfId="1087"/>
    <cellStyle name="_08_IBM_H.4_Interdiv reconciliation_centralised_Liquidity and repricing_IBM_Grouped(2)_Recon" xfId="1088"/>
    <cellStyle name="_08_IBM_H.4_Interdiv reconciliation_centralised_Liquidity and repricing_IBM_Grouped(2)_Recon to Segmental Report" xfId="1089"/>
    <cellStyle name="_08_IBM_H.4_Interdiv reconciliation_centralised_Liquidity and repricing_IBM_Grouped(2)_Recon_1" xfId="1090"/>
    <cellStyle name="_08_IBM_H.4_Interdiv reconciliation_centralised_Liquidity and repricing_IBM_Grouped(2)_Recon_2" xfId="1091"/>
    <cellStyle name="_08_IBM_H.4_Interdiv reconciliation_centralised_Liquidity and repricing_IBM_Grouped(2)_Recon_3" xfId="1092"/>
    <cellStyle name="_08_IBM_H.4_Interdiv reconciliation_centralised_Liquidity and repricing_IBM_Grouped(2)_Recon_4" xfId="1093"/>
    <cellStyle name="_08_IBM_H.4_Interdiv reconciliation_centralised_Liquidity and repricing_IBM_Grouped(2)_Reconciliation" xfId="1094"/>
    <cellStyle name="_08_IBM_H.4_Interdiv reconciliation_centralised_Liquidity and repricing_IBM_Grouped(2)_Reconciliation_1" xfId="1095"/>
    <cellStyle name="_08_IBM_H.4_Interdiv reconciliation_centralised_Liquidity and repricing_IBM_Grouped(2)_Reconciliation_2" xfId="1096"/>
    <cellStyle name="_08_IBM_H.4_Interdiv reconciliation_centralised_Liquidity and repricing_IBM_Grouped(2)_Reconciliation_3" xfId="1097"/>
    <cellStyle name="_08_IBM_H.4_Interdiv reconciliation_centralised_Liquidity and repricing_Recon" xfId="1098"/>
    <cellStyle name="_08_IBM_H.4_Interdiv reconciliation_centralised_Liquidity and repricing_Recon W1" xfId="1099"/>
    <cellStyle name="_08_IBM_H.4_Interdiv reconciliation_centralised_Liquidity and repricing_Recon_1" xfId="1100"/>
    <cellStyle name="_08_IBM_H.4_Interdiv reconciliation_centralised_Liquidity and repricing_Recon_2" xfId="1101"/>
    <cellStyle name="_08_IBM_H.4_Interdiv reconciliation_centralised_Liquidity and repricing_Recon_3" xfId="1102"/>
    <cellStyle name="_08_IBM_H.4_Interdiv reconciliation_centralised_Liquidity and repricing_Reconciliation" xfId="1103"/>
    <cellStyle name="_08_IBM_H.4_Interdiv reconciliation_centralised_Liquidity and repricing_Reconciliation_1" xfId="1104"/>
    <cellStyle name="_08_IBM_H.4_Interdiv reconciliation_centralised_Liquidity and repricing_Reconciliation_2" xfId="1105"/>
    <cellStyle name="_08_IBM_H.4_Interdiv reconciliation_centralised_Liquidity and repricing_Reconciliation_3" xfId="1106"/>
    <cellStyle name="_08_IBM_H.4_Interdiv reconciliation_centralised_MUR position" xfId="1107"/>
    <cellStyle name="_08_IBM_H.4_Interdiv reconciliation_centralised_NOP 2010 01 31 USD BASED" xfId="1108"/>
    <cellStyle name="_08_IBM_H.4_Interdiv reconciliation_centralised_NOP 2010 01 31 USD BASED_Report Finance" xfId="1109"/>
    <cellStyle name="_08_IBM_H.4_Interdiv reconciliation_centralised_NOP 2010 02 28 USD BASED Final" xfId="1110"/>
    <cellStyle name="_08_IBM_H.4_Interdiv reconciliation_centralised_NOP 2010 02 28 USD BASED Final_Report Finance" xfId="1111"/>
    <cellStyle name="_08_IBM_H.4_Interdiv reconciliation_centralised_NOP 2010 03 31 USD BASEDrevised" xfId="1112"/>
    <cellStyle name="_08_IBM_H.4_Interdiv reconciliation_centralised_NOP 2010 03 31 USD BASEDrevised_Report Finance" xfId="1113"/>
    <cellStyle name="_08_IBM_H.4_Interdiv reconciliation_centralised_NOP 2010 04 30" xfId="1114"/>
    <cellStyle name="_08_IBM_H.4_Interdiv reconciliation_centralised_NOP 2010 04 30_Recon" xfId="1115"/>
    <cellStyle name="_08_IBM_H.4_Interdiv reconciliation_centralised_NOP 2010 04 30_Recon W1" xfId="1116"/>
    <cellStyle name="_08_IBM_H.4_Interdiv reconciliation_centralised_NOP 2010 04 30_Recon_1" xfId="1117"/>
    <cellStyle name="_08_IBM_H.4_Interdiv reconciliation_centralised_NOP 2010 04 30_Recon_2" xfId="1118"/>
    <cellStyle name="_08_IBM_H.4_Interdiv reconciliation_centralised_NOP 2010 04 30_Recon_3" xfId="1119"/>
    <cellStyle name="_08_IBM_H.4_Interdiv reconciliation_centralised_NOP 2010 04 30_Reconciliation" xfId="1120"/>
    <cellStyle name="_08_IBM_H.4_Interdiv reconciliation_centralised_NOP 2010 04 30_Reconciliation_1" xfId="1121"/>
    <cellStyle name="_08_IBM_H.4_Interdiv reconciliation_centralised_NOP 2010 04 30_Reconciliation_2" xfId="1122"/>
    <cellStyle name="_08_IBM_H.4_Interdiv reconciliation_centralised_NOP 2010 04 30_Reconciliation_3" xfId="1123"/>
    <cellStyle name="_08_IBM_H.4_Interdiv reconciliation_centralised_NOP 2010 04 30_Report Finance" xfId="1124"/>
    <cellStyle name="_08_IBM_H.4_Interdiv reconciliation_centralised_ORIGINAL NOP 2009 12 31 USD BASED" xfId="1125"/>
    <cellStyle name="_08_IBM_H.4_Interdiv reconciliation_centralised_ORIGINAL NOP 2009 12 31 USD BASED_Report Finance" xfId="1126"/>
    <cellStyle name="_08_IBM_H.4_Interdiv reconciliation_centralised_Recon" xfId="1127"/>
    <cellStyle name="_08_IBM_H.4_Interdiv reconciliation_centralised_Recon W1" xfId="1128"/>
    <cellStyle name="_08_IBM_H.4_Interdiv reconciliation_centralised_Recon_1" xfId="1129"/>
    <cellStyle name="_08_IBM_H.4_Interdiv reconciliation_centralised_Recon_2" xfId="1130"/>
    <cellStyle name="_08_IBM_H.4_Interdiv reconciliation_centralised_Recon_3" xfId="1131"/>
    <cellStyle name="_08_IBM_H.4_Interdiv reconciliation_centralised_Reconciliation" xfId="1132"/>
    <cellStyle name="_08_IBM_H.4_Interdiv reconciliation_centralised_Reconciliation_1" xfId="1133"/>
    <cellStyle name="_08_IBM_H.4_Interdiv reconciliation_centralised_Reconciliation_2" xfId="1134"/>
    <cellStyle name="_08_IBM_H.4_Interdiv reconciliation_centralised_Reconciliation_3" xfId="1135"/>
    <cellStyle name="_08_IBM_H.4_Interdiv reconciliation_centralised_Report Finance" xfId="1136"/>
    <cellStyle name="_08_IBM_H.4_Interdiv reconciliation_centralised_SC_Treasury_Other" xfId="1137"/>
    <cellStyle name="_08_IBM_H.4_Interdiv reconciliation_centralised_SC_Treasury_Other_Recon" xfId="1138"/>
    <cellStyle name="_08_IBM_H.4_Interdiv reconciliation_centralised_SC_Treasury_Other_Recon_1" xfId="1139"/>
    <cellStyle name="_08_IBM_H.4_Interdiv reconciliation_centralised_SC_Treasury_Other_Recon_2" xfId="1140"/>
    <cellStyle name="_08_IBM_H.4_Interdiv reconciliation_centralised_SC_Treasury_Other_Recon_3" xfId="1141"/>
    <cellStyle name="_08_IBM_H.4_Interdiv reconciliation_centralised_SC_Treasury_Other_Reconciliation" xfId="1142"/>
    <cellStyle name="_08_IBM_H.4_Interdiv reconciliation_centralised_SC_Treasury_Other_Reconciliation_1" xfId="1143"/>
    <cellStyle name="_08_IBM_H.4_Interdiv reconciliation_centralised_Sheet1" xfId="1144"/>
    <cellStyle name="_08_IBM_H.4_Interdiv reconciliation_centralised_Sheet1_1" xfId="1145"/>
    <cellStyle name="_08_IBM_Interim_Loan review" xfId="1146"/>
    <cellStyle name="_08_IBM_Interim_Loan review_10_IBM_Bank Recon" xfId="1147"/>
    <cellStyle name="_08_IBM_Interim_Loan review_10_IBM_J8_Cash Cut Off" xfId="1148"/>
    <cellStyle name="_08_IBM_Interim_Loan review_10_IBM_PLSF_Circularisation status" xfId="1149"/>
    <cellStyle name="_08_IBM_Interim_Loan review_Recon" xfId="1150"/>
    <cellStyle name="_08_IBM_Interim_Loan review_Recon W1" xfId="1151"/>
    <cellStyle name="_08_IBM_Interim_Loan review_Recon_1" xfId="1152"/>
    <cellStyle name="_08_IBM_Interim_Loan review_Recon_2" xfId="1153"/>
    <cellStyle name="_08_IBM_Interim_Loan review_Recon_3" xfId="1154"/>
    <cellStyle name="_08_IBM_Interim_Loan review_Reconciliation" xfId="1155"/>
    <cellStyle name="_08_IBM_Interim_Loan review_Reconciliation_1" xfId="1156"/>
    <cellStyle name="_08_IBM_Interim_Loan review_Reconciliation_2" xfId="1157"/>
    <cellStyle name="_08_IBM_Interim_Loan review_Reconciliation_3" xfId="1158"/>
    <cellStyle name="_08_IBM_Interim_Loan review_Sheet1" xfId="1159"/>
    <cellStyle name="_08_IBM_Port Louis Treasury_pre-final_BS(25.03.08)" xfId="1160"/>
    <cellStyle name="_08_IBM_Port Louis Treasury_pre-final_BS(25.03.08)_10_IBM_Bank Recon" xfId="1161"/>
    <cellStyle name="_08_IBM_Port Louis Treasury_pre-final_BS(25.03.08)_10_IBM_J8_Cash Cut Off" xfId="1162"/>
    <cellStyle name="_08_IBM_Port Louis Treasury_pre-final_BS(25.03.08)_10_IBM_PLSF_Circularisation status" xfId="1163"/>
    <cellStyle name="_08_IBM_Port Louis Treasury_pre-final_BS(25.03.08)_Recon" xfId="1164"/>
    <cellStyle name="_08_IBM_Port Louis Treasury_pre-final_BS(25.03.08)_Recon W1" xfId="1165"/>
    <cellStyle name="_08_IBM_Port Louis Treasury_pre-final_BS(25.03.08)_Recon_1" xfId="1166"/>
    <cellStyle name="_08_IBM_Port Louis Treasury_pre-final_BS(25.03.08)_Recon_2" xfId="1167"/>
    <cellStyle name="_08_IBM_Port Louis Treasury_pre-final_BS(25.03.08)_Recon_3" xfId="1168"/>
    <cellStyle name="_08_IBM_Port Louis Treasury_pre-final_BS(25.03.08)_Reconciliation" xfId="1169"/>
    <cellStyle name="_08_IBM_Port Louis Treasury_pre-final_BS(25.03.08)_Reconciliation_1" xfId="1170"/>
    <cellStyle name="_08_IBM_Port Louis Treasury_pre-final_BS(25.03.08)_Reconciliation_2" xfId="1171"/>
    <cellStyle name="_08_IBM_Port Louis Treasury_pre-final_BS(25.03.08)_Reconciliation_3" xfId="1172"/>
    <cellStyle name="_08_IBM_Port Louis Treasury_pre-final_BS(25.03.08)_Sheet1" xfId="1173"/>
    <cellStyle name="_08_IBM_Port Louis Treasury_pre-final_IS(06.04.08)" xfId="1174"/>
    <cellStyle name="_08_IBM_Port Louis Treasury_pre-final_IS(06.04.08)_Circularisation Status Specialised Finance Division 17 Mar 10" xfId="1175"/>
    <cellStyle name="_08_IBM_Port Louis Treasury_pre-final_IS(06.04.08)_Sheet1" xfId="1176"/>
    <cellStyle name="_08_IBM_Specialised Finance SA_BS_Pre final_18.04.08" xfId="1177"/>
    <cellStyle name="_08_IBM_Specialised Finance SA_BS_Pre final_18.04.08_Circularisation Status Specialised Finance Division 17 Mar 10" xfId="1178"/>
    <cellStyle name="_08_IBM_Specialised Finance SA_BS_Pre final_18.04.08_Sheet1" xfId="1179"/>
    <cellStyle name="_08_IBM_Specialised Finance SA_BS_Pre final_rev" xfId="1180"/>
    <cellStyle name="_08_IBM_Specialised Finance SA_BS_Pre final_rev_Circularisation Status Specialised Finance Division 17 Mar 10" xfId="1181"/>
    <cellStyle name="_08_IBM_Specialised Finance SA_BS_Pre final_rev_Sheet1" xfId="1182"/>
    <cellStyle name="_08_IBM_Specialised Finance SA_IS_Pre final" xfId="1183"/>
    <cellStyle name="_08_IBM_Specialised Finance SA_IS_Pre final_18.04.08" xfId="1184"/>
    <cellStyle name="_08_IBM_Specialised Finance SA_IS_Pre final_18.04.08_Circularisation Status Specialised Finance Division 17 Mar 10" xfId="1185"/>
    <cellStyle name="_08_IBM_Specialised Finance SA_IS_Pre final_18.04.08_Sheet1" xfId="1186"/>
    <cellStyle name="_08_IBM_Specialised Finance SA_IS_Pre final_Circularisation Status Specialised Finance Division 17 Mar 10" xfId="1187"/>
    <cellStyle name="_08_IBM_Specialised Finance SA_IS_Pre final_Sheet1" xfId="1188"/>
    <cellStyle name="_08_IBM_Specialised Finance_Balance sheet_final" xfId="1189"/>
    <cellStyle name="_08_IBM_Specialised Finance_Balance sheet_final_Circularisation Status Specialised Finance Division 17 Mar 10" xfId="1190"/>
    <cellStyle name="_08_IBM_Specialised Finance_Balance sheet_final_Sheet1" xfId="1191"/>
    <cellStyle name="_09_Detailed BS Jan 09_amended" xfId="1192"/>
    <cellStyle name="_09_Detailed BS Jan 09_amended_Circularisation Status Specialised Finance Division 17 Mar 10" xfId="1193"/>
    <cellStyle name="_09_Detailed BS Jan 09_amended_Sheet1" xfId="1194"/>
    <cellStyle name="_09_IBM_E100 Portfolio &amp; General provision_Jan09" xfId="1195"/>
    <cellStyle name="_09_IBM_E100 Portfolio &amp; General provision_Jan09 (version 1)" xfId="1196"/>
    <cellStyle name="_09_IBM_E100 Portfolio &amp; General provision_Jan09 (version 1)_Sheet1" xfId="1197"/>
    <cellStyle name="_09_IBM_E100 Portfolio &amp; General provision_Jan09_Sheet1" xfId="1198"/>
    <cellStyle name="_09_IBM_H050_Interdivision reconciliation_31.01.09" xfId="1199"/>
    <cellStyle name="_09_IBM_H050_Interdivision reconciliation_31.01.09_09_IBM_Pre-Final WP_Share capital_BS_H4 - N4_07.04.09" xfId="1200"/>
    <cellStyle name="_09_IBM_H050_Interdivision reconciliation_31.01.09_09_Sep_IBM_Final WP_Share capital_BS_F-4_Investments" xfId="1201"/>
    <cellStyle name="_09_IBM_H050_Interdivision reconciliation_31.01.09_10_IBM_Bank Recon" xfId="1202"/>
    <cellStyle name="_09_IBM_H050_Interdivision reconciliation_31.01.09_10_IBM_J8_Cash Cut Off" xfId="1203"/>
    <cellStyle name="_09_IBM_H050_Interdivision reconciliation_31.01.09_10_IBM_Other liabilities" xfId="1204"/>
    <cellStyle name="_09_IBM_H050_Interdivision reconciliation_31.01.09_Book1" xfId="1205"/>
    <cellStyle name="_09_IBM_H050_Interdivision reconciliation_31.01.09_Circularisation Status Specialised Finance Division 17 Mar 10" xfId="1206"/>
    <cellStyle name="_09_IBM_H050_Interdivision reconciliation_31.01.09_Sheet1" xfId="1207"/>
    <cellStyle name="_09_IBM_H050_Interdivision reconciliation_31.03.09" xfId="1208"/>
    <cellStyle name="_09_IBM_H050_Interdivision reconciliation_31.03.09_10_IBM_Other liabilities" xfId="1209"/>
    <cellStyle name="_09_IBM_H100_Intercompany reconciliation_31.03.09" xfId="1210"/>
    <cellStyle name="_09_IBM_H100_Intercompany reconciliation_31.03.09_10_IBM_Other liabilities" xfId="1211"/>
    <cellStyle name="_09_IBM_PL Spe Finan_Issue Tracker" xfId="1212"/>
    <cellStyle name="_09_IBM_PL Spe Finan_Issue Tracker_Sheet1" xfId="1213"/>
    <cellStyle name="_09_IBM_Pre Final WP_Port Louis Treasury_BS V 20090408" xfId="1214"/>
    <cellStyle name="_09_IBM_Pre Final WP_Port Louis Treasury_BS V 20090408_Circularisation Status Specialised Finance Division 17 Mar 10" xfId="1215"/>
    <cellStyle name="_09_IBM_Pre Final WP_Port Louis Treasury_BS V 20090408_Sheet1" xfId="1216"/>
    <cellStyle name="_09_IBM_Pre-Final WP_PB_BS 090418" xfId="1217"/>
    <cellStyle name="_09_IBM_Pre-Final WP_PB_BS 090418_10_IBM_Other liabilities" xfId="1218"/>
    <cellStyle name="_09_IBM_Pre-final WP_PL Lending_BS 14.04.09-AL" xfId="1219"/>
    <cellStyle name="_09_IBM_Pre-final WP_PL Lending_BS 14.04.09-AL_Sheet1" xfId="1220"/>
    <cellStyle name="_09_IBM_Pre-Final WP_Share capital_IS 26.02.09" xfId="1221"/>
    <cellStyle name="_09_IBM_Pre-Final WP_Share capital_IS 26.02.09_Circularisation Status Specialised Finance Division 17 Mar 10" xfId="1222"/>
    <cellStyle name="_09_IBM_Pre-Final WP_Share capital_IS 26.02.09_Sheet1" xfId="1223"/>
    <cellStyle name="_09_IBM_Re-actualising PM 31.01.09" xfId="1224"/>
    <cellStyle name="_09_IBM_Re-actualising PM 31.01.09_Circularisation Status Specialised Finance Division 17 Mar 10" xfId="1225"/>
    <cellStyle name="_09_IBM_Re-actualising PM 31.01.09_Sheet1" xfId="1226"/>
    <cellStyle name="_09_IBM_SF_Circularisation Status" xfId="1227"/>
    <cellStyle name="_09_IBM_SF_Circularisation Status_Circularisation Status Specialised Finance Division 17 Mar 10" xfId="1228"/>
    <cellStyle name="_09_IBM_SF_Circularisation Status_Sheet1" xfId="1229"/>
    <cellStyle name="_09_IBM_Specialised Finance_Issue Tracker" xfId="1230"/>
    <cellStyle name="_09_IBM_Specialised Finance_Issue Tracker_Circularisation Status Specialised Finance Division 17 Mar 10" xfId="1231"/>
    <cellStyle name="_09_IBM_Specialised Finance_Issue Tracker_Sheet1" xfId="1232"/>
    <cellStyle name="_09_IBM_TOC 19-23_Loan review - Emmanuel" xfId="1233"/>
    <cellStyle name="_09_IBM_TOC 19-23_Loan review - Emmanuel_Sheet1" xfId="1234"/>
    <cellStyle name="_09_IBM_TOC 19-23_loans" xfId="1235"/>
    <cellStyle name="_09_IBM_TOC 19-23_loans_Circularisation Status Specialised Finance Division 17 Mar 10" xfId="1236"/>
    <cellStyle name="_09_IBM_TOC 19-23_loans_Sheet1" xfId="1237"/>
    <cellStyle name="_09_IBM_Treasury Div_Issue Tracker" xfId="1238"/>
    <cellStyle name="_09_IBM_Treasury Div_Issue Tracker_Circularisation Status Specialised Finance Division 17 Mar 10" xfId="1239"/>
    <cellStyle name="_09_IBM_Treasury Div_Issue Tracker_Sheet1" xfId="1240"/>
    <cellStyle name="_1 MBIA" xfId="1241"/>
    <cellStyle name="_1 MBIA_Sheet1" xfId="1242"/>
    <cellStyle name="_2 Indy6" xfId="1243"/>
    <cellStyle name="_2 Indy6_Sheet1" xfId="1244"/>
    <cellStyle name="_3 Vandy Dunhill" xfId="1245"/>
    <cellStyle name="_3 Vandy Dunhill_Sheet1" xfId="1246"/>
    <cellStyle name="_6 Chotin" xfId="1247"/>
    <cellStyle name="_6 Chotin_Sheet1" xfId="1248"/>
    <cellStyle name="_72370 BS Audit Schedules - Aug 07" xfId="1249"/>
    <cellStyle name="_72370 BS Audit Schedules - Jun 07" xfId="1250"/>
    <cellStyle name="_72370 BS Audit Schedules - Nov 07" xfId="1251"/>
    <cellStyle name="_72370 BS Audit Schedules - Sep 07" xfId="1252"/>
    <cellStyle name="_8 TCW" xfId="1253"/>
    <cellStyle name="_8 TCW_Sheet1" xfId="1254"/>
    <cellStyle name="_A" xfId="1255"/>
    <cellStyle name="_A Wint AAA" xfId="1256"/>
    <cellStyle name="_A Wint AAA_Sheet1" xfId="1257"/>
    <cellStyle name="_A_1" xfId="1258"/>
    <cellStyle name="_A_1_Sheet1" xfId="1259"/>
    <cellStyle name="_A_Sheet1" xfId="1260"/>
    <cellStyle name="_ABSCDO5" xfId="1261"/>
    <cellStyle name="_ABSCDO5_Sheet1" xfId="1262"/>
    <cellStyle name="_additions- Sandhya" xfId="1263"/>
    <cellStyle name="_Afrasia Bank Ltd Consolidation - 2009" xfId="1264"/>
    <cellStyle name="_ALL" xfId="1265"/>
    <cellStyle name="_ALL_Sheet1" xfId="1266"/>
    <cellStyle name="_AllData" xfId="1267"/>
    <cellStyle name="_AllData_Sheet1" xfId="1268"/>
    <cellStyle name="_AnalysisTemplate" xfId="1269"/>
    <cellStyle name="_AnalysisTemplate_Sheet1" xfId="1270"/>
    <cellStyle name="_Arrear 4 -Raj" xfId="1271"/>
    <cellStyle name="_Arrear 4 -Raj_(26) Oct-09 (AL)" xfId="1272"/>
    <cellStyle name="_Arrear 4 -Raj_(26) Oct-09 (AL)_IBM_Grouped(2)" xfId="1273"/>
    <cellStyle name="_Arrear 4 -Raj_(26) Oct-09 (AL)_IBM_Grouped(2)_Recon" xfId="1274"/>
    <cellStyle name="_Arrear 4 -Raj_(26) Oct-09 (AL)_IBM_Grouped(2)_Recon to Segmental Report" xfId="1275"/>
    <cellStyle name="_Arrear 4 -Raj_(26) Oct-09 (AL)_IBM_Grouped(2)_Recon_1" xfId="1276"/>
    <cellStyle name="_Arrear 4 -Raj_(26) Oct-09 (AL)_IBM_Grouped(2)_Recon_2" xfId="1277"/>
    <cellStyle name="_Arrear 4 -Raj_(26) Oct-09 (AL)_IBM_Grouped(2)_Recon_3" xfId="1278"/>
    <cellStyle name="_Arrear 4 -Raj_(26) Oct-09 (AL)_IBM_Grouped(2)_Recon_4" xfId="1279"/>
    <cellStyle name="_Arrear 4 -Raj_(26) Oct-09 (AL)_IBM_Grouped(2)_Reconciliation" xfId="1280"/>
    <cellStyle name="_Arrear 4 -Raj_(26) Oct-09 (AL)_IBM_Grouped(2)_Reconciliation_1" xfId="1281"/>
    <cellStyle name="_Arrear 4 -Raj_(26) Oct-09 (AL)_IBM_Grouped(2)_Reconciliation_2" xfId="1282"/>
    <cellStyle name="_Arrear 4 -Raj_(26) Oct-09 (AL)_IBM_Grouped(2)_Reconciliation_3" xfId="1283"/>
    <cellStyle name="_Arrear 4 -Raj_(26) Oct-09 (AL)_Recon" xfId="1284"/>
    <cellStyle name="_Arrear 4 -Raj_(26) Oct-09 (AL)_Recon W1" xfId="1285"/>
    <cellStyle name="_Arrear 4 -Raj_(26) Oct-09 (AL)_Recon_1" xfId="1286"/>
    <cellStyle name="_Arrear 4 -Raj_(26) Oct-09 (AL)_Recon_2" xfId="1287"/>
    <cellStyle name="_Arrear 4 -Raj_(26) Oct-09 (AL)_Recon_3" xfId="1288"/>
    <cellStyle name="_Arrear 4 -Raj_(26) Oct-09 (AL)_Reconciliation" xfId="1289"/>
    <cellStyle name="_Arrear 4 -Raj_(26) Oct-09 (AL)_Reconciliation_1" xfId="1290"/>
    <cellStyle name="_Arrear 4 -Raj_(26) Oct-09 (AL)_Reconciliation_2" xfId="1291"/>
    <cellStyle name="_Arrear 4 -Raj_(26) Oct-09 (AL)_Reconciliation_3" xfId="1292"/>
    <cellStyle name="_Arrear 4 -Raj_(27) Nov-09 (AL)" xfId="1293"/>
    <cellStyle name="_Arrear 4 -Raj_(27) Nov-09 (AL)_IBM_Grouped(2)" xfId="1294"/>
    <cellStyle name="_Arrear 4 -Raj_(27) Nov-09 (AL)_IBM_Grouped(2)_Recon" xfId="1295"/>
    <cellStyle name="_Arrear 4 -Raj_(27) Nov-09 (AL)_IBM_Grouped(2)_Recon to Segmental Report" xfId="1296"/>
    <cellStyle name="_Arrear 4 -Raj_(27) Nov-09 (AL)_IBM_Grouped(2)_Recon_1" xfId="1297"/>
    <cellStyle name="_Arrear 4 -Raj_(27) Nov-09 (AL)_IBM_Grouped(2)_Recon_2" xfId="1298"/>
    <cellStyle name="_Arrear 4 -Raj_(27) Nov-09 (AL)_IBM_Grouped(2)_Recon_3" xfId="1299"/>
    <cellStyle name="_Arrear 4 -Raj_(27) Nov-09 (AL)_IBM_Grouped(2)_Recon_4" xfId="1300"/>
    <cellStyle name="_Arrear 4 -Raj_(27) Nov-09 (AL)_IBM_Grouped(2)_Reconciliation" xfId="1301"/>
    <cellStyle name="_Arrear 4 -Raj_(27) Nov-09 (AL)_IBM_Grouped(2)_Reconciliation_1" xfId="1302"/>
    <cellStyle name="_Arrear 4 -Raj_(27) Nov-09 (AL)_IBM_Grouped(2)_Reconciliation_2" xfId="1303"/>
    <cellStyle name="_Arrear 4 -Raj_(27) Nov-09 (AL)_IBM_Grouped(2)_Reconciliation_3" xfId="1304"/>
    <cellStyle name="_Arrear 4 -Raj_(27) Nov-09 (AL)_Recon" xfId="1305"/>
    <cellStyle name="_Arrear 4 -Raj_(27) Nov-09 (AL)_Recon W1" xfId="1306"/>
    <cellStyle name="_Arrear 4 -Raj_(27) Nov-09 (AL)_Recon_1" xfId="1307"/>
    <cellStyle name="_Arrear 4 -Raj_(27) Nov-09 (AL)_Recon_2" xfId="1308"/>
    <cellStyle name="_Arrear 4 -Raj_(27) Nov-09 (AL)_Recon_3" xfId="1309"/>
    <cellStyle name="_Arrear 4 -Raj_(27) Nov-09 (AL)_Reconciliation" xfId="1310"/>
    <cellStyle name="_Arrear 4 -Raj_(27) Nov-09 (AL)_Reconciliation_1" xfId="1311"/>
    <cellStyle name="_Arrear 4 -Raj_(27) Nov-09 (AL)_Reconciliation_2" xfId="1312"/>
    <cellStyle name="_Arrear 4 -Raj_(27) Nov-09 (AL)_Reconciliation_3" xfId="1313"/>
    <cellStyle name="_Arrear 4 -Raj_10_IBM_Bank Recon" xfId="1314"/>
    <cellStyle name="_Arrear 4 -Raj_10_IBM_J8_Cash Cut Off" xfId="1315"/>
    <cellStyle name="_Arrear 4 -Raj_10_IBM_Other liabilities" xfId="1316"/>
    <cellStyle name="_Arrear 4 -Raj_10_IBM_PLSF_Circularisation status" xfId="1317"/>
    <cellStyle name="_Arrear 4 -Raj_10_IBM_Preliminary PM " xfId="1318"/>
    <cellStyle name="_Arrear 4 -Raj_10_IBM_Sig Acc and SFOT determination " xfId="1319"/>
    <cellStyle name="_Arrear 4 -Raj_31.12.09 Mauritius-USD based ledger - Final1" xfId="1320"/>
    <cellStyle name="_Arrear 4 -Raj_Book1 (4)" xfId="1321"/>
    <cellStyle name="_Arrear 4 -Raj_Book4" xfId="1322"/>
    <cellStyle name="_Arrear 4 -Raj_Book4_Recon" xfId="1323"/>
    <cellStyle name="_Arrear 4 -Raj_Book4_Recon W1" xfId="1324"/>
    <cellStyle name="_Arrear 4 -Raj_Book4_Recon_1" xfId="1325"/>
    <cellStyle name="_Arrear 4 -Raj_Book4_Recon_2" xfId="1326"/>
    <cellStyle name="_Arrear 4 -Raj_Book4_Recon_3" xfId="1327"/>
    <cellStyle name="_Arrear 4 -Raj_Book4_Reconciliation" xfId="1328"/>
    <cellStyle name="_Arrear 4 -Raj_Book4_Reconciliation_1" xfId="1329"/>
    <cellStyle name="_Arrear 4 -Raj_Book4_Reconciliation_2" xfId="1330"/>
    <cellStyle name="_Arrear 4 -Raj_Book4_Reconciliation_3" xfId="1331"/>
    <cellStyle name="_Arrear 4 -Raj_capital adequacy September 2009" xfId="1332"/>
    <cellStyle name="_Arrear 4 -Raj_capital adequacy September 2009_IBM_Grouped(2)" xfId="1333"/>
    <cellStyle name="_Arrear 4 -Raj_capital adequacy September 2009_IBM_Grouped(2)_Recon" xfId="1334"/>
    <cellStyle name="_Arrear 4 -Raj_capital adequacy September 2009_IBM_Grouped(2)_Recon to Segmental Report" xfId="1335"/>
    <cellStyle name="_Arrear 4 -Raj_capital adequacy September 2009_IBM_Grouped(2)_Recon_1" xfId="1336"/>
    <cellStyle name="_Arrear 4 -Raj_capital adequacy September 2009_IBM_Grouped(2)_Recon_2" xfId="1337"/>
    <cellStyle name="_Arrear 4 -Raj_capital adequacy September 2009_IBM_Grouped(2)_Recon_3" xfId="1338"/>
    <cellStyle name="_Arrear 4 -Raj_capital adequacy September 2009_IBM_Grouped(2)_Recon_4" xfId="1339"/>
    <cellStyle name="_Arrear 4 -Raj_capital adequacy September 2009_IBM_Grouped(2)_Reconciliation" xfId="1340"/>
    <cellStyle name="_Arrear 4 -Raj_capital adequacy September 2009_IBM_Grouped(2)_Reconciliation_1" xfId="1341"/>
    <cellStyle name="_Arrear 4 -Raj_capital adequacy September 2009_IBM_Grouped(2)_Reconciliation_2" xfId="1342"/>
    <cellStyle name="_Arrear 4 -Raj_capital adequacy September 2009_IBM_Grouped(2)_Reconciliation_3" xfId="1343"/>
    <cellStyle name="_Arrear 4 -Raj_capital adequacy September 2009_Recon" xfId="1344"/>
    <cellStyle name="_Arrear 4 -Raj_capital adequacy September 2009_Recon W1" xfId="1345"/>
    <cellStyle name="_Arrear 4 -Raj_capital adequacy September 2009_Recon_1" xfId="1346"/>
    <cellStyle name="_Arrear 4 -Raj_capital adequacy September 2009_Recon_2" xfId="1347"/>
    <cellStyle name="_Arrear 4 -Raj_capital adequacy September 2009_Recon_3" xfId="1348"/>
    <cellStyle name="_Arrear 4 -Raj_capital adequacy September 2009_Reconciliation" xfId="1349"/>
    <cellStyle name="_Arrear 4 -Raj_capital adequacy September 2009_Reconciliation_1" xfId="1350"/>
    <cellStyle name="_Arrear 4 -Raj_capital adequacy September 2009_Reconciliation_2" xfId="1351"/>
    <cellStyle name="_Arrear 4 -Raj_capital adequacy September 2009_Reconciliation_3" xfId="1352"/>
    <cellStyle name="_Arrear 4 -Raj_Circularisation Status Specialised Finance Division 17 Mar 10" xfId="1353"/>
    <cellStyle name="_Arrear 4 -Raj_Copy of Mauritius-USD based ledger" xfId="1354"/>
    <cellStyle name="_Arrear 4 -Raj_Copy of Mauritius-USD based ledger_Recon" xfId="1355"/>
    <cellStyle name="_Arrear 4 -Raj_Copy of Mauritius-USD based ledger_Recon W1" xfId="1356"/>
    <cellStyle name="_Arrear 4 -Raj_Copy of Mauritius-USD based ledger_Recon_1" xfId="1357"/>
    <cellStyle name="_Arrear 4 -Raj_Copy of Mauritius-USD based ledger_Recon_2" xfId="1358"/>
    <cellStyle name="_Arrear 4 -Raj_Copy of Mauritius-USD based ledger_Recon_3" xfId="1359"/>
    <cellStyle name="_Arrear 4 -Raj_Copy of Mauritius-USD based ledger_Reconciliation" xfId="1360"/>
    <cellStyle name="_Arrear 4 -Raj_Copy of Mauritius-USD based ledger_Reconciliation_1" xfId="1361"/>
    <cellStyle name="_Arrear 4 -Raj_Copy of Mauritius-USD based ledger_Reconciliation_2" xfId="1362"/>
    <cellStyle name="_Arrear 4 -Raj_Copy of Mauritius-USD based ledger_Reconciliation_3" xfId="1363"/>
    <cellStyle name="_Arrear 4 -Raj_IBM_Grouped(2)" xfId="1364"/>
    <cellStyle name="_Arrear 4 -Raj_IBM_Grouped(2)_Recon" xfId="1365"/>
    <cellStyle name="_Arrear 4 -Raj_IBM_Grouped(2)_Recon W1" xfId="1366"/>
    <cellStyle name="_Arrear 4 -Raj_IBM_Grouped(2)_Recon_1" xfId="1367"/>
    <cellStyle name="_Arrear 4 -Raj_IBM_Grouped(2)_Recon_2" xfId="1368"/>
    <cellStyle name="_Arrear 4 -Raj_IBM_Grouped(2)_Recon_3" xfId="1369"/>
    <cellStyle name="_Arrear 4 -Raj_IBM_Grouped(2)_Reconciliation" xfId="1370"/>
    <cellStyle name="_Arrear 4 -Raj_IBM_Grouped(2)_Reconciliation_1" xfId="1371"/>
    <cellStyle name="_Arrear 4 -Raj_IBM_Grouped(2)_Reconciliation_2" xfId="1372"/>
    <cellStyle name="_Arrear 4 -Raj_IBM_Grouped(2)_Reconciliation_3" xfId="1373"/>
    <cellStyle name="_Arrear 4 -Raj_IBM_Grouped_USD" xfId="1374"/>
    <cellStyle name="_Arrear 4 -Raj_IBM_Grouped_USD_Recon" xfId="1375"/>
    <cellStyle name="_Arrear 4 -Raj_IBM_Grouped_USD_Recon W1" xfId="1376"/>
    <cellStyle name="_Arrear 4 -Raj_IBM_Grouped_USD_Recon_1" xfId="1377"/>
    <cellStyle name="_Arrear 4 -Raj_IBM_Grouped_USD_Recon_2" xfId="1378"/>
    <cellStyle name="_Arrear 4 -Raj_IBM_Grouped_USD_Recon_3" xfId="1379"/>
    <cellStyle name="_Arrear 4 -Raj_IBM_Grouped_USD_Reconciliation" xfId="1380"/>
    <cellStyle name="_Arrear 4 -Raj_IBM_Grouped_USD_Reconciliation_1" xfId="1381"/>
    <cellStyle name="_Arrear 4 -Raj_IBM_Grouped_USD_Reconciliation_2" xfId="1382"/>
    <cellStyle name="_Arrear 4 -Raj_IBM_Grouped_USD_Reconciliation_3" xfId="1383"/>
    <cellStyle name="_Arrear 4 -Raj_IBM_Grouped_ZAR" xfId="1384"/>
    <cellStyle name="_Arrear 4 -Raj_IBM_Grouped_ZAR_Recon" xfId="1385"/>
    <cellStyle name="_Arrear 4 -Raj_IBM_Grouped_ZAR_Recon W1" xfId="1386"/>
    <cellStyle name="_Arrear 4 -Raj_IBM_Grouped_ZAR_Recon_1" xfId="1387"/>
    <cellStyle name="_Arrear 4 -Raj_IBM_Grouped_ZAR_Recon_2" xfId="1388"/>
    <cellStyle name="_Arrear 4 -Raj_IBM_Grouped_ZAR_Recon_3" xfId="1389"/>
    <cellStyle name="_Arrear 4 -Raj_IBM_Grouped_ZAR_Reconciliation" xfId="1390"/>
    <cellStyle name="_Arrear 4 -Raj_IBM_Grouped_ZAR_Reconciliation_1" xfId="1391"/>
    <cellStyle name="_Arrear 4 -Raj_IBM_Grouped_ZAR_Reconciliation_2" xfId="1392"/>
    <cellStyle name="_Arrear 4 -Raj_IBM_Grouped_ZAR_Reconciliation_3" xfId="1393"/>
    <cellStyle name="_Arrear 4 -Raj_Liquidity and repricing" xfId="1394"/>
    <cellStyle name="_Arrear 4 -Raj_Liquidity and repricing_IBM_Grouped(2)" xfId="1395"/>
    <cellStyle name="_Arrear 4 -Raj_Liquidity and repricing_IBM_Grouped(2)_Recon" xfId="1396"/>
    <cellStyle name="_Arrear 4 -Raj_Liquidity and repricing_IBM_Grouped(2)_Recon to Segmental Report" xfId="1397"/>
    <cellStyle name="_Arrear 4 -Raj_Liquidity and repricing_IBM_Grouped(2)_Recon_1" xfId="1398"/>
    <cellStyle name="_Arrear 4 -Raj_Liquidity and repricing_IBM_Grouped(2)_Recon_2" xfId="1399"/>
    <cellStyle name="_Arrear 4 -Raj_Liquidity and repricing_IBM_Grouped(2)_Recon_3" xfId="1400"/>
    <cellStyle name="_Arrear 4 -Raj_Liquidity and repricing_IBM_Grouped(2)_Recon_4" xfId="1401"/>
    <cellStyle name="_Arrear 4 -Raj_Liquidity and repricing_IBM_Grouped(2)_Reconciliation" xfId="1402"/>
    <cellStyle name="_Arrear 4 -Raj_Liquidity and repricing_IBM_Grouped(2)_Reconciliation_1" xfId="1403"/>
    <cellStyle name="_Arrear 4 -Raj_Liquidity and repricing_IBM_Grouped(2)_Reconciliation_2" xfId="1404"/>
    <cellStyle name="_Arrear 4 -Raj_Liquidity and repricing_IBM_Grouped(2)_Reconciliation_3" xfId="1405"/>
    <cellStyle name="_Arrear 4 -Raj_Liquidity and repricing_Recon" xfId="1406"/>
    <cellStyle name="_Arrear 4 -Raj_Liquidity and repricing_Recon W1" xfId="1407"/>
    <cellStyle name="_Arrear 4 -Raj_Liquidity and repricing_Recon_1" xfId="1408"/>
    <cellStyle name="_Arrear 4 -Raj_Liquidity and repricing_Recon_2" xfId="1409"/>
    <cellStyle name="_Arrear 4 -Raj_Liquidity and repricing_Recon_3" xfId="1410"/>
    <cellStyle name="_Arrear 4 -Raj_Liquidity and repricing_Reconciliation" xfId="1411"/>
    <cellStyle name="_Arrear 4 -Raj_Liquidity and repricing_Reconciliation_1" xfId="1412"/>
    <cellStyle name="_Arrear 4 -Raj_Liquidity and repricing_Reconciliation_2" xfId="1413"/>
    <cellStyle name="_Arrear 4 -Raj_Liquidity and repricing_Reconciliation_3" xfId="1414"/>
    <cellStyle name="_Arrear 4 -Raj_MUR position" xfId="1415"/>
    <cellStyle name="_Arrear 4 -Raj_NOP 2010 01 31 USD BASED" xfId="1416"/>
    <cellStyle name="_Arrear 4 -Raj_NOP 2010 01 31 USD BASED_Report Finance" xfId="1417"/>
    <cellStyle name="_Arrear 4 -Raj_NOP 2010 02 28 USD BASED Final" xfId="1418"/>
    <cellStyle name="_Arrear 4 -Raj_NOP 2010 02 28 USD BASED Final_Report Finance" xfId="1419"/>
    <cellStyle name="_Arrear 4 -Raj_NOP 2010 03 31 USD BASEDrevised" xfId="1420"/>
    <cellStyle name="_Arrear 4 -Raj_NOP 2010 03 31 USD BASEDrevised_Report Finance" xfId="1421"/>
    <cellStyle name="_Arrear 4 -Raj_NOP 2010 04 30" xfId="1422"/>
    <cellStyle name="_Arrear 4 -Raj_NOP 2010 04 30_Recon" xfId="1423"/>
    <cellStyle name="_Arrear 4 -Raj_NOP 2010 04 30_Recon W1" xfId="1424"/>
    <cellStyle name="_Arrear 4 -Raj_NOP 2010 04 30_Recon_1" xfId="1425"/>
    <cellStyle name="_Arrear 4 -Raj_NOP 2010 04 30_Recon_2" xfId="1426"/>
    <cellStyle name="_Arrear 4 -Raj_NOP 2010 04 30_Recon_3" xfId="1427"/>
    <cellStyle name="_Arrear 4 -Raj_NOP 2010 04 30_Reconciliation" xfId="1428"/>
    <cellStyle name="_Arrear 4 -Raj_NOP 2010 04 30_Reconciliation_1" xfId="1429"/>
    <cellStyle name="_Arrear 4 -Raj_NOP 2010 04 30_Reconciliation_2" xfId="1430"/>
    <cellStyle name="_Arrear 4 -Raj_NOP 2010 04 30_Reconciliation_3" xfId="1431"/>
    <cellStyle name="_Arrear 4 -Raj_NOP 2010 04 30_Report Finance" xfId="1432"/>
    <cellStyle name="_Arrear 4 -Raj_ORIGINAL NOP 2009 12 31 USD BASED" xfId="1433"/>
    <cellStyle name="_Arrear 4 -Raj_ORIGINAL NOP 2009 12 31 USD BASED_Report Finance" xfId="1434"/>
    <cellStyle name="_Arrear 4 -Raj_Recon" xfId="1435"/>
    <cellStyle name="_Arrear 4 -Raj_Recon W1" xfId="1436"/>
    <cellStyle name="_Arrear 4 -Raj_Recon_1" xfId="1437"/>
    <cellStyle name="_Arrear 4 -Raj_Recon_2" xfId="1438"/>
    <cellStyle name="_Arrear 4 -Raj_Recon_3" xfId="1439"/>
    <cellStyle name="_Arrear 4 -Raj_Reconciliation" xfId="1440"/>
    <cellStyle name="_Arrear 4 -Raj_Reconciliation_1" xfId="1441"/>
    <cellStyle name="_Arrear 4 -Raj_Reconciliation_2" xfId="1442"/>
    <cellStyle name="_Arrear 4 -Raj_Reconciliation_3" xfId="1443"/>
    <cellStyle name="_Arrear 4 -Raj_Report Finance" xfId="1444"/>
    <cellStyle name="_Arrear 4 -Raj_SC_Treasury_Other" xfId="1445"/>
    <cellStyle name="_Arrear 4 -Raj_SC_Treasury_Other_Recon" xfId="1446"/>
    <cellStyle name="_Arrear 4 -Raj_SC_Treasury_Other_Recon_1" xfId="1447"/>
    <cellStyle name="_Arrear 4 -Raj_SC_Treasury_Other_Recon_2" xfId="1448"/>
    <cellStyle name="_Arrear 4 -Raj_SC_Treasury_Other_Recon_3" xfId="1449"/>
    <cellStyle name="_Arrear 4 -Raj_SC_Treasury_Other_Reconciliation" xfId="1450"/>
    <cellStyle name="_Arrear 4 -Raj_SC_Treasury_Other_Reconciliation_1" xfId="1451"/>
    <cellStyle name="_Arrear 4 -Raj_Sheet1" xfId="1452"/>
    <cellStyle name="_Arrear 4 -Raj_Sheet1_1" xfId="1453"/>
    <cellStyle name="_Arrears 2 (Raj)" xfId="1454"/>
    <cellStyle name="_Arrears 2 (Raj) 2" xfId="1455"/>
    <cellStyle name="_Arrears 2 (Raj)_(05) CAR Dec-07" xfId="1456"/>
    <cellStyle name="_Arrears 2 (Raj)_(05) CAR Dec-07 2" xfId="1457"/>
    <cellStyle name="_Arrears 2 (Raj)_(05) CAR Dec-07_(26) Oct-09 (AL)" xfId="1458"/>
    <cellStyle name="_Arrears 2 (Raj)_(05) CAR Dec-07_(26) Oct-09 (AL)_IBM_Grouped(2)" xfId="1459"/>
    <cellStyle name="_Arrears 2 (Raj)_(05) CAR Dec-07_(26) Oct-09 (AL)_IBM_Grouped(2)_Recon" xfId="1460"/>
    <cellStyle name="_Arrears 2 (Raj)_(05) CAR Dec-07_(26) Oct-09 (AL)_IBM_Grouped(2)_Recon to Segmental Report" xfId="1461"/>
    <cellStyle name="_Arrears 2 (Raj)_(05) CAR Dec-07_(26) Oct-09 (AL)_IBM_Grouped(2)_Recon_1" xfId="1462"/>
    <cellStyle name="_Arrears 2 (Raj)_(05) CAR Dec-07_(26) Oct-09 (AL)_IBM_Grouped(2)_Recon_2" xfId="1463"/>
    <cellStyle name="_Arrears 2 (Raj)_(05) CAR Dec-07_(26) Oct-09 (AL)_IBM_Grouped(2)_Recon_3" xfId="1464"/>
    <cellStyle name="_Arrears 2 (Raj)_(05) CAR Dec-07_(26) Oct-09 (AL)_IBM_Grouped(2)_Recon_4" xfId="1465"/>
    <cellStyle name="_Arrears 2 (Raj)_(05) CAR Dec-07_(26) Oct-09 (AL)_IBM_Grouped(2)_Reconciliation" xfId="1466"/>
    <cellStyle name="_Arrears 2 (Raj)_(05) CAR Dec-07_(26) Oct-09 (AL)_IBM_Grouped(2)_Reconciliation_1" xfId="1467"/>
    <cellStyle name="_Arrears 2 (Raj)_(05) CAR Dec-07_(26) Oct-09 (AL)_IBM_Grouped(2)_Reconciliation_2" xfId="1468"/>
    <cellStyle name="_Arrears 2 (Raj)_(05) CAR Dec-07_(26) Oct-09 (AL)_IBM_Grouped(2)_Reconciliation_3" xfId="1469"/>
    <cellStyle name="_Arrears 2 (Raj)_(05) CAR Dec-07_(26) Oct-09 (AL)_Recon" xfId="1470"/>
    <cellStyle name="_Arrears 2 (Raj)_(05) CAR Dec-07_(26) Oct-09 (AL)_Recon W1" xfId="1471"/>
    <cellStyle name="_Arrears 2 (Raj)_(05) CAR Dec-07_(26) Oct-09 (AL)_Recon_1" xfId="1472"/>
    <cellStyle name="_Arrears 2 (Raj)_(05) CAR Dec-07_(26) Oct-09 (AL)_Recon_2" xfId="1473"/>
    <cellStyle name="_Arrears 2 (Raj)_(05) CAR Dec-07_(26) Oct-09 (AL)_Recon_3" xfId="1474"/>
    <cellStyle name="_Arrears 2 (Raj)_(05) CAR Dec-07_(26) Oct-09 (AL)_Reconciliation" xfId="1475"/>
    <cellStyle name="_Arrears 2 (Raj)_(05) CAR Dec-07_(26) Oct-09 (AL)_Reconciliation_1" xfId="1476"/>
    <cellStyle name="_Arrears 2 (Raj)_(05) CAR Dec-07_(26) Oct-09 (AL)_Reconciliation_2" xfId="1477"/>
    <cellStyle name="_Arrears 2 (Raj)_(05) CAR Dec-07_(26) Oct-09 (AL)_Reconciliation_3" xfId="1478"/>
    <cellStyle name="_Arrears 2 (Raj)_(05) CAR Dec-07_(27) Nov-09 (AL)" xfId="1479"/>
    <cellStyle name="_Arrears 2 (Raj)_(05) CAR Dec-07_(27) Nov-09 (AL)_IBM_Grouped(2)" xfId="1480"/>
    <cellStyle name="_Arrears 2 (Raj)_(05) CAR Dec-07_(27) Nov-09 (AL)_IBM_Grouped(2)_Recon" xfId="1481"/>
    <cellStyle name="_Arrears 2 (Raj)_(05) CAR Dec-07_(27) Nov-09 (AL)_IBM_Grouped(2)_Recon to Segmental Report" xfId="1482"/>
    <cellStyle name="_Arrears 2 (Raj)_(05) CAR Dec-07_(27) Nov-09 (AL)_IBM_Grouped(2)_Recon_1" xfId="1483"/>
    <cellStyle name="_Arrears 2 (Raj)_(05) CAR Dec-07_(27) Nov-09 (AL)_IBM_Grouped(2)_Recon_2" xfId="1484"/>
    <cellStyle name="_Arrears 2 (Raj)_(05) CAR Dec-07_(27) Nov-09 (AL)_IBM_Grouped(2)_Recon_3" xfId="1485"/>
    <cellStyle name="_Arrears 2 (Raj)_(05) CAR Dec-07_(27) Nov-09 (AL)_IBM_Grouped(2)_Recon_4" xfId="1486"/>
    <cellStyle name="_Arrears 2 (Raj)_(05) CAR Dec-07_(27) Nov-09 (AL)_IBM_Grouped(2)_Reconciliation" xfId="1487"/>
    <cellStyle name="_Arrears 2 (Raj)_(05) CAR Dec-07_(27) Nov-09 (AL)_IBM_Grouped(2)_Reconciliation_1" xfId="1488"/>
    <cellStyle name="_Arrears 2 (Raj)_(05) CAR Dec-07_(27) Nov-09 (AL)_IBM_Grouped(2)_Reconciliation_2" xfId="1489"/>
    <cellStyle name="_Arrears 2 (Raj)_(05) CAR Dec-07_(27) Nov-09 (AL)_IBM_Grouped(2)_Reconciliation_3" xfId="1490"/>
    <cellStyle name="_Arrears 2 (Raj)_(05) CAR Dec-07_(27) Nov-09 (AL)_Recon" xfId="1491"/>
    <cellStyle name="_Arrears 2 (Raj)_(05) CAR Dec-07_(27) Nov-09 (AL)_Recon W1" xfId="1492"/>
    <cellStyle name="_Arrears 2 (Raj)_(05) CAR Dec-07_(27) Nov-09 (AL)_Recon_1" xfId="1493"/>
    <cellStyle name="_Arrears 2 (Raj)_(05) CAR Dec-07_(27) Nov-09 (AL)_Recon_2" xfId="1494"/>
    <cellStyle name="_Arrears 2 (Raj)_(05) CAR Dec-07_(27) Nov-09 (AL)_Recon_3" xfId="1495"/>
    <cellStyle name="_Arrears 2 (Raj)_(05) CAR Dec-07_(27) Nov-09 (AL)_Reconciliation" xfId="1496"/>
    <cellStyle name="_Arrears 2 (Raj)_(05) CAR Dec-07_(27) Nov-09 (AL)_Reconciliation_1" xfId="1497"/>
    <cellStyle name="_Arrears 2 (Raj)_(05) CAR Dec-07_(27) Nov-09 (AL)_Reconciliation_2" xfId="1498"/>
    <cellStyle name="_Arrears 2 (Raj)_(05) CAR Dec-07_(27) Nov-09 (AL)_Reconciliation_3" xfId="1499"/>
    <cellStyle name="_Arrears 2 (Raj)_(05) CAR Dec-07_09_IBM_A5.6.3_Sig Acc and SFOT Determination" xfId="1500"/>
    <cellStyle name="_Arrears 2 (Raj)_(05) CAR Dec-07_09_IBM_Preliminary PM (Interim) 31.03.010" xfId="1501"/>
    <cellStyle name="_Arrears 2 (Raj)_(05) CAR Dec-07_10_IBM_Bank Recon" xfId="1502"/>
    <cellStyle name="_Arrears 2 (Raj)_(05) CAR Dec-07_10_IBM_J8_Cash Cut Off" xfId="1503"/>
    <cellStyle name="_Arrears 2 (Raj)_(05) CAR Dec-07_10_IBM_Other liabilities" xfId="1504"/>
    <cellStyle name="_Arrears 2 (Raj)_(05) CAR Dec-07_10_IBM_PLSF_Circularisation status" xfId="1505"/>
    <cellStyle name="_Arrears 2 (Raj)_(05) CAR Dec-07_10_IBM_Preliminary PM " xfId="1506"/>
    <cellStyle name="_Arrears 2 (Raj)_(05) CAR Dec-07_10_IBM_Sig Acc and SFOT determination " xfId="1507"/>
    <cellStyle name="_Arrears 2 (Raj)_(05) CAR Dec-07_31.12.09 Mauritius-USD based ledger - Final1" xfId="1508"/>
    <cellStyle name="_Arrears 2 (Raj)_(05) CAR Dec-07_Book1 (4)" xfId="1509"/>
    <cellStyle name="_Arrears 2 (Raj)_(05) CAR Dec-07_Book4" xfId="1510"/>
    <cellStyle name="_Arrears 2 (Raj)_(05) CAR Dec-07_Book4_Recon" xfId="1511"/>
    <cellStyle name="_Arrears 2 (Raj)_(05) CAR Dec-07_Book4_Recon W1" xfId="1512"/>
    <cellStyle name="_Arrears 2 (Raj)_(05) CAR Dec-07_Book4_Recon_1" xfId="1513"/>
    <cellStyle name="_Arrears 2 (Raj)_(05) CAR Dec-07_Book4_Recon_2" xfId="1514"/>
    <cellStyle name="_Arrears 2 (Raj)_(05) CAR Dec-07_Book4_Recon_3" xfId="1515"/>
    <cellStyle name="_Arrears 2 (Raj)_(05) CAR Dec-07_Book4_Reconciliation" xfId="1516"/>
    <cellStyle name="_Arrears 2 (Raj)_(05) CAR Dec-07_Book4_Reconciliation_1" xfId="1517"/>
    <cellStyle name="_Arrears 2 (Raj)_(05) CAR Dec-07_Book4_Reconciliation_2" xfId="1518"/>
    <cellStyle name="_Arrears 2 (Raj)_(05) CAR Dec-07_Book4_Reconciliation_3" xfId="1519"/>
    <cellStyle name="_Arrears 2 (Raj)_(05) CAR Dec-07_capital adequacy September 2009" xfId="1520"/>
    <cellStyle name="_Arrears 2 (Raj)_(05) CAR Dec-07_capital adequacy September 2009_IBM_Grouped(2)" xfId="1521"/>
    <cellStyle name="_Arrears 2 (Raj)_(05) CAR Dec-07_capital adequacy September 2009_IBM_Grouped(2)_Recon" xfId="1522"/>
    <cellStyle name="_Arrears 2 (Raj)_(05) CAR Dec-07_capital adequacy September 2009_IBM_Grouped(2)_Recon to Segmental Report" xfId="1523"/>
    <cellStyle name="_Arrears 2 (Raj)_(05) CAR Dec-07_capital adequacy September 2009_IBM_Grouped(2)_Recon_1" xfId="1524"/>
    <cellStyle name="_Arrears 2 (Raj)_(05) CAR Dec-07_capital adequacy September 2009_IBM_Grouped(2)_Recon_2" xfId="1525"/>
    <cellStyle name="_Arrears 2 (Raj)_(05) CAR Dec-07_capital adequacy September 2009_IBM_Grouped(2)_Recon_3" xfId="1526"/>
    <cellStyle name="_Arrears 2 (Raj)_(05) CAR Dec-07_capital adequacy September 2009_IBM_Grouped(2)_Recon_4" xfId="1527"/>
    <cellStyle name="_Arrears 2 (Raj)_(05) CAR Dec-07_capital adequacy September 2009_IBM_Grouped(2)_Reconciliation" xfId="1528"/>
    <cellStyle name="_Arrears 2 (Raj)_(05) CAR Dec-07_capital adequacy September 2009_IBM_Grouped(2)_Reconciliation_1" xfId="1529"/>
    <cellStyle name="_Arrears 2 (Raj)_(05) CAR Dec-07_capital adequacy September 2009_IBM_Grouped(2)_Reconciliation_2" xfId="1530"/>
    <cellStyle name="_Arrears 2 (Raj)_(05) CAR Dec-07_capital adequacy September 2009_IBM_Grouped(2)_Reconciliation_3" xfId="1531"/>
    <cellStyle name="_Arrears 2 (Raj)_(05) CAR Dec-07_capital adequacy September 2009_Recon" xfId="1532"/>
    <cellStyle name="_Arrears 2 (Raj)_(05) CAR Dec-07_capital adequacy September 2009_Recon W1" xfId="1533"/>
    <cellStyle name="_Arrears 2 (Raj)_(05) CAR Dec-07_capital adequacy September 2009_Recon_1" xfId="1534"/>
    <cellStyle name="_Arrears 2 (Raj)_(05) CAR Dec-07_capital adequacy September 2009_Recon_2" xfId="1535"/>
    <cellStyle name="_Arrears 2 (Raj)_(05) CAR Dec-07_capital adequacy September 2009_Recon_3" xfId="1536"/>
    <cellStyle name="_Arrears 2 (Raj)_(05) CAR Dec-07_capital adequacy September 2009_Reconciliation" xfId="1537"/>
    <cellStyle name="_Arrears 2 (Raj)_(05) CAR Dec-07_capital adequacy September 2009_Reconciliation_1" xfId="1538"/>
    <cellStyle name="_Arrears 2 (Raj)_(05) CAR Dec-07_capital adequacy September 2009_Reconciliation_2" xfId="1539"/>
    <cellStyle name="_Arrears 2 (Raj)_(05) CAR Dec-07_capital adequacy September 2009_Reconciliation_3" xfId="1540"/>
    <cellStyle name="_Arrears 2 (Raj)_(05) CAR Dec-07_Circularisation Status Specialised Finance Division 17 Mar 10" xfId="1541"/>
    <cellStyle name="_Arrears 2 (Raj)_(05) CAR Dec-07_Copy of Mauritius-USD based ledger" xfId="1542"/>
    <cellStyle name="_Arrears 2 (Raj)_(05) CAR Dec-07_Copy of Mauritius-USD based ledger_Recon" xfId="1543"/>
    <cellStyle name="_Arrears 2 (Raj)_(05) CAR Dec-07_Copy of Mauritius-USD based ledger_Recon W1" xfId="1544"/>
    <cellStyle name="_Arrears 2 (Raj)_(05) CAR Dec-07_Copy of Mauritius-USD based ledger_Recon_1" xfId="1545"/>
    <cellStyle name="_Arrears 2 (Raj)_(05) CAR Dec-07_Copy of Mauritius-USD based ledger_Recon_2" xfId="1546"/>
    <cellStyle name="_Arrears 2 (Raj)_(05) CAR Dec-07_Copy of Mauritius-USD based ledger_Recon_3" xfId="1547"/>
    <cellStyle name="_Arrears 2 (Raj)_(05) CAR Dec-07_Copy of Mauritius-USD based ledger_Reconciliation" xfId="1548"/>
    <cellStyle name="_Arrears 2 (Raj)_(05) CAR Dec-07_Copy of Mauritius-USD based ledger_Reconciliation_1" xfId="1549"/>
    <cellStyle name="_Arrears 2 (Raj)_(05) CAR Dec-07_Copy of Mauritius-USD based ledger_Reconciliation_2" xfId="1550"/>
    <cellStyle name="_Arrears 2 (Raj)_(05) CAR Dec-07_Copy of Mauritius-USD based ledger_Reconciliation_3" xfId="1551"/>
    <cellStyle name="_Arrears 2 (Raj)_(05) CAR Dec-07_IBM_Grouped(2)" xfId="1552"/>
    <cellStyle name="_Arrears 2 (Raj)_(05) CAR Dec-07_IBM_Grouped(2)_Recon" xfId="1553"/>
    <cellStyle name="_Arrears 2 (Raj)_(05) CAR Dec-07_IBM_Grouped(2)_Recon W1" xfId="1554"/>
    <cellStyle name="_Arrears 2 (Raj)_(05) CAR Dec-07_IBM_Grouped(2)_Recon_1" xfId="1555"/>
    <cellStyle name="_Arrears 2 (Raj)_(05) CAR Dec-07_IBM_Grouped(2)_Recon_2" xfId="1556"/>
    <cellStyle name="_Arrears 2 (Raj)_(05) CAR Dec-07_IBM_Grouped(2)_Recon_3" xfId="1557"/>
    <cellStyle name="_Arrears 2 (Raj)_(05) CAR Dec-07_IBM_Grouped(2)_Reconciliation" xfId="1558"/>
    <cellStyle name="_Arrears 2 (Raj)_(05) CAR Dec-07_IBM_Grouped(2)_Reconciliation_1" xfId="1559"/>
    <cellStyle name="_Arrears 2 (Raj)_(05) CAR Dec-07_IBM_Grouped(2)_Reconciliation_2" xfId="1560"/>
    <cellStyle name="_Arrears 2 (Raj)_(05) CAR Dec-07_IBM_Grouped(2)_Reconciliation_3" xfId="1561"/>
    <cellStyle name="_Arrears 2 (Raj)_(05) CAR Dec-07_IBM_Grouped_USD" xfId="1562"/>
    <cellStyle name="_Arrears 2 (Raj)_(05) CAR Dec-07_IBM_Grouped_USD_Recon" xfId="1563"/>
    <cellStyle name="_Arrears 2 (Raj)_(05) CAR Dec-07_IBM_Grouped_USD_Recon W1" xfId="1564"/>
    <cellStyle name="_Arrears 2 (Raj)_(05) CAR Dec-07_IBM_Grouped_USD_Recon_1" xfId="1565"/>
    <cellStyle name="_Arrears 2 (Raj)_(05) CAR Dec-07_IBM_Grouped_USD_Recon_2" xfId="1566"/>
    <cellStyle name="_Arrears 2 (Raj)_(05) CAR Dec-07_IBM_Grouped_USD_Recon_3" xfId="1567"/>
    <cellStyle name="_Arrears 2 (Raj)_(05) CAR Dec-07_IBM_Grouped_USD_Reconciliation" xfId="1568"/>
    <cellStyle name="_Arrears 2 (Raj)_(05) CAR Dec-07_IBM_Grouped_USD_Reconciliation_1" xfId="1569"/>
    <cellStyle name="_Arrears 2 (Raj)_(05) CAR Dec-07_IBM_Grouped_USD_Reconciliation_2" xfId="1570"/>
    <cellStyle name="_Arrears 2 (Raj)_(05) CAR Dec-07_IBM_Grouped_USD_Reconciliation_3" xfId="1571"/>
    <cellStyle name="_Arrears 2 (Raj)_(05) CAR Dec-07_IBM_Grouped_ZAR" xfId="1572"/>
    <cellStyle name="_Arrears 2 (Raj)_(05) CAR Dec-07_IBM_Grouped_ZAR_Recon" xfId="1573"/>
    <cellStyle name="_Arrears 2 (Raj)_(05) CAR Dec-07_IBM_Grouped_ZAR_Recon W1" xfId="1574"/>
    <cellStyle name="_Arrears 2 (Raj)_(05) CAR Dec-07_IBM_Grouped_ZAR_Recon_1" xfId="1575"/>
    <cellStyle name="_Arrears 2 (Raj)_(05) CAR Dec-07_IBM_Grouped_ZAR_Recon_2" xfId="1576"/>
    <cellStyle name="_Arrears 2 (Raj)_(05) CAR Dec-07_IBM_Grouped_ZAR_Recon_3" xfId="1577"/>
    <cellStyle name="_Arrears 2 (Raj)_(05) CAR Dec-07_IBM_Grouped_ZAR_Reconciliation" xfId="1578"/>
    <cellStyle name="_Arrears 2 (Raj)_(05) CAR Dec-07_IBM_Grouped_ZAR_Reconciliation_1" xfId="1579"/>
    <cellStyle name="_Arrears 2 (Raj)_(05) CAR Dec-07_IBM_Grouped_ZAR_Reconciliation_2" xfId="1580"/>
    <cellStyle name="_Arrears 2 (Raj)_(05) CAR Dec-07_IBM_Grouped_ZAR_Reconciliation_3" xfId="1581"/>
    <cellStyle name="_Arrears 2 (Raj)_(05) CAR Dec-07_Liquidity and repricing" xfId="1582"/>
    <cellStyle name="_Arrears 2 (Raj)_(05) CAR Dec-07_Liquidity and repricing_IBM_Grouped(2)" xfId="1583"/>
    <cellStyle name="_Arrears 2 (Raj)_(05) CAR Dec-07_Liquidity and repricing_IBM_Grouped(2)_Recon" xfId="1584"/>
    <cellStyle name="_Arrears 2 (Raj)_(05) CAR Dec-07_Liquidity and repricing_IBM_Grouped(2)_Recon to Segmental Report" xfId="1585"/>
    <cellStyle name="_Arrears 2 (Raj)_(05) CAR Dec-07_Liquidity and repricing_IBM_Grouped(2)_Recon_1" xfId="1586"/>
    <cellStyle name="_Arrears 2 (Raj)_(05) CAR Dec-07_Liquidity and repricing_IBM_Grouped(2)_Recon_2" xfId="1587"/>
    <cellStyle name="_Arrears 2 (Raj)_(05) CAR Dec-07_Liquidity and repricing_IBM_Grouped(2)_Recon_3" xfId="1588"/>
    <cellStyle name="_Arrears 2 (Raj)_(05) CAR Dec-07_Liquidity and repricing_IBM_Grouped(2)_Recon_4" xfId="1589"/>
    <cellStyle name="_Arrears 2 (Raj)_(05) CAR Dec-07_Liquidity and repricing_IBM_Grouped(2)_Reconciliation" xfId="1590"/>
    <cellStyle name="_Arrears 2 (Raj)_(05) CAR Dec-07_Liquidity and repricing_IBM_Grouped(2)_Reconciliation_1" xfId="1591"/>
    <cellStyle name="_Arrears 2 (Raj)_(05) CAR Dec-07_Liquidity and repricing_IBM_Grouped(2)_Reconciliation_2" xfId="1592"/>
    <cellStyle name="_Arrears 2 (Raj)_(05) CAR Dec-07_Liquidity and repricing_IBM_Grouped(2)_Reconciliation_3" xfId="1593"/>
    <cellStyle name="_Arrears 2 (Raj)_(05) CAR Dec-07_Liquidity and repricing_Recon" xfId="1594"/>
    <cellStyle name="_Arrears 2 (Raj)_(05) CAR Dec-07_Liquidity and repricing_Recon W1" xfId="1595"/>
    <cellStyle name="_Arrears 2 (Raj)_(05) CAR Dec-07_Liquidity and repricing_Recon_1" xfId="1596"/>
    <cellStyle name="_Arrears 2 (Raj)_(05) CAR Dec-07_Liquidity and repricing_Recon_2" xfId="1597"/>
    <cellStyle name="_Arrears 2 (Raj)_(05) CAR Dec-07_Liquidity and repricing_Recon_3" xfId="1598"/>
    <cellStyle name="_Arrears 2 (Raj)_(05) CAR Dec-07_Liquidity and repricing_Reconciliation" xfId="1599"/>
    <cellStyle name="_Arrears 2 (Raj)_(05) CAR Dec-07_Liquidity and repricing_Reconciliation_1" xfId="1600"/>
    <cellStyle name="_Arrears 2 (Raj)_(05) CAR Dec-07_Liquidity and repricing_Reconciliation_2" xfId="1601"/>
    <cellStyle name="_Arrears 2 (Raj)_(05) CAR Dec-07_Liquidity and repricing_Reconciliation_3" xfId="1602"/>
    <cellStyle name="_Arrears 2 (Raj)_(05) CAR Dec-07_NOP 2010 01 31 USD BASED" xfId="1603"/>
    <cellStyle name="_Arrears 2 (Raj)_(05) CAR Dec-07_NOP 2010 01 31 USD BASED_Report Finance" xfId="1604"/>
    <cellStyle name="_Arrears 2 (Raj)_(05) CAR Dec-07_NOP 2010 02 28 USD BASED Final" xfId="1605"/>
    <cellStyle name="_Arrears 2 (Raj)_(05) CAR Dec-07_NOP 2010 02 28 USD BASED Final_Report Finance" xfId="1606"/>
    <cellStyle name="_Arrears 2 (Raj)_(05) CAR Dec-07_NOP 2010 03 31 USD BASEDrevised" xfId="1607"/>
    <cellStyle name="_Arrears 2 (Raj)_(05) CAR Dec-07_NOP 2010 03 31 USD BASEDrevised_Report Finance" xfId="1608"/>
    <cellStyle name="_Arrears 2 (Raj)_(05) CAR Dec-07_NOP 2010 04 30" xfId="1609"/>
    <cellStyle name="_Arrears 2 (Raj)_(05) CAR Dec-07_NOP 2010 04 30_Recon" xfId="1610"/>
    <cellStyle name="_Arrears 2 (Raj)_(05) CAR Dec-07_NOP 2010 04 30_Recon W1" xfId="1611"/>
    <cellStyle name="_Arrears 2 (Raj)_(05) CAR Dec-07_NOP 2010 04 30_Recon_1" xfId="1612"/>
    <cellStyle name="_Arrears 2 (Raj)_(05) CAR Dec-07_NOP 2010 04 30_Recon_2" xfId="1613"/>
    <cellStyle name="_Arrears 2 (Raj)_(05) CAR Dec-07_NOP 2010 04 30_Recon_3" xfId="1614"/>
    <cellStyle name="_Arrears 2 (Raj)_(05) CAR Dec-07_NOP 2010 04 30_Reconciliation" xfId="1615"/>
    <cellStyle name="_Arrears 2 (Raj)_(05) CAR Dec-07_NOP 2010 04 30_Reconciliation_1" xfId="1616"/>
    <cellStyle name="_Arrears 2 (Raj)_(05) CAR Dec-07_NOP 2010 04 30_Reconciliation_2" xfId="1617"/>
    <cellStyle name="_Arrears 2 (Raj)_(05) CAR Dec-07_NOP 2010 04 30_Reconciliation_3" xfId="1618"/>
    <cellStyle name="_Arrears 2 (Raj)_(05) CAR Dec-07_NOP 2010 04 30_Report Finance" xfId="1619"/>
    <cellStyle name="_Arrears 2 (Raj)_(05) CAR Dec-07_ORIGINAL NOP 2009 12 31 USD BASED" xfId="1620"/>
    <cellStyle name="_Arrears 2 (Raj)_(05) CAR Dec-07_ORIGINAL NOP 2009 12 31 USD BASED_Report Finance" xfId="1621"/>
    <cellStyle name="_Arrears 2 (Raj)_(05) CAR Dec-07_Recon" xfId="1622"/>
    <cellStyle name="_Arrears 2 (Raj)_(05) CAR Dec-07_Recon W1" xfId="1623"/>
    <cellStyle name="_Arrears 2 (Raj)_(05) CAR Dec-07_Recon_1" xfId="1624"/>
    <cellStyle name="_Arrears 2 (Raj)_(05) CAR Dec-07_Recon_2" xfId="1625"/>
    <cellStyle name="_Arrears 2 (Raj)_(05) CAR Dec-07_Recon_3" xfId="1626"/>
    <cellStyle name="_Arrears 2 (Raj)_(05) CAR Dec-07_Reconciliation" xfId="1627"/>
    <cellStyle name="_Arrears 2 (Raj)_(05) CAR Dec-07_Reconciliation_1" xfId="1628"/>
    <cellStyle name="_Arrears 2 (Raj)_(05) CAR Dec-07_Reconciliation_2" xfId="1629"/>
    <cellStyle name="_Arrears 2 (Raj)_(05) CAR Dec-07_Reconciliation_3" xfId="1630"/>
    <cellStyle name="_Arrears 2 (Raj)_(05) CAR Dec-07_SC_Treasury_Other" xfId="1631"/>
    <cellStyle name="_Arrears 2 (Raj)_(05) CAR Dec-07_SC_Treasury_Other_Recon" xfId="1632"/>
    <cellStyle name="_Arrears 2 (Raj)_(05) CAR Dec-07_SC_Treasury_Other_Recon_1" xfId="1633"/>
    <cellStyle name="_Arrears 2 (Raj)_(05) CAR Dec-07_SC_Treasury_Other_Recon_2" xfId="1634"/>
    <cellStyle name="_Arrears 2 (Raj)_(05) CAR Dec-07_SC_Treasury_Other_Recon_3" xfId="1635"/>
    <cellStyle name="_Arrears 2 (Raj)_(05) CAR Dec-07_SC_Treasury_Other_Reconciliation" xfId="1636"/>
    <cellStyle name="_Arrears 2 (Raj)_(05) CAR Dec-07_SC_Treasury_Other_Reconciliation_1" xfId="1637"/>
    <cellStyle name="_Arrears 2 (Raj)_(05) CAR Dec-07_Sheet1" xfId="1638"/>
    <cellStyle name="_Arrears 2 (Raj)_(26) Oct-09 (AL)" xfId="1639"/>
    <cellStyle name="_Arrears 2 (Raj)_(26) Oct-09 (AL)_IBM_Grouped(2)" xfId="1640"/>
    <cellStyle name="_Arrears 2 (Raj)_(26) Oct-09 (AL)_IBM_Grouped(2)_Recon" xfId="1641"/>
    <cellStyle name="_Arrears 2 (Raj)_(26) Oct-09 (AL)_IBM_Grouped(2)_Recon to Segmental Report" xfId="1642"/>
    <cellStyle name="_Arrears 2 (Raj)_(26) Oct-09 (AL)_IBM_Grouped(2)_Recon_1" xfId="1643"/>
    <cellStyle name="_Arrears 2 (Raj)_(26) Oct-09 (AL)_IBM_Grouped(2)_Recon_2" xfId="1644"/>
    <cellStyle name="_Arrears 2 (Raj)_(26) Oct-09 (AL)_IBM_Grouped(2)_Recon_3" xfId="1645"/>
    <cellStyle name="_Arrears 2 (Raj)_(26) Oct-09 (AL)_IBM_Grouped(2)_Recon_4" xfId="1646"/>
    <cellStyle name="_Arrears 2 (Raj)_(26) Oct-09 (AL)_IBM_Grouped(2)_Reconciliation" xfId="1647"/>
    <cellStyle name="_Arrears 2 (Raj)_(26) Oct-09 (AL)_IBM_Grouped(2)_Reconciliation_1" xfId="1648"/>
    <cellStyle name="_Arrears 2 (Raj)_(26) Oct-09 (AL)_IBM_Grouped(2)_Reconciliation_2" xfId="1649"/>
    <cellStyle name="_Arrears 2 (Raj)_(26) Oct-09 (AL)_IBM_Grouped(2)_Reconciliation_3" xfId="1650"/>
    <cellStyle name="_Arrears 2 (Raj)_(26) Oct-09 (AL)_Recon" xfId="1651"/>
    <cellStyle name="_Arrears 2 (Raj)_(26) Oct-09 (AL)_Recon W1" xfId="1652"/>
    <cellStyle name="_Arrears 2 (Raj)_(26) Oct-09 (AL)_Recon_1" xfId="1653"/>
    <cellStyle name="_Arrears 2 (Raj)_(26) Oct-09 (AL)_Recon_2" xfId="1654"/>
    <cellStyle name="_Arrears 2 (Raj)_(26) Oct-09 (AL)_Recon_3" xfId="1655"/>
    <cellStyle name="_Arrears 2 (Raj)_(26) Oct-09 (AL)_Reconciliation" xfId="1656"/>
    <cellStyle name="_Arrears 2 (Raj)_(26) Oct-09 (AL)_Reconciliation_1" xfId="1657"/>
    <cellStyle name="_Arrears 2 (Raj)_(26) Oct-09 (AL)_Reconciliation_2" xfId="1658"/>
    <cellStyle name="_Arrears 2 (Raj)_(26) Oct-09 (AL)_Reconciliation_3" xfId="1659"/>
    <cellStyle name="_Arrears 2 (Raj)_(27) Nov-09 (AL)" xfId="1660"/>
    <cellStyle name="_Arrears 2 (Raj)_(27) Nov-09 (AL)_IBM_Grouped(2)" xfId="1661"/>
    <cellStyle name="_Arrears 2 (Raj)_(27) Nov-09 (AL)_IBM_Grouped(2)_Recon" xfId="1662"/>
    <cellStyle name="_Arrears 2 (Raj)_(27) Nov-09 (AL)_IBM_Grouped(2)_Recon to Segmental Report" xfId="1663"/>
    <cellStyle name="_Arrears 2 (Raj)_(27) Nov-09 (AL)_IBM_Grouped(2)_Recon_1" xfId="1664"/>
    <cellStyle name="_Arrears 2 (Raj)_(27) Nov-09 (AL)_IBM_Grouped(2)_Recon_2" xfId="1665"/>
    <cellStyle name="_Arrears 2 (Raj)_(27) Nov-09 (AL)_IBM_Grouped(2)_Recon_3" xfId="1666"/>
    <cellStyle name="_Arrears 2 (Raj)_(27) Nov-09 (AL)_IBM_Grouped(2)_Recon_4" xfId="1667"/>
    <cellStyle name="_Arrears 2 (Raj)_(27) Nov-09 (AL)_IBM_Grouped(2)_Reconciliation" xfId="1668"/>
    <cellStyle name="_Arrears 2 (Raj)_(27) Nov-09 (AL)_IBM_Grouped(2)_Reconciliation_1" xfId="1669"/>
    <cellStyle name="_Arrears 2 (Raj)_(27) Nov-09 (AL)_IBM_Grouped(2)_Reconciliation_2" xfId="1670"/>
    <cellStyle name="_Arrears 2 (Raj)_(27) Nov-09 (AL)_IBM_Grouped(2)_Reconciliation_3" xfId="1671"/>
    <cellStyle name="_Arrears 2 (Raj)_(27) Nov-09 (AL)_Recon" xfId="1672"/>
    <cellStyle name="_Arrears 2 (Raj)_(27) Nov-09 (AL)_Recon W1" xfId="1673"/>
    <cellStyle name="_Arrears 2 (Raj)_(27) Nov-09 (AL)_Recon_1" xfId="1674"/>
    <cellStyle name="_Arrears 2 (Raj)_(27) Nov-09 (AL)_Recon_2" xfId="1675"/>
    <cellStyle name="_Arrears 2 (Raj)_(27) Nov-09 (AL)_Recon_3" xfId="1676"/>
    <cellStyle name="_Arrears 2 (Raj)_(27) Nov-09 (AL)_Reconciliation" xfId="1677"/>
    <cellStyle name="_Arrears 2 (Raj)_(27) Nov-09 (AL)_Reconciliation_1" xfId="1678"/>
    <cellStyle name="_Arrears 2 (Raj)_(27) Nov-09 (AL)_Reconciliation_2" xfId="1679"/>
    <cellStyle name="_Arrears 2 (Raj)_(27) Nov-09 (AL)_Reconciliation_3" xfId="1680"/>
    <cellStyle name="_Arrears 2 (Raj)_08_IBM_A2.2.1 to A2.2.15_Statutory workings - 31 03 08" xfId="1681"/>
    <cellStyle name="_Arrears 2 (Raj)_08_IBM_A2.2.1 to A2.2.15_Statutory workings - 31 03 08_10_IBM_PLSF_Circularisation status" xfId="1682"/>
    <cellStyle name="_Arrears 2 (Raj)_08_IBM_A2.2.1 to A2.2.15_Statutory workings - 31 03 08_10_IBM_Preliminary PM " xfId="1683"/>
    <cellStyle name="_Arrears 2 (Raj)_08_IBM_A2.2.1 to A2.2.15_Statutory workings - 31 03 08_10_IBM_Sig Acc and SFOT determination " xfId="1684"/>
    <cellStyle name="_Arrears 2 (Raj)_08_IBM_A2.2.1 to A2.2.15_Statutory workings - 31 03 08_31.12.09 Mauritius-USD based ledger - Final1" xfId="1685"/>
    <cellStyle name="_Arrears 2 (Raj)_08_IBM_A2.2.1 to A2.2.15_Statutory workings - 31 03 08_Book4" xfId="1686"/>
    <cellStyle name="_Arrears 2 (Raj)_08_IBM_A2.2.1 to A2.2.15_Statutory workings - 31 03 08_Book4_IBM_Grouped(2)" xfId="1687"/>
    <cellStyle name="_Arrears 2 (Raj)_08_IBM_A2.2.1 to A2.2.15_Statutory workings - 31 03 08_Book4_IBM_Grouped(2)_Recon" xfId="1688"/>
    <cellStyle name="_Arrears 2 (Raj)_08_IBM_A2.2.1 to A2.2.15_Statutory workings - 31 03 08_Book4_IBM_Grouped(2)_Recon to Segmental Report" xfId="1689"/>
    <cellStyle name="_Arrears 2 (Raj)_08_IBM_A2.2.1 to A2.2.15_Statutory workings - 31 03 08_Book4_IBM_Grouped(2)_Recon_1" xfId="1690"/>
    <cellStyle name="_Arrears 2 (Raj)_08_IBM_A2.2.1 to A2.2.15_Statutory workings - 31 03 08_Book4_IBM_Grouped(2)_Recon_2" xfId="1691"/>
    <cellStyle name="_Arrears 2 (Raj)_08_IBM_A2.2.1 to A2.2.15_Statutory workings - 31 03 08_Book4_IBM_Grouped(2)_Recon_3" xfId="1692"/>
    <cellStyle name="_Arrears 2 (Raj)_08_IBM_A2.2.1 to A2.2.15_Statutory workings - 31 03 08_Book4_IBM_Grouped(2)_Recon_4" xfId="1693"/>
    <cellStyle name="_Arrears 2 (Raj)_08_IBM_A2.2.1 to A2.2.15_Statutory workings - 31 03 08_Book4_IBM_Grouped(2)_Reconciliation" xfId="1694"/>
    <cellStyle name="_Arrears 2 (Raj)_08_IBM_A2.2.1 to A2.2.15_Statutory workings - 31 03 08_Book4_IBM_Grouped(2)_Reconciliation_1" xfId="1695"/>
    <cellStyle name="_Arrears 2 (Raj)_08_IBM_A2.2.1 to A2.2.15_Statutory workings - 31 03 08_Book4_IBM_Grouped(2)_Reconciliation_2" xfId="1696"/>
    <cellStyle name="_Arrears 2 (Raj)_08_IBM_A2.2.1 to A2.2.15_Statutory workings - 31 03 08_Book4_IBM_Grouped(2)_Reconciliation_3" xfId="1697"/>
    <cellStyle name="_Arrears 2 (Raj)_08_IBM_A2.2.1 to A2.2.15_Statutory workings - 31 03 08_Book4_Recon" xfId="1698"/>
    <cellStyle name="_Arrears 2 (Raj)_08_IBM_A2.2.1 to A2.2.15_Statutory workings - 31 03 08_Book4_Recon W1" xfId="1699"/>
    <cellStyle name="_Arrears 2 (Raj)_08_IBM_A2.2.1 to A2.2.15_Statutory workings - 31 03 08_Book4_Recon_1" xfId="1700"/>
    <cellStyle name="_Arrears 2 (Raj)_08_IBM_A2.2.1 to A2.2.15_Statutory workings - 31 03 08_Book4_Recon_2" xfId="1701"/>
    <cellStyle name="_Arrears 2 (Raj)_08_IBM_A2.2.1 to A2.2.15_Statutory workings - 31 03 08_Book4_Recon_3" xfId="1702"/>
    <cellStyle name="_Arrears 2 (Raj)_08_IBM_A2.2.1 to A2.2.15_Statutory workings - 31 03 08_Book4_Reconciliation" xfId="1703"/>
    <cellStyle name="_Arrears 2 (Raj)_08_IBM_A2.2.1 to A2.2.15_Statutory workings - 31 03 08_Book4_Reconciliation_1" xfId="1704"/>
    <cellStyle name="_Arrears 2 (Raj)_08_IBM_A2.2.1 to A2.2.15_Statutory workings - 31 03 08_Book4_Reconciliation_2" xfId="1705"/>
    <cellStyle name="_Arrears 2 (Raj)_08_IBM_A2.2.1 to A2.2.15_Statutory workings - 31 03 08_Book4_Reconciliation_3" xfId="1706"/>
    <cellStyle name="_Arrears 2 (Raj)_08_IBM_A2.2.1 to A2.2.15_Statutory workings - 31 03 08_Book5" xfId="1707"/>
    <cellStyle name="_Arrears 2 (Raj)_08_IBM_A2.2.1 to A2.2.15_Statutory workings - 31 03 08_Book5_(19) Loan Feb-11(Feb-11 figures)" xfId="1708"/>
    <cellStyle name="_Arrears 2 (Raj)_08_IBM_A2.2.1 to A2.2.15_Statutory workings - 31 03 08_Circularisation Status Specialised Finance Division 17 Mar 10" xfId="1709"/>
    <cellStyle name="_Arrears 2 (Raj)_08_IBM_A2.2.1 to A2.2.15_Statutory workings - 31 03 08_Recon" xfId="1710"/>
    <cellStyle name="_Arrears 2 (Raj)_08_IBM_A2.2.1 to A2.2.15_Statutory workings - 31 03 08_Recon W1" xfId="1711"/>
    <cellStyle name="_Arrears 2 (Raj)_08_IBM_A2.2.1 to A2.2.15_Statutory workings - 31 03 08_Recon_1" xfId="1712"/>
    <cellStyle name="_Arrears 2 (Raj)_08_IBM_A2.2.1 to A2.2.15_Statutory workings - 31 03 08_Recon_2" xfId="1713"/>
    <cellStyle name="_Arrears 2 (Raj)_08_IBM_A2.2.1 to A2.2.15_Statutory workings - 31 03 08_Recon_3" xfId="1714"/>
    <cellStyle name="_Arrears 2 (Raj)_08_IBM_A2.2.1 to A2.2.15_Statutory workings - 31 03 08_Reconciliation" xfId="1715"/>
    <cellStyle name="_Arrears 2 (Raj)_08_IBM_A2.2.1 to A2.2.15_Statutory workings - 31 03 08_Reconciliation_1" xfId="1716"/>
    <cellStyle name="_Arrears 2 (Raj)_08_IBM_A2.2.1 to A2.2.15_Statutory workings - 31 03 08_Reconciliation_2" xfId="1717"/>
    <cellStyle name="_Arrears 2 (Raj)_08_IBM_A2.2.1 to A2.2.15_Statutory workings - 31 03 08_Reconciliation_3" xfId="1718"/>
    <cellStyle name="_Arrears 2 (Raj)_08_IBM_A2.2.1 to A2.2.15_Statutory workings - 31 03 08_RELATED PARTY-2010 05 31" xfId="1719"/>
    <cellStyle name="_Arrears 2 (Raj)_08_IBM_A2.2.1 to A2.2.15_Statutory workings - 31 03 08_RELATED PARTY-2010 05 31_(19) Loan Feb-11(Feb-11 figures)" xfId="1720"/>
    <cellStyle name="_Arrears 2 (Raj)_08_IBM_A2.2.1 to A2.2.15_Statutory workings - 31 03 08_Sheet1" xfId="1721"/>
    <cellStyle name="_Arrears 2 (Raj)_08_IBM_N4.1_Provisional Tax workings Mar_Deven" xfId="1722"/>
    <cellStyle name="_Arrears 2 (Raj)_08_IBM_N4.1_Provisional Tax workings Mar_Deven 2" xfId="1723"/>
    <cellStyle name="_Arrears 2 (Raj)_08_IBM_N4.1_Provisional Tax workings Mar_Deven_10_IBM_PLSF_Circularisation status" xfId="1724"/>
    <cellStyle name="_Arrears 2 (Raj)_08_IBM_N4.1_Provisional Tax workings Mar_Deven_Recon" xfId="1725"/>
    <cellStyle name="_Arrears 2 (Raj)_08_IBM_N4.1_Provisional Tax workings Mar_Deven_Recon W1" xfId="1726"/>
    <cellStyle name="_Arrears 2 (Raj)_08_IBM_N4.1_Provisional Tax workings Mar_Deven_Recon_1" xfId="1727"/>
    <cellStyle name="_Arrears 2 (Raj)_08_IBM_N4.1_Provisional Tax workings Mar_Deven_Recon_2" xfId="1728"/>
    <cellStyle name="_Arrears 2 (Raj)_08_IBM_N4.1_Provisional Tax workings Mar_Deven_Recon_3" xfId="1729"/>
    <cellStyle name="_Arrears 2 (Raj)_08_IBM_N4.1_Provisional Tax workings Mar_Deven_Reconciliation" xfId="1730"/>
    <cellStyle name="_Arrears 2 (Raj)_08_IBM_N4.1_Provisional Tax workings Mar_Deven_Reconciliation_1" xfId="1731"/>
    <cellStyle name="_Arrears 2 (Raj)_08_IBM_N4.1_Provisional Tax workings Mar_Deven_Reconciliation_2" xfId="1732"/>
    <cellStyle name="_Arrears 2 (Raj)_08_IBM_N4.1_Provisional Tax workings Mar_Deven_Reconciliation_3" xfId="1733"/>
    <cellStyle name="_Arrears 2 (Raj)_08_IBM_N4.1_Provisional Tax workings Mar_Deven_Sheet1" xfId="1734"/>
    <cellStyle name="_Arrears 2 (Raj)_09_IBM_A5.6.3_Sig Acc and SFOT Determination" xfId="1735"/>
    <cellStyle name="_Arrears 2 (Raj)_09_IBM_Pre-Final WP_Share capital_BS_H4 - N4_07.04.09" xfId="1736"/>
    <cellStyle name="_Arrears 2 (Raj)_09_IBM_Preliminary PM (Interim) 31.03.010" xfId="1737"/>
    <cellStyle name="_Arrears 2 (Raj)_09_Sep_IBM_Final WP_Share capital_BS_F-4_Investments" xfId="1738"/>
    <cellStyle name="_Arrears 2 (Raj)_10_IBM_Bank Recon" xfId="1739"/>
    <cellStyle name="_Arrears 2 (Raj)_10_IBM_J8_Cash Cut Off" xfId="1740"/>
    <cellStyle name="_Arrears 2 (Raj)_10_IBM_Other liabilities" xfId="1741"/>
    <cellStyle name="_Arrears 2 (Raj)_10_IBM_PLSF_Circularisation status" xfId="1742"/>
    <cellStyle name="_Arrears 2 (Raj)_10_IBM_Preliminary PM " xfId="1743"/>
    <cellStyle name="_Arrears 2 (Raj)_10_IBM_Sig Acc and SFOT determination " xfId="1744"/>
    <cellStyle name="_Arrears 2 (Raj)_31.12.09 Mauritius-USD based ledger - Final1" xfId="1745"/>
    <cellStyle name="_Arrears 2 (Raj)_audit adjustment 2007" xfId="1746"/>
    <cellStyle name="_Arrears 2 (Raj)_audit adjustment 2007 2" xfId="1747"/>
    <cellStyle name="_Arrears 2 (Raj)_audit adjustment 2007_(26) Oct-09 (AL)" xfId="1748"/>
    <cellStyle name="_Arrears 2 (Raj)_audit adjustment 2007_(26) Oct-09 (AL)_IBM_Grouped(2)" xfId="1749"/>
    <cellStyle name="_Arrears 2 (Raj)_audit adjustment 2007_(26) Oct-09 (AL)_IBM_Grouped(2)_Recon" xfId="1750"/>
    <cellStyle name="_Arrears 2 (Raj)_audit adjustment 2007_(26) Oct-09 (AL)_IBM_Grouped(2)_Recon to Segmental Report" xfId="1751"/>
    <cellStyle name="_Arrears 2 (Raj)_audit adjustment 2007_(26) Oct-09 (AL)_IBM_Grouped(2)_Recon_1" xfId="1752"/>
    <cellStyle name="_Arrears 2 (Raj)_audit adjustment 2007_(26) Oct-09 (AL)_IBM_Grouped(2)_Recon_2" xfId="1753"/>
    <cellStyle name="_Arrears 2 (Raj)_audit adjustment 2007_(26) Oct-09 (AL)_IBM_Grouped(2)_Recon_3" xfId="1754"/>
    <cellStyle name="_Arrears 2 (Raj)_audit adjustment 2007_(26) Oct-09 (AL)_IBM_Grouped(2)_Recon_4" xfId="1755"/>
    <cellStyle name="_Arrears 2 (Raj)_audit adjustment 2007_(26) Oct-09 (AL)_IBM_Grouped(2)_Reconciliation" xfId="1756"/>
    <cellStyle name="_Arrears 2 (Raj)_audit adjustment 2007_(26) Oct-09 (AL)_IBM_Grouped(2)_Reconciliation_1" xfId="1757"/>
    <cellStyle name="_Arrears 2 (Raj)_audit adjustment 2007_(26) Oct-09 (AL)_IBM_Grouped(2)_Reconciliation_2" xfId="1758"/>
    <cellStyle name="_Arrears 2 (Raj)_audit adjustment 2007_(26) Oct-09 (AL)_IBM_Grouped(2)_Reconciliation_3" xfId="1759"/>
    <cellStyle name="_Arrears 2 (Raj)_audit adjustment 2007_(26) Oct-09 (AL)_Recon" xfId="1760"/>
    <cellStyle name="_Arrears 2 (Raj)_audit adjustment 2007_(26) Oct-09 (AL)_Recon W1" xfId="1761"/>
    <cellStyle name="_Arrears 2 (Raj)_audit adjustment 2007_(26) Oct-09 (AL)_Recon_1" xfId="1762"/>
    <cellStyle name="_Arrears 2 (Raj)_audit adjustment 2007_(26) Oct-09 (AL)_Recon_2" xfId="1763"/>
    <cellStyle name="_Arrears 2 (Raj)_audit adjustment 2007_(26) Oct-09 (AL)_Recon_3" xfId="1764"/>
    <cellStyle name="_Arrears 2 (Raj)_audit adjustment 2007_(26) Oct-09 (AL)_Reconciliation" xfId="1765"/>
    <cellStyle name="_Arrears 2 (Raj)_audit adjustment 2007_(26) Oct-09 (AL)_Reconciliation_1" xfId="1766"/>
    <cellStyle name="_Arrears 2 (Raj)_audit adjustment 2007_(26) Oct-09 (AL)_Reconciliation_2" xfId="1767"/>
    <cellStyle name="_Arrears 2 (Raj)_audit adjustment 2007_(26) Oct-09 (AL)_Reconciliation_3" xfId="1768"/>
    <cellStyle name="_Arrears 2 (Raj)_audit adjustment 2007_(27) Nov-09 (AL)" xfId="1769"/>
    <cellStyle name="_Arrears 2 (Raj)_audit adjustment 2007_(27) Nov-09 (AL)_IBM_Grouped(2)" xfId="1770"/>
    <cellStyle name="_Arrears 2 (Raj)_audit adjustment 2007_(27) Nov-09 (AL)_IBM_Grouped(2)_Recon" xfId="1771"/>
    <cellStyle name="_Arrears 2 (Raj)_audit adjustment 2007_(27) Nov-09 (AL)_IBM_Grouped(2)_Recon to Segmental Report" xfId="1772"/>
    <cellStyle name="_Arrears 2 (Raj)_audit adjustment 2007_(27) Nov-09 (AL)_IBM_Grouped(2)_Recon_1" xfId="1773"/>
    <cellStyle name="_Arrears 2 (Raj)_audit adjustment 2007_(27) Nov-09 (AL)_IBM_Grouped(2)_Recon_2" xfId="1774"/>
    <cellStyle name="_Arrears 2 (Raj)_audit adjustment 2007_(27) Nov-09 (AL)_IBM_Grouped(2)_Recon_3" xfId="1775"/>
    <cellStyle name="_Arrears 2 (Raj)_audit adjustment 2007_(27) Nov-09 (AL)_IBM_Grouped(2)_Recon_4" xfId="1776"/>
    <cellStyle name="_Arrears 2 (Raj)_audit adjustment 2007_(27) Nov-09 (AL)_IBM_Grouped(2)_Reconciliation" xfId="1777"/>
    <cellStyle name="_Arrears 2 (Raj)_audit adjustment 2007_(27) Nov-09 (AL)_IBM_Grouped(2)_Reconciliation_1" xfId="1778"/>
    <cellStyle name="_Arrears 2 (Raj)_audit adjustment 2007_(27) Nov-09 (AL)_IBM_Grouped(2)_Reconciliation_2" xfId="1779"/>
    <cellStyle name="_Arrears 2 (Raj)_audit adjustment 2007_(27) Nov-09 (AL)_IBM_Grouped(2)_Reconciliation_3" xfId="1780"/>
    <cellStyle name="_Arrears 2 (Raj)_audit adjustment 2007_(27) Nov-09 (AL)_Recon" xfId="1781"/>
    <cellStyle name="_Arrears 2 (Raj)_audit adjustment 2007_(27) Nov-09 (AL)_Recon W1" xfId="1782"/>
    <cellStyle name="_Arrears 2 (Raj)_audit adjustment 2007_(27) Nov-09 (AL)_Recon_1" xfId="1783"/>
    <cellStyle name="_Arrears 2 (Raj)_audit adjustment 2007_(27) Nov-09 (AL)_Recon_2" xfId="1784"/>
    <cellStyle name="_Arrears 2 (Raj)_audit adjustment 2007_(27) Nov-09 (AL)_Recon_3" xfId="1785"/>
    <cellStyle name="_Arrears 2 (Raj)_audit adjustment 2007_(27) Nov-09 (AL)_Reconciliation" xfId="1786"/>
    <cellStyle name="_Arrears 2 (Raj)_audit adjustment 2007_(27) Nov-09 (AL)_Reconciliation_1" xfId="1787"/>
    <cellStyle name="_Arrears 2 (Raj)_audit adjustment 2007_(27) Nov-09 (AL)_Reconciliation_2" xfId="1788"/>
    <cellStyle name="_Arrears 2 (Raj)_audit adjustment 2007_(27) Nov-09 (AL)_Reconciliation_3" xfId="1789"/>
    <cellStyle name="_Arrears 2 (Raj)_audit adjustment 2007_09_IBM_A5.6.3_Sig Acc and SFOT Determination" xfId="1790"/>
    <cellStyle name="_Arrears 2 (Raj)_audit adjustment 2007_09_IBM_Preliminary PM (Interim) 31.03.010" xfId="1791"/>
    <cellStyle name="_Arrears 2 (Raj)_audit adjustment 2007_10_IBM_Bank Recon" xfId="1792"/>
    <cellStyle name="_Arrears 2 (Raj)_audit adjustment 2007_10_IBM_J8_Cash Cut Off" xfId="1793"/>
    <cellStyle name="_Arrears 2 (Raj)_audit adjustment 2007_10_IBM_Other liabilities" xfId="1794"/>
    <cellStyle name="_Arrears 2 (Raj)_audit adjustment 2007_10_IBM_PLSF_Circularisation status" xfId="1795"/>
    <cellStyle name="_Arrears 2 (Raj)_audit adjustment 2007_10_IBM_Preliminary PM " xfId="1796"/>
    <cellStyle name="_Arrears 2 (Raj)_audit adjustment 2007_10_IBM_Sig Acc and SFOT determination " xfId="1797"/>
    <cellStyle name="_Arrears 2 (Raj)_audit adjustment 2007_31.12.09 Mauritius-USD based ledger - Final1" xfId="1798"/>
    <cellStyle name="_Arrears 2 (Raj)_audit adjustment 2007_Book1 (4)" xfId="1799"/>
    <cellStyle name="_Arrears 2 (Raj)_audit adjustment 2007_Book4" xfId="1800"/>
    <cellStyle name="_Arrears 2 (Raj)_audit adjustment 2007_Book4_Recon" xfId="1801"/>
    <cellStyle name="_Arrears 2 (Raj)_audit adjustment 2007_Book4_Recon W1" xfId="1802"/>
    <cellStyle name="_Arrears 2 (Raj)_audit adjustment 2007_Book4_Recon_1" xfId="1803"/>
    <cellStyle name="_Arrears 2 (Raj)_audit adjustment 2007_Book4_Recon_2" xfId="1804"/>
    <cellStyle name="_Arrears 2 (Raj)_audit adjustment 2007_Book4_Recon_3" xfId="1805"/>
    <cellStyle name="_Arrears 2 (Raj)_audit adjustment 2007_Book4_Reconciliation" xfId="1806"/>
    <cellStyle name="_Arrears 2 (Raj)_audit adjustment 2007_Book4_Reconciliation_1" xfId="1807"/>
    <cellStyle name="_Arrears 2 (Raj)_audit adjustment 2007_Book4_Reconciliation_2" xfId="1808"/>
    <cellStyle name="_Arrears 2 (Raj)_audit adjustment 2007_Book4_Reconciliation_3" xfId="1809"/>
    <cellStyle name="_Arrears 2 (Raj)_audit adjustment 2007_capital adequacy September 2009" xfId="1810"/>
    <cellStyle name="_Arrears 2 (Raj)_audit adjustment 2007_capital adequacy September 2009_IBM_Grouped(2)" xfId="1811"/>
    <cellStyle name="_Arrears 2 (Raj)_audit adjustment 2007_capital adequacy September 2009_IBM_Grouped(2)_Recon" xfId="1812"/>
    <cellStyle name="_Arrears 2 (Raj)_audit adjustment 2007_capital adequacy September 2009_IBM_Grouped(2)_Recon to Segmental Report" xfId="1813"/>
    <cellStyle name="_Arrears 2 (Raj)_audit adjustment 2007_capital adequacy September 2009_IBM_Grouped(2)_Recon_1" xfId="1814"/>
    <cellStyle name="_Arrears 2 (Raj)_audit adjustment 2007_capital adequacy September 2009_IBM_Grouped(2)_Recon_2" xfId="1815"/>
    <cellStyle name="_Arrears 2 (Raj)_audit adjustment 2007_capital adequacy September 2009_IBM_Grouped(2)_Recon_3" xfId="1816"/>
    <cellStyle name="_Arrears 2 (Raj)_audit adjustment 2007_capital adequacy September 2009_IBM_Grouped(2)_Recon_4" xfId="1817"/>
    <cellStyle name="_Arrears 2 (Raj)_audit adjustment 2007_capital adequacy September 2009_IBM_Grouped(2)_Reconciliation" xfId="1818"/>
    <cellStyle name="_Arrears 2 (Raj)_audit adjustment 2007_capital adequacy September 2009_IBM_Grouped(2)_Reconciliation_1" xfId="1819"/>
    <cellStyle name="_Arrears 2 (Raj)_audit adjustment 2007_capital adequacy September 2009_IBM_Grouped(2)_Reconciliation_2" xfId="1820"/>
    <cellStyle name="_Arrears 2 (Raj)_audit adjustment 2007_capital adequacy September 2009_IBM_Grouped(2)_Reconciliation_3" xfId="1821"/>
    <cellStyle name="_Arrears 2 (Raj)_audit adjustment 2007_capital adequacy September 2009_Recon" xfId="1822"/>
    <cellStyle name="_Arrears 2 (Raj)_audit adjustment 2007_capital adequacy September 2009_Recon W1" xfId="1823"/>
    <cellStyle name="_Arrears 2 (Raj)_audit adjustment 2007_capital adequacy September 2009_Recon_1" xfId="1824"/>
    <cellStyle name="_Arrears 2 (Raj)_audit adjustment 2007_capital adequacy September 2009_Recon_2" xfId="1825"/>
    <cellStyle name="_Arrears 2 (Raj)_audit adjustment 2007_capital adequacy September 2009_Recon_3" xfId="1826"/>
    <cellStyle name="_Arrears 2 (Raj)_audit adjustment 2007_capital adequacy September 2009_Reconciliation" xfId="1827"/>
    <cellStyle name="_Arrears 2 (Raj)_audit adjustment 2007_capital adequacy September 2009_Reconciliation_1" xfId="1828"/>
    <cellStyle name="_Arrears 2 (Raj)_audit adjustment 2007_capital adequacy September 2009_Reconciliation_2" xfId="1829"/>
    <cellStyle name="_Arrears 2 (Raj)_audit adjustment 2007_capital adequacy September 2009_Reconciliation_3" xfId="1830"/>
    <cellStyle name="_Arrears 2 (Raj)_audit adjustment 2007_Circularisation Status Specialised Finance Division 17 Mar 10" xfId="1831"/>
    <cellStyle name="_Arrears 2 (Raj)_audit adjustment 2007_Copy of Mauritius-USD based ledger" xfId="1832"/>
    <cellStyle name="_Arrears 2 (Raj)_audit adjustment 2007_Copy of Mauritius-USD based ledger_Recon" xfId="1833"/>
    <cellStyle name="_Arrears 2 (Raj)_audit adjustment 2007_Copy of Mauritius-USD based ledger_Recon W1" xfId="1834"/>
    <cellStyle name="_Arrears 2 (Raj)_audit adjustment 2007_Copy of Mauritius-USD based ledger_Recon_1" xfId="1835"/>
    <cellStyle name="_Arrears 2 (Raj)_audit adjustment 2007_Copy of Mauritius-USD based ledger_Recon_2" xfId="1836"/>
    <cellStyle name="_Arrears 2 (Raj)_audit adjustment 2007_Copy of Mauritius-USD based ledger_Recon_3" xfId="1837"/>
    <cellStyle name="_Arrears 2 (Raj)_audit adjustment 2007_Copy of Mauritius-USD based ledger_Reconciliation" xfId="1838"/>
    <cellStyle name="_Arrears 2 (Raj)_audit adjustment 2007_Copy of Mauritius-USD based ledger_Reconciliation_1" xfId="1839"/>
    <cellStyle name="_Arrears 2 (Raj)_audit adjustment 2007_Copy of Mauritius-USD based ledger_Reconciliation_2" xfId="1840"/>
    <cellStyle name="_Arrears 2 (Raj)_audit adjustment 2007_Copy of Mauritius-USD based ledger_Reconciliation_3" xfId="1841"/>
    <cellStyle name="_Arrears 2 (Raj)_audit adjustment 2007_IBM_Grouped(2)" xfId="1842"/>
    <cellStyle name="_Arrears 2 (Raj)_audit adjustment 2007_IBM_Grouped(2)_Recon" xfId="1843"/>
    <cellStyle name="_Arrears 2 (Raj)_audit adjustment 2007_IBM_Grouped(2)_Recon W1" xfId="1844"/>
    <cellStyle name="_Arrears 2 (Raj)_audit adjustment 2007_IBM_Grouped(2)_Recon_1" xfId="1845"/>
    <cellStyle name="_Arrears 2 (Raj)_audit adjustment 2007_IBM_Grouped(2)_Recon_2" xfId="1846"/>
    <cellStyle name="_Arrears 2 (Raj)_audit adjustment 2007_IBM_Grouped(2)_Recon_3" xfId="1847"/>
    <cellStyle name="_Arrears 2 (Raj)_audit adjustment 2007_IBM_Grouped(2)_Reconciliation" xfId="1848"/>
    <cellStyle name="_Arrears 2 (Raj)_audit adjustment 2007_IBM_Grouped(2)_Reconciliation_1" xfId="1849"/>
    <cellStyle name="_Arrears 2 (Raj)_audit adjustment 2007_IBM_Grouped(2)_Reconciliation_2" xfId="1850"/>
    <cellStyle name="_Arrears 2 (Raj)_audit adjustment 2007_IBM_Grouped(2)_Reconciliation_3" xfId="1851"/>
    <cellStyle name="_Arrears 2 (Raj)_audit adjustment 2007_IBM_Grouped_USD" xfId="1852"/>
    <cellStyle name="_Arrears 2 (Raj)_audit adjustment 2007_IBM_Grouped_USD_Recon" xfId="1853"/>
    <cellStyle name="_Arrears 2 (Raj)_audit adjustment 2007_IBM_Grouped_USD_Recon W1" xfId="1854"/>
    <cellStyle name="_Arrears 2 (Raj)_audit adjustment 2007_IBM_Grouped_USD_Recon_1" xfId="1855"/>
    <cellStyle name="_Arrears 2 (Raj)_audit adjustment 2007_IBM_Grouped_USD_Recon_2" xfId="1856"/>
    <cellStyle name="_Arrears 2 (Raj)_audit adjustment 2007_IBM_Grouped_USD_Recon_3" xfId="1857"/>
    <cellStyle name="_Arrears 2 (Raj)_audit adjustment 2007_IBM_Grouped_USD_Reconciliation" xfId="1858"/>
    <cellStyle name="_Arrears 2 (Raj)_audit adjustment 2007_IBM_Grouped_USD_Reconciliation_1" xfId="1859"/>
    <cellStyle name="_Arrears 2 (Raj)_audit adjustment 2007_IBM_Grouped_USD_Reconciliation_2" xfId="1860"/>
    <cellStyle name="_Arrears 2 (Raj)_audit adjustment 2007_IBM_Grouped_USD_Reconciliation_3" xfId="1861"/>
    <cellStyle name="_Arrears 2 (Raj)_audit adjustment 2007_IBM_Grouped_ZAR" xfId="1862"/>
    <cellStyle name="_Arrears 2 (Raj)_audit adjustment 2007_IBM_Grouped_ZAR_Recon" xfId="1863"/>
    <cellStyle name="_Arrears 2 (Raj)_audit adjustment 2007_IBM_Grouped_ZAR_Recon W1" xfId="1864"/>
    <cellStyle name="_Arrears 2 (Raj)_audit adjustment 2007_IBM_Grouped_ZAR_Recon_1" xfId="1865"/>
    <cellStyle name="_Arrears 2 (Raj)_audit adjustment 2007_IBM_Grouped_ZAR_Recon_2" xfId="1866"/>
    <cellStyle name="_Arrears 2 (Raj)_audit adjustment 2007_IBM_Grouped_ZAR_Recon_3" xfId="1867"/>
    <cellStyle name="_Arrears 2 (Raj)_audit adjustment 2007_IBM_Grouped_ZAR_Reconciliation" xfId="1868"/>
    <cellStyle name="_Arrears 2 (Raj)_audit adjustment 2007_IBM_Grouped_ZAR_Reconciliation_1" xfId="1869"/>
    <cellStyle name="_Arrears 2 (Raj)_audit adjustment 2007_IBM_Grouped_ZAR_Reconciliation_2" xfId="1870"/>
    <cellStyle name="_Arrears 2 (Raj)_audit adjustment 2007_IBM_Grouped_ZAR_Reconciliation_3" xfId="1871"/>
    <cellStyle name="_Arrears 2 (Raj)_audit adjustment 2007_Liquidity and repricing" xfId="1872"/>
    <cellStyle name="_Arrears 2 (Raj)_audit adjustment 2007_Liquidity and repricing_IBM_Grouped(2)" xfId="1873"/>
    <cellStyle name="_Arrears 2 (Raj)_audit adjustment 2007_Liquidity and repricing_IBM_Grouped(2)_Recon" xfId="1874"/>
    <cellStyle name="_Arrears 2 (Raj)_audit adjustment 2007_Liquidity and repricing_IBM_Grouped(2)_Recon to Segmental Report" xfId="1875"/>
    <cellStyle name="_Arrears 2 (Raj)_audit adjustment 2007_Liquidity and repricing_IBM_Grouped(2)_Recon_1" xfId="1876"/>
    <cellStyle name="_Arrears 2 (Raj)_audit adjustment 2007_Liquidity and repricing_IBM_Grouped(2)_Recon_2" xfId="1877"/>
    <cellStyle name="_Arrears 2 (Raj)_audit adjustment 2007_Liquidity and repricing_IBM_Grouped(2)_Recon_3" xfId="1878"/>
    <cellStyle name="_Arrears 2 (Raj)_audit adjustment 2007_Liquidity and repricing_IBM_Grouped(2)_Recon_4" xfId="1879"/>
    <cellStyle name="_Arrears 2 (Raj)_audit adjustment 2007_Liquidity and repricing_IBM_Grouped(2)_Reconciliation" xfId="1880"/>
    <cellStyle name="_Arrears 2 (Raj)_audit adjustment 2007_Liquidity and repricing_IBM_Grouped(2)_Reconciliation_1" xfId="1881"/>
    <cellStyle name="_Arrears 2 (Raj)_audit adjustment 2007_Liquidity and repricing_IBM_Grouped(2)_Reconciliation_2" xfId="1882"/>
    <cellStyle name="_Arrears 2 (Raj)_audit adjustment 2007_Liquidity and repricing_IBM_Grouped(2)_Reconciliation_3" xfId="1883"/>
    <cellStyle name="_Arrears 2 (Raj)_audit adjustment 2007_Liquidity and repricing_Recon" xfId="1884"/>
    <cellStyle name="_Arrears 2 (Raj)_audit adjustment 2007_Liquidity and repricing_Recon W1" xfId="1885"/>
    <cellStyle name="_Arrears 2 (Raj)_audit adjustment 2007_Liquidity and repricing_Recon_1" xfId="1886"/>
    <cellStyle name="_Arrears 2 (Raj)_audit adjustment 2007_Liquidity and repricing_Recon_2" xfId="1887"/>
    <cellStyle name="_Arrears 2 (Raj)_audit adjustment 2007_Liquidity and repricing_Recon_3" xfId="1888"/>
    <cellStyle name="_Arrears 2 (Raj)_audit adjustment 2007_Liquidity and repricing_Reconciliation" xfId="1889"/>
    <cellStyle name="_Arrears 2 (Raj)_audit adjustment 2007_Liquidity and repricing_Reconciliation_1" xfId="1890"/>
    <cellStyle name="_Arrears 2 (Raj)_audit adjustment 2007_Liquidity and repricing_Reconciliation_2" xfId="1891"/>
    <cellStyle name="_Arrears 2 (Raj)_audit adjustment 2007_Liquidity and repricing_Reconciliation_3" xfId="1892"/>
    <cellStyle name="_Arrears 2 (Raj)_audit adjustment 2007_NOP 2010 01 31 USD BASED" xfId="1893"/>
    <cellStyle name="_Arrears 2 (Raj)_audit adjustment 2007_NOP 2010 01 31 USD BASED_Report Finance" xfId="1894"/>
    <cellStyle name="_Arrears 2 (Raj)_audit adjustment 2007_NOP 2010 02 28 USD BASED Final" xfId="1895"/>
    <cellStyle name="_Arrears 2 (Raj)_audit adjustment 2007_NOP 2010 02 28 USD BASED Final_Report Finance" xfId="1896"/>
    <cellStyle name="_Arrears 2 (Raj)_audit adjustment 2007_NOP 2010 03 31 USD BASEDrevised" xfId="1897"/>
    <cellStyle name="_Arrears 2 (Raj)_audit adjustment 2007_NOP 2010 03 31 USD BASEDrevised_Report Finance" xfId="1898"/>
    <cellStyle name="_Arrears 2 (Raj)_audit adjustment 2007_NOP 2010 04 30" xfId="1899"/>
    <cellStyle name="_Arrears 2 (Raj)_audit adjustment 2007_NOP 2010 04 30_Recon" xfId="1900"/>
    <cellStyle name="_Arrears 2 (Raj)_audit adjustment 2007_NOP 2010 04 30_Recon W1" xfId="1901"/>
    <cellStyle name="_Arrears 2 (Raj)_audit adjustment 2007_NOP 2010 04 30_Recon_1" xfId="1902"/>
    <cellStyle name="_Arrears 2 (Raj)_audit adjustment 2007_NOP 2010 04 30_Recon_2" xfId="1903"/>
    <cellStyle name="_Arrears 2 (Raj)_audit adjustment 2007_NOP 2010 04 30_Recon_3" xfId="1904"/>
    <cellStyle name="_Arrears 2 (Raj)_audit adjustment 2007_NOP 2010 04 30_Reconciliation" xfId="1905"/>
    <cellStyle name="_Arrears 2 (Raj)_audit adjustment 2007_NOP 2010 04 30_Reconciliation_1" xfId="1906"/>
    <cellStyle name="_Arrears 2 (Raj)_audit adjustment 2007_NOP 2010 04 30_Reconciliation_2" xfId="1907"/>
    <cellStyle name="_Arrears 2 (Raj)_audit adjustment 2007_NOP 2010 04 30_Reconciliation_3" xfId="1908"/>
    <cellStyle name="_Arrears 2 (Raj)_audit adjustment 2007_NOP 2010 04 30_Report Finance" xfId="1909"/>
    <cellStyle name="_Arrears 2 (Raj)_audit adjustment 2007_ORIGINAL NOP 2009 12 31 USD BASED" xfId="1910"/>
    <cellStyle name="_Arrears 2 (Raj)_audit adjustment 2007_ORIGINAL NOP 2009 12 31 USD BASED_Report Finance" xfId="1911"/>
    <cellStyle name="_Arrears 2 (Raj)_audit adjustment 2007_Recon" xfId="1912"/>
    <cellStyle name="_Arrears 2 (Raj)_audit adjustment 2007_Recon W1" xfId="1913"/>
    <cellStyle name="_Arrears 2 (Raj)_audit adjustment 2007_Recon_1" xfId="1914"/>
    <cellStyle name="_Arrears 2 (Raj)_audit adjustment 2007_Recon_2" xfId="1915"/>
    <cellStyle name="_Arrears 2 (Raj)_audit adjustment 2007_Recon_3" xfId="1916"/>
    <cellStyle name="_Arrears 2 (Raj)_audit adjustment 2007_Reconciliation" xfId="1917"/>
    <cellStyle name="_Arrears 2 (Raj)_audit adjustment 2007_Reconciliation_1" xfId="1918"/>
    <cellStyle name="_Arrears 2 (Raj)_audit adjustment 2007_Reconciliation_2" xfId="1919"/>
    <cellStyle name="_Arrears 2 (Raj)_audit adjustment 2007_Reconciliation_3" xfId="1920"/>
    <cellStyle name="_Arrears 2 (Raj)_audit adjustment 2007_SC_Treasury_Other" xfId="1921"/>
    <cellStyle name="_Arrears 2 (Raj)_audit adjustment 2007_SC_Treasury_Other_Recon" xfId="1922"/>
    <cellStyle name="_Arrears 2 (Raj)_audit adjustment 2007_SC_Treasury_Other_Recon_1" xfId="1923"/>
    <cellStyle name="_Arrears 2 (Raj)_audit adjustment 2007_SC_Treasury_Other_Recon_2" xfId="1924"/>
    <cellStyle name="_Arrears 2 (Raj)_audit adjustment 2007_SC_Treasury_Other_Recon_3" xfId="1925"/>
    <cellStyle name="_Arrears 2 (Raj)_audit adjustment 2007_SC_Treasury_Other_Reconciliation" xfId="1926"/>
    <cellStyle name="_Arrears 2 (Raj)_audit adjustment 2007_SC_Treasury_Other_Reconciliation_1" xfId="1927"/>
    <cellStyle name="_Arrears 2 (Raj)_audit adjustment 2007_Sheet1" xfId="1928"/>
    <cellStyle name="_Arrears 2 (Raj)_BA 610 wkgs &amp; Return - 30 Jun 08" xfId="1929"/>
    <cellStyle name="_Arrears 2 (Raj)_BA 610 wkgs &amp; Return - 30 Jun 08_10_IBM_PLSF_Circularisation status" xfId="1930"/>
    <cellStyle name="_Arrears 2 (Raj)_BA 610 wkgs &amp; Return - 30 Jun 08_10_IBM_Preliminary PM " xfId="1931"/>
    <cellStyle name="_Arrears 2 (Raj)_BA 610 wkgs &amp; Return - 30 Jun 08_10_IBM_Sig Acc and SFOT determination " xfId="1932"/>
    <cellStyle name="_Arrears 2 (Raj)_BA 610 wkgs &amp; Return - 30 Jun 08_Recon" xfId="1933"/>
    <cellStyle name="_Arrears 2 (Raj)_BA 610 wkgs &amp; Return - 30 Jun 08_Recon W1" xfId="1934"/>
    <cellStyle name="_Arrears 2 (Raj)_BA 610 wkgs &amp; Return - 30 Jun 08_Recon_1" xfId="1935"/>
    <cellStyle name="_Arrears 2 (Raj)_BA 610 wkgs &amp; Return - 30 Jun 08_Recon_2" xfId="1936"/>
    <cellStyle name="_Arrears 2 (Raj)_BA 610 wkgs &amp; Return - 30 Jun 08_Recon_3" xfId="1937"/>
    <cellStyle name="_Arrears 2 (Raj)_BA 610 wkgs &amp; Return - 30 Jun 08_Reconciliation" xfId="1938"/>
    <cellStyle name="_Arrears 2 (Raj)_BA 610 wkgs &amp; Return - 30 Jun 08_Reconciliation_1" xfId="1939"/>
    <cellStyle name="_Arrears 2 (Raj)_BA 610 wkgs &amp; Return - 30 Jun 08_Reconciliation_2" xfId="1940"/>
    <cellStyle name="_Arrears 2 (Raj)_BA 610 wkgs &amp; Return - 30 Jun 08_Reconciliation_3" xfId="1941"/>
    <cellStyle name="_Arrears 2 (Raj)_BA 610 wkgs &amp; Return - 30 Jun 08_Sheet1" xfId="1942"/>
    <cellStyle name="_Arrears 2 (Raj)_BA 610 wkgs &amp; Return - 30 Jun 09" xfId="1943"/>
    <cellStyle name="_Arrears 2 (Raj)_BA 610 wkgs &amp; Return - 30 Sep 08" xfId="1944"/>
    <cellStyle name="_Arrears 2 (Raj)_BA 610 wkgs &amp; Return - 30 Sep 08_10_IBM_PLSF_Circularisation status" xfId="1945"/>
    <cellStyle name="_Arrears 2 (Raj)_BA 610 wkgs &amp; Return - 30 Sep 08_10_IBM_Preliminary PM " xfId="1946"/>
    <cellStyle name="_Arrears 2 (Raj)_BA 610 wkgs &amp; Return - 30 Sep 08_10_IBM_Sig Acc and SFOT determination " xfId="1947"/>
    <cellStyle name="_Arrears 2 (Raj)_BA 610 wkgs &amp; Return - 30 Sep 08_Recon" xfId="1948"/>
    <cellStyle name="_Arrears 2 (Raj)_BA 610 wkgs &amp; Return - 30 Sep 08_Recon W1" xfId="1949"/>
    <cellStyle name="_Arrears 2 (Raj)_BA 610 wkgs &amp; Return - 30 Sep 08_Recon_1" xfId="1950"/>
    <cellStyle name="_Arrears 2 (Raj)_BA 610 wkgs &amp; Return - 30 Sep 08_Recon_2" xfId="1951"/>
    <cellStyle name="_Arrears 2 (Raj)_BA 610 wkgs &amp; Return - 30 Sep 08_Recon_3" xfId="1952"/>
    <cellStyle name="_Arrears 2 (Raj)_BA 610 wkgs &amp; Return - 30 Sep 08_Reconciliation" xfId="1953"/>
    <cellStyle name="_Arrears 2 (Raj)_BA 610 wkgs &amp; Return - 30 Sep 08_Reconciliation_1" xfId="1954"/>
    <cellStyle name="_Arrears 2 (Raj)_BA 610 wkgs &amp; Return - 30 Sep 08_Reconciliation_2" xfId="1955"/>
    <cellStyle name="_Arrears 2 (Raj)_BA 610 wkgs &amp; Return - 30 Sep 08_Reconciliation_3" xfId="1956"/>
    <cellStyle name="_Arrears 2 (Raj)_BA 610 wkgs &amp; Return - 30 Sep 08_Sheet1" xfId="1957"/>
    <cellStyle name="_Arrears 2 (Raj)_BA 610 wkgs &amp; Return - 31 Dec 08" xfId="1958"/>
    <cellStyle name="_Arrears 2 (Raj)_BA 610 wkgs &amp; Return - 31 Dec 08 LATEST" xfId="1959"/>
    <cellStyle name="_Arrears 2 (Raj)_BA 610 wkgs &amp; Return - 31 Dec 08 LATEST_Recon" xfId="1960"/>
    <cellStyle name="_Arrears 2 (Raj)_BA 610 wkgs &amp; Return - 31 Dec 08 LATEST_Recon W1" xfId="1961"/>
    <cellStyle name="_Arrears 2 (Raj)_BA 610 wkgs &amp; Return - 31 Dec 08 LATEST_Recon_1" xfId="1962"/>
    <cellStyle name="_Arrears 2 (Raj)_BA 610 wkgs &amp; Return - 31 Dec 08 LATEST_Recon_2" xfId="1963"/>
    <cellStyle name="_Arrears 2 (Raj)_BA 610 wkgs &amp; Return - 31 Dec 08 LATEST_Recon_3" xfId="1964"/>
    <cellStyle name="_Arrears 2 (Raj)_BA 610 wkgs &amp; Return - 31 Dec 08 LATEST_Reconciliation" xfId="1965"/>
    <cellStyle name="_Arrears 2 (Raj)_BA 610 wkgs &amp; Return - 31 Dec 08 LATEST_Reconciliation_1" xfId="1966"/>
    <cellStyle name="_Arrears 2 (Raj)_BA 610 wkgs &amp; Return - 31 Dec 08 LATEST_Reconciliation_2" xfId="1967"/>
    <cellStyle name="_Arrears 2 (Raj)_BA 610 wkgs &amp; Return - 31 Dec 08 LATEST_Reconciliation_3" xfId="1968"/>
    <cellStyle name="_Arrears 2 (Raj)_BA 610 wkgs &amp; Return - 31 Dec 08_10_IBM_PLSF_Circularisation status" xfId="1969"/>
    <cellStyle name="_Arrears 2 (Raj)_BA 610 wkgs &amp; Return - 31 Dec 08_10_IBM_Preliminary PM " xfId="1970"/>
    <cellStyle name="_Arrears 2 (Raj)_BA 610 wkgs &amp; Return - 31 Dec 08_10_IBM_Sig Acc and SFOT determination " xfId="1971"/>
    <cellStyle name="_Arrears 2 (Raj)_BA 610 wkgs &amp; Return - 31 Dec 08_Recon" xfId="1972"/>
    <cellStyle name="_Arrears 2 (Raj)_BA 610 wkgs &amp; Return - 31 Dec 08_Recon W1" xfId="1973"/>
    <cellStyle name="_Arrears 2 (Raj)_BA 610 wkgs &amp; Return - 31 Dec 08_Recon_1" xfId="1974"/>
    <cellStyle name="_Arrears 2 (Raj)_BA 610 wkgs &amp; Return - 31 Dec 08_Recon_2" xfId="1975"/>
    <cellStyle name="_Arrears 2 (Raj)_BA 610 wkgs &amp; Return - 31 Dec 08_Recon_3" xfId="1976"/>
    <cellStyle name="_Arrears 2 (Raj)_BA 610 wkgs &amp; Return - 31 Dec 08_Reconciliation" xfId="1977"/>
    <cellStyle name="_Arrears 2 (Raj)_BA 610 wkgs &amp; Return - 31 Dec 08_Reconciliation_1" xfId="1978"/>
    <cellStyle name="_Arrears 2 (Raj)_BA 610 wkgs &amp; Return - 31 Dec 08_Reconciliation_2" xfId="1979"/>
    <cellStyle name="_Arrears 2 (Raj)_BA 610 wkgs &amp; Return - 31 Dec 08_Reconciliation_3" xfId="1980"/>
    <cellStyle name="_Arrears 2 (Raj)_BA 610 wkgs &amp; Return - 31 Dec 08_Sheet1" xfId="1981"/>
    <cellStyle name="_Arrears 2 (Raj)_BA 610 wkgs -31.03.08(Version 2)" xfId="1982"/>
    <cellStyle name="_Arrears 2 (Raj)_BA 610 wkgs -31.03.08(Version 2)_10_IBM_PLSF_Circularisation status" xfId="1983"/>
    <cellStyle name="_Arrears 2 (Raj)_BA 610 wkgs -31.03.08(Version 2)_10_IBM_Preliminary PM " xfId="1984"/>
    <cellStyle name="_Arrears 2 (Raj)_BA 610 wkgs -31.03.08(Version 2)_10_IBM_Sig Acc and SFOT determination " xfId="1985"/>
    <cellStyle name="_Arrears 2 (Raj)_BA 610 wkgs -31.03.08(Version 2)_Recon" xfId="1986"/>
    <cellStyle name="_Arrears 2 (Raj)_BA 610 wkgs -31.03.08(Version 2)_Recon W1" xfId="1987"/>
    <cellStyle name="_Arrears 2 (Raj)_BA 610 wkgs -31.03.08(Version 2)_Recon_1" xfId="1988"/>
    <cellStyle name="_Arrears 2 (Raj)_BA 610 wkgs -31.03.08(Version 2)_Recon_2" xfId="1989"/>
    <cellStyle name="_Arrears 2 (Raj)_BA 610 wkgs -31.03.08(Version 2)_Recon_3" xfId="1990"/>
    <cellStyle name="_Arrears 2 (Raj)_BA 610 wkgs -31.03.08(Version 2)_Reconciliation" xfId="1991"/>
    <cellStyle name="_Arrears 2 (Raj)_BA 610 wkgs -31.03.08(Version 2)_Reconciliation_1" xfId="1992"/>
    <cellStyle name="_Arrears 2 (Raj)_BA 610 wkgs -31.03.08(Version 2)_Reconciliation_2" xfId="1993"/>
    <cellStyle name="_Arrears 2 (Raj)_BA 610 wkgs -31.03.08(Version 2)_Reconciliation_3" xfId="1994"/>
    <cellStyle name="_Arrears 2 (Raj)_BA 610 wkgs -31.03.08(Version 2)_Sheet1" xfId="1995"/>
    <cellStyle name="_Arrears 2 (Raj)_Book1" xfId="1996"/>
    <cellStyle name="_Arrears 2 (Raj)_Book1 (12)" xfId="1997"/>
    <cellStyle name="_Arrears 2 (Raj)_Book1 (4)" xfId="1998"/>
    <cellStyle name="_Arrears 2 (Raj)_Book1_10_IBM_PLSF_Circularisation status" xfId="1999"/>
    <cellStyle name="_Arrears 2 (Raj)_Book1_10_IBM_Preliminary PM " xfId="2000"/>
    <cellStyle name="_Arrears 2 (Raj)_Book1_10_IBM_Sig Acc and SFOT determination " xfId="2001"/>
    <cellStyle name="_Arrears 2 (Raj)_Book1_Recon" xfId="2002"/>
    <cellStyle name="_Arrears 2 (Raj)_Book1_Recon W1" xfId="2003"/>
    <cellStyle name="_Arrears 2 (Raj)_Book1_Recon_1" xfId="2004"/>
    <cellStyle name="_Arrears 2 (Raj)_Book1_Recon_2" xfId="2005"/>
    <cellStyle name="_Arrears 2 (Raj)_Book1_Recon_3" xfId="2006"/>
    <cellStyle name="_Arrears 2 (Raj)_Book1_Reconciliation" xfId="2007"/>
    <cellStyle name="_Arrears 2 (Raj)_Book1_Reconciliation_1" xfId="2008"/>
    <cellStyle name="_Arrears 2 (Raj)_Book1_Reconciliation_2" xfId="2009"/>
    <cellStyle name="_Arrears 2 (Raj)_Book1_Reconciliation_3" xfId="2010"/>
    <cellStyle name="_Arrears 2 (Raj)_Book1_Sheet1" xfId="2011"/>
    <cellStyle name="_Arrears 2 (Raj)_Book2 (2)" xfId="2012"/>
    <cellStyle name="_Arrears 2 (Raj)_Book2 (2)_IBM_Grouped(2)" xfId="2013"/>
    <cellStyle name="_Arrears 2 (Raj)_Book2 (2)_IBM_Grouped(2)_Recon" xfId="2014"/>
    <cellStyle name="_Arrears 2 (Raj)_Book2 (2)_IBM_Grouped(2)_Recon to Segmental Report" xfId="2015"/>
    <cellStyle name="_Arrears 2 (Raj)_Book2 (2)_IBM_Grouped(2)_Recon_1" xfId="2016"/>
    <cellStyle name="_Arrears 2 (Raj)_Book2 (2)_IBM_Grouped(2)_Recon_2" xfId="2017"/>
    <cellStyle name="_Arrears 2 (Raj)_Book2 (2)_IBM_Grouped(2)_Recon_3" xfId="2018"/>
    <cellStyle name="_Arrears 2 (Raj)_Book2 (2)_IBM_Grouped(2)_Recon_4" xfId="2019"/>
    <cellStyle name="_Arrears 2 (Raj)_Book2 (2)_IBM_Grouped(2)_Reconciliation" xfId="2020"/>
    <cellStyle name="_Arrears 2 (Raj)_Book2 (2)_IBM_Grouped(2)_Reconciliation_1" xfId="2021"/>
    <cellStyle name="_Arrears 2 (Raj)_Book2 (2)_IBM_Grouped(2)_Reconciliation_2" xfId="2022"/>
    <cellStyle name="_Arrears 2 (Raj)_Book2 (2)_IBM_Grouped(2)_Reconciliation_3" xfId="2023"/>
    <cellStyle name="_Arrears 2 (Raj)_Book2 (2)_Recon" xfId="2024"/>
    <cellStyle name="_Arrears 2 (Raj)_Book2 (2)_Recon W1" xfId="2025"/>
    <cellStyle name="_Arrears 2 (Raj)_Book2 (2)_Recon_1" xfId="2026"/>
    <cellStyle name="_Arrears 2 (Raj)_Book2 (2)_Recon_2" xfId="2027"/>
    <cellStyle name="_Arrears 2 (Raj)_Book2 (2)_Recon_3" xfId="2028"/>
    <cellStyle name="_Arrears 2 (Raj)_Book2 (2)_Reconciliation" xfId="2029"/>
    <cellStyle name="_Arrears 2 (Raj)_Book2 (2)_Reconciliation_1" xfId="2030"/>
    <cellStyle name="_Arrears 2 (Raj)_Book2 (2)_Reconciliation_2" xfId="2031"/>
    <cellStyle name="_Arrears 2 (Raj)_Book2 (2)_Reconciliation_3" xfId="2032"/>
    <cellStyle name="_Arrears 2 (Raj)_Book3" xfId="2033"/>
    <cellStyle name="_Arrears 2 (Raj)_Book3_10_IBM_PLSF_Circularisation status" xfId="2034"/>
    <cellStyle name="_Arrears 2 (Raj)_Book3_10_IBM_Preliminary PM " xfId="2035"/>
    <cellStyle name="_Arrears 2 (Raj)_Book3_10_IBM_Sig Acc and SFOT determination " xfId="2036"/>
    <cellStyle name="_Arrears 2 (Raj)_Book3_31.12.09 Mauritius-USD based ledger - Final1" xfId="2037"/>
    <cellStyle name="_Arrears 2 (Raj)_Book3_Book4" xfId="2038"/>
    <cellStyle name="_Arrears 2 (Raj)_Book3_Book4_IBM_Grouped(2)" xfId="2039"/>
    <cellStyle name="_Arrears 2 (Raj)_Book3_Book4_IBM_Grouped(2)_Recon" xfId="2040"/>
    <cellStyle name="_Arrears 2 (Raj)_Book3_Book4_IBM_Grouped(2)_Recon to Segmental Report" xfId="2041"/>
    <cellStyle name="_Arrears 2 (Raj)_Book3_Book4_IBM_Grouped(2)_Recon_1" xfId="2042"/>
    <cellStyle name="_Arrears 2 (Raj)_Book3_Book4_IBM_Grouped(2)_Recon_2" xfId="2043"/>
    <cellStyle name="_Arrears 2 (Raj)_Book3_Book4_IBM_Grouped(2)_Recon_3" xfId="2044"/>
    <cellStyle name="_Arrears 2 (Raj)_Book3_Book4_IBM_Grouped(2)_Recon_4" xfId="2045"/>
    <cellStyle name="_Arrears 2 (Raj)_Book3_Book4_IBM_Grouped(2)_Reconciliation" xfId="2046"/>
    <cellStyle name="_Arrears 2 (Raj)_Book3_Book4_IBM_Grouped(2)_Reconciliation_1" xfId="2047"/>
    <cellStyle name="_Arrears 2 (Raj)_Book3_Book4_IBM_Grouped(2)_Reconciliation_2" xfId="2048"/>
    <cellStyle name="_Arrears 2 (Raj)_Book3_Book4_IBM_Grouped(2)_Reconciliation_3" xfId="2049"/>
    <cellStyle name="_Arrears 2 (Raj)_Book3_Book4_Recon" xfId="2050"/>
    <cellStyle name="_Arrears 2 (Raj)_Book3_Book4_Recon W1" xfId="2051"/>
    <cellStyle name="_Arrears 2 (Raj)_Book3_Book4_Recon_1" xfId="2052"/>
    <cellStyle name="_Arrears 2 (Raj)_Book3_Book4_Recon_2" xfId="2053"/>
    <cellStyle name="_Arrears 2 (Raj)_Book3_Book4_Recon_3" xfId="2054"/>
    <cellStyle name="_Arrears 2 (Raj)_Book3_Book4_Reconciliation" xfId="2055"/>
    <cellStyle name="_Arrears 2 (Raj)_Book3_Book4_Reconciliation_1" xfId="2056"/>
    <cellStyle name="_Arrears 2 (Raj)_Book3_Book4_Reconciliation_2" xfId="2057"/>
    <cellStyle name="_Arrears 2 (Raj)_Book3_Book4_Reconciliation_3" xfId="2058"/>
    <cellStyle name="_Arrears 2 (Raj)_Book3_Book5" xfId="2059"/>
    <cellStyle name="_Arrears 2 (Raj)_Book3_Book5_(19) Loan Feb-11(Feb-11 figures)" xfId="2060"/>
    <cellStyle name="_Arrears 2 (Raj)_Book3_capital adequacy September 2009" xfId="2061"/>
    <cellStyle name="_Arrears 2 (Raj)_Book3_capital adequacy September 2009_IBM_Grouped(2)" xfId="2062"/>
    <cellStyle name="_Arrears 2 (Raj)_Book3_capital adequacy September 2009_IBM_Grouped(2)_Recon" xfId="2063"/>
    <cellStyle name="_Arrears 2 (Raj)_Book3_capital adequacy September 2009_IBM_Grouped(2)_Recon to Segmental Report" xfId="2064"/>
    <cellStyle name="_Arrears 2 (Raj)_Book3_capital adequacy September 2009_IBM_Grouped(2)_Recon_1" xfId="2065"/>
    <cellStyle name="_Arrears 2 (Raj)_Book3_capital adequacy September 2009_IBM_Grouped(2)_Recon_2" xfId="2066"/>
    <cellStyle name="_Arrears 2 (Raj)_Book3_capital adequacy September 2009_IBM_Grouped(2)_Recon_3" xfId="2067"/>
    <cellStyle name="_Arrears 2 (Raj)_Book3_capital adequacy September 2009_IBM_Grouped(2)_Recon_4" xfId="2068"/>
    <cellStyle name="_Arrears 2 (Raj)_Book3_capital adequacy September 2009_IBM_Grouped(2)_Reconciliation" xfId="2069"/>
    <cellStyle name="_Arrears 2 (Raj)_Book3_capital adequacy September 2009_IBM_Grouped(2)_Reconciliation_1" xfId="2070"/>
    <cellStyle name="_Arrears 2 (Raj)_Book3_capital adequacy September 2009_IBM_Grouped(2)_Reconciliation_2" xfId="2071"/>
    <cellStyle name="_Arrears 2 (Raj)_Book3_capital adequacy September 2009_IBM_Grouped(2)_Reconciliation_3" xfId="2072"/>
    <cellStyle name="_Arrears 2 (Raj)_Book3_capital adequacy September 2009_Recon" xfId="2073"/>
    <cellStyle name="_Arrears 2 (Raj)_Book3_capital adequacy September 2009_Recon W1" xfId="2074"/>
    <cellStyle name="_Arrears 2 (Raj)_Book3_capital adequacy September 2009_Recon_1" xfId="2075"/>
    <cellStyle name="_Arrears 2 (Raj)_Book3_capital adequacy September 2009_Recon_2" xfId="2076"/>
    <cellStyle name="_Arrears 2 (Raj)_Book3_capital adequacy September 2009_Recon_3" xfId="2077"/>
    <cellStyle name="_Arrears 2 (Raj)_Book3_capital adequacy September 2009_Reconciliation" xfId="2078"/>
    <cellStyle name="_Arrears 2 (Raj)_Book3_capital adequacy September 2009_Reconciliation_1" xfId="2079"/>
    <cellStyle name="_Arrears 2 (Raj)_Book3_capital adequacy September 2009_Reconciliation_2" xfId="2080"/>
    <cellStyle name="_Arrears 2 (Raj)_Book3_capital adequacy September 2009_Reconciliation_3" xfId="2081"/>
    <cellStyle name="_Arrears 2 (Raj)_Book3_Circularisation Status Specialised Finance Division 17 Mar 10" xfId="2082"/>
    <cellStyle name="_Arrears 2 (Raj)_Book3_Copy of Mauritius-USD based ledger" xfId="2083"/>
    <cellStyle name="_Arrears 2 (Raj)_Book3_Copy of Mauritius-USD based ledger_Recon" xfId="2084"/>
    <cellStyle name="_Arrears 2 (Raj)_Book3_Copy of Mauritius-USD based ledger_Recon W1" xfId="2085"/>
    <cellStyle name="_Arrears 2 (Raj)_Book3_Copy of Mauritius-USD based ledger_Recon_1" xfId="2086"/>
    <cellStyle name="_Arrears 2 (Raj)_Book3_Copy of Mauritius-USD based ledger_Recon_2" xfId="2087"/>
    <cellStyle name="_Arrears 2 (Raj)_Book3_Copy of Mauritius-USD based ledger_Recon_3" xfId="2088"/>
    <cellStyle name="_Arrears 2 (Raj)_Book3_Copy of Mauritius-USD based ledger_Reconciliation" xfId="2089"/>
    <cellStyle name="_Arrears 2 (Raj)_Book3_Copy of Mauritius-USD based ledger_Reconciliation_1" xfId="2090"/>
    <cellStyle name="_Arrears 2 (Raj)_Book3_Copy of Mauritius-USD based ledger_Reconciliation_2" xfId="2091"/>
    <cellStyle name="_Arrears 2 (Raj)_Book3_Copy of Mauritius-USD based ledger_Reconciliation_3" xfId="2092"/>
    <cellStyle name="_Arrears 2 (Raj)_Book3_Ops risk Mauritius - Sep 09 split stephanie after adjusment conversion" xfId="2093"/>
    <cellStyle name="_Arrears 2 (Raj)_Book3_Ops risk Mauritius - Sep 09 split stephanie after adjusment conversion_IBM_Grouped(2)" xfId="2094"/>
    <cellStyle name="_Arrears 2 (Raj)_Book3_Ops risk Mauritius - Sep 09 split stephanie after adjusment conversion_IBM_Grouped(2)_Recon" xfId="2095"/>
    <cellStyle name="_Arrears 2 (Raj)_Book3_Ops risk Mauritius - Sep 09 split stephanie after adjusment conversion_IBM_Grouped(2)_Recon to Segmental Report" xfId="2096"/>
    <cellStyle name="_Arrears 2 (Raj)_Book3_Ops risk Mauritius - Sep 09 split stephanie after adjusment conversion_IBM_Grouped(2)_Recon_1" xfId="2097"/>
    <cellStyle name="_Arrears 2 (Raj)_Book3_Ops risk Mauritius - Sep 09 split stephanie after adjusment conversion_IBM_Grouped(2)_Recon_2" xfId="2098"/>
    <cellStyle name="_Arrears 2 (Raj)_Book3_Ops risk Mauritius - Sep 09 split stephanie after adjusment conversion_IBM_Grouped(2)_Recon_3" xfId="2099"/>
    <cellStyle name="_Arrears 2 (Raj)_Book3_Ops risk Mauritius - Sep 09 split stephanie after adjusment conversion_IBM_Grouped(2)_Recon_4" xfId="2100"/>
    <cellStyle name="_Arrears 2 (Raj)_Book3_Ops risk Mauritius - Sep 09 split stephanie after adjusment conversion_IBM_Grouped(2)_Reconciliation" xfId="2101"/>
    <cellStyle name="_Arrears 2 (Raj)_Book3_Ops risk Mauritius - Sep 09 split stephanie after adjusment conversion_IBM_Grouped(2)_Reconciliation_1" xfId="2102"/>
    <cellStyle name="_Arrears 2 (Raj)_Book3_Ops risk Mauritius - Sep 09 split stephanie after adjusment conversion_IBM_Grouped(2)_Reconciliation_2" xfId="2103"/>
    <cellStyle name="_Arrears 2 (Raj)_Book3_Ops risk Mauritius - Sep 09 split stephanie after adjusment conversion_IBM_Grouped(2)_Reconciliation_3" xfId="2104"/>
    <cellStyle name="_Arrears 2 (Raj)_Book3_Ops risk Mauritius - Sep 09 split stephanie after adjusment conversion_Recon" xfId="2105"/>
    <cellStyle name="_Arrears 2 (Raj)_Book3_Ops risk Mauritius - Sep 09 split stephanie after adjusment conversion_Recon W1" xfId="2106"/>
    <cellStyle name="_Arrears 2 (Raj)_Book3_Ops risk Mauritius - Sep 09 split stephanie after adjusment conversion_Recon_1" xfId="2107"/>
    <cellStyle name="_Arrears 2 (Raj)_Book3_Ops risk Mauritius - Sep 09 split stephanie after adjusment conversion_Recon_2" xfId="2108"/>
    <cellStyle name="_Arrears 2 (Raj)_Book3_Ops risk Mauritius - Sep 09 split stephanie after adjusment conversion_Recon_3" xfId="2109"/>
    <cellStyle name="_Arrears 2 (Raj)_Book3_Ops risk Mauritius - Sep 09 split stephanie after adjusment conversion_Reconciliation" xfId="2110"/>
    <cellStyle name="_Arrears 2 (Raj)_Book3_Ops risk Mauritius - Sep 09 split stephanie after adjusment conversion_Reconciliation_1" xfId="2111"/>
    <cellStyle name="_Arrears 2 (Raj)_Book3_Ops risk Mauritius - Sep 09 split stephanie after adjusment conversion_Reconciliation_2" xfId="2112"/>
    <cellStyle name="_Arrears 2 (Raj)_Book3_Ops risk Mauritius - Sep 09 split stephanie after adjusment conversion_Reconciliation_3" xfId="2113"/>
    <cellStyle name="_Arrears 2 (Raj)_Book3_Recon" xfId="2114"/>
    <cellStyle name="_Arrears 2 (Raj)_Book3_Recon W1" xfId="2115"/>
    <cellStyle name="_Arrears 2 (Raj)_Book3_Recon_1" xfId="2116"/>
    <cellStyle name="_Arrears 2 (Raj)_Book3_Recon_2" xfId="2117"/>
    <cellStyle name="_Arrears 2 (Raj)_Book3_Recon_3" xfId="2118"/>
    <cellStyle name="_Arrears 2 (Raj)_Book3_Reconciliation" xfId="2119"/>
    <cellStyle name="_Arrears 2 (Raj)_Book3_Reconciliation_1" xfId="2120"/>
    <cellStyle name="_Arrears 2 (Raj)_Book3_Reconciliation_2" xfId="2121"/>
    <cellStyle name="_Arrears 2 (Raj)_Book3_Reconciliation_3" xfId="2122"/>
    <cellStyle name="_Arrears 2 (Raj)_Book3_RELATED PARTY-2010 05 31" xfId="2123"/>
    <cellStyle name="_Arrears 2 (Raj)_Book3_RELATED PARTY-2010 05 31_(19) Loan Feb-11(Feb-11 figures)" xfId="2124"/>
    <cellStyle name="_Arrears 2 (Raj)_Book3_Sheet1" xfId="2125"/>
    <cellStyle name="_Arrears 2 (Raj)_Book4" xfId="2126"/>
    <cellStyle name="_Arrears 2 (Raj)_Book4_Recon" xfId="2127"/>
    <cellStyle name="_Arrears 2 (Raj)_Book4_Recon W1" xfId="2128"/>
    <cellStyle name="_Arrears 2 (Raj)_Book4_Recon_1" xfId="2129"/>
    <cellStyle name="_Arrears 2 (Raj)_Book4_Recon_2" xfId="2130"/>
    <cellStyle name="_Arrears 2 (Raj)_Book4_Recon_3" xfId="2131"/>
    <cellStyle name="_Arrears 2 (Raj)_Book4_Reconciliation" xfId="2132"/>
    <cellStyle name="_Arrears 2 (Raj)_Book4_Reconciliation_1" xfId="2133"/>
    <cellStyle name="_Arrears 2 (Raj)_Book4_Reconciliation_2" xfId="2134"/>
    <cellStyle name="_Arrears 2 (Raj)_Book4_Reconciliation_3" xfId="2135"/>
    <cellStyle name="_Arrears 2 (Raj)_Book6" xfId="2136"/>
    <cellStyle name="_Arrears 2 (Raj)_Book6_10_IBM_PLSF_Circularisation status" xfId="2137"/>
    <cellStyle name="_Arrears 2 (Raj)_Book6_10_IBM_Preliminary PM " xfId="2138"/>
    <cellStyle name="_Arrears 2 (Raj)_Book6_10_IBM_Sig Acc and SFOT determination " xfId="2139"/>
    <cellStyle name="_Arrears 2 (Raj)_Book6_31.12.09 Mauritius-USD based ledger - Final1" xfId="2140"/>
    <cellStyle name="_Arrears 2 (Raj)_Book6_Book4" xfId="2141"/>
    <cellStyle name="_Arrears 2 (Raj)_Book6_Book4_IBM_Grouped(2)" xfId="2142"/>
    <cellStyle name="_Arrears 2 (Raj)_Book6_Book4_IBM_Grouped(2)_Recon" xfId="2143"/>
    <cellStyle name="_Arrears 2 (Raj)_Book6_Book4_IBM_Grouped(2)_Recon to Segmental Report" xfId="2144"/>
    <cellStyle name="_Arrears 2 (Raj)_Book6_Book4_IBM_Grouped(2)_Recon_1" xfId="2145"/>
    <cellStyle name="_Arrears 2 (Raj)_Book6_Book4_IBM_Grouped(2)_Recon_2" xfId="2146"/>
    <cellStyle name="_Arrears 2 (Raj)_Book6_Book4_IBM_Grouped(2)_Recon_3" xfId="2147"/>
    <cellStyle name="_Arrears 2 (Raj)_Book6_Book4_IBM_Grouped(2)_Recon_4" xfId="2148"/>
    <cellStyle name="_Arrears 2 (Raj)_Book6_Book4_IBM_Grouped(2)_Reconciliation" xfId="2149"/>
    <cellStyle name="_Arrears 2 (Raj)_Book6_Book4_IBM_Grouped(2)_Reconciliation_1" xfId="2150"/>
    <cellStyle name="_Arrears 2 (Raj)_Book6_Book4_IBM_Grouped(2)_Reconciliation_2" xfId="2151"/>
    <cellStyle name="_Arrears 2 (Raj)_Book6_Book4_IBM_Grouped(2)_Reconciliation_3" xfId="2152"/>
    <cellStyle name="_Arrears 2 (Raj)_Book6_Book4_Recon" xfId="2153"/>
    <cellStyle name="_Arrears 2 (Raj)_Book6_Book4_Recon W1" xfId="2154"/>
    <cellStyle name="_Arrears 2 (Raj)_Book6_Book4_Recon_1" xfId="2155"/>
    <cellStyle name="_Arrears 2 (Raj)_Book6_Book4_Recon_2" xfId="2156"/>
    <cellStyle name="_Arrears 2 (Raj)_Book6_Book4_Recon_3" xfId="2157"/>
    <cellStyle name="_Arrears 2 (Raj)_Book6_Book4_Reconciliation" xfId="2158"/>
    <cellStyle name="_Arrears 2 (Raj)_Book6_Book4_Reconciliation_1" xfId="2159"/>
    <cellStyle name="_Arrears 2 (Raj)_Book6_Book4_Reconciliation_2" xfId="2160"/>
    <cellStyle name="_Arrears 2 (Raj)_Book6_Book4_Reconciliation_3" xfId="2161"/>
    <cellStyle name="_Arrears 2 (Raj)_Book6_Book5" xfId="2162"/>
    <cellStyle name="_Arrears 2 (Raj)_Book6_Book5_(19) Loan Feb-11(Feb-11 figures)" xfId="2163"/>
    <cellStyle name="_Arrears 2 (Raj)_Book6_capital adequacy September 2009" xfId="2164"/>
    <cellStyle name="_Arrears 2 (Raj)_Book6_capital adequacy September 2009_IBM_Grouped(2)" xfId="2165"/>
    <cellStyle name="_Arrears 2 (Raj)_Book6_capital adequacy September 2009_IBM_Grouped(2)_Recon" xfId="2166"/>
    <cellStyle name="_Arrears 2 (Raj)_Book6_capital adequacy September 2009_IBM_Grouped(2)_Recon to Segmental Report" xfId="2167"/>
    <cellStyle name="_Arrears 2 (Raj)_Book6_capital adequacy September 2009_IBM_Grouped(2)_Recon_1" xfId="2168"/>
    <cellStyle name="_Arrears 2 (Raj)_Book6_capital adequacy September 2009_IBM_Grouped(2)_Recon_2" xfId="2169"/>
    <cellStyle name="_Arrears 2 (Raj)_Book6_capital adequacy September 2009_IBM_Grouped(2)_Recon_3" xfId="2170"/>
    <cellStyle name="_Arrears 2 (Raj)_Book6_capital adequacy September 2009_IBM_Grouped(2)_Recon_4" xfId="2171"/>
    <cellStyle name="_Arrears 2 (Raj)_Book6_capital adequacy September 2009_IBM_Grouped(2)_Reconciliation" xfId="2172"/>
    <cellStyle name="_Arrears 2 (Raj)_Book6_capital adequacy September 2009_IBM_Grouped(2)_Reconciliation_1" xfId="2173"/>
    <cellStyle name="_Arrears 2 (Raj)_Book6_capital adequacy September 2009_IBM_Grouped(2)_Reconciliation_2" xfId="2174"/>
    <cellStyle name="_Arrears 2 (Raj)_Book6_capital adequacy September 2009_IBM_Grouped(2)_Reconciliation_3" xfId="2175"/>
    <cellStyle name="_Arrears 2 (Raj)_Book6_capital adequacy September 2009_Recon" xfId="2176"/>
    <cellStyle name="_Arrears 2 (Raj)_Book6_capital adequacy September 2009_Recon W1" xfId="2177"/>
    <cellStyle name="_Arrears 2 (Raj)_Book6_capital adequacy September 2009_Recon_1" xfId="2178"/>
    <cellStyle name="_Arrears 2 (Raj)_Book6_capital adequacy September 2009_Recon_2" xfId="2179"/>
    <cellStyle name="_Arrears 2 (Raj)_Book6_capital adequacy September 2009_Recon_3" xfId="2180"/>
    <cellStyle name="_Arrears 2 (Raj)_Book6_capital adequacy September 2009_Reconciliation" xfId="2181"/>
    <cellStyle name="_Arrears 2 (Raj)_Book6_capital adequacy September 2009_Reconciliation_1" xfId="2182"/>
    <cellStyle name="_Arrears 2 (Raj)_Book6_capital adequacy September 2009_Reconciliation_2" xfId="2183"/>
    <cellStyle name="_Arrears 2 (Raj)_Book6_capital adequacy September 2009_Reconciliation_3" xfId="2184"/>
    <cellStyle name="_Arrears 2 (Raj)_Book6_Circularisation Status Specialised Finance Division 17 Mar 10" xfId="2185"/>
    <cellStyle name="_Arrears 2 (Raj)_Book6_Copy of Mauritius-USD based ledger" xfId="2186"/>
    <cellStyle name="_Arrears 2 (Raj)_Book6_Copy of Mauritius-USD based ledger_Recon" xfId="2187"/>
    <cellStyle name="_Arrears 2 (Raj)_Book6_Copy of Mauritius-USD based ledger_Recon W1" xfId="2188"/>
    <cellStyle name="_Arrears 2 (Raj)_Book6_Copy of Mauritius-USD based ledger_Recon_1" xfId="2189"/>
    <cellStyle name="_Arrears 2 (Raj)_Book6_Copy of Mauritius-USD based ledger_Recon_2" xfId="2190"/>
    <cellStyle name="_Arrears 2 (Raj)_Book6_Copy of Mauritius-USD based ledger_Recon_3" xfId="2191"/>
    <cellStyle name="_Arrears 2 (Raj)_Book6_Copy of Mauritius-USD based ledger_Reconciliation" xfId="2192"/>
    <cellStyle name="_Arrears 2 (Raj)_Book6_Copy of Mauritius-USD based ledger_Reconciliation_1" xfId="2193"/>
    <cellStyle name="_Arrears 2 (Raj)_Book6_Copy of Mauritius-USD based ledger_Reconciliation_2" xfId="2194"/>
    <cellStyle name="_Arrears 2 (Raj)_Book6_Copy of Mauritius-USD based ledger_Reconciliation_3" xfId="2195"/>
    <cellStyle name="_Arrears 2 (Raj)_Book6_Ops risk Mauritius - Sep 09 split stephanie after adjusment conversion" xfId="2196"/>
    <cellStyle name="_Arrears 2 (Raj)_Book6_Ops risk Mauritius - Sep 09 split stephanie after adjusment conversion_IBM_Grouped(2)" xfId="2197"/>
    <cellStyle name="_Arrears 2 (Raj)_Book6_Ops risk Mauritius - Sep 09 split stephanie after adjusment conversion_IBM_Grouped(2)_Recon" xfId="2198"/>
    <cellStyle name="_Arrears 2 (Raj)_Book6_Ops risk Mauritius - Sep 09 split stephanie after adjusment conversion_IBM_Grouped(2)_Recon to Segmental Report" xfId="2199"/>
    <cellStyle name="_Arrears 2 (Raj)_Book6_Ops risk Mauritius - Sep 09 split stephanie after adjusment conversion_IBM_Grouped(2)_Recon_1" xfId="2200"/>
    <cellStyle name="_Arrears 2 (Raj)_Book6_Ops risk Mauritius - Sep 09 split stephanie after adjusment conversion_IBM_Grouped(2)_Recon_2" xfId="2201"/>
    <cellStyle name="_Arrears 2 (Raj)_Book6_Ops risk Mauritius - Sep 09 split stephanie after adjusment conversion_IBM_Grouped(2)_Recon_3" xfId="2202"/>
    <cellStyle name="_Arrears 2 (Raj)_Book6_Ops risk Mauritius - Sep 09 split stephanie after adjusment conversion_IBM_Grouped(2)_Recon_4" xfId="2203"/>
    <cellStyle name="_Arrears 2 (Raj)_Book6_Ops risk Mauritius - Sep 09 split stephanie after adjusment conversion_IBM_Grouped(2)_Reconciliation" xfId="2204"/>
    <cellStyle name="_Arrears 2 (Raj)_Book6_Ops risk Mauritius - Sep 09 split stephanie after adjusment conversion_IBM_Grouped(2)_Reconciliation_1" xfId="2205"/>
    <cellStyle name="_Arrears 2 (Raj)_Book6_Ops risk Mauritius - Sep 09 split stephanie after adjusment conversion_IBM_Grouped(2)_Reconciliation_2" xfId="2206"/>
    <cellStyle name="_Arrears 2 (Raj)_Book6_Ops risk Mauritius - Sep 09 split stephanie after adjusment conversion_IBM_Grouped(2)_Reconciliation_3" xfId="2207"/>
    <cellStyle name="_Arrears 2 (Raj)_Book6_Ops risk Mauritius - Sep 09 split stephanie after adjusment conversion_Recon" xfId="2208"/>
    <cellStyle name="_Arrears 2 (Raj)_Book6_Ops risk Mauritius - Sep 09 split stephanie after adjusment conversion_Recon W1" xfId="2209"/>
    <cellStyle name="_Arrears 2 (Raj)_Book6_Ops risk Mauritius - Sep 09 split stephanie after adjusment conversion_Recon_1" xfId="2210"/>
    <cellStyle name="_Arrears 2 (Raj)_Book6_Ops risk Mauritius - Sep 09 split stephanie after adjusment conversion_Recon_2" xfId="2211"/>
    <cellStyle name="_Arrears 2 (Raj)_Book6_Ops risk Mauritius - Sep 09 split stephanie after adjusment conversion_Recon_3" xfId="2212"/>
    <cellStyle name="_Arrears 2 (Raj)_Book6_Ops risk Mauritius - Sep 09 split stephanie after adjusment conversion_Reconciliation" xfId="2213"/>
    <cellStyle name="_Arrears 2 (Raj)_Book6_Ops risk Mauritius - Sep 09 split stephanie after adjusment conversion_Reconciliation_1" xfId="2214"/>
    <cellStyle name="_Arrears 2 (Raj)_Book6_Ops risk Mauritius - Sep 09 split stephanie after adjusment conversion_Reconciliation_2" xfId="2215"/>
    <cellStyle name="_Arrears 2 (Raj)_Book6_Ops risk Mauritius - Sep 09 split stephanie after adjusment conversion_Reconciliation_3" xfId="2216"/>
    <cellStyle name="_Arrears 2 (Raj)_Book6_Recon" xfId="2217"/>
    <cellStyle name="_Arrears 2 (Raj)_Book6_Recon W1" xfId="2218"/>
    <cellStyle name="_Arrears 2 (Raj)_Book6_Recon_1" xfId="2219"/>
    <cellStyle name="_Arrears 2 (Raj)_Book6_Recon_2" xfId="2220"/>
    <cellStyle name="_Arrears 2 (Raj)_Book6_Recon_3" xfId="2221"/>
    <cellStyle name="_Arrears 2 (Raj)_Book6_Reconciliation" xfId="2222"/>
    <cellStyle name="_Arrears 2 (Raj)_Book6_Reconciliation_1" xfId="2223"/>
    <cellStyle name="_Arrears 2 (Raj)_Book6_Reconciliation_2" xfId="2224"/>
    <cellStyle name="_Arrears 2 (Raj)_Book6_Reconciliation_3" xfId="2225"/>
    <cellStyle name="_Arrears 2 (Raj)_Book6_RELATED PARTY-2010 05 31" xfId="2226"/>
    <cellStyle name="_Arrears 2 (Raj)_Book6_RELATED PARTY-2010 05 31_(19) Loan Feb-11(Feb-11 figures)" xfId="2227"/>
    <cellStyle name="_Arrears 2 (Raj)_Book6_Sheet1" xfId="2228"/>
    <cellStyle name="_Arrears 2 (Raj)_BS - Mar 09" xfId="2229"/>
    <cellStyle name="_Arrears 2 (Raj)_BS - Mar 09_IBM_Grouped(2)" xfId="2230"/>
    <cellStyle name="_Arrears 2 (Raj)_BS - Mar 09_IBM_Grouped(2)_Recon" xfId="2231"/>
    <cellStyle name="_Arrears 2 (Raj)_BS - Mar 09_IBM_Grouped(2)_Recon to Segmental Report" xfId="2232"/>
    <cellStyle name="_Arrears 2 (Raj)_BS - Mar 09_IBM_Grouped(2)_Recon_1" xfId="2233"/>
    <cellStyle name="_Arrears 2 (Raj)_BS - Mar 09_IBM_Grouped(2)_Recon_2" xfId="2234"/>
    <cellStyle name="_Arrears 2 (Raj)_BS - Mar 09_IBM_Grouped(2)_Recon_3" xfId="2235"/>
    <cellStyle name="_Arrears 2 (Raj)_BS - Mar 09_IBM_Grouped(2)_Recon_4" xfId="2236"/>
    <cellStyle name="_Arrears 2 (Raj)_BS - Mar 09_IBM_Grouped(2)_Reconciliation" xfId="2237"/>
    <cellStyle name="_Arrears 2 (Raj)_BS - Mar 09_IBM_Grouped(2)_Reconciliation_1" xfId="2238"/>
    <cellStyle name="_Arrears 2 (Raj)_BS - Mar 09_IBM_Grouped(2)_Reconciliation_2" xfId="2239"/>
    <cellStyle name="_Arrears 2 (Raj)_BS - Mar 09_IBM_Grouped(2)_Reconciliation_3" xfId="2240"/>
    <cellStyle name="_Arrears 2 (Raj)_BS - Mar 09_Recon" xfId="2241"/>
    <cellStyle name="_Arrears 2 (Raj)_BS - Mar 09_Recon W1" xfId="2242"/>
    <cellStyle name="_Arrears 2 (Raj)_BS - Mar 09_Recon_1" xfId="2243"/>
    <cellStyle name="_Arrears 2 (Raj)_BS - Mar 09_Recon_2" xfId="2244"/>
    <cellStyle name="_Arrears 2 (Raj)_BS - Mar 09_Recon_3" xfId="2245"/>
    <cellStyle name="_Arrears 2 (Raj)_BS - Mar 09_Reconciliation" xfId="2246"/>
    <cellStyle name="_Arrears 2 (Raj)_BS - Mar 09_Reconciliation_1" xfId="2247"/>
    <cellStyle name="_Arrears 2 (Raj)_BS - Mar 09_Reconciliation_2" xfId="2248"/>
    <cellStyle name="_Arrears 2 (Raj)_BS - Mar 09_Reconciliation_3" xfId="2249"/>
    <cellStyle name="_Arrears 2 (Raj)_BSIS essbase" xfId="2250"/>
    <cellStyle name="_Arrears 2 (Raj)_BSIS essbase_10_IBM_PLSF_Circularisation status" xfId="2251"/>
    <cellStyle name="_Arrears 2 (Raj)_BSIS essbase_10_IBM_Preliminary PM " xfId="2252"/>
    <cellStyle name="_Arrears 2 (Raj)_BSIS essbase_10_IBM_Sig Acc and SFOT determination " xfId="2253"/>
    <cellStyle name="_Arrears 2 (Raj)_BSIS essbase_Recon" xfId="2254"/>
    <cellStyle name="_Arrears 2 (Raj)_BSIS essbase_Recon W1" xfId="2255"/>
    <cellStyle name="_Arrears 2 (Raj)_BSIS essbase_Recon_1" xfId="2256"/>
    <cellStyle name="_Arrears 2 (Raj)_BSIS essbase_Recon_2" xfId="2257"/>
    <cellStyle name="_Arrears 2 (Raj)_BSIS essbase_Recon_3" xfId="2258"/>
    <cellStyle name="_Arrears 2 (Raj)_BSIS essbase_Reconciliation" xfId="2259"/>
    <cellStyle name="_Arrears 2 (Raj)_BSIS essbase_Reconciliation_1" xfId="2260"/>
    <cellStyle name="_Arrears 2 (Raj)_BSIS essbase_Reconciliation_2" xfId="2261"/>
    <cellStyle name="_Arrears 2 (Raj)_BSIS essbase_Reconciliation_3" xfId="2262"/>
    <cellStyle name="_Arrears 2 (Raj)_BSIS essbase_Sheet1" xfId="2263"/>
    <cellStyle name="_Arrears 2 (Raj)_capital adequacy September 2009" xfId="2264"/>
    <cellStyle name="_Arrears 2 (Raj)_capital adequacy September 2009_IBM_Grouped(2)" xfId="2265"/>
    <cellStyle name="_Arrears 2 (Raj)_capital adequacy September 2009_IBM_Grouped(2)_Recon" xfId="2266"/>
    <cellStyle name="_Arrears 2 (Raj)_capital adequacy September 2009_IBM_Grouped(2)_Recon to Segmental Report" xfId="2267"/>
    <cellStyle name="_Arrears 2 (Raj)_capital adequacy September 2009_IBM_Grouped(2)_Recon_1" xfId="2268"/>
    <cellStyle name="_Arrears 2 (Raj)_capital adequacy September 2009_IBM_Grouped(2)_Recon_2" xfId="2269"/>
    <cellStyle name="_Arrears 2 (Raj)_capital adequacy September 2009_IBM_Grouped(2)_Recon_3" xfId="2270"/>
    <cellStyle name="_Arrears 2 (Raj)_capital adequacy September 2009_IBM_Grouped(2)_Recon_4" xfId="2271"/>
    <cellStyle name="_Arrears 2 (Raj)_capital adequacy September 2009_IBM_Grouped(2)_Reconciliation" xfId="2272"/>
    <cellStyle name="_Arrears 2 (Raj)_capital adequacy September 2009_IBM_Grouped(2)_Reconciliation_1" xfId="2273"/>
    <cellStyle name="_Arrears 2 (Raj)_capital adequacy September 2009_IBM_Grouped(2)_Reconciliation_2" xfId="2274"/>
    <cellStyle name="_Arrears 2 (Raj)_capital adequacy September 2009_IBM_Grouped(2)_Reconciliation_3" xfId="2275"/>
    <cellStyle name="_Arrears 2 (Raj)_capital adequacy September 2009_Recon" xfId="2276"/>
    <cellStyle name="_Arrears 2 (Raj)_capital adequacy September 2009_Recon W1" xfId="2277"/>
    <cellStyle name="_Arrears 2 (Raj)_capital adequacy September 2009_Recon_1" xfId="2278"/>
    <cellStyle name="_Arrears 2 (Raj)_capital adequacy September 2009_Recon_2" xfId="2279"/>
    <cellStyle name="_Arrears 2 (Raj)_capital adequacy September 2009_Recon_3" xfId="2280"/>
    <cellStyle name="_Arrears 2 (Raj)_capital adequacy September 2009_Reconciliation" xfId="2281"/>
    <cellStyle name="_Arrears 2 (Raj)_capital adequacy September 2009_Reconciliation_1" xfId="2282"/>
    <cellStyle name="_Arrears 2 (Raj)_capital adequacy September 2009_Reconciliation_2" xfId="2283"/>
    <cellStyle name="_Arrears 2 (Raj)_capital adequacy September 2009_Reconciliation_3" xfId="2284"/>
    <cellStyle name="_Arrears 2 (Raj)_Circularisation Status Specialised Finance Division 17 Mar 10" xfId="2285"/>
    <cellStyle name="_Arrears 2 (Raj)_Detailed BS Dec 08" xfId="2286"/>
    <cellStyle name="_Arrears 2 (Raj)_Detailed BS Dec 08_IBM_Grouped(2)" xfId="2287"/>
    <cellStyle name="_Arrears 2 (Raj)_Detailed BS Dec 08_IBM_Grouped(2)_Recon" xfId="2288"/>
    <cellStyle name="_Arrears 2 (Raj)_Detailed BS Dec 08_IBM_Grouped(2)_Recon to Segmental Report" xfId="2289"/>
    <cellStyle name="_Arrears 2 (Raj)_Detailed BS Dec 08_IBM_Grouped(2)_Recon_1" xfId="2290"/>
    <cellStyle name="_Arrears 2 (Raj)_Detailed BS Dec 08_IBM_Grouped(2)_Recon_2" xfId="2291"/>
    <cellStyle name="_Arrears 2 (Raj)_Detailed BS Dec 08_IBM_Grouped(2)_Recon_3" xfId="2292"/>
    <cellStyle name="_Arrears 2 (Raj)_Detailed BS Dec 08_IBM_Grouped(2)_Recon_4" xfId="2293"/>
    <cellStyle name="_Arrears 2 (Raj)_Detailed BS Dec 08_IBM_Grouped(2)_Reconciliation" xfId="2294"/>
    <cellStyle name="_Arrears 2 (Raj)_Detailed BS Dec 08_IBM_Grouped(2)_Reconciliation_1" xfId="2295"/>
    <cellStyle name="_Arrears 2 (Raj)_Detailed BS Dec 08_IBM_Grouped(2)_Reconciliation_2" xfId="2296"/>
    <cellStyle name="_Arrears 2 (Raj)_Detailed BS Dec 08_IBM_Grouped(2)_Reconciliation_3" xfId="2297"/>
    <cellStyle name="_Arrears 2 (Raj)_Detailed BS Dec 08_Recon" xfId="2298"/>
    <cellStyle name="_Arrears 2 (Raj)_Detailed BS Dec 08_Recon W1" xfId="2299"/>
    <cellStyle name="_Arrears 2 (Raj)_Detailed BS Dec 08_Recon_1" xfId="2300"/>
    <cellStyle name="_Arrears 2 (Raj)_Detailed BS Dec 08_Recon_2" xfId="2301"/>
    <cellStyle name="_Arrears 2 (Raj)_Detailed BS Dec 08_Recon_3" xfId="2302"/>
    <cellStyle name="_Arrears 2 (Raj)_Detailed BS Dec 08_Reconciliation" xfId="2303"/>
    <cellStyle name="_Arrears 2 (Raj)_Detailed BS Dec 08_Reconciliation_1" xfId="2304"/>
    <cellStyle name="_Arrears 2 (Raj)_Detailed BS Dec 08_Reconciliation_2" xfId="2305"/>
    <cellStyle name="_Arrears 2 (Raj)_Detailed BS Dec 08_Reconciliation_3" xfId="2306"/>
    <cellStyle name="_Arrears 2 (Raj)_Detailed BS Jan 09" xfId="2307"/>
    <cellStyle name="_Arrears 2 (Raj)_Detailed BS Jan 09_IBM_Grouped(2)" xfId="2308"/>
    <cellStyle name="_Arrears 2 (Raj)_Detailed BS Jan 09_IBM_Grouped(2)_Recon" xfId="2309"/>
    <cellStyle name="_Arrears 2 (Raj)_Detailed BS Jan 09_IBM_Grouped(2)_Recon to Segmental Report" xfId="2310"/>
    <cellStyle name="_Arrears 2 (Raj)_Detailed BS Jan 09_IBM_Grouped(2)_Recon_1" xfId="2311"/>
    <cellStyle name="_Arrears 2 (Raj)_Detailed BS Jan 09_IBM_Grouped(2)_Recon_2" xfId="2312"/>
    <cellStyle name="_Arrears 2 (Raj)_Detailed BS Jan 09_IBM_Grouped(2)_Recon_3" xfId="2313"/>
    <cellStyle name="_Arrears 2 (Raj)_Detailed BS Jan 09_IBM_Grouped(2)_Recon_4" xfId="2314"/>
    <cellStyle name="_Arrears 2 (Raj)_Detailed BS Jan 09_IBM_Grouped(2)_Reconciliation" xfId="2315"/>
    <cellStyle name="_Arrears 2 (Raj)_Detailed BS Jan 09_IBM_Grouped(2)_Reconciliation_1" xfId="2316"/>
    <cellStyle name="_Arrears 2 (Raj)_Detailed BS Jan 09_IBM_Grouped(2)_Reconciliation_2" xfId="2317"/>
    <cellStyle name="_Arrears 2 (Raj)_Detailed BS Jan 09_IBM_Grouped(2)_Reconciliation_3" xfId="2318"/>
    <cellStyle name="_Arrears 2 (Raj)_Detailed BS Jan 09_Recon" xfId="2319"/>
    <cellStyle name="_Arrears 2 (Raj)_Detailed BS Jan 09_Recon W1" xfId="2320"/>
    <cellStyle name="_Arrears 2 (Raj)_Detailed BS Jan 09_Recon_1" xfId="2321"/>
    <cellStyle name="_Arrears 2 (Raj)_Detailed BS Jan 09_Recon_2" xfId="2322"/>
    <cellStyle name="_Arrears 2 (Raj)_Detailed BS Jan 09_Recon_3" xfId="2323"/>
    <cellStyle name="_Arrears 2 (Raj)_Detailed BS Jan 09_Reconciliation" xfId="2324"/>
    <cellStyle name="_Arrears 2 (Raj)_Detailed BS Jan 09_Reconciliation_1" xfId="2325"/>
    <cellStyle name="_Arrears 2 (Raj)_Detailed BS Jan 09_Reconciliation_2" xfId="2326"/>
    <cellStyle name="_Arrears 2 (Raj)_Detailed BS Jan 09_Reconciliation_3" xfId="2327"/>
    <cellStyle name="_Arrears 2 (Raj)_Detailed BS Jun 09" xfId="2328"/>
    <cellStyle name="_Arrears 2 (Raj)_Detailed BS Jun 09_IBM_Grouped(2)" xfId="2329"/>
    <cellStyle name="_Arrears 2 (Raj)_Detailed BS Jun 09_IBM_Grouped(2)_Recon" xfId="2330"/>
    <cellStyle name="_Arrears 2 (Raj)_Detailed BS Jun 09_IBM_Grouped(2)_Recon to Segmental Report" xfId="2331"/>
    <cellStyle name="_Arrears 2 (Raj)_Detailed BS Jun 09_IBM_Grouped(2)_Recon_1" xfId="2332"/>
    <cellStyle name="_Arrears 2 (Raj)_Detailed BS Jun 09_IBM_Grouped(2)_Recon_2" xfId="2333"/>
    <cellStyle name="_Arrears 2 (Raj)_Detailed BS Jun 09_IBM_Grouped(2)_Recon_3" xfId="2334"/>
    <cellStyle name="_Arrears 2 (Raj)_Detailed BS Jun 09_IBM_Grouped(2)_Recon_4" xfId="2335"/>
    <cellStyle name="_Arrears 2 (Raj)_Detailed BS Jun 09_IBM_Grouped(2)_Reconciliation" xfId="2336"/>
    <cellStyle name="_Arrears 2 (Raj)_Detailed BS Jun 09_IBM_Grouped(2)_Reconciliation_1" xfId="2337"/>
    <cellStyle name="_Arrears 2 (Raj)_Detailed BS Jun 09_IBM_Grouped(2)_Reconciliation_2" xfId="2338"/>
    <cellStyle name="_Arrears 2 (Raj)_Detailed BS Jun 09_IBM_Grouped(2)_Reconciliation_3" xfId="2339"/>
    <cellStyle name="_Arrears 2 (Raj)_Detailed BS Jun 09_Recon" xfId="2340"/>
    <cellStyle name="_Arrears 2 (Raj)_Detailed BS Jun 09_Recon W1" xfId="2341"/>
    <cellStyle name="_Arrears 2 (Raj)_Detailed BS Jun 09_Recon_1" xfId="2342"/>
    <cellStyle name="_Arrears 2 (Raj)_Detailed BS Jun 09_Recon_2" xfId="2343"/>
    <cellStyle name="_Arrears 2 (Raj)_Detailed BS Jun 09_Recon_3" xfId="2344"/>
    <cellStyle name="_Arrears 2 (Raj)_Detailed BS Jun 09_Reconciliation" xfId="2345"/>
    <cellStyle name="_Arrears 2 (Raj)_Detailed BS Jun 09_Reconciliation_1" xfId="2346"/>
    <cellStyle name="_Arrears 2 (Raj)_Detailed BS Jun 09_Reconciliation_2" xfId="2347"/>
    <cellStyle name="_Arrears 2 (Raj)_Detailed BS Jun 09_Reconciliation_3" xfId="2348"/>
    <cellStyle name="_Arrears 2 (Raj)_Detailed BS June08" xfId="2349"/>
    <cellStyle name="_Arrears 2 (Raj)_Detailed BS June08_10_IBM_PLSF_Circularisation status" xfId="2350"/>
    <cellStyle name="_Arrears 2 (Raj)_Detailed BS June08_10_IBM_Preliminary PM " xfId="2351"/>
    <cellStyle name="_Arrears 2 (Raj)_Detailed BS June08_10_IBM_Sig Acc and SFOT determination " xfId="2352"/>
    <cellStyle name="_Arrears 2 (Raj)_Detailed BS June08_31.12.09 Mauritius-USD based ledger - Final1" xfId="2353"/>
    <cellStyle name="_Arrears 2 (Raj)_Detailed BS June08_Book4" xfId="2354"/>
    <cellStyle name="_Arrears 2 (Raj)_Detailed BS June08_Book4_IBM_Grouped(2)" xfId="2355"/>
    <cellStyle name="_Arrears 2 (Raj)_Detailed BS June08_Book4_IBM_Grouped(2)_Recon" xfId="2356"/>
    <cellStyle name="_Arrears 2 (Raj)_Detailed BS June08_Book4_IBM_Grouped(2)_Recon to Segmental Report" xfId="2357"/>
    <cellStyle name="_Arrears 2 (Raj)_Detailed BS June08_Book4_IBM_Grouped(2)_Recon_1" xfId="2358"/>
    <cellStyle name="_Arrears 2 (Raj)_Detailed BS June08_Book4_IBM_Grouped(2)_Recon_2" xfId="2359"/>
    <cellStyle name="_Arrears 2 (Raj)_Detailed BS June08_Book4_IBM_Grouped(2)_Recon_3" xfId="2360"/>
    <cellStyle name="_Arrears 2 (Raj)_Detailed BS June08_Book4_IBM_Grouped(2)_Recon_4" xfId="2361"/>
    <cellStyle name="_Arrears 2 (Raj)_Detailed BS June08_Book4_IBM_Grouped(2)_Reconciliation" xfId="2362"/>
    <cellStyle name="_Arrears 2 (Raj)_Detailed BS June08_Book4_IBM_Grouped(2)_Reconciliation_1" xfId="2363"/>
    <cellStyle name="_Arrears 2 (Raj)_Detailed BS June08_Book4_IBM_Grouped(2)_Reconciliation_2" xfId="2364"/>
    <cellStyle name="_Arrears 2 (Raj)_Detailed BS June08_Book4_IBM_Grouped(2)_Reconciliation_3" xfId="2365"/>
    <cellStyle name="_Arrears 2 (Raj)_Detailed BS June08_Book4_Recon" xfId="2366"/>
    <cellStyle name="_Arrears 2 (Raj)_Detailed BS June08_Book4_Recon W1" xfId="2367"/>
    <cellStyle name="_Arrears 2 (Raj)_Detailed BS June08_Book4_Recon_1" xfId="2368"/>
    <cellStyle name="_Arrears 2 (Raj)_Detailed BS June08_Book4_Recon_2" xfId="2369"/>
    <cellStyle name="_Arrears 2 (Raj)_Detailed BS June08_Book4_Recon_3" xfId="2370"/>
    <cellStyle name="_Arrears 2 (Raj)_Detailed BS June08_Book4_Reconciliation" xfId="2371"/>
    <cellStyle name="_Arrears 2 (Raj)_Detailed BS June08_Book4_Reconciliation_1" xfId="2372"/>
    <cellStyle name="_Arrears 2 (Raj)_Detailed BS June08_Book4_Reconciliation_2" xfId="2373"/>
    <cellStyle name="_Arrears 2 (Raj)_Detailed BS June08_Book4_Reconciliation_3" xfId="2374"/>
    <cellStyle name="_Arrears 2 (Raj)_Detailed BS June08_Book5" xfId="2375"/>
    <cellStyle name="_Arrears 2 (Raj)_Detailed BS June08_Book5_(19) Loan Feb-11(Feb-11 figures)" xfId="2376"/>
    <cellStyle name="_Arrears 2 (Raj)_Detailed BS June08_capital adequacy September 2009" xfId="2377"/>
    <cellStyle name="_Arrears 2 (Raj)_Detailed BS June08_capital adequacy September 2009_IBM_Grouped(2)" xfId="2378"/>
    <cellStyle name="_Arrears 2 (Raj)_Detailed BS June08_capital adequacy September 2009_IBM_Grouped(2)_Recon" xfId="2379"/>
    <cellStyle name="_Arrears 2 (Raj)_Detailed BS June08_capital adequacy September 2009_IBM_Grouped(2)_Recon to Segmental Report" xfId="2380"/>
    <cellStyle name="_Arrears 2 (Raj)_Detailed BS June08_capital adequacy September 2009_IBM_Grouped(2)_Recon_1" xfId="2381"/>
    <cellStyle name="_Arrears 2 (Raj)_Detailed BS June08_capital adequacy September 2009_IBM_Grouped(2)_Recon_2" xfId="2382"/>
    <cellStyle name="_Arrears 2 (Raj)_Detailed BS June08_capital adequacy September 2009_IBM_Grouped(2)_Recon_3" xfId="2383"/>
    <cellStyle name="_Arrears 2 (Raj)_Detailed BS June08_capital adequacy September 2009_IBM_Grouped(2)_Recon_4" xfId="2384"/>
    <cellStyle name="_Arrears 2 (Raj)_Detailed BS June08_capital adequacy September 2009_IBM_Grouped(2)_Reconciliation" xfId="2385"/>
    <cellStyle name="_Arrears 2 (Raj)_Detailed BS June08_capital adequacy September 2009_IBM_Grouped(2)_Reconciliation_1" xfId="2386"/>
    <cellStyle name="_Arrears 2 (Raj)_Detailed BS June08_capital adequacy September 2009_IBM_Grouped(2)_Reconciliation_2" xfId="2387"/>
    <cellStyle name="_Arrears 2 (Raj)_Detailed BS June08_capital adequacy September 2009_IBM_Grouped(2)_Reconciliation_3" xfId="2388"/>
    <cellStyle name="_Arrears 2 (Raj)_Detailed BS June08_capital adequacy September 2009_Recon" xfId="2389"/>
    <cellStyle name="_Arrears 2 (Raj)_Detailed BS June08_capital adequacy September 2009_Recon W1" xfId="2390"/>
    <cellStyle name="_Arrears 2 (Raj)_Detailed BS June08_capital adequacy September 2009_Recon_1" xfId="2391"/>
    <cellStyle name="_Arrears 2 (Raj)_Detailed BS June08_capital adequacy September 2009_Recon_2" xfId="2392"/>
    <cellStyle name="_Arrears 2 (Raj)_Detailed BS June08_capital adequacy September 2009_Recon_3" xfId="2393"/>
    <cellStyle name="_Arrears 2 (Raj)_Detailed BS June08_capital adequacy September 2009_Reconciliation" xfId="2394"/>
    <cellStyle name="_Arrears 2 (Raj)_Detailed BS June08_capital adequacy September 2009_Reconciliation_1" xfId="2395"/>
    <cellStyle name="_Arrears 2 (Raj)_Detailed BS June08_capital adequacy September 2009_Reconciliation_2" xfId="2396"/>
    <cellStyle name="_Arrears 2 (Raj)_Detailed BS June08_capital adequacy September 2009_Reconciliation_3" xfId="2397"/>
    <cellStyle name="_Arrears 2 (Raj)_Detailed BS June08_Circularisation Status Specialised Finance Division 17 Mar 10" xfId="2398"/>
    <cellStyle name="_Arrears 2 (Raj)_Detailed BS June08_Copy of Mauritius-USD based ledger" xfId="2399"/>
    <cellStyle name="_Arrears 2 (Raj)_Detailed BS June08_Copy of Mauritius-USD based ledger_Recon" xfId="2400"/>
    <cellStyle name="_Arrears 2 (Raj)_Detailed BS June08_Copy of Mauritius-USD based ledger_Recon W1" xfId="2401"/>
    <cellStyle name="_Arrears 2 (Raj)_Detailed BS June08_Copy of Mauritius-USD based ledger_Recon_1" xfId="2402"/>
    <cellStyle name="_Arrears 2 (Raj)_Detailed BS June08_Copy of Mauritius-USD based ledger_Recon_2" xfId="2403"/>
    <cellStyle name="_Arrears 2 (Raj)_Detailed BS June08_Copy of Mauritius-USD based ledger_Recon_3" xfId="2404"/>
    <cellStyle name="_Arrears 2 (Raj)_Detailed BS June08_Copy of Mauritius-USD based ledger_Reconciliation" xfId="2405"/>
    <cellStyle name="_Arrears 2 (Raj)_Detailed BS June08_Copy of Mauritius-USD based ledger_Reconciliation_1" xfId="2406"/>
    <cellStyle name="_Arrears 2 (Raj)_Detailed BS June08_Copy of Mauritius-USD based ledger_Reconciliation_2" xfId="2407"/>
    <cellStyle name="_Arrears 2 (Raj)_Detailed BS June08_Copy of Mauritius-USD based ledger_Reconciliation_3" xfId="2408"/>
    <cellStyle name="_Arrears 2 (Raj)_Detailed BS June08_Ops risk Mauritius - Sep 09 split stephanie after adjusment conversion" xfId="2409"/>
    <cellStyle name="_Arrears 2 (Raj)_Detailed BS June08_Ops risk Mauritius - Sep 09 split stephanie after adjusment conversion_IBM_Grouped(2)" xfId="2410"/>
    <cellStyle name="_Arrears 2 (Raj)_Detailed BS June08_Ops risk Mauritius - Sep 09 split stephanie after adjusment conversion_IBM_Grouped(2)_Recon" xfId="2411"/>
    <cellStyle name="_Arrears 2 (Raj)_Detailed BS June08_Ops risk Mauritius - Sep 09 split stephanie after adjusment conversion_IBM_Grouped(2)_Recon to Segmental Report" xfId="2412"/>
    <cellStyle name="_Arrears 2 (Raj)_Detailed BS June08_Ops risk Mauritius - Sep 09 split stephanie after adjusment conversion_IBM_Grouped(2)_Recon_1" xfId="2413"/>
    <cellStyle name="_Arrears 2 (Raj)_Detailed BS June08_Ops risk Mauritius - Sep 09 split stephanie after adjusment conversion_IBM_Grouped(2)_Recon_2" xfId="2414"/>
    <cellStyle name="_Arrears 2 (Raj)_Detailed BS June08_Ops risk Mauritius - Sep 09 split stephanie after adjusment conversion_IBM_Grouped(2)_Recon_3" xfId="2415"/>
    <cellStyle name="_Arrears 2 (Raj)_Detailed BS June08_Ops risk Mauritius - Sep 09 split stephanie after adjusment conversion_IBM_Grouped(2)_Recon_4" xfId="2416"/>
    <cellStyle name="_Arrears 2 (Raj)_Detailed BS June08_Ops risk Mauritius - Sep 09 split stephanie after adjusment conversion_IBM_Grouped(2)_Reconciliation" xfId="2417"/>
    <cellStyle name="_Arrears 2 (Raj)_Detailed BS June08_Ops risk Mauritius - Sep 09 split stephanie after adjusment conversion_IBM_Grouped(2)_Reconciliation_1" xfId="2418"/>
    <cellStyle name="_Arrears 2 (Raj)_Detailed BS June08_Ops risk Mauritius - Sep 09 split stephanie after adjusment conversion_IBM_Grouped(2)_Reconciliation_2" xfId="2419"/>
    <cellStyle name="_Arrears 2 (Raj)_Detailed BS June08_Ops risk Mauritius - Sep 09 split stephanie after adjusment conversion_IBM_Grouped(2)_Reconciliation_3" xfId="2420"/>
    <cellStyle name="_Arrears 2 (Raj)_Detailed BS June08_Ops risk Mauritius - Sep 09 split stephanie after adjusment conversion_Recon" xfId="2421"/>
    <cellStyle name="_Arrears 2 (Raj)_Detailed BS June08_Ops risk Mauritius - Sep 09 split stephanie after adjusment conversion_Recon W1" xfId="2422"/>
    <cellStyle name="_Arrears 2 (Raj)_Detailed BS June08_Ops risk Mauritius - Sep 09 split stephanie after adjusment conversion_Recon_1" xfId="2423"/>
    <cellStyle name="_Arrears 2 (Raj)_Detailed BS June08_Ops risk Mauritius - Sep 09 split stephanie after adjusment conversion_Recon_2" xfId="2424"/>
    <cellStyle name="_Arrears 2 (Raj)_Detailed BS June08_Ops risk Mauritius - Sep 09 split stephanie after adjusment conversion_Recon_3" xfId="2425"/>
    <cellStyle name="_Arrears 2 (Raj)_Detailed BS June08_Ops risk Mauritius - Sep 09 split stephanie after adjusment conversion_Reconciliation" xfId="2426"/>
    <cellStyle name="_Arrears 2 (Raj)_Detailed BS June08_Ops risk Mauritius - Sep 09 split stephanie after adjusment conversion_Reconciliation_1" xfId="2427"/>
    <cellStyle name="_Arrears 2 (Raj)_Detailed BS June08_Ops risk Mauritius - Sep 09 split stephanie after adjusment conversion_Reconciliation_2" xfId="2428"/>
    <cellStyle name="_Arrears 2 (Raj)_Detailed BS June08_Ops risk Mauritius - Sep 09 split stephanie after adjusment conversion_Reconciliation_3" xfId="2429"/>
    <cellStyle name="_Arrears 2 (Raj)_Detailed BS June08_Recon" xfId="2430"/>
    <cellStyle name="_Arrears 2 (Raj)_Detailed BS June08_Recon W1" xfId="2431"/>
    <cellStyle name="_Arrears 2 (Raj)_Detailed BS June08_Recon_1" xfId="2432"/>
    <cellStyle name="_Arrears 2 (Raj)_Detailed BS June08_Recon_2" xfId="2433"/>
    <cellStyle name="_Arrears 2 (Raj)_Detailed BS June08_Recon_3" xfId="2434"/>
    <cellStyle name="_Arrears 2 (Raj)_Detailed BS June08_Reconciliation" xfId="2435"/>
    <cellStyle name="_Arrears 2 (Raj)_Detailed BS June08_Reconciliation_1" xfId="2436"/>
    <cellStyle name="_Arrears 2 (Raj)_Detailed BS June08_Reconciliation_2" xfId="2437"/>
    <cellStyle name="_Arrears 2 (Raj)_Detailed BS June08_Reconciliation_3" xfId="2438"/>
    <cellStyle name="_Arrears 2 (Raj)_Detailed BS June08_RELATED PARTY-2010 05 31" xfId="2439"/>
    <cellStyle name="_Arrears 2 (Raj)_Detailed BS June08_RELATED PARTY-2010 05 31_(19) Loan Feb-11(Feb-11 figures)" xfId="2440"/>
    <cellStyle name="_Arrears 2 (Raj)_Detailed BS June08_Sheet1" xfId="2441"/>
    <cellStyle name="_Arrears 2 (Raj)_Detailed BS March 08(1)" xfId="2442"/>
    <cellStyle name="_Arrears 2 (Raj)_Detailed BS March 08(1)_10_IBM_PLSF_Circularisation status" xfId="2443"/>
    <cellStyle name="_Arrears 2 (Raj)_Detailed BS March 08(1)_10_IBM_Preliminary PM " xfId="2444"/>
    <cellStyle name="_Arrears 2 (Raj)_Detailed BS March 08(1)_10_IBM_Sig Acc and SFOT determination " xfId="2445"/>
    <cellStyle name="_Arrears 2 (Raj)_Detailed BS March 08(1)_31.12.09 Mauritius-USD based ledger - Final1" xfId="2446"/>
    <cellStyle name="_Arrears 2 (Raj)_Detailed BS March 08(1)_Book4" xfId="2447"/>
    <cellStyle name="_Arrears 2 (Raj)_Detailed BS March 08(1)_Book4_IBM_Grouped(2)" xfId="2448"/>
    <cellStyle name="_Arrears 2 (Raj)_Detailed BS March 08(1)_Book4_IBM_Grouped(2)_Recon" xfId="2449"/>
    <cellStyle name="_Arrears 2 (Raj)_Detailed BS March 08(1)_Book4_IBM_Grouped(2)_Recon to Segmental Report" xfId="2450"/>
    <cellStyle name="_Arrears 2 (Raj)_Detailed BS March 08(1)_Book4_IBM_Grouped(2)_Recon_1" xfId="2451"/>
    <cellStyle name="_Arrears 2 (Raj)_Detailed BS March 08(1)_Book4_IBM_Grouped(2)_Recon_2" xfId="2452"/>
    <cellStyle name="_Arrears 2 (Raj)_Detailed BS March 08(1)_Book4_IBM_Grouped(2)_Recon_3" xfId="2453"/>
    <cellStyle name="_Arrears 2 (Raj)_Detailed BS March 08(1)_Book4_IBM_Grouped(2)_Recon_4" xfId="2454"/>
    <cellStyle name="_Arrears 2 (Raj)_Detailed BS March 08(1)_Book4_IBM_Grouped(2)_Reconciliation" xfId="2455"/>
    <cellStyle name="_Arrears 2 (Raj)_Detailed BS March 08(1)_Book4_IBM_Grouped(2)_Reconciliation_1" xfId="2456"/>
    <cellStyle name="_Arrears 2 (Raj)_Detailed BS March 08(1)_Book4_IBM_Grouped(2)_Reconciliation_2" xfId="2457"/>
    <cellStyle name="_Arrears 2 (Raj)_Detailed BS March 08(1)_Book4_IBM_Grouped(2)_Reconciliation_3" xfId="2458"/>
    <cellStyle name="_Arrears 2 (Raj)_Detailed BS March 08(1)_Book4_Recon" xfId="2459"/>
    <cellStyle name="_Arrears 2 (Raj)_Detailed BS March 08(1)_Book4_Recon W1" xfId="2460"/>
    <cellStyle name="_Arrears 2 (Raj)_Detailed BS March 08(1)_Book4_Recon_1" xfId="2461"/>
    <cellStyle name="_Arrears 2 (Raj)_Detailed BS March 08(1)_Book4_Recon_2" xfId="2462"/>
    <cellStyle name="_Arrears 2 (Raj)_Detailed BS March 08(1)_Book4_Recon_3" xfId="2463"/>
    <cellStyle name="_Arrears 2 (Raj)_Detailed BS March 08(1)_Book4_Reconciliation" xfId="2464"/>
    <cellStyle name="_Arrears 2 (Raj)_Detailed BS March 08(1)_Book4_Reconciliation_1" xfId="2465"/>
    <cellStyle name="_Arrears 2 (Raj)_Detailed BS March 08(1)_Book4_Reconciliation_2" xfId="2466"/>
    <cellStyle name="_Arrears 2 (Raj)_Detailed BS March 08(1)_Book4_Reconciliation_3" xfId="2467"/>
    <cellStyle name="_Arrears 2 (Raj)_Detailed BS March 08(1)_Book5" xfId="2468"/>
    <cellStyle name="_Arrears 2 (Raj)_Detailed BS March 08(1)_Book5_(19) Loan Feb-11(Feb-11 figures)" xfId="2469"/>
    <cellStyle name="_Arrears 2 (Raj)_Detailed BS March 08(1)_capital adequacy September 2009" xfId="2470"/>
    <cellStyle name="_Arrears 2 (Raj)_Detailed BS March 08(1)_capital adequacy September 2009_IBM_Grouped(2)" xfId="2471"/>
    <cellStyle name="_Arrears 2 (Raj)_Detailed BS March 08(1)_capital adequacy September 2009_IBM_Grouped(2)_Recon" xfId="2472"/>
    <cellStyle name="_Arrears 2 (Raj)_Detailed BS March 08(1)_capital adequacy September 2009_IBM_Grouped(2)_Recon to Segmental Report" xfId="2473"/>
    <cellStyle name="_Arrears 2 (Raj)_Detailed BS March 08(1)_capital adequacy September 2009_IBM_Grouped(2)_Recon_1" xfId="2474"/>
    <cellStyle name="_Arrears 2 (Raj)_Detailed BS March 08(1)_capital adequacy September 2009_IBM_Grouped(2)_Recon_2" xfId="2475"/>
    <cellStyle name="_Arrears 2 (Raj)_Detailed BS March 08(1)_capital adequacy September 2009_IBM_Grouped(2)_Recon_3" xfId="2476"/>
    <cellStyle name="_Arrears 2 (Raj)_Detailed BS March 08(1)_capital adequacy September 2009_IBM_Grouped(2)_Recon_4" xfId="2477"/>
    <cellStyle name="_Arrears 2 (Raj)_Detailed BS March 08(1)_capital adequacy September 2009_IBM_Grouped(2)_Reconciliation" xfId="2478"/>
    <cellStyle name="_Arrears 2 (Raj)_Detailed BS March 08(1)_capital adequacy September 2009_IBM_Grouped(2)_Reconciliation_1" xfId="2479"/>
    <cellStyle name="_Arrears 2 (Raj)_Detailed BS March 08(1)_capital adequacy September 2009_IBM_Grouped(2)_Reconciliation_2" xfId="2480"/>
    <cellStyle name="_Arrears 2 (Raj)_Detailed BS March 08(1)_capital adequacy September 2009_IBM_Grouped(2)_Reconciliation_3" xfId="2481"/>
    <cellStyle name="_Arrears 2 (Raj)_Detailed BS March 08(1)_capital adequacy September 2009_Recon" xfId="2482"/>
    <cellStyle name="_Arrears 2 (Raj)_Detailed BS March 08(1)_capital adequacy September 2009_Recon W1" xfId="2483"/>
    <cellStyle name="_Arrears 2 (Raj)_Detailed BS March 08(1)_capital adequacy September 2009_Recon_1" xfId="2484"/>
    <cellStyle name="_Arrears 2 (Raj)_Detailed BS March 08(1)_capital adequacy September 2009_Recon_2" xfId="2485"/>
    <cellStyle name="_Arrears 2 (Raj)_Detailed BS March 08(1)_capital adequacy September 2009_Recon_3" xfId="2486"/>
    <cellStyle name="_Arrears 2 (Raj)_Detailed BS March 08(1)_capital adequacy September 2009_Reconciliation" xfId="2487"/>
    <cellStyle name="_Arrears 2 (Raj)_Detailed BS March 08(1)_capital adequacy September 2009_Reconciliation_1" xfId="2488"/>
    <cellStyle name="_Arrears 2 (Raj)_Detailed BS March 08(1)_capital adequacy September 2009_Reconciliation_2" xfId="2489"/>
    <cellStyle name="_Arrears 2 (Raj)_Detailed BS March 08(1)_capital adequacy September 2009_Reconciliation_3" xfId="2490"/>
    <cellStyle name="_Arrears 2 (Raj)_Detailed BS March 08(1)_Circularisation Status Specialised Finance Division 17 Mar 10" xfId="2491"/>
    <cellStyle name="_Arrears 2 (Raj)_Detailed BS March 08(1)_Copy of Mauritius-USD based ledger" xfId="2492"/>
    <cellStyle name="_Arrears 2 (Raj)_Detailed BS March 08(1)_Copy of Mauritius-USD based ledger_Recon" xfId="2493"/>
    <cellStyle name="_Arrears 2 (Raj)_Detailed BS March 08(1)_Copy of Mauritius-USD based ledger_Recon W1" xfId="2494"/>
    <cellStyle name="_Arrears 2 (Raj)_Detailed BS March 08(1)_Copy of Mauritius-USD based ledger_Recon_1" xfId="2495"/>
    <cellStyle name="_Arrears 2 (Raj)_Detailed BS March 08(1)_Copy of Mauritius-USD based ledger_Recon_2" xfId="2496"/>
    <cellStyle name="_Arrears 2 (Raj)_Detailed BS March 08(1)_Copy of Mauritius-USD based ledger_Recon_3" xfId="2497"/>
    <cellStyle name="_Arrears 2 (Raj)_Detailed BS March 08(1)_Copy of Mauritius-USD based ledger_Reconciliation" xfId="2498"/>
    <cellStyle name="_Arrears 2 (Raj)_Detailed BS March 08(1)_Copy of Mauritius-USD based ledger_Reconciliation_1" xfId="2499"/>
    <cellStyle name="_Arrears 2 (Raj)_Detailed BS March 08(1)_Copy of Mauritius-USD based ledger_Reconciliation_2" xfId="2500"/>
    <cellStyle name="_Arrears 2 (Raj)_Detailed BS March 08(1)_Copy of Mauritius-USD based ledger_Reconciliation_3" xfId="2501"/>
    <cellStyle name="_Arrears 2 (Raj)_Detailed BS March 08(1)_Limits" xfId="2502"/>
    <cellStyle name="_Arrears 2 (Raj)_Detailed BS March 08(1)_Limits_IBM_Grouped(2)" xfId="2503"/>
    <cellStyle name="_Arrears 2 (Raj)_Detailed BS March 08(1)_Limits_IBM_Grouped(2)_Recon" xfId="2504"/>
    <cellStyle name="_Arrears 2 (Raj)_Detailed BS March 08(1)_Limits_IBM_Grouped(2)_Recon to Segmental Report" xfId="2505"/>
    <cellStyle name="_Arrears 2 (Raj)_Detailed BS March 08(1)_Limits_IBM_Grouped(2)_Recon_1" xfId="2506"/>
    <cellStyle name="_Arrears 2 (Raj)_Detailed BS March 08(1)_Limits_IBM_Grouped(2)_Recon_2" xfId="2507"/>
    <cellStyle name="_Arrears 2 (Raj)_Detailed BS March 08(1)_Limits_IBM_Grouped(2)_Recon_3" xfId="2508"/>
    <cellStyle name="_Arrears 2 (Raj)_Detailed BS March 08(1)_Limits_IBM_Grouped(2)_Recon_4" xfId="2509"/>
    <cellStyle name="_Arrears 2 (Raj)_Detailed BS March 08(1)_Limits_IBM_Grouped(2)_Reconciliation" xfId="2510"/>
    <cellStyle name="_Arrears 2 (Raj)_Detailed BS March 08(1)_Limits_IBM_Grouped(2)_Reconciliation_1" xfId="2511"/>
    <cellStyle name="_Arrears 2 (Raj)_Detailed BS March 08(1)_Limits_IBM_Grouped(2)_Reconciliation_2" xfId="2512"/>
    <cellStyle name="_Arrears 2 (Raj)_Detailed BS March 08(1)_Limits_IBM_Grouped(2)_Reconciliation_3" xfId="2513"/>
    <cellStyle name="_Arrears 2 (Raj)_Detailed BS March 08(1)_Limits_Recon" xfId="2514"/>
    <cellStyle name="_Arrears 2 (Raj)_Detailed BS March 08(1)_Limits_Recon W1" xfId="2515"/>
    <cellStyle name="_Arrears 2 (Raj)_Detailed BS March 08(1)_Limits_Recon_1" xfId="2516"/>
    <cellStyle name="_Arrears 2 (Raj)_Detailed BS March 08(1)_Limits_Recon_2" xfId="2517"/>
    <cellStyle name="_Arrears 2 (Raj)_Detailed BS March 08(1)_Limits_Recon_3" xfId="2518"/>
    <cellStyle name="_Arrears 2 (Raj)_Detailed BS March 08(1)_Limits_Reconciliation" xfId="2519"/>
    <cellStyle name="_Arrears 2 (Raj)_Detailed BS March 08(1)_Limits_Reconciliation_1" xfId="2520"/>
    <cellStyle name="_Arrears 2 (Raj)_Detailed BS March 08(1)_Limits_Reconciliation_2" xfId="2521"/>
    <cellStyle name="_Arrears 2 (Raj)_Detailed BS March 08(1)_Limits_Reconciliation_3" xfId="2522"/>
    <cellStyle name="_Arrears 2 (Raj)_Detailed BS March 08(1)_Ops risk Mauritius - Sep 09 split stephanie after adjusment conversion" xfId="2523"/>
    <cellStyle name="_Arrears 2 (Raj)_Detailed BS March 08(1)_Ops risk Mauritius - Sep 09 split stephanie after adjusment conversion_IBM_Grouped(2)" xfId="2524"/>
    <cellStyle name="_Arrears 2 (Raj)_Detailed BS March 08(1)_Ops risk Mauritius - Sep 09 split stephanie after adjusment conversion_IBM_Grouped(2)_Recon" xfId="2525"/>
    <cellStyle name="_Arrears 2 (Raj)_Detailed BS March 08(1)_Ops risk Mauritius - Sep 09 split stephanie after adjusment conversion_IBM_Grouped(2)_Recon to Segmental Report" xfId="2526"/>
    <cellStyle name="_Arrears 2 (Raj)_Detailed BS March 08(1)_Ops risk Mauritius - Sep 09 split stephanie after adjusment conversion_IBM_Grouped(2)_Recon_1" xfId="2527"/>
    <cellStyle name="_Arrears 2 (Raj)_Detailed BS March 08(1)_Ops risk Mauritius - Sep 09 split stephanie after adjusment conversion_IBM_Grouped(2)_Recon_2" xfId="2528"/>
    <cellStyle name="_Arrears 2 (Raj)_Detailed BS March 08(1)_Ops risk Mauritius - Sep 09 split stephanie after adjusment conversion_IBM_Grouped(2)_Recon_3" xfId="2529"/>
    <cellStyle name="_Arrears 2 (Raj)_Detailed BS March 08(1)_Ops risk Mauritius - Sep 09 split stephanie after adjusment conversion_IBM_Grouped(2)_Recon_4" xfId="2530"/>
    <cellStyle name="_Arrears 2 (Raj)_Detailed BS March 08(1)_Ops risk Mauritius - Sep 09 split stephanie after adjusment conversion_IBM_Grouped(2)_Reconciliation" xfId="2531"/>
    <cellStyle name="_Arrears 2 (Raj)_Detailed BS March 08(1)_Ops risk Mauritius - Sep 09 split stephanie after adjusment conversion_IBM_Grouped(2)_Reconciliation_1" xfId="2532"/>
    <cellStyle name="_Arrears 2 (Raj)_Detailed BS March 08(1)_Ops risk Mauritius - Sep 09 split stephanie after adjusment conversion_IBM_Grouped(2)_Reconciliation_2" xfId="2533"/>
    <cellStyle name="_Arrears 2 (Raj)_Detailed BS March 08(1)_Ops risk Mauritius - Sep 09 split stephanie after adjusment conversion_IBM_Grouped(2)_Reconciliation_3" xfId="2534"/>
    <cellStyle name="_Arrears 2 (Raj)_Detailed BS March 08(1)_Ops risk Mauritius - Sep 09 split stephanie after adjusment conversion_Recon" xfId="2535"/>
    <cellStyle name="_Arrears 2 (Raj)_Detailed BS March 08(1)_Ops risk Mauritius - Sep 09 split stephanie after adjusment conversion_Recon W1" xfId="2536"/>
    <cellStyle name="_Arrears 2 (Raj)_Detailed BS March 08(1)_Ops risk Mauritius - Sep 09 split stephanie after adjusment conversion_Recon_1" xfId="2537"/>
    <cellStyle name="_Arrears 2 (Raj)_Detailed BS March 08(1)_Ops risk Mauritius - Sep 09 split stephanie after adjusment conversion_Recon_2" xfId="2538"/>
    <cellStyle name="_Arrears 2 (Raj)_Detailed BS March 08(1)_Ops risk Mauritius - Sep 09 split stephanie after adjusment conversion_Recon_3" xfId="2539"/>
    <cellStyle name="_Arrears 2 (Raj)_Detailed BS March 08(1)_Ops risk Mauritius - Sep 09 split stephanie after adjusment conversion_Reconciliation" xfId="2540"/>
    <cellStyle name="_Arrears 2 (Raj)_Detailed BS March 08(1)_Ops risk Mauritius - Sep 09 split stephanie after adjusment conversion_Reconciliation_1" xfId="2541"/>
    <cellStyle name="_Arrears 2 (Raj)_Detailed BS March 08(1)_Ops risk Mauritius - Sep 09 split stephanie after adjusment conversion_Reconciliation_2" xfId="2542"/>
    <cellStyle name="_Arrears 2 (Raj)_Detailed BS March 08(1)_Ops risk Mauritius - Sep 09 split stephanie after adjusment conversion_Reconciliation_3" xfId="2543"/>
    <cellStyle name="_Arrears 2 (Raj)_Detailed BS March 08(1)_Recon" xfId="2544"/>
    <cellStyle name="_Arrears 2 (Raj)_Detailed BS March 08(1)_Recon W1" xfId="2545"/>
    <cellStyle name="_Arrears 2 (Raj)_Detailed BS March 08(1)_Recon_1" xfId="2546"/>
    <cellStyle name="_Arrears 2 (Raj)_Detailed BS March 08(1)_Recon_2" xfId="2547"/>
    <cellStyle name="_Arrears 2 (Raj)_Detailed BS March 08(1)_Recon_3" xfId="2548"/>
    <cellStyle name="_Arrears 2 (Raj)_Detailed BS March 08(1)_Reconciliation" xfId="2549"/>
    <cellStyle name="_Arrears 2 (Raj)_Detailed BS March 08(1)_Reconciliation_1" xfId="2550"/>
    <cellStyle name="_Arrears 2 (Raj)_Detailed BS March 08(1)_Reconciliation_2" xfId="2551"/>
    <cellStyle name="_Arrears 2 (Raj)_Detailed BS March 08(1)_Reconciliation_3" xfId="2552"/>
    <cellStyle name="_Arrears 2 (Raj)_Detailed BS March 08(1)_RELATED PARTY-2010 05 31" xfId="2553"/>
    <cellStyle name="_Arrears 2 (Raj)_Detailed BS March 08(1)_RELATED PARTY-2010 05 31_(19) Loan Feb-11(Feb-11 figures)" xfId="2554"/>
    <cellStyle name="_Arrears 2 (Raj)_Detailed BS March 08(1)_Sheet1" xfId="2555"/>
    <cellStyle name="_Arrears 2 (Raj)_Detailed BS March 09" xfId="2556"/>
    <cellStyle name="_Arrears 2 (Raj)_Detailed BS March 09_IBM_Grouped(2)" xfId="2557"/>
    <cellStyle name="_Arrears 2 (Raj)_Detailed BS March 09_IBM_Grouped(2)_Recon" xfId="2558"/>
    <cellStyle name="_Arrears 2 (Raj)_Detailed BS March 09_IBM_Grouped(2)_Recon to Segmental Report" xfId="2559"/>
    <cellStyle name="_Arrears 2 (Raj)_Detailed BS March 09_IBM_Grouped(2)_Recon_1" xfId="2560"/>
    <cellStyle name="_Arrears 2 (Raj)_Detailed BS March 09_IBM_Grouped(2)_Recon_2" xfId="2561"/>
    <cellStyle name="_Arrears 2 (Raj)_Detailed BS March 09_IBM_Grouped(2)_Recon_3" xfId="2562"/>
    <cellStyle name="_Arrears 2 (Raj)_Detailed BS March 09_IBM_Grouped(2)_Recon_4" xfId="2563"/>
    <cellStyle name="_Arrears 2 (Raj)_Detailed BS March 09_IBM_Grouped(2)_Reconciliation" xfId="2564"/>
    <cellStyle name="_Arrears 2 (Raj)_Detailed BS March 09_IBM_Grouped(2)_Reconciliation_1" xfId="2565"/>
    <cellStyle name="_Arrears 2 (Raj)_Detailed BS March 09_IBM_Grouped(2)_Reconciliation_2" xfId="2566"/>
    <cellStyle name="_Arrears 2 (Raj)_Detailed BS March 09_IBM_Grouped(2)_Reconciliation_3" xfId="2567"/>
    <cellStyle name="_Arrears 2 (Raj)_Detailed BS March 09_Recon" xfId="2568"/>
    <cellStyle name="_Arrears 2 (Raj)_Detailed BS March 09_Recon W1" xfId="2569"/>
    <cellStyle name="_Arrears 2 (Raj)_Detailed BS March 09_Recon_1" xfId="2570"/>
    <cellStyle name="_Arrears 2 (Raj)_Detailed BS March 09_Recon_2" xfId="2571"/>
    <cellStyle name="_Arrears 2 (Raj)_Detailed BS March 09_Recon_3" xfId="2572"/>
    <cellStyle name="_Arrears 2 (Raj)_Detailed BS March 09_Reconciliation" xfId="2573"/>
    <cellStyle name="_Arrears 2 (Raj)_Detailed BS March 09_Reconciliation_1" xfId="2574"/>
    <cellStyle name="_Arrears 2 (Raj)_Detailed BS March 09_Reconciliation_2" xfId="2575"/>
    <cellStyle name="_Arrears 2 (Raj)_Detailed BS March 09_Reconciliation_3" xfId="2576"/>
    <cellStyle name="_Arrears 2 (Raj)_Essbase 30-Jun-08" xfId="2577"/>
    <cellStyle name="_Arrears 2 (Raj)_Essbase 30-Jun-08_10_IBM_PLSF_Circularisation status" xfId="2578"/>
    <cellStyle name="_Arrears 2 (Raj)_Essbase 30-Jun-08_10_IBM_Preliminary PM " xfId="2579"/>
    <cellStyle name="_Arrears 2 (Raj)_Essbase 30-Jun-08_10_IBM_Sig Acc and SFOT determination " xfId="2580"/>
    <cellStyle name="_Arrears 2 (Raj)_Essbase 30-Jun-08_Recon" xfId="2581"/>
    <cellStyle name="_Arrears 2 (Raj)_Essbase 30-Jun-08_Recon W1" xfId="2582"/>
    <cellStyle name="_Arrears 2 (Raj)_Essbase 30-Jun-08_Recon_1" xfId="2583"/>
    <cellStyle name="_Arrears 2 (Raj)_Essbase 30-Jun-08_Recon_2" xfId="2584"/>
    <cellStyle name="_Arrears 2 (Raj)_Essbase 30-Jun-08_Recon_3" xfId="2585"/>
    <cellStyle name="_Arrears 2 (Raj)_Essbase 30-Jun-08_Reconciliation" xfId="2586"/>
    <cellStyle name="_Arrears 2 (Raj)_Essbase 30-Jun-08_Reconciliation_1" xfId="2587"/>
    <cellStyle name="_Arrears 2 (Raj)_Essbase 30-Jun-08_Reconciliation_2" xfId="2588"/>
    <cellStyle name="_Arrears 2 (Raj)_Essbase 30-Jun-08_Reconciliation_3" xfId="2589"/>
    <cellStyle name="_Arrears 2 (Raj)_Essbase 30-Jun-08_Sheet1" xfId="2590"/>
    <cellStyle name="_Arrears 2 (Raj)_Essbase 30-Nov-08" xfId="2591"/>
    <cellStyle name="_Arrears 2 (Raj)_Essbase 30-Nov-08_Circularisation Status Specialised Finance Division 17 Mar 10" xfId="2592"/>
    <cellStyle name="_Arrears 2 (Raj)_Essbase 30-Nov-08_Sheet1" xfId="2593"/>
    <cellStyle name="_Arrears 2 (Raj)_Essbase 31.03.09" xfId="2594"/>
    <cellStyle name="_Arrears 2 (Raj)_Essbase 31-Jan-09" xfId="2595"/>
    <cellStyle name="_Arrears 2 (Raj)_Essbase 31-Jan-09_09_IBM_Preliminary PM (Interim) 31.03.010" xfId="2596"/>
    <cellStyle name="_Arrears 2 (Raj)_Essbase 31-Jan-09_10_IBM_Bank Recon" xfId="2597"/>
    <cellStyle name="_Arrears 2 (Raj)_Essbase 31-Jan-09_10_IBM_J8_Cash Cut Off" xfId="2598"/>
    <cellStyle name="_Arrears 2 (Raj)_Essbase 31-Jan-09_10_IBM_PLSF_Circularisation status" xfId="2599"/>
    <cellStyle name="_Arrears 2 (Raj)_Essbase 31-Jan-09_10_IBM_Preliminary PM " xfId="2600"/>
    <cellStyle name="_Arrears 2 (Raj)_Essbase 31-Jan-09_10_IBM_Sig Acc and SFOT determination " xfId="2601"/>
    <cellStyle name="_Arrears 2 (Raj)_Essbase 31-Jan-09_Recon" xfId="2602"/>
    <cellStyle name="_Arrears 2 (Raj)_Essbase 31-Jan-09_Recon W1" xfId="2603"/>
    <cellStyle name="_Arrears 2 (Raj)_Essbase 31-Jan-09_Recon_1" xfId="2604"/>
    <cellStyle name="_Arrears 2 (Raj)_Essbase 31-Jan-09_Recon_2" xfId="2605"/>
    <cellStyle name="_Arrears 2 (Raj)_Essbase 31-Jan-09_Recon_3" xfId="2606"/>
    <cellStyle name="_Arrears 2 (Raj)_Essbase 31-Jan-09_Reconciliation" xfId="2607"/>
    <cellStyle name="_Arrears 2 (Raj)_Essbase 31-Jan-09_Reconciliation_1" xfId="2608"/>
    <cellStyle name="_Arrears 2 (Raj)_Essbase 31-Jan-09_Reconciliation_2" xfId="2609"/>
    <cellStyle name="_Arrears 2 (Raj)_Essbase 31-Jan-09_Reconciliation_3" xfId="2610"/>
    <cellStyle name="_Arrears 2 (Raj)_Essbase 31-Jan-09_Sheet1" xfId="2611"/>
    <cellStyle name="_Arrears 2 (Raj)_Essbase 31-Mar-09" xfId="2612"/>
    <cellStyle name="_Arrears 2 (Raj)_Essbase 31-Mar-09_10_IBM_PLSF_Circularisation status" xfId="2613"/>
    <cellStyle name="_Arrears 2 (Raj)_Essbase 31-Mar-09_Recon" xfId="2614"/>
    <cellStyle name="_Arrears 2 (Raj)_Essbase 31-Mar-09_Recon W1" xfId="2615"/>
    <cellStyle name="_Arrears 2 (Raj)_Essbase 31-Mar-09_Recon_1" xfId="2616"/>
    <cellStyle name="_Arrears 2 (Raj)_Essbase 31-Mar-09_Recon_2" xfId="2617"/>
    <cellStyle name="_Arrears 2 (Raj)_Essbase 31-Mar-09_Recon_3" xfId="2618"/>
    <cellStyle name="_Arrears 2 (Raj)_Essbase 31-Mar-09_Reconciliation" xfId="2619"/>
    <cellStyle name="_Arrears 2 (Raj)_Essbase 31-Mar-09_Reconciliation_1" xfId="2620"/>
    <cellStyle name="_Arrears 2 (Raj)_Essbase 31-Mar-09_Reconciliation_2" xfId="2621"/>
    <cellStyle name="_Arrears 2 (Raj)_Essbase 31-Mar-09_Reconciliation_3" xfId="2622"/>
    <cellStyle name="_Arrears 2 (Raj)_Essbase 31-Mar-09_Sheet1" xfId="2623"/>
    <cellStyle name="_Arrears 2 (Raj)_Essbase April 2008" xfId="2624"/>
    <cellStyle name="_Arrears 2 (Raj)_Essbase April 2008_10_IBM_PLSF_Circularisation status" xfId="2625"/>
    <cellStyle name="_Arrears 2 (Raj)_Essbase April 2008_10_IBM_Preliminary PM " xfId="2626"/>
    <cellStyle name="_Arrears 2 (Raj)_Essbase April 2008_10_IBM_Sig Acc and SFOT determination " xfId="2627"/>
    <cellStyle name="_Arrears 2 (Raj)_Essbase April 2008_Recon" xfId="2628"/>
    <cellStyle name="_Arrears 2 (Raj)_Essbase April 2008_Recon W1" xfId="2629"/>
    <cellStyle name="_Arrears 2 (Raj)_Essbase April 2008_Recon_1" xfId="2630"/>
    <cellStyle name="_Arrears 2 (Raj)_Essbase April 2008_Recon_2" xfId="2631"/>
    <cellStyle name="_Arrears 2 (Raj)_Essbase April 2008_Recon_3" xfId="2632"/>
    <cellStyle name="_Arrears 2 (Raj)_Essbase April 2008_Reconciliation" xfId="2633"/>
    <cellStyle name="_Arrears 2 (Raj)_Essbase April 2008_Reconciliation_1" xfId="2634"/>
    <cellStyle name="_Arrears 2 (Raj)_Essbase April 2008_Reconciliation_2" xfId="2635"/>
    <cellStyle name="_Arrears 2 (Raj)_Essbase April 2008_Reconciliation_3" xfId="2636"/>
    <cellStyle name="_Arrears 2 (Raj)_Essbase April 2008_Sheet1" xfId="2637"/>
    <cellStyle name="_Arrears 2 (Raj)_Essbase March 2008" xfId="2638"/>
    <cellStyle name="_Arrears 2 (Raj)_Essbase March 2008_10_IBM_PLSF_Circularisation status" xfId="2639"/>
    <cellStyle name="_Arrears 2 (Raj)_Essbase March 2008_10_IBM_Preliminary PM " xfId="2640"/>
    <cellStyle name="_Arrears 2 (Raj)_Essbase March 2008_10_IBM_Sig Acc and SFOT determination " xfId="2641"/>
    <cellStyle name="_Arrears 2 (Raj)_Essbase March 2008_Recon" xfId="2642"/>
    <cellStyle name="_Arrears 2 (Raj)_Essbase March 2008_Recon W1" xfId="2643"/>
    <cellStyle name="_Arrears 2 (Raj)_Essbase March 2008_Recon_1" xfId="2644"/>
    <cellStyle name="_Arrears 2 (Raj)_Essbase March 2008_Recon_2" xfId="2645"/>
    <cellStyle name="_Arrears 2 (Raj)_Essbase March 2008_Recon_3" xfId="2646"/>
    <cellStyle name="_Arrears 2 (Raj)_Essbase March 2008_Reconciliation" xfId="2647"/>
    <cellStyle name="_Arrears 2 (Raj)_Essbase March 2008_Reconciliation_1" xfId="2648"/>
    <cellStyle name="_Arrears 2 (Raj)_Essbase March 2008_Reconciliation_2" xfId="2649"/>
    <cellStyle name="_Arrears 2 (Raj)_Essbase March 2008_Reconciliation_3" xfId="2650"/>
    <cellStyle name="_Arrears 2 (Raj)_Essbase March 2008_Sheet1" xfId="2651"/>
    <cellStyle name="_Arrears 2 (Raj)_Essbase May 2008" xfId="2652"/>
    <cellStyle name="_Arrears 2 (Raj)_Essbase May 2008_10_IBM_PLSF_Circularisation status" xfId="2653"/>
    <cellStyle name="_Arrears 2 (Raj)_Essbase May 2008_10_IBM_Preliminary PM " xfId="2654"/>
    <cellStyle name="_Arrears 2 (Raj)_Essbase May 2008_10_IBM_Sig Acc and SFOT determination " xfId="2655"/>
    <cellStyle name="_Arrears 2 (Raj)_Essbase May 2008_Recon" xfId="2656"/>
    <cellStyle name="_Arrears 2 (Raj)_Essbase May 2008_Recon W1" xfId="2657"/>
    <cellStyle name="_Arrears 2 (Raj)_Essbase May 2008_Recon_1" xfId="2658"/>
    <cellStyle name="_Arrears 2 (Raj)_Essbase May 2008_Recon_2" xfId="2659"/>
    <cellStyle name="_Arrears 2 (Raj)_Essbase May 2008_Recon_3" xfId="2660"/>
    <cellStyle name="_Arrears 2 (Raj)_Essbase May 2008_Reconciliation" xfId="2661"/>
    <cellStyle name="_Arrears 2 (Raj)_Essbase May 2008_Reconciliation_1" xfId="2662"/>
    <cellStyle name="_Arrears 2 (Raj)_Essbase May 2008_Reconciliation_2" xfId="2663"/>
    <cellStyle name="_Arrears 2 (Raj)_Essbase May 2008_Reconciliation_3" xfId="2664"/>
    <cellStyle name="_Arrears 2 (Raj)_Essbase May 2008_Sheet1" xfId="2665"/>
    <cellStyle name="_Arrears 2 (Raj)_Essbase YTD Summary 31-Jan-09" xfId="2666"/>
    <cellStyle name="_Arrears 2 (Raj)_Essbase YTD Summary 31-Jan-09_Circularisation Status Specialised Finance Division 17 Mar 10" xfId="2667"/>
    <cellStyle name="_Arrears 2 (Raj)_Essbase YTD Summary 31-Jan-09_Sheet1" xfId="2668"/>
    <cellStyle name="_Arrears 2 (Raj)_Essbase YTD Summary 31-Mar-09" xfId="2669"/>
    <cellStyle name="_Arrears 2 (Raj)_Essbase YTD Summary 31-Mar-09_10_IBM_PLSF_Circularisation status" xfId="2670"/>
    <cellStyle name="_Arrears 2 (Raj)_Essbase YTD Summary 31-Mar-09_10_IBM_Preliminary PM " xfId="2671"/>
    <cellStyle name="_Arrears 2 (Raj)_Essbase YTD Summary 31-Mar-09_10_IBM_Sig Acc and SFOT determination " xfId="2672"/>
    <cellStyle name="_Arrears 2 (Raj)_Essbase YTD Summary 31-Mar-09_Recon" xfId="2673"/>
    <cellStyle name="_Arrears 2 (Raj)_Essbase YTD Summary 31-Mar-09_Recon W1" xfId="2674"/>
    <cellStyle name="_Arrears 2 (Raj)_Essbase YTD Summary 31-Mar-09_Recon_1" xfId="2675"/>
    <cellStyle name="_Arrears 2 (Raj)_Essbase YTD Summary 31-Mar-09_Recon_2" xfId="2676"/>
    <cellStyle name="_Arrears 2 (Raj)_Essbase YTD Summary 31-Mar-09_Recon_3" xfId="2677"/>
    <cellStyle name="_Arrears 2 (Raj)_Essbase YTD Summary 31-Mar-09_Reconciliation" xfId="2678"/>
    <cellStyle name="_Arrears 2 (Raj)_Essbase YTD Summary 31-Mar-09_Reconciliation_1" xfId="2679"/>
    <cellStyle name="_Arrears 2 (Raj)_Essbase YTD Summary 31-Mar-09_Reconciliation_2" xfId="2680"/>
    <cellStyle name="_Arrears 2 (Raj)_Essbase YTD Summary 31-Mar-09_Reconciliation_3" xfId="2681"/>
    <cellStyle name="_Arrears 2 (Raj)_Essbase YTD Summary 31-Mar-09_Sheet1" xfId="2682"/>
    <cellStyle name="_Arrears 2 (Raj)_FINANCIALS 30-JUN-08-New Format-Auditors-Reformated" xfId="2683"/>
    <cellStyle name="_Arrears 2 (Raj)_FINANCIALS 30-JUN-08-New Format-Auditors-Reformated_10_IBM_PLSF_Circularisation status" xfId="2684"/>
    <cellStyle name="_Arrears 2 (Raj)_FINANCIALS 30-JUN-08-New Format-Auditors-Reformated_10_IBM_Preliminary PM " xfId="2685"/>
    <cellStyle name="_Arrears 2 (Raj)_FINANCIALS 30-JUN-08-New Format-Auditors-Reformated_10_IBM_Sig Acc and SFOT determination " xfId="2686"/>
    <cellStyle name="_Arrears 2 (Raj)_FINANCIALS 30-JUN-08-New Format-Auditors-Reformated_Recon" xfId="2687"/>
    <cellStyle name="_Arrears 2 (Raj)_FINANCIALS 30-JUN-08-New Format-Auditors-Reformated_Recon W1" xfId="2688"/>
    <cellStyle name="_Arrears 2 (Raj)_FINANCIALS 30-JUN-08-New Format-Auditors-Reformated_Recon_1" xfId="2689"/>
    <cellStyle name="_Arrears 2 (Raj)_FINANCIALS 30-JUN-08-New Format-Auditors-Reformated_Recon_2" xfId="2690"/>
    <cellStyle name="_Arrears 2 (Raj)_FINANCIALS 30-JUN-08-New Format-Auditors-Reformated_Recon_3" xfId="2691"/>
    <cellStyle name="_Arrears 2 (Raj)_FINANCIALS 30-JUN-08-New Format-Auditors-Reformated_Reconciliation" xfId="2692"/>
    <cellStyle name="_Arrears 2 (Raj)_FINANCIALS 30-JUN-08-New Format-Auditors-Reformated_Reconciliation_1" xfId="2693"/>
    <cellStyle name="_Arrears 2 (Raj)_FINANCIALS 30-JUN-08-New Format-Auditors-Reformated_Reconciliation_2" xfId="2694"/>
    <cellStyle name="_Arrears 2 (Raj)_FINANCIALS 30-JUN-08-New Format-Auditors-Reformated_Reconciliation_3" xfId="2695"/>
    <cellStyle name="_Arrears 2 (Raj)_FINANCIALS 30-JUN-08-New Format-Auditors-Reformated_Sheet1" xfId="2696"/>
    <cellStyle name="_Arrears 2 (Raj)_Fixed Assets Register 11 Feb10" xfId="2697"/>
    <cellStyle name="_Arrears 2 (Raj)_Fixed Assets Register 11 Feb10_(19) Loan Feb-11(Feb-11 figures)" xfId="2698"/>
    <cellStyle name="_Arrears 2 (Raj)_Fixed Assets Register 12 Mar10.xls" xfId="2699"/>
    <cellStyle name="_Arrears 2 (Raj)_Fixed Assets Register 12 Mar10.xls_(19) Loan Feb-11(Feb-11 figures)" xfId="2700"/>
    <cellStyle name="_Arrears 2 (Raj)_FV of Derivatives - 30 06 09" xfId="2701"/>
    <cellStyle name="_Arrears 2 (Raj)_FV of Derivatives - 30 06 09_IBM_Grouped(2)" xfId="2702"/>
    <cellStyle name="_Arrears 2 (Raj)_FV of Derivatives - 30 06 09_IBM_Grouped(2)_Recon" xfId="2703"/>
    <cellStyle name="_Arrears 2 (Raj)_FV of Derivatives - 30 06 09_IBM_Grouped(2)_Recon to Segmental Report" xfId="2704"/>
    <cellStyle name="_Arrears 2 (Raj)_FV of Derivatives - 30 06 09_IBM_Grouped(2)_Recon_1" xfId="2705"/>
    <cellStyle name="_Arrears 2 (Raj)_FV of Derivatives - 30 06 09_IBM_Grouped(2)_Recon_2" xfId="2706"/>
    <cellStyle name="_Arrears 2 (Raj)_FV of Derivatives - 30 06 09_IBM_Grouped(2)_Recon_3" xfId="2707"/>
    <cellStyle name="_Arrears 2 (Raj)_FV of Derivatives - 30 06 09_IBM_Grouped(2)_Recon_4" xfId="2708"/>
    <cellStyle name="_Arrears 2 (Raj)_FV of Derivatives - 30 06 09_IBM_Grouped(2)_Reconciliation" xfId="2709"/>
    <cellStyle name="_Arrears 2 (Raj)_FV of Derivatives - 30 06 09_IBM_Grouped(2)_Reconciliation_1" xfId="2710"/>
    <cellStyle name="_Arrears 2 (Raj)_FV of Derivatives - 30 06 09_IBM_Grouped(2)_Reconciliation_2" xfId="2711"/>
    <cellStyle name="_Arrears 2 (Raj)_FV of Derivatives - 30 06 09_IBM_Grouped(2)_Reconciliation_3" xfId="2712"/>
    <cellStyle name="_Arrears 2 (Raj)_FV of Derivatives - 30 06 09_Recon" xfId="2713"/>
    <cellStyle name="_Arrears 2 (Raj)_FV of Derivatives - 30 06 09_Recon W1" xfId="2714"/>
    <cellStyle name="_Arrears 2 (Raj)_FV of Derivatives - 30 06 09_Recon_1" xfId="2715"/>
    <cellStyle name="_Arrears 2 (Raj)_FV of Derivatives - 30 06 09_Recon_2" xfId="2716"/>
    <cellStyle name="_Arrears 2 (Raj)_FV of Derivatives - 30 06 09_Recon_3" xfId="2717"/>
    <cellStyle name="_Arrears 2 (Raj)_FV of Derivatives - 30 06 09_Reconciliation" xfId="2718"/>
    <cellStyle name="_Arrears 2 (Raj)_FV of Derivatives - 30 06 09_Reconciliation_1" xfId="2719"/>
    <cellStyle name="_Arrears 2 (Raj)_FV of Derivatives - 30 06 09_Reconciliation_2" xfId="2720"/>
    <cellStyle name="_Arrears 2 (Raj)_FV of Derivatives - 30 06 09_Reconciliation_3" xfId="2721"/>
    <cellStyle name="_Arrears 2 (Raj)_IBM Input Sheet 31.03.2010 v0.4" xfId="2722"/>
    <cellStyle name="_Arrears 2 (Raj)_IBM Input Sheet 31.03.2010 v0.4_(19) Loan Feb-11(Feb-11 figures)" xfId="2723"/>
    <cellStyle name="_Arrears 2 (Raj)_IBM_Grouped(2)" xfId="2724"/>
    <cellStyle name="_Arrears 2 (Raj)_IBM_Grouped(2)_Recon" xfId="2725"/>
    <cellStyle name="_Arrears 2 (Raj)_IBM_Grouped(2)_Recon W1" xfId="2726"/>
    <cellStyle name="_Arrears 2 (Raj)_IBM_Grouped(2)_Recon_1" xfId="2727"/>
    <cellStyle name="_Arrears 2 (Raj)_IBM_Grouped(2)_Recon_2" xfId="2728"/>
    <cellStyle name="_Arrears 2 (Raj)_IBM_Grouped(2)_Recon_3" xfId="2729"/>
    <cellStyle name="_Arrears 2 (Raj)_IBM_Grouped(2)_Reconciliation" xfId="2730"/>
    <cellStyle name="_Arrears 2 (Raj)_IBM_Grouped(2)_Reconciliation_1" xfId="2731"/>
    <cellStyle name="_Arrears 2 (Raj)_IBM_Grouped_USD" xfId="2732"/>
    <cellStyle name="_Arrears 2 (Raj)_IBM_Grouped_ZAR" xfId="2733"/>
    <cellStyle name="_Arrears 2 (Raj)_Income statement projection - 31 March 2009" xfId="2734"/>
    <cellStyle name="_Arrears 2 (Raj)_investec additions" xfId="2735"/>
    <cellStyle name="_Arrears 2 (Raj)_investec additions_10_IBM_PLSF_Circularisation status" xfId="2736"/>
    <cellStyle name="_Arrears 2 (Raj)_investec additions_10_IBM_Preliminary PM " xfId="2737"/>
    <cellStyle name="_Arrears 2 (Raj)_investec additions_10_IBM_Sig Acc and SFOT determination " xfId="2738"/>
    <cellStyle name="_Arrears 2 (Raj)_investec additions_Book1 (4)" xfId="2739"/>
    <cellStyle name="_Arrears 2 (Raj)_investec additions_Circularisation Status Specialised Finance Division 17 Mar 10" xfId="2740"/>
    <cellStyle name="_Arrears 2 (Raj)_IS per cc" xfId="2741"/>
    <cellStyle name="_Arrears 2 (Raj)_IS per cc_Circularisation Status Specialised Finance Division 17 Mar 10" xfId="2742"/>
    <cellStyle name="_Arrears 2 (Raj)_IS per cc_Sheet1" xfId="2743"/>
    <cellStyle name="_Arrears 2 (Raj)_Journal entries MTM adjustment - Aug 08" xfId="2744"/>
    <cellStyle name="_Arrears 2 (Raj)_Journal entries MTM adjustment - Aug 08_(29) Jan-10 (AL)" xfId="2745"/>
    <cellStyle name="_Arrears 2 (Raj)_Journal entries MTM adjustment - Aug 08_(30) Feb-10 (AL)" xfId="2746"/>
    <cellStyle name="_Arrears 2 (Raj)_Journal entries MTM adjustment - Aug 08_(30) Mar-10 (AL)" xfId="2747"/>
    <cellStyle name="_Arrears 2 (Raj)_Journal entries MTM adjustment - Aug 08_(31) Apr-10 (AL)" xfId="2748"/>
    <cellStyle name="_Arrears 2 (Raj)_Journal entries MTM adjustment - Aug 08_(31) Mar-10 Deposit" xfId="2749"/>
    <cellStyle name="_Arrears 2 (Raj)_Journal entries MTM adjustment - Aug 08_(32) Apr-10 Deposit" xfId="2750"/>
    <cellStyle name="_Arrears 2 (Raj)_Journal entries MTM adjustment - Aug 08_09_IBM_A5.6.3_Sig Acc and SFOT Determination" xfId="2751"/>
    <cellStyle name="_Arrears 2 (Raj)_Journal entries MTM adjustment - Aug 08_09_IBM_Preliminary PM (Interim) 31.03.010" xfId="2752"/>
    <cellStyle name="_Arrears 2 (Raj)_Journal entries MTM adjustment - Aug 08_10_IBM_Bank Recon" xfId="2753"/>
    <cellStyle name="_Arrears 2 (Raj)_Journal entries MTM adjustment - Aug 08_10_IBM_J8_Cash Cut Off" xfId="2754"/>
    <cellStyle name="_Arrears 2 (Raj)_Journal entries MTM adjustment - Aug 08_10_IBM_Other liabilities" xfId="2755"/>
    <cellStyle name="_Arrears 2 (Raj)_Journal entries MTM adjustment - Aug 08_10_IBM_PLSF_Circularisation status" xfId="2756"/>
    <cellStyle name="_Arrears 2 (Raj)_Journal entries MTM adjustment - Aug 08_10_IBM_Preliminary PM " xfId="2757"/>
    <cellStyle name="_Arrears 2 (Raj)_Journal entries MTM adjustment - Aug 08_10_IBM_Sig Acc and SFOT determination " xfId="2758"/>
    <cellStyle name="_Arrears 2 (Raj)_Journal entries MTM adjustment - Aug 08_31.12.09 Mauritius-USD based ledger - Final1" xfId="2759"/>
    <cellStyle name="_Arrears 2 (Raj)_Journal entries MTM adjustment - Aug 08_Book1" xfId="2760"/>
    <cellStyle name="_Arrears 2 (Raj)_Journal entries MTM adjustment - Aug 08_Book10" xfId="2761"/>
    <cellStyle name="_Arrears 2 (Raj)_Journal entries MTM adjustment - Aug 08_Book13" xfId="2762"/>
    <cellStyle name="_Arrears 2 (Raj)_Journal entries MTM adjustment - Aug 08_Book16" xfId="2763"/>
    <cellStyle name="_Arrears 2 (Raj)_Journal entries MTM adjustment - Aug 08_Book18" xfId="2764"/>
    <cellStyle name="_Arrears 2 (Raj)_Journal entries MTM adjustment - Aug 08_Book19" xfId="2765"/>
    <cellStyle name="_Arrears 2 (Raj)_Journal entries MTM adjustment - Aug 08_Book4" xfId="2766"/>
    <cellStyle name="_Arrears 2 (Raj)_Journal entries MTM adjustment - Aug 08_Book4_(13) Mar-10-Concentration" xfId="2767"/>
    <cellStyle name="_Arrears 2 (Raj)_Journal entries MTM adjustment - Aug 08_Book4_Book17" xfId="2768"/>
    <cellStyle name="_Arrears 2 (Raj)_Journal entries MTM adjustment - Aug 08_Book4_Book18" xfId="2769"/>
    <cellStyle name="_Arrears 2 (Raj)_Journal entries MTM adjustment - Aug 08_Book4_Book19" xfId="2770"/>
    <cellStyle name="_Arrears 2 (Raj)_Journal entries MTM adjustment - Aug 08_Book4_Book5" xfId="2771"/>
    <cellStyle name="_Arrears 2 (Raj)_Journal entries MTM adjustment - Aug 08_Book5" xfId="2772"/>
    <cellStyle name="_Arrears 2 (Raj)_Journal entries MTM adjustment - Aug 08_Book5_(31) Apr-10 (AL)" xfId="2773"/>
    <cellStyle name="_Arrears 2 (Raj)_Journal entries MTM adjustment - Aug 08_Book6" xfId="2774"/>
    <cellStyle name="_Arrears 2 (Raj)_Journal entries MTM adjustment - Aug 08_Book7" xfId="2775"/>
    <cellStyle name="_Arrears 2 (Raj)_Journal entries MTM adjustment - Aug 08_Book7_(11) Sources of Funds Mar-10" xfId="2776"/>
    <cellStyle name="_Arrears 2 (Raj)_Journal entries MTM adjustment - Aug 08_Book7_(30) Mar-10 (AL)" xfId="2777"/>
    <cellStyle name="_Arrears 2 (Raj)_Journal entries MTM adjustment - Aug 08_Book7_(31) Apr-10 (AL)" xfId="2778"/>
    <cellStyle name="_Arrears 2 (Raj)_Journal entries MTM adjustment - Aug 08_Book7_(31) Mar-10 Deposit" xfId="2779"/>
    <cellStyle name="_Arrears 2 (Raj)_Journal entries MTM adjustment - Aug 08_Book7_(32) Apr-10 Deposit" xfId="2780"/>
    <cellStyle name="_Arrears 2 (Raj)_Journal entries MTM adjustment - Aug 08_Book7_1" xfId="2781"/>
    <cellStyle name="_Arrears 2 (Raj)_Journal entries MTM adjustment - Aug 08_Book7_Book17" xfId="2782"/>
    <cellStyle name="_Arrears 2 (Raj)_Journal entries MTM adjustment - Aug 08_Book7_Book18" xfId="2783"/>
    <cellStyle name="_Arrears 2 (Raj)_Journal entries MTM adjustment - Aug 08_Book7_Book19" xfId="2784"/>
    <cellStyle name="_Arrears 2 (Raj)_Journal entries MTM adjustment - Aug 08_Book9" xfId="2785"/>
    <cellStyle name="_Arrears 2 (Raj)_Journal entries MTM adjustment - Aug 08_capital adequacy September 2009" xfId="2786"/>
    <cellStyle name="_Arrears 2 (Raj)_Journal entries MTM adjustment - Aug 08_Circularisation Status Specialised Finance Division 17 Mar 10" xfId="2787"/>
    <cellStyle name="_Arrears 2 (Raj)_Journal entries MTM adjustment - Aug 08_Copy of Mauritius-USD based ledger" xfId="2788"/>
    <cellStyle name="_Arrears 2 (Raj)_Journal entries MTM adjustment - Aug 08_FV of Investment - 28 Feb 2010 (2)" xfId="2789"/>
    <cellStyle name="_Arrears 2 (Raj)_Journal entries MTM adjustment - Aug 08_FV of Investment - 30 April 2010 (2)" xfId="2790"/>
    <cellStyle name="_Arrears 2 (Raj)_Journal entries MTM adjustment - Aug 08_FV of Investment - 30 April 2010 (2)_(19) Loan Feb-11(Feb-11 figures)" xfId="2791"/>
    <cellStyle name="_Arrears 2 (Raj)_Journal entries MTM adjustment - Aug 08_FV of Investment - 31 Jan 2010" xfId="2792"/>
    <cellStyle name="_Arrears 2 (Raj)_Journal entries MTM adjustment - Aug 08_FV of Investment - 31 March 2010" xfId="2793"/>
    <cellStyle name="_Arrears 2 (Raj)_Journal entries MTM adjustment - Aug 08_Ops risk Mauritius - Sep 09 split stephanie after adjusment conversion" xfId="2794"/>
    <cellStyle name="_Arrears 2 (Raj)_Journal entries MTM adjustment - Aug 08_RELATED PARTY-2010 05 31" xfId="2795"/>
    <cellStyle name="_Arrears 2 (Raj)_Journal entries MTM adjustment - Aug 08_RELATED PARTY-2010 05 31_(19) Loan Feb-11(Feb-11 figures)" xfId="2796"/>
    <cellStyle name="_Arrears 2 (Raj)_Liquidity and repricing" xfId="2797"/>
    <cellStyle name="_Arrears 2 (Raj)_MUR position" xfId="2798"/>
    <cellStyle name="_Arrears 2 (Raj)_NOP 2010 01 31 USD BASED" xfId="2799"/>
    <cellStyle name="_Arrears 2 (Raj)_NOP 2010 01 31 USD BASED_Report Finance" xfId="2800"/>
    <cellStyle name="_Arrears 2 (Raj)_NOP 2010 02 28 USD BASED Final" xfId="2801"/>
    <cellStyle name="_Arrears 2 (Raj)_NOP 2010 02 28 USD BASED Final_Report Finance" xfId="2802"/>
    <cellStyle name="_Arrears 2 (Raj)_NOP 2010 03 31 USD BASEDrevised" xfId="2803"/>
    <cellStyle name="_Arrears 2 (Raj)_NOP 2010 03 31 USD BASEDrevised_Report Finance" xfId="2804"/>
    <cellStyle name="_Arrears 2 (Raj)_NOP 2010 04 30" xfId="2805"/>
    <cellStyle name="_Arrears 2 (Raj)_NOP 2010 04 30_Report Finance" xfId="2806"/>
    <cellStyle name="_Arrears 2 (Raj)_Opeartional Risk sept 2009" xfId="2807"/>
    <cellStyle name="_Arrears 2 (Raj)_Ops risk Mauritius - Sep 09 split stephanie after adjusment conversion" xfId="2808"/>
    <cellStyle name="_Arrears 2 (Raj)_ORIGINAL NOP 2009 12 31 USD BASED" xfId="2809"/>
    <cellStyle name="_Arrears 2 (Raj)_ORIGINAL NOP 2009 12 31 USD BASED_Report Finance" xfId="2810"/>
    <cellStyle name="_Arrears 2 (Raj)_Poornimah workings" xfId="2811"/>
    <cellStyle name="_Arrears 2 (Raj)_Poornimah workings_10_IBM_PLSF_Circularisation status" xfId="2812"/>
    <cellStyle name="_Arrears 2 (Raj)_Poornimah workings_10_IBM_Preliminary PM " xfId="2813"/>
    <cellStyle name="_Arrears 2 (Raj)_Poornimah workings_10_IBM_Sig Acc and SFOT determination " xfId="2814"/>
    <cellStyle name="_Arrears 2 (Raj)_Poornimah workings_Book1 (4)" xfId="2815"/>
    <cellStyle name="_Arrears 2 (Raj)_Poornimah workings_Circularisation Status Specialised Finance Division 17 Mar 10" xfId="2816"/>
    <cellStyle name="_Arrears 2 (Raj)_Provisional tax computation - 31-Mar-09 from Deven" xfId="2817"/>
    <cellStyle name="_Arrears 2 (Raj)_Provisional tax computation - 31-Mar-09 from Deven_10_IBM_PLSF_Circularisation status" xfId="2818"/>
    <cellStyle name="_Arrears 2 (Raj)_Provisional tax computation - 31-Mar-09 from Deven_10_IBM_Preliminary PM " xfId="2819"/>
    <cellStyle name="_Arrears 2 (Raj)_Provisional tax computation - 31-Mar-09 from Deven_10_IBM_Sig Acc and SFOT determination " xfId="2820"/>
    <cellStyle name="_Arrears 2 (Raj)_Related Party Dec-08" xfId="2821"/>
    <cellStyle name="_Arrears 2 (Raj)_Report Finance" xfId="2822"/>
    <cellStyle name="_Arrears 2 (Raj)_SARB BOM Comparison 20081231 v3 0" xfId="2823"/>
    <cellStyle name="_Arrears 2 (Raj)_SARB BOM Comparison 20081231 v3 0v from Mahen" xfId="2824"/>
    <cellStyle name="_Arrears 2 (Raj)_SARBResults_1101" xfId="2825"/>
    <cellStyle name="_Arrears 2 (Raj)_SARBResults_1101_10_IBM_PLSF_Circularisation status" xfId="2826"/>
    <cellStyle name="_Arrears 2 (Raj)_SARBResults_1101_10_IBM_Preliminary PM " xfId="2827"/>
    <cellStyle name="_Arrears 2 (Raj)_SARBResults_1101_10_IBM_Sig Acc and SFOT determination " xfId="2828"/>
    <cellStyle name="_Arrears 2 (Raj)_SARBResults_1101_31.12.09 Mauritius-USD based ledger - Final1" xfId="2829"/>
    <cellStyle name="_Arrears 2 (Raj)_SARBResults_1101_Book4" xfId="2830"/>
    <cellStyle name="_Arrears 2 (Raj)_SARBResults_1101_Book5" xfId="2831"/>
    <cellStyle name="_Arrears 2 (Raj)_SARBResults_1101_Book5_(19) Loan Feb-11(Feb-11 figures)" xfId="2832"/>
    <cellStyle name="_Arrears 2 (Raj)_SARBResults_1101_capital adequacy September 2009" xfId="2833"/>
    <cellStyle name="_Arrears 2 (Raj)_SARBResults_1101_Circularisation Status Specialised Finance Division 17 Mar 10" xfId="2834"/>
    <cellStyle name="_Arrears 2 (Raj)_SARBResults_1101_Copy of Mauritius-USD based ledger" xfId="2835"/>
    <cellStyle name="_Arrears 2 (Raj)_SARBResults_1101_Ops risk Mauritius - Sep 09 split stephanie after adjusment conversion" xfId="2836"/>
    <cellStyle name="_Arrears 2 (Raj)_SARBResults_1101_RELATED PARTY-2010 05 31" xfId="2837"/>
    <cellStyle name="_Arrears 2 (Raj)_SARBResults_1101_RELATED PARTY-2010 05 31_(19) Loan Feb-11(Feb-11 figures)" xfId="2838"/>
    <cellStyle name="_Arrears 2 (Raj)_SARBResults_2697 (vanessa board2)" xfId="2839"/>
    <cellStyle name="_Arrears 2 (Raj)_Segment A and Segment B" xfId="2840"/>
    <cellStyle name="_Arrears 2 (Raj)_Segment A and Segment B_10_IBM_PLSF_Circularisation status" xfId="2841"/>
    <cellStyle name="_Arrears 2 (Raj)_Segment A and Segment B_10_IBM_Preliminary PM " xfId="2842"/>
    <cellStyle name="_Arrears 2 (Raj)_Segment A and Segment B_10_IBM_Sig Acc and SFOT determination " xfId="2843"/>
    <cellStyle name="_Arrears 2 (Raj)_Segment A and Segment B_Book1 (4)" xfId="2844"/>
    <cellStyle name="_Arrears 2 (Raj)_Segment A and Segment B_Circularisation Status Specialised Finance Division 17 Mar 10" xfId="2845"/>
    <cellStyle name="_Arrears 2 (Raj)_Sheet1" xfId="2846"/>
    <cellStyle name="_Arrears 2 (Raj)_Sheet1_1" xfId="2847"/>
    <cellStyle name="_Arrears 2 (Raj)_Statutory Annual Report - 31 03 08" xfId="2848"/>
    <cellStyle name="_Arrears 2 (Raj)_Statutory Annual Report - 31 03 08_10_IBM_PLSF_Circularisation status" xfId="2849"/>
    <cellStyle name="_Arrears 2 (Raj)_Statutory Annual Report - 31 03 08_10_IBM_Preliminary PM " xfId="2850"/>
    <cellStyle name="_Arrears 2 (Raj)_Statutory Annual Report - 31 03 08_10_IBM_Sig Acc and SFOT determination " xfId="2851"/>
    <cellStyle name="_Arrears 2 (Raj)_Statutory Annual Report - 31 03 08_31.12.09 Mauritius-USD based ledger - Final1" xfId="2852"/>
    <cellStyle name="_Arrears 2 (Raj)_Statutory Annual Report - 31 03 08_Book4" xfId="2853"/>
    <cellStyle name="_Arrears 2 (Raj)_Statutory Annual Report - 31 03 08_Book5" xfId="2854"/>
    <cellStyle name="_Arrears 2 (Raj)_Statutory Annual Report - 31 03 08_Book5_(19) Loan Feb-11(Feb-11 figures)" xfId="2855"/>
    <cellStyle name="_Arrears 2 (Raj)_Statutory Annual Report - 31 03 08_capital adequacy September 2009" xfId="2856"/>
    <cellStyle name="_Arrears 2 (Raj)_Statutory Annual Report - 31 03 08_Circularisation Status Specialised Finance Division 17 Mar 10" xfId="2857"/>
    <cellStyle name="_Arrears 2 (Raj)_Statutory Annual Report - 31 03 08_Copy of Mauritius-USD based ledger" xfId="2858"/>
    <cellStyle name="_Arrears 2 (Raj)_Statutory Annual Report - 31 03 08_Ops risk Mauritius - Sep 09 split stephanie after adjusment conversion" xfId="2859"/>
    <cellStyle name="_Arrears 2 (Raj)_Statutory Annual Report - 31 03 08_RELATED PARTY-2010 05 31" xfId="2860"/>
    <cellStyle name="_Arrears 2 (Raj)_Statutory Annual Report - 31 03 08_RELATED PARTY-2010 05 31_(19) Loan Feb-11(Feb-11 figures)" xfId="2861"/>
    <cellStyle name="_Arrears 3 - (rAJ)- dd130808" xfId="2862"/>
    <cellStyle name="_Arrears 3 - (rAJ)- dd130808_(26) Oct-09 (AL)" xfId="2863"/>
    <cellStyle name="_Arrears 3 - (rAJ)- dd130808_(27) Nov-09 (AL)" xfId="2864"/>
    <cellStyle name="_Arrears 3 - (rAJ)- dd130808_09_IBM_A5.6.3_Sig Acc and SFOT Determination" xfId="2865"/>
    <cellStyle name="_Arrears 3 - (rAJ)- dd130808_09_IBM_Preliminary PM (Interim) 31.03.010" xfId="2866"/>
    <cellStyle name="_Arrears 3 - (rAJ)- dd130808_10_IBM_Bank Recon" xfId="2867"/>
    <cellStyle name="_Arrears 3 - (rAJ)- dd130808_10_IBM_J8_Cash Cut Off" xfId="2868"/>
    <cellStyle name="_Arrears 3 - (rAJ)- dd130808_10_IBM_Other liabilities" xfId="2869"/>
    <cellStyle name="_Arrears 3 - (rAJ)- dd130808_10_IBM_PLSF_Circularisation status" xfId="2870"/>
    <cellStyle name="_Arrears 3 - (rAJ)- dd130808_10_IBM_Preliminary PM " xfId="2871"/>
    <cellStyle name="_Arrears 3 - (rAJ)- dd130808_10_IBM_Sig Acc and SFOT determination " xfId="2872"/>
    <cellStyle name="_Arrears 3 - (rAJ)- dd130808_31.12.09 Mauritius-USD based ledger - Final1" xfId="2873"/>
    <cellStyle name="_Arrears 3 - (rAJ)- dd130808_Book1 (4)" xfId="2874"/>
    <cellStyle name="_Arrears 3 - (rAJ)- dd130808_Book4" xfId="2875"/>
    <cellStyle name="_Arrears 3 - (rAJ)- dd130808_capital adequacy September 2009" xfId="2876"/>
    <cellStyle name="_Arrears 3 - (rAJ)- dd130808_Circularisation Status Specialised Finance Division 17 Mar 10" xfId="2877"/>
    <cellStyle name="_Arrears 3 - (rAJ)- dd130808_Copy of Mauritius-USD based ledger" xfId="2878"/>
    <cellStyle name="_Arrears 3 - (rAJ)- dd130808_IBM_Grouped(2)" xfId="2879"/>
    <cellStyle name="_Arrears 3 - (rAJ)- dd130808_IBM_Grouped_USD" xfId="2880"/>
    <cellStyle name="_Arrears 3 - (rAJ)- dd130808_IBM_Grouped_ZAR" xfId="2881"/>
    <cellStyle name="_Arrears 3 - (rAJ)- dd130808_Liquidity and repricing" xfId="2882"/>
    <cellStyle name="_Arrears 3 - (rAJ)- dd130808_MUR position" xfId="2883"/>
    <cellStyle name="_Arrears 3 - (rAJ)- dd130808_NOP 2010 01 31 USD BASED" xfId="2884"/>
    <cellStyle name="_Arrears 3 - (rAJ)- dd130808_NOP 2010 01 31 USD BASED_Report Finance" xfId="2885"/>
    <cellStyle name="_Arrears 3 - (rAJ)- dd130808_NOP 2010 02 28 USD BASED Final" xfId="2886"/>
    <cellStyle name="_Arrears 3 - (rAJ)- dd130808_NOP 2010 02 28 USD BASED Final_Report Finance" xfId="2887"/>
    <cellStyle name="_Arrears 3 - (rAJ)- dd130808_NOP 2010 03 31 USD BASEDrevised" xfId="2888"/>
    <cellStyle name="_Arrears 3 - (rAJ)- dd130808_NOP 2010 03 31 USD BASEDrevised_Report Finance" xfId="2889"/>
    <cellStyle name="_Arrears 3 - (rAJ)- dd130808_NOP 2010 04 30" xfId="2890"/>
    <cellStyle name="_Arrears 3 - (rAJ)- dd130808_NOP 2010 04 30_Report Finance" xfId="2891"/>
    <cellStyle name="_Arrears 3 - (rAJ)- dd130808_ORIGINAL NOP 2009 12 31 USD BASED" xfId="2892"/>
    <cellStyle name="_Arrears 3 - (rAJ)- dd130808_ORIGINAL NOP 2009 12 31 USD BASED_Report Finance" xfId="2893"/>
    <cellStyle name="_Arrears 3 - (rAJ)- dd130808_Report Finance" xfId="2894"/>
    <cellStyle name="_Arrears 3 - (rAJ)- dd130808_Sheet1" xfId="2895"/>
    <cellStyle name="_Arrears 3 - (rAJ)- dd130808_Sheet1_1" xfId="2896"/>
    <cellStyle name="_Arrears 4 -Raj" xfId="2897"/>
    <cellStyle name="_Arrears 4 -Raj_(26) Oct-09 (AL)" xfId="2898"/>
    <cellStyle name="_Arrears 4 -Raj_(27) Nov-09 (AL)" xfId="2899"/>
    <cellStyle name="_Arrears 4 -Raj_10_IBM_Bank Recon" xfId="2900"/>
    <cellStyle name="_Arrears 4 -Raj_10_IBM_J8_Cash Cut Off" xfId="2901"/>
    <cellStyle name="_Arrears 4 -Raj_10_IBM_Other liabilities" xfId="2902"/>
    <cellStyle name="_Arrears 4 -Raj_10_IBM_PLSF_Circularisation status" xfId="2903"/>
    <cellStyle name="_Arrears 4 -Raj_10_IBM_Preliminary PM " xfId="2904"/>
    <cellStyle name="_Arrears 4 -Raj_10_IBM_Sig Acc and SFOT determination " xfId="2905"/>
    <cellStyle name="_Arrears 4 -Raj_31.12.09 Mauritius-USD based ledger - Final1" xfId="2906"/>
    <cellStyle name="_Arrears 4 -Raj_Book1 (4)" xfId="2907"/>
    <cellStyle name="_Arrears 4 -Raj_Book4" xfId="2908"/>
    <cellStyle name="_Arrears 4 -Raj_capital adequacy September 2009" xfId="2909"/>
    <cellStyle name="_Arrears 4 -Raj_Circularisation Status Specialised Finance Division 17 Mar 10" xfId="2910"/>
    <cellStyle name="_Arrears 4 -Raj_Copy of Mauritius-USD based ledger" xfId="2911"/>
    <cellStyle name="_Arrears 4 -Raj_IBM_Grouped(2)" xfId="2912"/>
    <cellStyle name="_Arrears 4 -Raj_IBM_Grouped_USD" xfId="2913"/>
    <cellStyle name="_Arrears 4 -Raj_IBM_Grouped_ZAR" xfId="2914"/>
    <cellStyle name="_Arrears 4 -Raj_Liquidity and repricing" xfId="2915"/>
    <cellStyle name="_Arrears 4 -Raj_MUR position" xfId="2916"/>
    <cellStyle name="_Arrears 4 -Raj_NOP 2010 01 31 USD BASED" xfId="2917"/>
    <cellStyle name="_Arrears 4 -Raj_NOP 2010 01 31 USD BASED_Report Finance" xfId="2918"/>
    <cellStyle name="_Arrears 4 -Raj_NOP 2010 02 28 USD BASED Final" xfId="2919"/>
    <cellStyle name="_Arrears 4 -Raj_NOP 2010 02 28 USD BASED Final_Report Finance" xfId="2920"/>
    <cellStyle name="_Arrears 4 -Raj_NOP 2010 03 31 USD BASEDrevised" xfId="2921"/>
    <cellStyle name="_Arrears 4 -Raj_NOP 2010 03 31 USD BASEDrevised_Report Finance" xfId="2922"/>
    <cellStyle name="_Arrears 4 -Raj_NOP 2010 04 30" xfId="2923"/>
    <cellStyle name="_Arrears 4 -Raj_NOP 2010 04 30_Report Finance" xfId="2924"/>
    <cellStyle name="_Arrears 4 -Raj_ORIGINAL NOP 2009 12 31 USD BASED" xfId="2925"/>
    <cellStyle name="_Arrears 4 -Raj_ORIGINAL NOP 2009 12 31 USD BASED_Report Finance" xfId="2926"/>
    <cellStyle name="_Arrears 4 -Raj_Report Finance" xfId="2927"/>
    <cellStyle name="_Arrears 4 -Raj_Sheet1" xfId="2928"/>
    <cellStyle name="_Arrears 4 -Raj_Sheet1_1" xfId="2929"/>
    <cellStyle name="_Assets" xfId="2930"/>
    <cellStyle name="_Assets_Sheet1" xfId="2931"/>
    <cellStyle name="_ATG1 - CTD4 conversion" xfId="2932"/>
    <cellStyle name="_ATG1 - CTD4 conversion_Sheet1" xfId="2933"/>
    <cellStyle name="_ATG5_JPG1trfr" xfId="2934"/>
    <cellStyle name="_ATG5_JPG1trfr_Sheet1" xfId="2935"/>
    <cellStyle name="_Aus Arrears Special Mention" xfId="2936"/>
    <cellStyle name="_Aus Arrears Special Mention_(32) Mar-10 Breakdown of Credit" xfId="2937"/>
    <cellStyle name="_Aus Arrears Special Mention_(32) Mar-10 Loan" xfId="2938"/>
    <cellStyle name="_Aus Arrears Special Mention_(33) Apr-10 Breakdown of Credit" xfId="2939"/>
    <cellStyle name="_Aus Arrears Special Mention_(33) Apr-10 Loan" xfId="2940"/>
    <cellStyle name="_Aus Arrears Special Mention_Book15" xfId="2941"/>
    <cellStyle name="_Aus Arrears Special Mention_Book16" xfId="2942"/>
    <cellStyle name="_Aus Arrears Special Mention_Book17" xfId="2943"/>
    <cellStyle name="_Aus Arrears Special Mention_Book17_(19) Loan Feb-11(Feb-11 figures)" xfId="2944"/>
    <cellStyle name="_Aus Arrears Special Mention_Book19" xfId="2945"/>
    <cellStyle name="_Aus Arrears Special Mention_Book19_(19) Loan Feb-11(Feb-11 figures)" xfId="2946"/>
    <cellStyle name="_Aus Arrears Special Mention_Book20" xfId="2947"/>
    <cellStyle name="_Aus Arrears Special Mention_Book8" xfId="2948"/>
    <cellStyle name="_Aus Arrears Special Mention_Book8_(19) Loan Feb-11(Feb-11 figures)" xfId="2949"/>
    <cellStyle name="_Aus Arrears Special Mention_Book9" xfId="2950"/>
    <cellStyle name="_Aus Arrears Special Mention_Book9_(19) Loan Feb-11(Feb-11 figures)" xfId="2951"/>
    <cellStyle name="_Aus Arrears Special Mention_CM - Overview" xfId="2952"/>
    <cellStyle name="_Aus Arrears Special Mention_CM - Overview_(19) Loan Feb-11(Feb-11 figures)" xfId="2953"/>
    <cellStyle name="_AUS management accounts - FEB 08 - FINAL" xfId="2954"/>
    <cellStyle name="_AUS management accounts - FEB 08 - FINAL_(19) Loan Feb-11(Feb-11 figures)" xfId="2955"/>
    <cellStyle name="_AUS management accounts - FEB 08 - FINAL_(32) Mar-10 Breakdown of Credit" xfId="2956"/>
    <cellStyle name="_AUS management accounts - FEB 08 - FINAL_(32) Mar-10 Loan" xfId="2957"/>
    <cellStyle name="_AUS management accounts - FEB 08 - FINAL_(33) Apr-10 Breakdown of Credit" xfId="2958"/>
    <cellStyle name="_AUS management accounts - FEB 08 - FINAL_(33) Apr-10 Loan" xfId="2959"/>
    <cellStyle name="_AUS management accounts - FEB 08 - FINAL_Book15" xfId="2960"/>
    <cellStyle name="_AUS management accounts - FEB 08 - FINAL_Book16" xfId="2961"/>
    <cellStyle name="_AUS management accounts - FEB 08 - FINAL_Book17" xfId="2962"/>
    <cellStyle name="_AUS management accounts - FEB 08 - FINAL_Book19" xfId="2963"/>
    <cellStyle name="_AUS management accounts - FEB 08 - FINAL_Book20" xfId="2964"/>
    <cellStyle name="_AUS management accounts - FEB 08 - FINAL_Book8" xfId="2965"/>
    <cellStyle name="_AUS management accounts - FEB 08 - FINAL_Book9" xfId="2966"/>
    <cellStyle name="_AUS management accounts - FEB 08 - FINAL_CM - Overview" xfId="2967"/>
    <cellStyle name="_B Vandy2" xfId="2968"/>
    <cellStyle name="_B Vandy2_Sheet1" xfId="2969"/>
    <cellStyle name="_Base Case Analysis" xfId="2970"/>
    <cellStyle name="_Base Case Analysis_Report Finance" xfId="2971"/>
    <cellStyle name="_Base Case Analysis_Sheet1" xfId="2972"/>
    <cellStyle name="_Bond Search" xfId="2973"/>
    <cellStyle name="_Bond Search_Report Finance" xfId="2974"/>
    <cellStyle name="_Bond Search_Sheet1" xfId="2975"/>
    <cellStyle name="_Book1" xfId="2976"/>
    <cellStyle name="_Book1 (3)" xfId="2977"/>
    <cellStyle name="_Book1_10_IBM_Exchange rates" xfId="2978"/>
    <cellStyle name="_Book1_10_IBM_Exchange rates_Circularisation Status Specialised Finance Division 17 Mar 10" xfId="2979"/>
    <cellStyle name="_Book1_Circularisation Status Specialised Finance Division 17 Mar 10" xfId="2980"/>
    <cellStyle name="_Book1_Sheet1" xfId="2981"/>
    <cellStyle name="_Book10" xfId="2982"/>
    <cellStyle name="_Book10_Report Finance" xfId="2983"/>
    <cellStyle name="_Book10_Sheet1" xfId="2984"/>
    <cellStyle name="_Book11" xfId="2985"/>
    <cellStyle name="_Book11_Sheet1" xfId="2986"/>
    <cellStyle name="_Book2" xfId="2987"/>
    <cellStyle name="_Book2_Circularisation Status Specialised Finance Division 17 Mar 10" xfId="2988"/>
    <cellStyle name="_Book2_Sheet1" xfId="2989"/>
    <cellStyle name="_Book4" xfId="2990"/>
    <cellStyle name="_Book4_Report Finance" xfId="2991"/>
    <cellStyle name="_Book4_Sheet1" xfId="2992"/>
    <cellStyle name="_CAL AIL Investment 30 June 2009 valuation" xfId="2993"/>
    <cellStyle name="_Calculator" xfId="2994"/>
    <cellStyle name="_CDO Bucket" xfId="2995"/>
    <cellStyle name="_CDO of CDO" xfId="2996"/>
    <cellStyle name="_CDO of CDO_Sheet1" xfId="2997"/>
    <cellStyle name="_CDO_surveillance_-_arranger_and_trustee_contact_details(1)" xfId="2998"/>
    <cellStyle name="_CDO_surveillance_-_arranger_and_trustee_contact_details(1)_Sheet1" xfId="2999"/>
    <cellStyle name="_CDO_Warehouse" xfId="3000"/>
    <cellStyle name="_CDS Trades" xfId="3001"/>
    <cellStyle name="_CDS Trades 2" xfId="3002"/>
    <cellStyle name="_CDS Trades_(05) CAR Dec-07" xfId="3003"/>
    <cellStyle name="_CDS Trades_(05) CAR Dec-07 2" xfId="3004"/>
    <cellStyle name="_CDS Trades_(05) CAR Dec-07_(26) Oct-09 (AL)" xfId="3005"/>
    <cellStyle name="_CDS Trades_(05) CAR Dec-07_(27) Nov-09 (AL)" xfId="3006"/>
    <cellStyle name="_CDS Trades_(05) CAR Dec-07_09_IBM_A5.6.3_Sig Acc and SFOT Determination" xfId="3007"/>
    <cellStyle name="_CDS Trades_(05) CAR Dec-07_09_IBM_Preliminary PM (Interim) 31.03.010" xfId="3008"/>
    <cellStyle name="_CDS Trades_(05) CAR Dec-07_10_IBM_Bank Recon" xfId="3009"/>
    <cellStyle name="_CDS Trades_(05) CAR Dec-07_10_IBM_J8_Cash Cut Off" xfId="3010"/>
    <cellStyle name="_CDS Trades_(05) CAR Dec-07_10_IBM_Other liabilities" xfId="3011"/>
    <cellStyle name="_CDS Trades_(05) CAR Dec-07_10_IBM_PLSF_Circularisation status" xfId="3012"/>
    <cellStyle name="_CDS Trades_(05) CAR Dec-07_10_IBM_Preliminary PM " xfId="3013"/>
    <cellStyle name="_CDS Trades_(05) CAR Dec-07_10_IBM_Sig Acc and SFOT determination " xfId="3014"/>
    <cellStyle name="_CDS Trades_(05) CAR Dec-07_31.12.09 Mauritius-USD based ledger - Final1" xfId="3015"/>
    <cellStyle name="_CDS Trades_(05) CAR Dec-07_Book1 (4)" xfId="3016"/>
    <cellStyle name="_CDS Trades_(05) CAR Dec-07_Book4" xfId="3017"/>
    <cellStyle name="_CDS Trades_(05) CAR Dec-07_capital adequacy September 2009" xfId="3018"/>
    <cellStyle name="_CDS Trades_(05) CAR Dec-07_Circularisation Status Specialised Finance Division 17 Mar 10" xfId="3019"/>
    <cellStyle name="_CDS Trades_(05) CAR Dec-07_Copy of Mauritius-USD based ledger" xfId="3020"/>
    <cellStyle name="_CDS Trades_(05) CAR Dec-07_IBM_Grouped(2)" xfId="3021"/>
    <cellStyle name="_CDS Trades_(05) CAR Dec-07_IBM_Grouped_USD" xfId="3022"/>
    <cellStyle name="_CDS Trades_(05) CAR Dec-07_IBM_Grouped_ZAR" xfId="3023"/>
    <cellStyle name="_CDS Trades_(05) CAR Dec-07_Liquidity and repricing" xfId="3024"/>
    <cellStyle name="_CDS Trades_(05) CAR Dec-07_NOP 2010 01 31 USD BASED" xfId="3025"/>
    <cellStyle name="_CDS Trades_(05) CAR Dec-07_NOP 2010 01 31 USD BASED_Report Finance" xfId="3026"/>
    <cellStyle name="_CDS Trades_(05) CAR Dec-07_NOP 2010 02 28 USD BASED Final" xfId="3027"/>
    <cellStyle name="_CDS Trades_(05) CAR Dec-07_NOP 2010 02 28 USD BASED Final_Report Finance" xfId="3028"/>
    <cellStyle name="_CDS Trades_(05) CAR Dec-07_NOP 2010 03 31 USD BASEDrevised" xfId="3029"/>
    <cellStyle name="_CDS Trades_(05) CAR Dec-07_NOP 2010 03 31 USD BASEDrevised_Report Finance" xfId="3030"/>
    <cellStyle name="_CDS Trades_(05) CAR Dec-07_NOP 2010 04 30" xfId="3031"/>
    <cellStyle name="_CDS Trades_(05) CAR Dec-07_NOP 2010 04 30_Report Finance" xfId="3032"/>
    <cellStyle name="_CDS Trades_(05) CAR Dec-07_ORIGINAL NOP 2009 12 31 USD BASED" xfId="3033"/>
    <cellStyle name="_CDS Trades_(05) CAR Dec-07_ORIGINAL NOP 2009 12 31 USD BASED_Report Finance" xfId="3034"/>
    <cellStyle name="_CDS Trades_(05) CAR Dec-07_Sheet1" xfId="3035"/>
    <cellStyle name="_CDS Trades_(26) Oct-09 (AL)" xfId="3036"/>
    <cellStyle name="_CDS Trades_(27) Nov-09 (AL)" xfId="3037"/>
    <cellStyle name="_CDS Trades_08_IBM_A2.2.1 to A2.2.15_Statutory workings - 31 03 08" xfId="3038"/>
    <cellStyle name="_CDS Trades_08_IBM_A2.2.1 to A2.2.15_Statutory workings - 31 03 08_10_IBM_PLSF_Circularisation status" xfId="3039"/>
    <cellStyle name="_CDS Trades_08_IBM_A2.2.1 to A2.2.15_Statutory workings - 31 03 08_10_IBM_Preliminary PM " xfId="3040"/>
    <cellStyle name="_CDS Trades_08_IBM_A2.2.1 to A2.2.15_Statutory workings - 31 03 08_10_IBM_Sig Acc and SFOT determination " xfId="3041"/>
    <cellStyle name="_CDS Trades_08_IBM_A2.2.1 to A2.2.15_Statutory workings - 31 03 08_31.12.09 Mauritius-USD based ledger - Final1" xfId="3042"/>
    <cellStyle name="_CDS Trades_08_IBM_A2.2.1 to A2.2.15_Statutory workings - 31 03 08_Book4" xfId="3043"/>
    <cellStyle name="_CDS Trades_08_IBM_A2.2.1 to A2.2.15_Statutory workings - 31 03 08_Book5" xfId="3044"/>
    <cellStyle name="_CDS Trades_08_IBM_A2.2.1 to A2.2.15_Statutory workings - 31 03 08_Book5_(19) Loan Feb-11(Feb-11 figures)" xfId="3045"/>
    <cellStyle name="_CDS Trades_08_IBM_A2.2.1 to A2.2.15_Statutory workings - 31 03 08_Circularisation Status Specialised Finance Division 17 Mar 10" xfId="3046"/>
    <cellStyle name="_CDS Trades_08_IBM_A2.2.1 to A2.2.15_Statutory workings - 31 03 08_RELATED PARTY-2010 05 31" xfId="3047"/>
    <cellStyle name="_CDS Trades_08_IBM_A2.2.1 to A2.2.15_Statutory workings - 31 03 08_RELATED PARTY-2010 05 31_(19) Loan Feb-11(Feb-11 figures)" xfId="3048"/>
    <cellStyle name="_CDS Trades_09_IBM_A5.6.3_Sig Acc and SFOT Determination" xfId="3049"/>
    <cellStyle name="_CDS Trades_09_IBM_Pre-Final WP_Share capital_BS_H4 - N4_07.04.09" xfId="3050"/>
    <cellStyle name="_CDS Trades_09_IBM_Preliminary PM (Interim) 31.03.010" xfId="3051"/>
    <cellStyle name="_CDS Trades_09_Sep_IBM_Final WP_Share capital_BS_F-4_Investments" xfId="3052"/>
    <cellStyle name="_CDS Trades_10_IBM_Bank Recon" xfId="3053"/>
    <cellStyle name="_CDS Trades_10_IBM_J8_Cash Cut Off" xfId="3054"/>
    <cellStyle name="_CDS Trades_10_IBM_Other liabilities" xfId="3055"/>
    <cellStyle name="_CDS Trades_10_IBM_PLSF_Circularisation status" xfId="3056"/>
    <cellStyle name="_CDS Trades_10_IBM_Preliminary PM " xfId="3057"/>
    <cellStyle name="_CDS Trades_10_IBM_Sig Acc and SFOT determination " xfId="3058"/>
    <cellStyle name="_CDS Trades_31.12.09 Mauritius-USD based ledger - Final1" xfId="3059"/>
    <cellStyle name="_CDS Trades_audit adjustment 2007" xfId="3060"/>
    <cellStyle name="_CDS Trades_audit adjustment 2007 2" xfId="3061"/>
    <cellStyle name="_CDS Trades_audit adjustment 2007_(26) Oct-09 (AL)" xfId="3062"/>
    <cellStyle name="_CDS Trades_audit adjustment 2007_(27) Nov-09 (AL)" xfId="3063"/>
    <cellStyle name="_CDS Trades_audit adjustment 2007_09_IBM_A5.6.3_Sig Acc and SFOT Determination" xfId="3064"/>
    <cellStyle name="_CDS Trades_audit adjustment 2007_09_IBM_Preliminary PM (Interim) 31.03.010" xfId="3065"/>
    <cellStyle name="_CDS Trades_audit adjustment 2007_10_IBM_Bank Recon" xfId="3066"/>
    <cellStyle name="_CDS Trades_audit adjustment 2007_10_IBM_J8_Cash Cut Off" xfId="3067"/>
    <cellStyle name="_CDS Trades_audit adjustment 2007_10_IBM_Other liabilities" xfId="3068"/>
    <cellStyle name="_CDS Trades_audit adjustment 2007_10_IBM_PLSF_Circularisation status" xfId="3069"/>
    <cellStyle name="_CDS Trades_audit adjustment 2007_10_IBM_Preliminary PM " xfId="3070"/>
    <cellStyle name="_CDS Trades_audit adjustment 2007_10_IBM_Sig Acc and SFOT determination " xfId="3071"/>
    <cellStyle name="_CDS Trades_audit adjustment 2007_31.12.09 Mauritius-USD based ledger - Final1" xfId="3072"/>
    <cellStyle name="_CDS Trades_audit adjustment 2007_Book1 (4)" xfId="3073"/>
    <cellStyle name="_CDS Trades_audit adjustment 2007_Book4" xfId="3074"/>
    <cellStyle name="_CDS Trades_audit adjustment 2007_capital adequacy September 2009" xfId="3075"/>
    <cellStyle name="_CDS Trades_audit adjustment 2007_Circularisation Status Specialised Finance Division 17 Mar 10" xfId="3076"/>
    <cellStyle name="_CDS Trades_audit adjustment 2007_Copy of Mauritius-USD based ledger" xfId="3077"/>
    <cellStyle name="_CDS Trades_audit adjustment 2007_IBM_Grouped(2)" xfId="3078"/>
    <cellStyle name="_CDS Trades_audit adjustment 2007_IBM_Grouped_USD" xfId="3079"/>
    <cellStyle name="_CDS Trades_audit adjustment 2007_IBM_Grouped_ZAR" xfId="3080"/>
    <cellStyle name="_CDS Trades_audit adjustment 2007_Liquidity and repricing" xfId="3081"/>
    <cellStyle name="_CDS Trades_audit adjustment 2007_NOP 2010 01 31 USD BASED" xfId="3082"/>
    <cellStyle name="_CDS Trades_audit adjustment 2007_NOP 2010 01 31 USD BASED_Report Finance" xfId="3083"/>
    <cellStyle name="_CDS Trades_audit adjustment 2007_NOP 2010 02 28 USD BASED Final" xfId="3084"/>
    <cellStyle name="_CDS Trades_audit adjustment 2007_NOP 2010 02 28 USD BASED Final_Report Finance" xfId="3085"/>
    <cellStyle name="_CDS Trades_audit adjustment 2007_NOP 2010 03 31 USD BASEDrevised" xfId="3086"/>
    <cellStyle name="_CDS Trades_audit adjustment 2007_NOP 2010 03 31 USD BASEDrevised_Report Finance" xfId="3087"/>
    <cellStyle name="_CDS Trades_audit adjustment 2007_NOP 2010 04 30" xfId="3088"/>
    <cellStyle name="_CDS Trades_audit adjustment 2007_NOP 2010 04 30_Report Finance" xfId="3089"/>
    <cellStyle name="_CDS Trades_audit adjustment 2007_ORIGINAL NOP 2009 12 31 USD BASED" xfId="3090"/>
    <cellStyle name="_CDS Trades_audit adjustment 2007_ORIGINAL NOP 2009 12 31 USD BASED_Report Finance" xfId="3091"/>
    <cellStyle name="_CDS Trades_audit adjustment 2007_Sheet1" xfId="3092"/>
    <cellStyle name="_CDS Trades_BA 610 wkgs &amp; Return - 30 Jun 08" xfId="3093"/>
    <cellStyle name="_CDS Trades_BA 610 wkgs &amp; Return - 30 Jun 08_10_IBM_PLSF_Circularisation status" xfId="3094"/>
    <cellStyle name="_CDS Trades_BA 610 wkgs &amp; Return - 30 Jun 08_10_IBM_Preliminary PM " xfId="3095"/>
    <cellStyle name="_CDS Trades_BA 610 wkgs &amp; Return - 30 Jun 08_10_IBM_Sig Acc and SFOT determination " xfId="3096"/>
    <cellStyle name="_CDS Trades_BA 610 wkgs &amp; Return - 30 Jun 09" xfId="3097"/>
    <cellStyle name="_CDS Trades_BA 610 wkgs &amp; Return - 30 Sep 08" xfId="3098"/>
    <cellStyle name="_CDS Trades_BA 610 wkgs &amp; Return - 30 Sep 08_10_IBM_PLSF_Circularisation status" xfId="3099"/>
    <cellStyle name="_CDS Trades_BA 610 wkgs &amp; Return - 30 Sep 08_10_IBM_Preliminary PM " xfId="3100"/>
    <cellStyle name="_CDS Trades_BA 610 wkgs &amp; Return - 30 Sep 08_10_IBM_Sig Acc and SFOT determination " xfId="3101"/>
    <cellStyle name="_CDS Trades_BA 610 wkgs &amp; Return - 31 Dec 08" xfId="3102"/>
    <cellStyle name="_CDS Trades_BA 610 wkgs &amp; Return - 31 Dec 08 LATEST" xfId="3103"/>
    <cellStyle name="_CDS Trades_BA 610 wkgs &amp; Return - 31 Dec 08_10_IBM_PLSF_Circularisation status" xfId="3104"/>
    <cellStyle name="_CDS Trades_BA 610 wkgs &amp; Return - 31 Dec 08_10_IBM_Preliminary PM " xfId="3105"/>
    <cellStyle name="_CDS Trades_BA 610 wkgs &amp; Return - 31 Dec 08_10_IBM_Sig Acc and SFOT determination " xfId="3106"/>
    <cellStyle name="_CDS Trades_BA 610 wkgs -31.03.08(Version 2)" xfId="3107"/>
    <cellStyle name="_CDS Trades_BA 610 wkgs -31.03.08(Version 2)_10_IBM_PLSF_Circularisation status" xfId="3108"/>
    <cellStyle name="_CDS Trades_BA 610 wkgs -31.03.08(Version 2)_10_IBM_Preliminary PM " xfId="3109"/>
    <cellStyle name="_CDS Trades_BA 610 wkgs -31.03.08(Version 2)_10_IBM_Sig Acc and SFOT determination " xfId="3110"/>
    <cellStyle name="_CDS Trades_Book1" xfId="3111"/>
    <cellStyle name="_CDS Trades_Book1 (3)" xfId="3112"/>
    <cellStyle name="_CDS Trades_Book1 (4)" xfId="3113"/>
    <cellStyle name="_CDS Trades_Book1_1" xfId="3114"/>
    <cellStyle name="_CDS Trades_Book1_1_10_IBM_PLSF_Circularisation status" xfId="3115"/>
    <cellStyle name="_CDS Trades_Book1_1_10_IBM_Preliminary PM " xfId="3116"/>
    <cellStyle name="_CDS Trades_Book1_1_10_IBM_Sig Acc and SFOT determination " xfId="3117"/>
    <cellStyle name="_CDS Trades_Book1_10_IBM_PLSF_Circularisation status" xfId="3118"/>
    <cellStyle name="_CDS Trades_Book1_10_IBM_Preliminary PM " xfId="3119"/>
    <cellStyle name="_CDS Trades_Book1_10_IBM_Sig Acc and SFOT determination " xfId="3120"/>
    <cellStyle name="_CDS Trades_Book1_31.12.09 Mauritius-USD based ledger - Final1" xfId="3121"/>
    <cellStyle name="_CDS Trades_Book1_Book4" xfId="3122"/>
    <cellStyle name="_CDS Trades_Book1_Book5" xfId="3123"/>
    <cellStyle name="_CDS Trades_Book1_Book5_(19) Loan Feb-11(Feb-11 figures)" xfId="3124"/>
    <cellStyle name="_CDS Trades_Book1_capital adequacy September 2009" xfId="3125"/>
    <cellStyle name="_CDS Trades_Book1_Circularisation Status Specialised Finance Division 17 Mar 10" xfId="3126"/>
    <cellStyle name="_CDS Trades_Book1_Copy of Mauritius-USD based ledger" xfId="3127"/>
    <cellStyle name="_CDS Trades_Book1_Ops risk Mauritius - Sep 09 split stephanie after adjusment conversion" xfId="3128"/>
    <cellStyle name="_CDS Trades_Book1_RELATED PARTY-2010 05 31" xfId="3129"/>
    <cellStyle name="_CDS Trades_Book1_RELATED PARTY-2010 05 31_(19) Loan Feb-11(Feb-11 figures)" xfId="3130"/>
    <cellStyle name="_CDS Trades_Book2 (2)" xfId="3131"/>
    <cellStyle name="_CDS Trades_Book3" xfId="3132"/>
    <cellStyle name="_CDS Trades_Book3_10_IBM_PLSF_Circularisation status" xfId="3133"/>
    <cellStyle name="_CDS Trades_Book3_10_IBM_Preliminary PM " xfId="3134"/>
    <cellStyle name="_CDS Trades_Book3_10_IBM_Sig Acc and SFOT determination " xfId="3135"/>
    <cellStyle name="_CDS Trades_Book3_31.12.09 Mauritius-USD based ledger - Final1" xfId="3136"/>
    <cellStyle name="_CDS Trades_Book3_Book4" xfId="3137"/>
    <cellStyle name="_CDS Trades_Book3_Book5" xfId="3138"/>
    <cellStyle name="_CDS Trades_Book3_Book5_(19) Loan Feb-11(Feb-11 figures)" xfId="3139"/>
    <cellStyle name="_CDS Trades_Book3_capital adequacy September 2009" xfId="3140"/>
    <cellStyle name="_CDS Trades_Book3_Circularisation Status Specialised Finance Division 17 Mar 10" xfId="3141"/>
    <cellStyle name="_CDS Trades_Book3_Copy of Mauritius-USD based ledger" xfId="3142"/>
    <cellStyle name="_CDS Trades_Book3_Ops risk Mauritius - Sep 09 split stephanie after adjusment conversion" xfId="3143"/>
    <cellStyle name="_CDS Trades_Book3_RELATED PARTY-2010 05 31" xfId="3144"/>
    <cellStyle name="_CDS Trades_Book3_RELATED PARTY-2010 05 31_(19) Loan Feb-11(Feb-11 figures)" xfId="3145"/>
    <cellStyle name="_CDS Trades_Book4" xfId="3146"/>
    <cellStyle name="_CDS Trades_Book5 (2)" xfId="3147"/>
    <cellStyle name="_CDS Trades_Book5 (2) 2" xfId="3148"/>
    <cellStyle name="_CDS Trades_Book5 (2)_10_IBM_Bank Recon" xfId="3149"/>
    <cellStyle name="_CDS Trades_Book5 (2)_10_IBM_J8_Cash Cut Off" xfId="3150"/>
    <cellStyle name="_CDS Trades_Book5 (2)_10_IBM_PLSF_Circularisation status" xfId="3151"/>
    <cellStyle name="_CDS Trades_Book5 (2)_Sheet1" xfId="3152"/>
    <cellStyle name="_CDS Trades_Book6" xfId="3153"/>
    <cellStyle name="_CDS Trades_Book6_10_IBM_PLSF_Circularisation status" xfId="3154"/>
    <cellStyle name="_CDS Trades_Book6_10_IBM_Preliminary PM " xfId="3155"/>
    <cellStyle name="_CDS Trades_Book6_10_IBM_Sig Acc and SFOT determination " xfId="3156"/>
    <cellStyle name="_CDS Trades_Book6_31.12.09 Mauritius-USD based ledger - Final1" xfId="3157"/>
    <cellStyle name="_CDS Trades_Book6_Book4" xfId="3158"/>
    <cellStyle name="_CDS Trades_Book6_Book5" xfId="3159"/>
    <cellStyle name="_CDS Trades_Book6_Book5_(19) Loan Feb-11(Feb-11 figures)" xfId="3160"/>
    <cellStyle name="_CDS Trades_Book6_capital adequacy September 2009" xfId="3161"/>
    <cellStyle name="_CDS Trades_Book6_Circularisation Status Specialised Finance Division 17 Mar 10" xfId="3162"/>
    <cellStyle name="_CDS Trades_Book6_Copy of Mauritius-USD based ledger" xfId="3163"/>
    <cellStyle name="_CDS Trades_Book6_Ops risk Mauritius - Sep 09 split stephanie after adjusment conversion" xfId="3164"/>
    <cellStyle name="_CDS Trades_Book6_RELATED PARTY-2010 05 31" xfId="3165"/>
    <cellStyle name="_CDS Trades_Book6_RELATED PARTY-2010 05 31_(19) Loan Feb-11(Feb-11 figures)" xfId="3166"/>
    <cellStyle name="_CDS Trades_BS - Mar 09" xfId="3167"/>
    <cellStyle name="_CDS Trades_capital adequacy September 2009" xfId="3168"/>
    <cellStyle name="_CDS Trades_Circularisation Status Specialised Finance Division 17 Mar 10" xfId="3169"/>
    <cellStyle name="_CDS Trades_Detailed BS Dec 07" xfId="3170"/>
    <cellStyle name="_CDS Trades_Detailed BS Dec 07 2" xfId="3171"/>
    <cellStyle name="_CDS Trades_Detailed BS Dec 07_10_IBM_Bank Recon" xfId="3172"/>
    <cellStyle name="_CDS Trades_Detailed BS Dec 07_10_IBM_J8_Cash Cut Off" xfId="3173"/>
    <cellStyle name="_CDS Trades_Detailed BS Dec 07_10_IBM_PLSF_Circularisation status" xfId="3174"/>
    <cellStyle name="_CDS Trades_Detailed BS Dec 07_Avearge retrieval" xfId="3175"/>
    <cellStyle name="_CDS Trades_Detailed BS Dec 07_Avearge retrieval 2" xfId="3176"/>
    <cellStyle name="_CDS Trades_Detailed BS Dec 07_Avearge retrieval_(26) Oct-09 (AL)" xfId="3177"/>
    <cellStyle name="_CDS Trades_Detailed BS Dec 07_Avearge retrieval_(27) Nov-09 (AL)" xfId="3178"/>
    <cellStyle name="_CDS Trades_Detailed BS Dec 07_Avearge retrieval_09_IBM_A5.6.3_Sig Acc and SFOT Determination" xfId="3179"/>
    <cellStyle name="_CDS Trades_Detailed BS Dec 07_Avearge retrieval_09_IBM_Preliminary PM (Interim) 31.03.010" xfId="3180"/>
    <cellStyle name="_CDS Trades_Detailed BS Dec 07_Avearge retrieval_10_IBM_Bank Recon" xfId="3181"/>
    <cellStyle name="_CDS Trades_Detailed BS Dec 07_Avearge retrieval_10_IBM_J8_Cash Cut Off" xfId="3182"/>
    <cellStyle name="_CDS Trades_Detailed BS Dec 07_Avearge retrieval_10_IBM_Other liabilities" xfId="3183"/>
    <cellStyle name="_CDS Trades_Detailed BS Dec 07_Avearge retrieval_10_IBM_PLSF_Circularisation status" xfId="3184"/>
    <cellStyle name="_CDS Trades_Detailed BS Dec 07_Avearge retrieval_10_IBM_Preliminary PM " xfId="3185"/>
    <cellStyle name="_CDS Trades_Detailed BS Dec 07_Avearge retrieval_10_IBM_Sig Acc and SFOT determination " xfId="3186"/>
    <cellStyle name="_CDS Trades_Detailed BS Dec 07_Avearge retrieval_31.12.09 Mauritius-USD based ledger - Final1" xfId="3187"/>
    <cellStyle name="_CDS Trades_Detailed BS Dec 07_Avearge retrieval_Book1 (4)" xfId="3188"/>
    <cellStyle name="_CDS Trades_Detailed BS Dec 07_Avearge retrieval_Book4" xfId="3189"/>
    <cellStyle name="_CDS Trades_Detailed BS Dec 07_Avearge retrieval_capital adequacy September 2009" xfId="3190"/>
    <cellStyle name="_CDS Trades_Detailed BS Dec 07_Avearge retrieval_Circularisation Status Specialised Finance Division 17 Mar 10" xfId="3191"/>
    <cellStyle name="_CDS Trades_Detailed BS Dec 07_Avearge retrieval_Copy of Mauritius-USD based ledger" xfId="3192"/>
    <cellStyle name="_CDS Trades_Detailed BS Dec 07_Avearge retrieval_IBM_Grouped(2)" xfId="3193"/>
    <cellStyle name="_CDS Trades_Detailed BS Dec 07_Avearge retrieval_IBM_Grouped_USD" xfId="3194"/>
    <cellStyle name="_CDS Trades_Detailed BS Dec 07_Avearge retrieval_IBM_Grouped_ZAR" xfId="3195"/>
    <cellStyle name="_CDS Trades_Detailed BS Dec 07_Avearge retrieval_Liquidity and repricing" xfId="3196"/>
    <cellStyle name="_CDS Trades_Detailed BS Dec 07_Avearge retrieval_NOP 2010 01 31 USD BASED" xfId="3197"/>
    <cellStyle name="_CDS Trades_Detailed BS Dec 07_Avearge retrieval_NOP 2010 01 31 USD BASED_Report Finance" xfId="3198"/>
    <cellStyle name="_CDS Trades_Detailed BS Dec 07_Avearge retrieval_NOP 2010 02 28 USD BASED Final" xfId="3199"/>
    <cellStyle name="_CDS Trades_Detailed BS Dec 07_Avearge retrieval_NOP 2010 02 28 USD BASED Final_Report Finance" xfId="3200"/>
    <cellStyle name="_CDS Trades_Detailed BS Dec 07_Avearge retrieval_NOP 2010 03 31 USD BASEDrevised" xfId="3201"/>
    <cellStyle name="_CDS Trades_Detailed BS Dec 07_Avearge retrieval_NOP 2010 03 31 USD BASEDrevised_Report Finance" xfId="3202"/>
    <cellStyle name="_CDS Trades_Detailed BS Dec 07_Avearge retrieval_NOP 2010 04 30" xfId="3203"/>
    <cellStyle name="_CDS Trades_Detailed BS Dec 07_Avearge retrieval_NOP 2010 04 30_Report Finance" xfId="3204"/>
    <cellStyle name="_CDS Trades_Detailed BS Dec 07_Avearge retrieval_ORIGINAL NOP 2009 12 31 USD BASED" xfId="3205"/>
    <cellStyle name="_CDS Trades_Detailed BS Dec 07_Avearge retrieval_ORIGINAL NOP 2009 12 31 USD BASED_Report Finance" xfId="3206"/>
    <cellStyle name="_CDS Trades_Detailed BS Dec 07_Avearge retrieval_Sheet1" xfId="3207"/>
    <cellStyle name="_CDS Trades_Detailed BS Dec 07_Sheet1" xfId="3208"/>
    <cellStyle name="_CDS Trades_Detailed BS Dec 08" xfId="3209"/>
    <cellStyle name="_CDS Trades_Detailed BS Jun 09" xfId="3210"/>
    <cellStyle name="_CDS Trades_Detailed BS June08" xfId="3211"/>
    <cellStyle name="_CDS Trades_Detailed BS June08_10_IBM_PLSF_Circularisation status" xfId="3212"/>
    <cellStyle name="_CDS Trades_Detailed BS June08_10_IBM_Preliminary PM " xfId="3213"/>
    <cellStyle name="_CDS Trades_Detailed BS June08_10_IBM_Sig Acc and SFOT determination " xfId="3214"/>
    <cellStyle name="_CDS Trades_Detailed BS June08_31.12.09 Mauritius-USD based ledger - Final1" xfId="3215"/>
    <cellStyle name="_CDS Trades_Detailed BS June08_Book4" xfId="3216"/>
    <cellStyle name="_CDS Trades_Detailed BS June08_Book5" xfId="3217"/>
    <cellStyle name="_CDS Trades_Detailed BS June08_Book5_(19) Loan Feb-11(Feb-11 figures)" xfId="3218"/>
    <cellStyle name="_CDS Trades_Detailed BS June08_capital adequacy September 2009" xfId="3219"/>
    <cellStyle name="_CDS Trades_Detailed BS June08_Circularisation Status Specialised Finance Division 17 Mar 10" xfId="3220"/>
    <cellStyle name="_CDS Trades_Detailed BS June08_Copy of Mauritius-USD based ledger" xfId="3221"/>
    <cellStyle name="_CDS Trades_Detailed BS June08_Ops risk Mauritius - Sep 09 split stephanie after adjusment conversion" xfId="3222"/>
    <cellStyle name="_CDS Trades_Detailed BS June08_RELATED PARTY-2010 05 31" xfId="3223"/>
    <cellStyle name="_CDS Trades_Detailed BS June08_RELATED PARTY-2010 05 31_(19) Loan Feb-11(Feb-11 figures)" xfId="3224"/>
    <cellStyle name="_CDS Trades_Detailed BS March 08(1)" xfId="3225"/>
    <cellStyle name="_CDS Trades_Detailed BS March 08(1)_10_IBM_PLSF_Circularisation status" xfId="3226"/>
    <cellStyle name="_CDS Trades_Detailed BS March 08(1)_10_IBM_Preliminary PM " xfId="3227"/>
    <cellStyle name="_CDS Trades_Detailed BS March 08(1)_10_IBM_Sig Acc and SFOT determination " xfId="3228"/>
    <cellStyle name="_CDS Trades_Detailed BS March 08(1)_31.12.09 Mauritius-USD based ledger - Final1" xfId="3229"/>
    <cellStyle name="_CDS Trades_Detailed BS March 08(1)_Book4" xfId="3230"/>
    <cellStyle name="_CDS Trades_Detailed BS March 08(1)_Book5" xfId="3231"/>
    <cellStyle name="_CDS Trades_Detailed BS March 08(1)_Book5_(19) Loan Feb-11(Feb-11 figures)" xfId="3232"/>
    <cellStyle name="_CDS Trades_Detailed BS March 08(1)_capital adequacy September 2009" xfId="3233"/>
    <cellStyle name="_CDS Trades_Detailed BS March 08(1)_Circularisation Status Specialised Finance Division 17 Mar 10" xfId="3234"/>
    <cellStyle name="_CDS Trades_Detailed BS March 08(1)_Copy of Mauritius-USD based ledger" xfId="3235"/>
    <cellStyle name="_CDS Trades_Detailed BS March 08(1)_Ops risk Mauritius - Sep 09 split stephanie after adjusment conversion" xfId="3236"/>
    <cellStyle name="_CDS Trades_Detailed BS March 08(1)_RELATED PARTY-2010 05 31" xfId="3237"/>
    <cellStyle name="_CDS Trades_Detailed BS March 08(1)_RELATED PARTY-2010 05 31_(19) Loan Feb-11(Feb-11 figures)" xfId="3238"/>
    <cellStyle name="_CDS Trades_Detailed BS March 09" xfId="3239"/>
    <cellStyle name="_CDS Trades_Essbase March 2008" xfId="3240"/>
    <cellStyle name="_CDS Trades_Essbase March 2008_10_IBM_PLSF_Circularisation status" xfId="3241"/>
    <cellStyle name="_CDS Trades_Essbase March 2008_10_IBM_Preliminary PM " xfId="3242"/>
    <cellStyle name="_CDS Trades_Essbase March 2008_10_IBM_Sig Acc and SFOT determination " xfId="3243"/>
    <cellStyle name="_CDS Trades_Essbase March 2008_31.12.09 Mauritius-USD based ledger - Final1" xfId="3244"/>
    <cellStyle name="_CDS Trades_Essbase March 2008_Book4" xfId="3245"/>
    <cellStyle name="_CDS Trades_Essbase March 2008_Book5" xfId="3246"/>
    <cellStyle name="_CDS Trades_Essbase March 2008_Book5_(19) Loan Feb-11(Feb-11 figures)" xfId="3247"/>
    <cellStyle name="_CDS Trades_Essbase March 2008_capital adequacy September 2009" xfId="3248"/>
    <cellStyle name="_CDS Trades_Essbase March 2008_Circularisation Status Specialised Finance Division 17 Mar 10" xfId="3249"/>
    <cellStyle name="_CDS Trades_Essbase March 2008_Copy of Mauritius-USD based ledger" xfId="3250"/>
    <cellStyle name="_CDS Trades_Essbase March 2008_Ops risk Mauritius - Sep 09 split stephanie after adjusment conversion" xfId="3251"/>
    <cellStyle name="_CDS Trades_Essbase March 2008_RELATED PARTY-2010 05 31" xfId="3252"/>
    <cellStyle name="_CDS Trades_Essbase March 2008_RELATED PARTY-2010 05 31_(19) Loan Feb-11(Feb-11 figures)" xfId="3253"/>
    <cellStyle name="_CDS Trades_FINANCIALS 30-JUN-08-New Format-Auditors-Reformated" xfId="3254"/>
    <cellStyle name="_CDS Trades_FINANCIALS 30-JUN-08-New Format-Auditors-Reformated_10_IBM_PLSF_Circularisation status" xfId="3255"/>
    <cellStyle name="_CDS Trades_FINANCIALS 30-JUN-08-New Format-Auditors-Reformated_10_IBM_Preliminary PM " xfId="3256"/>
    <cellStyle name="_CDS Trades_FINANCIALS 30-JUN-08-New Format-Auditors-Reformated_10_IBM_Sig Acc and SFOT determination " xfId="3257"/>
    <cellStyle name="_CDS Trades_Fixed Assets Register 11 Feb10" xfId="3258"/>
    <cellStyle name="_CDS Trades_Fixed Assets Register 11 Feb10_(19) Loan Feb-11(Feb-11 figures)" xfId="3259"/>
    <cellStyle name="_CDS Trades_Fixed Assets Register 12 Mar10.xls" xfId="3260"/>
    <cellStyle name="_CDS Trades_Fixed Assets Register 12 Mar10.xls_(19) Loan Feb-11(Feb-11 figures)" xfId="3261"/>
    <cellStyle name="_CDS Trades_FV of Derivatives - 30 06 09" xfId="3262"/>
    <cellStyle name="_CDS Trades_FV of Derivatives - 31.03.08" xfId="3263"/>
    <cellStyle name="_CDS Trades_FV of Derivatives - 31.03.08_10_IBM_PLSF_Circularisation status" xfId="3264"/>
    <cellStyle name="_CDS Trades_FV of Derivatives - 31.03.08_10_IBM_Preliminary PM " xfId="3265"/>
    <cellStyle name="_CDS Trades_FV of Derivatives - 31.03.08_10_IBM_Sig Acc and SFOT determination " xfId="3266"/>
    <cellStyle name="_CDS Trades_FV of Derivatives - 31.03.08_31.12.09 Mauritius-USD based ledger - Final1" xfId="3267"/>
    <cellStyle name="_CDS Trades_FV of Derivatives - 31.03.08_Book4" xfId="3268"/>
    <cellStyle name="_CDS Trades_FV of Derivatives - 31.03.08_Book5" xfId="3269"/>
    <cellStyle name="_CDS Trades_FV of Derivatives - 31.03.08_Book5_(19) Loan Feb-11(Feb-11 figures)" xfId="3270"/>
    <cellStyle name="_CDS Trades_FV of Derivatives - 31.03.08_capital adequacy September 2009" xfId="3271"/>
    <cellStyle name="_CDS Trades_FV of Derivatives - 31.03.08_Circularisation Status Specialised Finance Division 17 Mar 10" xfId="3272"/>
    <cellStyle name="_CDS Trades_FV of Derivatives - 31.03.08_Copy of Mauritius-USD based ledger" xfId="3273"/>
    <cellStyle name="_CDS Trades_FV of Derivatives - 31.03.08_Ops risk Mauritius - Sep 09 split stephanie after adjusment conversion" xfId="3274"/>
    <cellStyle name="_CDS Trades_FV of Derivatives - 31.03.08_RELATED PARTY-2010 05 31" xfId="3275"/>
    <cellStyle name="_CDS Trades_FV of Derivatives - 31.03.08_RELATED PARTY-2010 05 31_(19) Loan Feb-11(Feb-11 figures)" xfId="3276"/>
    <cellStyle name="_CDS Trades_IBM Input Sheet 31.03.2010 v0.4" xfId="3277"/>
    <cellStyle name="_CDS Trades_IBM Input Sheet 31.03.2010 v0.4_(19) Loan Feb-11(Feb-11 figures)" xfId="3278"/>
    <cellStyle name="_CDS Trades_IBM_Grouped(2)" xfId="3279"/>
    <cellStyle name="_CDS Trades_IBM_Grouped_USD" xfId="3280"/>
    <cellStyle name="_CDS Trades_IBM_Grouped_ZAR" xfId="3281"/>
    <cellStyle name="_CDS Trades_Liquidity and repricing" xfId="3282"/>
    <cellStyle name="_CDS Trades_Loans list Jan 2010" xfId="3283"/>
    <cellStyle name="_CDS Trades_Loans list Jan 2010_10_IBM_PRE FINAL WP_PB_BS 170310" xfId="3284"/>
    <cellStyle name="_CDS Trades_MUR position" xfId="3285"/>
    <cellStyle name="_CDS Trades_NOP 2010 01 31 USD BASED" xfId="3286"/>
    <cellStyle name="_CDS Trades_NOP 2010 01 31 USD BASED_Report Finance" xfId="3287"/>
    <cellStyle name="_CDS Trades_NOP 2010 02 28 USD BASED Final" xfId="3288"/>
    <cellStyle name="_CDS Trades_NOP 2010 02 28 USD BASED Final_Report Finance" xfId="3289"/>
    <cellStyle name="_CDS Trades_NOP 2010 03 31 USD BASEDrevised" xfId="3290"/>
    <cellStyle name="_CDS Trades_NOP 2010 03 31 USD BASEDrevised_Report Finance" xfId="3291"/>
    <cellStyle name="_CDS Trades_NOP 2010 04 30" xfId="3292"/>
    <cellStyle name="_CDS Trades_NOP 2010 04 30_Report Finance" xfId="3293"/>
    <cellStyle name="_CDS Trades_Opeartional Risk sept 2009" xfId="3294"/>
    <cellStyle name="_CDS Trades_Ops risk Mauritius - Sep 09 split stephanie after adjusment conversion" xfId="3295"/>
    <cellStyle name="_CDS Trades_ORIGINAL NOP 2009 12 31 USD BASED" xfId="3296"/>
    <cellStyle name="_CDS Trades_ORIGINAL NOP 2009 12 31 USD BASED_Report Finance" xfId="3297"/>
    <cellStyle name="_CDS Trades_Related Party Dec-08" xfId="3298"/>
    <cellStyle name="_CDS Trades_Report Finance" xfId="3299"/>
    <cellStyle name="_CDS Trades_SARB BOM Comparison 20081231 v3 0" xfId="3300"/>
    <cellStyle name="_CDS Trades_SARB BOM Comparison 20081231 v3 0v from Mahen" xfId="3301"/>
    <cellStyle name="_CDS Trades_SARBResults_1101" xfId="3302"/>
    <cellStyle name="_CDS Trades_SARBResults_1101_10_IBM_PLSF_Circularisation status" xfId="3303"/>
    <cellStyle name="_CDS Trades_SARBResults_1101_10_IBM_Preliminary PM " xfId="3304"/>
    <cellStyle name="_CDS Trades_SARBResults_1101_10_IBM_Sig Acc and SFOT determination " xfId="3305"/>
    <cellStyle name="_CDS Trades_SARBResults_1101_31.12.09 Mauritius-USD based ledger - Final1" xfId="3306"/>
    <cellStyle name="_CDS Trades_SARBResults_1101_Book4" xfId="3307"/>
    <cellStyle name="_CDS Trades_SARBResults_1101_Book5" xfId="3308"/>
    <cellStyle name="_CDS Trades_SARBResults_1101_Book5_(19) Loan Feb-11(Feb-11 figures)" xfId="3309"/>
    <cellStyle name="_CDS Trades_SARBResults_1101_capital adequacy September 2009" xfId="3310"/>
    <cellStyle name="_CDS Trades_SARBResults_1101_Circularisation Status Specialised Finance Division 17 Mar 10" xfId="3311"/>
    <cellStyle name="_CDS Trades_SARBResults_1101_Copy of Mauritius-USD based ledger" xfId="3312"/>
    <cellStyle name="_CDS Trades_SARBResults_1101_Ops risk Mauritius - Sep 09 split stephanie after adjusment conversion" xfId="3313"/>
    <cellStyle name="_CDS Trades_SARBResults_1101_RELATED PARTY-2010 05 31" xfId="3314"/>
    <cellStyle name="_CDS Trades_SARBResults_1101_RELATED PARTY-2010 05 31_(19) Loan Feb-11(Feb-11 figures)" xfId="3315"/>
    <cellStyle name="_CDS Trades_SARBResults_2697 (vanessa board2)" xfId="3316"/>
    <cellStyle name="_CDS Trades_Sheet1" xfId="3317"/>
    <cellStyle name="_CDS Trades_Sheet1_1" xfId="3318"/>
    <cellStyle name="_CDS Trades_Statutory Annual Report - 31 03 08" xfId="3319"/>
    <cellStyle name="_CDS Trades_Statutory Annual Report - 31 03 08_10_IBM_PLSF_Circularisation status" xfId="3320"/>
    <cellStyle name="_CDS Trades_Statutory Annual Report - 31 03 08_10_IBM_Preliminary PM " xfId="3321"/>
    <cellStyle name="_CDS Trades_Statutory Annual Report - 31 03 08_10_IBM_Sig Acc and SFOT determination " xfId="3322"/>
    <cellStyle name="_CDS Trades_Statutory Annual Report - 31 03 08_31.12.09 Mauritius-USD based ledger - Final1" xfId="3323"/>
    <cellStyle name="_CDS Trades_Statutory Annual Report - 31 03 08_Book4" xfId="3324"/>
    <cellStyle name="_CDS Trades_Statutory Annual Report - 31 03 08_Book5" xfId="3325"/>
    <cellStyle name="_CDS Trades_Statutory Annual Report - 31 03 08_Book5_(19) Loan Feb-11(Feb-11 figures)" xfId="3326"/>
    <cellStyle name="_CDS Trades_Statutory Annual Report - 31 03 08_capital adequacy September 2009" xfId="3327"/>
    <cellStyle name="_CDS Trades_Statutory Annual Report - 31 03 08_Circularisation Status Specialised Finance Division 17 Mar 10" xfId="3328"/>
    <cellStyle name="_CDS Trades_Statutory Annual Report - 31 03 08_Copy of Mauritius-USD based ledger" xfId="3329"/>
    <cellStyle name="_CDS Trades_Statutory Annual Report - 31 03 08_Ops risk Mauritius - Sep 09 split stephanie after adjusment conversion" xfId="3330"/>
    <cellStyle name="_CDS Trades_Statutory Annual Report - 31 03 08_RELATED PARTY-2010 05 31" xfId="3331"/>
    <cellStyle name="_CDS Trades_Statutory Annual Report - 31 03 08_RELATED PARTY-2010 05 31_(19) Loan Feb-11(Feb-11 figures)" xfId="3332"/>
    <cellStyle name="_Cf" xfId="3333"/>
    <cellStyle name="_Cf_Sheet1" xfId="3334"/>
    <cellStyle name="_circularisation jeremie" xfId="3335"/>
    <cellStyle name="_circularisation jeremie_(26) Oct-09 (AL)" xfId="3336"/>
    <cellStyle name="_circularisation jeremie_(27) Nov-09 (AL)" xfId="3337"/>
    <cellStyle name="_circularisation jeremie_09_IBM_A5.6.3_Sig Acc and SFOT Determination" xfId="3338"/>
    <cellStyle name="_circularisation jeremie_09_IBM_Preliminary PM (Interim) 31.03.010" xfId="3339"/>
    <cellStyle name="_circularisation jeremie_10_IBM_Bank Recon" xfId="3340"/>
    <cellStyle name="_circularisation jeremie_10_IBM_J8_Cash Cut Off" xfId="3341"/>
    <cellStyle name="_circularisation jeremie_10_IBM_Other liabilities" xfId="3342"/>
    <cellStyle name="_circularisation jeremie_10_IBM_PLSF_Circularisation status" xfId="3343"/>
    <cellStyle name="_circularisation jeremie_10_IBM_Preliminary PM " xfId="3344"/>
    <cellStyle name="_circularisation jeremie_10_IBM_Sig Acc and SFOT determination " xfId="3345"/>
    <cellStyle name="_circularisation jeremie_31.12.09 Mauritius-USD based ledger - Final1" xfId="3346"/>
    <cellStyle name="_circularisation jeremie_Book1 (4)" xfId="3347"/>
    <cellStyle name="_circularisation jeremie_Book4" xfId="3348"/>
    <cellStyle name="_circularisation jeremie_capital adequacy September 2009" xfId="3349"/>
    <cellStyle name="_circularisation jeremie_Circularisation Status Specialised Finance Division 17 Mar 10" xfId="3350"/>
    <cellStyle name="_circularisation jeremie_Copy of Mauritius-USD based ledger" xfId="3351"/>
    <cellStyle name="_circularisation jeremie_Fixed Assets Register 11 Feb10" xfId="3352"/>
    <cellStyle name="_circularisation jeremie_Fixed Assets Register 11 Feb10_(19) Loan Feb-11(Feb-11 figures)" xfId="3353"/>
    <cellStyle name="_circularisation jeremie_Fixed Assets Register 12 Mar10.xls" xfId="3354"/>
    <cellStyle name="_circularisation jeremie_Fixed Assets Register 12 Mar10.xls_(19) Loan Feb-11(Feb-11 figures)" xfId="3355"/>
    <cellStyle name="_circularisation jeremie_IBM Input Sheet 31.03.2010 v0.4" xfId="3356"/>
    <cellStyle name="_circularisation jeremie_IBM Input Sheet 31.03.2010 v0.4_(19) Loan Feb-11(Feb-11 figures)" xfId="3357"/>
    <cellStyle name="_circularisation jeremie_IBM_Grouped(2)" xfId="3358"/>
    <cellStyle name="_circularisation jeremie_IBM_Grouped_USD" xfId="3359"/>
    <cellStyle name="_circularisation jeremie_IBM_Grouped_ZAR" xfId="3360"/>
    <cellStyle name="_circularisation jeremie_Liquidity and repricing" xfId="3361"/>
    <cellStyle name="_circularisation jeremie_MUR position" xfId="3362"/>
    <cellStyle name="_circularisation jeremie_NOP 2010 01 31 USD BASED" xfId="3363"/>
    <cellStyle name="_circularisation jeremie_NOP 2010 01 31 USD BASED_Report Finance" xfId="3364"/>
    <cellStyle name="_circularisation jeremie_NOP 2010 02 28 USD BASED Final" xfId="3365"/>
    <cellStyle name="_circularisation jeremie_NOP 2010 02 28 USD BASED Final_Report Finance" xfId="3366"/>
    <cellStyle name="_circularisation jeremie_NOP 2010 03 31 USD BASEDrevised" xfId="3367"/>
    <cellStyle name="_circularisation jeremie_NOP 2010 03 31 USD BASEDrevised_Report Finance" xfId="3368"/>
    <cellStyle name="_circularisation jeremie_NOP 2010 04 30" xfId="3369"/>
    <cellStyle name="_circularisation jeremie_NOP 2010 04 30_Report Finance" xfId="3370"/>
    <cellStyle name="_circularisation jeremie_ORIGINAL NOP 2009 12 31 USD BASED" xfId="3371"/>
    <cellStyle name="_circularisation jeremie_ORIGINAL NOP 2009 12 31 USD BASED_Report Finance" xfId="3372"/>
    <cellStyle name="_circularisation jeremie_Report Finance" xfId="3373"/>
    <cellStyle name="_circularisation jeremie_Sheet1" xfId="3374"/>
    <cellStyle name="_circularisation jeremie_Sheet1_1" xfId="3375"/>
    <cellStyle name="_Circularisation Status Specialised Finance Division 17 Mar 10" xfId="3376"/>
    <cellStyle name="_Circularisation status_22.04.2008 Musarrat" xfId="3377"/>
    <cellStyle name="_Circularisation status_22.04.2008 Musarrat_(26) Oct-09 (AL)" xfId="3378"/>
    <cellStyle name="_Circularisation status_22.04.2008 Musarrat_(27) Nov-09 (AL)" xfId="3379"/>
    <cellStyle name="_Circularisation status_22.04.2008 Musarrat_09_IBM_A5.6.3_Sig Acc and SFOT Determination" xfId="3380"/>
    <cellStyle name="_Circularisation status_22.04.2008 Musarrat_09_IBM_Preliminary PM (Interim) 31.03.010" xfId="3381"/>
    <cellStyle name="_Circularisation status_22.04.2008 Musarrat_10_IBM_Bank Recon" xfId="3382"/>
    <cellStyle name="_Circularisation status_22.04.2008 Musarrat_10_IBM_J8_Cash Cut Off" xfId="3383"/>
    <cellStyle name="_Circularisation status_22.04.2008 Musarrat_10_IBM_Other liabilities" xfId="3384"/>
    <cellStyle name="_Circularisation status_22.04.2008 Musarrat_10_IBM_PLSF_Circularisation status" xfId="3385"/>
    <cellStyle name="_Circularisation status_22.04.2008 Musarrat_10_IBM_Preliminary PM " xfId="3386"/>
    <cellStyle name="_Circularisation status_22.04.2008 Musarrat_10_IBM_Sig Acc and SFOT determination " xfId="3387"/>
    <cellStyle name="_Circularisation status_22.04.2008 Musarrat_31.12.09 Mauritius-USD based ledger - Final1" xfId="3388"/>
    <cellStyle name="_Circularisation status_22.04.2008 Musarrat_Book1 (4)" xfId="3389"/>
    <cellStyle name="_Circularisation status_22.04.2008 Musarrat_Book4" xfId="3390"/>
    <cellStyle name="_Circularisation status_22.04.2008 Musarrat_capital adequacy September 2009" xfId="3391"/>
    <cellStyle name="_Circularisation status_22.04.2008 Musarrat_Circularisation Status Specialised Finance Division 17 Mar 10" xfId="3392"/>
    <cellStyle name="_Circularisation status_22.04.2008 Musarrat_Copy of Mauritius-USD based ledger" xfId="3393"/>
    <cellStyle name="_Circularisation status_22.04.2008 Musarrat_Fixed Assets Register 11 Feb10" xfId="3394"/>
    <cellStyle name="_Circularisation status_22.04.2008 Musarrat_Fixed Assets Register 11 Feb10_(19) Loan Feb-11(Feb-11 figures)" xfId="3395"/>
    <cellStyle name="_Circularisation status_22.04.2008 Musarrat_Fixed Assets Register 12 Mar10.xls" xfId="3396"/>
    <cellStyle name="_Circularisation status_22.04.2008 Musarrat_Fixed Assets Register 12 Mar10.xls_(19) Loan Feb-11(Feb-11 figures)" xfId="3397"/>
    <cellStyle name="_Circularisation status_22.04.2008 Musarrat_IBM Input Sheet 31.03.2010 v0.4" xfId="3398"/>
    <cellStyle name="_Circularisation status_22.04.2008 Musarrat_IBM Input Sheet 31.03.2010 v0.4_(19) Loan Feb-11(Feb-11 figures)" xfId="3399"/>
    <cellStyle name="_Circularisation status_22.04.2008 Musarrat_IBM_Grouped(2)" xfId="3400"/>
    <cellStyle name="_Circularisation status_22.04.2008 Musarrat_IBM_Grouped_USD" xfId="3401"/>
    <cellStyle name="_Circularisation status_22.04.2008 Musarrat_IBM_Grouped_ZAR" xfId="3402"/>
    <cellStyle name="_Circularisation status_22.04.2008 Musarrat_Liquidity and repricing" xfId="3403"/>
    <cellStyle name="_Circularisation status_22.04.2008 Musarrat_MUR position" xfId="3404"/>
    <cellStyle name="_Circularisation status_22.04.2008 Musarrat_NOP 2010 01 31 USD BASED" xfId="3405"/>
    <cellStyle name="_Circularisation status_22.04.2008 Musarrat_NOP 2010 01 31 USD BASED_Report Finance" xfId="3406"/>
    <cellStyle name="_Circularisation status_22.04.2008 Musarrat_NOP 2010 02 28 USD BASED Final" xfId="3407"/>
    <cellStyle name="_Circularisation status_22.04.2008 Musarrat_NOP 2010 02 28 USD BASED Final_Report Finance" xfId="3408"/>
    <cellStyle name="_Circularisation status_22.04.2008 Musarrat_NOP 2010 03 31 USD BASEDrevised" xfId="3409"/>
    <cellStyle name="_Circularisation status_22.04.2008 Musarrat_NOP 2010 03 31 USD BASEDrevised_Report Finance" xfId="3410"/>
    <cellStyle name="_Circularisation status_22.04.2008 Musarrat_NOP 2010 04 30" xfId="3411"/>
    <cellStyle name="_Circularisation status_22.04.2008 Musarrat_NOP 2010 04 30_Report Finance" xfId="3412"/>
    <cellStyle name="_Circularisation status_22.04.2008 Musarrat_ORIGINAL NOP 2009 12 31 USD BASED" xfId="3413"/>
    <cellStyle name="_Circularisation status_22.04.2008 Musarrat_ORIGINAL NOP 2009 12 31 USD BASED_Report Finance" xfId="3414"/>
    <cellStyle name="_Circularisation status_22.04.2008 Musarrat_Report Finance" xfId="3415"/>
    <cellStyle name="_Circularisation status_22.04.2008 Musarrat_Sheet1" xfId="3416"/>
    <cellStyle name="_Circularisation status_22.04.2008 Musarrat_Sheet1_1" xfId="3417"/>
    <cellStyle name="_CLO Deal Template" xfId="3418"/>
    <cellStyle name="_CLO Deal Template_Sheet1" xfId="3419"/>
    <cellStyle name="_CLOs" xfId="3420"/>
    <cellStyle name="_CLOs_Sheet1" xfId="3421"/>
    <cellStyle name="_ColdWater Portfolio (Termsheet)- 06-08-06" xfId="3422"/>
    <cellStyle name="_ColdWater Portfolio (Termsheet)- 06-08-06_Sheet1" xfId="3423"/>
    <cellStyle name="_Collateral Detail+Summary" xfId="3424"/>
    <cellStyle name="_Collateral Generator" xfId="3425"/>
    <cellStyle name="_Collateral Input" xfId="3426"/>
    <cellStyle name="_Comma" xfId="3427"/>
    <cellStyle name="_Compare All-NEW" xfId="3428"/>
    <cellStyle name="_Copy of Detailed BS March 08" xfId="3429"/>
    <cellStyle name="_Copy of Detailed BS March 08_Circularisation Status Specialised Finance Division 17 Mar 10" xfId="3430"/>
    <cellStyle name="_Copy of Detailed BS March 08_Sheet1" xfId="3431"/>
    <cellStyle name="_Copy of excel website_Sept08 plc 2" xfId="3432"/>
    <cellStyle name="_Copy of excel website_Sept08 plc 2_(19) Loan Feb-11(Feb-11 figures)" xfId="3433"/>
    <cellStyle name="_Copy of Springdale 2006-1 Sources and Uses 07-17-2006" xfId="3434"/>
    <cellStyle name="_Copy of Springdale 2006-1 Sources and Uses 07-17-2006_Sheet1" xfId="3435"/>
    <cellStyle name="_Correlation Matrix" xfId="3436"/>
    <cellStyle name="_Correlation Matrix_Sheet1" xfId="3437"/>
    <cellStyle name="_Country credit exposure_30 Sep 08" xfId="3438"/>
    <cellStyle name="_Country credit exposure_30 Sep 08_(19) Loan Feb-11(Feb-11 figures)" xfId="3439"/>
    <cellStyle name="_Country credit exposure_30 Sep 08_(32) Mar-10 Breakdown of Credit" xfId="3440"/>
    <cellStyle name="_Country credit exposure_30 Sep 08_(32) Mar-10 Loan" xfId="3441"/>
    <cellStyle name="_Country credit exposure_30 Sep 08_(33) Apr-10 Breakdown of Credit" xfId="3442"/>
    <cellStyle name="_Country credit exposure_30 Sep 08_(33) Apr-10 Loan" xfId="3443"/>
    <cellStyle name="_Country credit exposure_30 Sep 08_Book15" xfId="3444"/>
    <cellStyle name="_Country credit exposure_30 Sep 08_Book16" xfId="3445"/>
    <cellStyle name="_Country credit exposure_30 Sep 08_Book17" xfId="3446"/>
    <cellStyle name="_Country credit exposure_30 Sep 08_Book19" xfId="3447"/>
    <cellStyle name="_Country credit exposure_30 Sep 08_Book20" xfId="3448"/>
    <cellStyle name="_Country credit exposure_30 Sep 08_Book8" xfId="3449"/>
    <cellStyle name="_Country credit exposure_30 Sep 08_Book9" xfId="3450"/>
    <cellStyle name="_Country credit exposure_30 Sep 08_CM - Overview" xfId="3451"/>
    <cellStyle name="_Cover" xfId="3452"/>
    <cellStyle name="_Cover_(19) Loan Feb-11(Feb-11 figures)" xfId="3453"/>
    <cellStyle name="_CRE CDOs" xfId="3454"/>
    <cellStyle name="_CRE CDOs_Sheet1" xfId="3455"/>
    <cellStyle name="_CreditBonds" xfId="3456"/>
    <cellStyle name="_CreditBonds_Sheet1" xfId="3457"/>
    <cellStyle name="_Credits" xfId="3458"/>
    <cellStyle name="_Credits_Sheet1" xfId="3459"/>
    <cellStyle name="_CSV Menu" xfId="3460"/>
    <cellStyle name="_CSV Menu_Sheet1" xfId="3461"/>
    <cellStyle name="_Currency" xfId="3462"/>
    <cellStyle name="_CurrencySpace" xfId="3463"/>
    <cellStyle name="_Current Exposures" xfId="3464"/>
    <cellStyle name="_Curves" xfId="3465"/>
    <cellStyle name="_Curves_Sheet1" xfId="3466"/>
    <cellStyle name="_CUSIPS" xfId="3467"/>
    <cellStyle name="_CUSIPS_Sheet1" xfId="3468"/>
    <cellStyle name="_DA" xfId="3469"/>
    <cellStyle name="_DA_Sheet1" xfId="3470"/>
    <cellStyle name="_Data" xfId="3471"/>
    <cellStyle name="_Data_Sheet1" xfId="3472"/>
    <cellStyle name="_Deal Summary" xfId="3473"/>
    <cellStyle name="_Deal Summary_Sheet1" xfId="3474"/>
    <cellStyle name="_detailed bs 95637 only" xfId="3475"/>
    <cellStyle name="_detailed bs 95637 only_Sheet1" xfId="3476"/>
    <cellStyle name="_Detailed BS Jan 08" xfId="3477"/>
    <cellStyle name="_Detailed BS Jan 08_10_IBM_Bank Recon" xfId="3478"/>
    <cellStyle name="_Detailed BS Jan 08_10_IBM_J8_Cash Cut Off" xfId="3479"/>
    <cellStyle name="_Detailed BS Jan 08_10_IBM_PLSF_Circularisation status" xfId="3480"/>
    <cellStyle name="_Detailed BS Jan 08_Sheet1" xfId="3481"/>
    <cellStyle name="_Detailed BS Jan 09" xfId="3482"/>
    <cellStyle name="_Detailed BS Jan 09_Circularisation Status Specialised Finance Division 17 Mar 10" xfId="3483"/>
    <cellStyle name="_Detailed BS Jan 09_Sheet1" xfId="3484"/>
    <cellStyle name="_Detailed BS Jan 2010" xfId="3485"/>
    <cellStyle name="_Disclaimer" xfId="3486"/>
    <cellStyle name="_Disclaimer_Ratings action BLP links" xfId="3487"/>
    <cellStyle name="_Disclaimer_Ratings action BLP links_Sheet1" xfId="3488"/>
    <cellStyle name="_Disclaimer_Report Finance" xfId="3489"/>
    <cellStyle name="_Disclaimer_Sheet1" xfId="3490"/>
    <cellStyle name="_Disclosure Workings - Pack MAR08 PB" xfId="3491"/>
    <cellStyle name="_Disclosure Workings - Pack MAR08 PB 2" xfId="3492"/>
    <cellStyle name="_Disclosure Workings - Pack MAR08 PB_(26) Oct-09 (AL)" xfId="3493"/>
    <cellStyle name="_Disclosure Workings - Pack MAR08 PB_(27) Nov-09 (AL)" xfId="3494"/>
    <cellStyle name="_Disclosure Workings - Pack MAR08 PB_10_IBM_PLSF_Circularisation status" xfId="3495"/>
    <cellStyle name="_Disclosure Workings - Pack MAR08 PB_10_IBM_Preliminary PM " xfId="3496"/>
    <cellStyle name="_Disclosure Workings - Pack MAR08 PB_10_IBM_Sig Acc and SFOT determination " xfId="3497"/>
    <cellStyle name="_Disclosure Workings - Pack MAR08 PB_31.12.09 Mauritius-USD based ledger - Final1" xfId="3498"/>
    <cellStyle name="_Disclosure Workings - Pack MAR08 PB_Book1 (4)" xfId="3499"/>
    <cellStyle name="_Disclosure Workings - Pack MAR08 PB_Book4" xfId="3500"/>
    <cellStyle name="_Disclosure Workings - Pack MAR08 PB_capital adequacy September 2009" xfId="3501"/>
    <cellStyle name="_Disclosure Workings - Pack MAR08 PB_Circularisation Status Specialised Finance Division 17 Mar 10" xfId="3502"/>
    <cellStyle name="_Disclosure Workings - Pack MAR08 PB_Copy of Mauritius-USD based ledger" xfId="3503"/>
    <cellStyle name="_Disclosure Workings - Pack MAR08 PB_IBM_Grouped(2)" xfId="3504"/>
    <cellStyle name="_Disclosure Workings - Pack MAR08 PB_IBM_Grouped_USD" xfId="3505"/>
    <cellStyle name="_Disclosure Workings - Pack MAR08 PB_IBM_Grouped_ZAR" xfId="3506"/>
    <cellStyle name="_Disclosure Workings - Pack MAR08 PB_Liquidity and repricing" xfId="3507"/>
    <cellStyle name="_Disclosure Workings - Pack MAR08 PB_NOP 2010 01 31 USD BASED" xfId="3508"/>
    <cellStyle name="_Disclosure Workings - Pack MAR08 PB_NOP 2010 01 31 USD BASED_Report Finance" xfId="3509"/>
    <cellStyle name="_Disclosure Workings - Pack MAR08 PB_NOP 2010 02 28 USD BASED Final" xfId="3510"/>
    <cellStyle name="_Disclosure Workings - Pack MAR08 PB_NOP 2010 02 28 USD BASED Final_Report Finance" xfId="3511"/>
    <cellStyle name="_Disclosure Workings - Pack MAR08 PB_NOP 2010 03 31 USD BASEDrevised" xfId="3512"/>
    <cellStyle name="_Disclosure Workings - Pack MAR08 PB_NOP 2010 03 31 USD BASEDrevised_Report Finance" xfId="3513"/>
    <cellStyle name="_Disclosure Workings - Pack MAR08 PB_NOP 2010 04 30" xfId="3514"/>
    <cellStyle name="_Disclosure Workings - Pack MAR08 PB_NOP 2010 04 30_Report Finance" xfId="3515"/>
    <cellStyle name="_Disclosure Workings - Pack MAR08 PB_ORIGINAL NOP 2009 12 31 USD BASED" xfId="3516"/>
    <cellStyle name="_Disclosure Workings - Pack MAR08 PB_ORIGINAL NOP 2009 12 31 USD BASED_Report Finance" xfId="3517"/>
    <cellStyle name="_Disclosure Workings - Pack MAR08 PB_Sheet1" xfId="3518"/>
    <cellStyle name="_Disclosure Workings - Pack MAR08 PL" xfId="3519"/>
    <cellStyle name="_Disclosure Workings - Pack MAR08 PL 2" xfId="3520"/>
    <cellStyle name="_Disclosure Workings - Pack MAR08 PL_(26) Oct-09 (AL)" xfId="3521"/>
    <cellStyle name="_Disclosure Workings - Pack MAR08 PL_(27) Nov-09 (AL)" xfId="3522"/>
    <cellStyle name="_Disclosure Workings - Pack MAR08 PL_10_IBM_PLSF_Circularisation status" xfId="3523"/>
    <cellStyle name="_Disclosure Workings - Pack MAR08 PL_10_IBM_Preliminary PM " xfId="3524"/>
    <cellStyle name="_Disclosure Workings - Pack MAR08 PL_10_IBM_Sig Acc and SFOT determination " xfId="3525"/>
    <cellStyle name="_Disclosure Workings - Pack MAR08 PL_31.12.09 Mauritius-USD based ledger - Final1" xfId="3526"/>
    <cellStyle name="_Disclosure Workings - Pack MAR08 PL_Book1 (4)" xfId="3527"/>
    <cellStyle name="_Disclosure Workings - Pack MAR08 PL_Book4" xfId="3528"/>
    <cellStyle name="_Disclosure Workings - Pack MAR08 PL_capital adequacy September 2009" xfId="3529"/>
    <cellStyle name="_Disclosure Workings - Pack MAR08 PL_Circularisation Status Specialised Finance Division 17 Mar 10" xfId="3530"/>
    <cellStyle name="_Disclosure Workings - Pack MAR08 PL_Copy of Mauritius-USD based ledger" xfId="3531"/>
    <cellStyle name="_Disclosure Workings - Pack MAR08 PL_IBM_Grouped(2)" xfId="3532"/>
    <cellStyle name="_Disclosure Workings - Pack MAR08 PL_IBM_Grouped_USD" xfId="3533"/>
    <cellStyle name="_Disclosure Workings - Pack MAR08 PL_IBM_Grouped_ZAR" xfId="3534"/>
    <cellStyle name="_Disclosure Workings - Pack MAR08 PL_Liquidity and repricing" xfId="3535"/>
    <cellStyle name="_Disclosure Workings - Pack MAR08 PL_NOP 2010 01 31 USD BASED" xfId="3536"/>
    <cellStyle name="_Disclosure Workings - Pack MAR08 PL_NOP 2010 01 31 USD BASED_Report Finance" xfId="3537"/>
    <cellStyle name="_Disclosure Workings - Pack MAR08 PL_NOP 2010 02 28 USD BASED Final" xfId="3538"/>
    <cellStyle name="_Disclosure Workings - Pack MAR08 PL_NOP 2010 02 28 USD BASED Final_Report Finance" xfId="3539"/>
    <cellStyle name="_Disclosure Workings - Pack MAR08 PL_NOP 2010 03 31 USD BASEDrevised" xfId="3540"/>
    <cellStyle name="_Disclosure Workings - Pack MAR08 PL_NOP 2010 03 31 USD BASEDrevised_Report Finance" xfId="3541"/>
    <cellStyle name="_Disclosure Workings - Pack MAR08 PL_NOP 2010 04 30" xfId="3542"/>
    <cellStyle name="_Disclosure Workings - Pack MAR08 PL_NOP 2010 04 30_Report Finance" xfId="3543"/>
    <cellStyle name="_Disclosure Workings - Pack MAR08 PL_ORIGINAL NOP 2009 12 31 USD BASED" xfId="3544"/>
    <cellStyle name="_Disclosure Workings - Pack MAR08 PL_ORIGINAL NOP 2009 12 31 USD BASED_Report Finance" xfId="3545"/>
    <cellStyle name="_Disclosure Workings - Pack MAR08 PL_Sheet1" xfId="3546"/>
    <cellStyle name="_DV01" xfId="3547"/>
    <cellStyle name="_DV01 2" xfId="3548"/>
    <cellStyle name="_DV01_10_IBM_Bank Recon" xfId="3549"/>
    <cellStyle name="_DV01_10_IBM_J8_Cash Cut Off" xfId="3550"/>
    <cellStyle name="_DV01_10_IBM_PLSF_Circularisation status" xfId="3551"/>
    <cellStyle name="_DV01_Sheet1" xfId="3552"/>
    <cellStyle name="_E-4.1 Loans list " xfId="3553"/>
    <cellStyle name="_E-4.1 Loans list _Circularisation Status Specialised Finance Division 17 Mar 10" xfId="3554"/>
    <cellStyle name="_E-4.1 Loans list _Sheet1" xfId="3555"/>
    <cellStyle name="_ems10223_my" xfId="3556"/>
    <cellStyle name="_ems10223_my_Sheet1" xfId="3557"/>
    <cellStyle name="_Essbase YTD Summary 31-Jan-09" xfId="3558"/>
    <cellStyle name="_Essbase YTD Summary 31-Jan-09_Circularisation Status Specialised Finance Division 17 Mar 10" xfId="3559"/>
    <cellStyle name="_Essbase YTD Summary 31-Jan-09_Sheet1" xfId="3560"/>
    <cellStyle name="_ET ABS CDO III Portfolio" xfId="3561"/>
    <cellStyle name="_ET ABS CDO III Portfolio-closing" xfId="3562"/>
    <cellStyle name="_Euro" xfId="3563"/>
    <cellStyle name="_EX RATE" xfId="3564"/>
    <cellStyle name="_EX RATE_Circularisation Status Specialised Finance Division 17 Mar 10" xfId="3565"/>
    <cellStyle name="_EX RATE_Sheet1" xfId="3566"/>
    <cellStyle name="_Example 1" xfId="3567"/>
    <cellStyle name="_Example 1_Sheet1" xfId="3568"/>
    <cellStyle name="_example inv disposalNikanor" xfId="3569"/>
    <cellStyle name="_example inv disposalNikanor_10_IBM_Bank Recon" xfId="3570"/>
    <cellStyle name="_example inv disposalNikanor_10_IBM_J8_Cash Cut Off" xfId="3571"/>
    <cellStyle name="_example inv disposalNikanor_10_IBM_PLSF_Circularisation status" xfId="3572"/>
    <cellStyle name="_example inv disposalNikanor_Sheet1" xfId="3573"/>
    <cellStyle name="_F Lakes3" xfId="3574"/>
    <cellStyle name="_F Lakes3_Sheet1" xfId="3575"/>
    <cellStyle name="_f_in" xfId="3576"/>
    <cellStyle name="_f_tbl" xfId="3577"/>
    <cellStyle name="_Factor Exposure" xfId="3578"/>
    <cellStyle name="_Factor Exposure_Sheet1" xfId="3579"/>
    <cellStyle name="_Feuil1" xfId="3580"/>
    <cellStyle name="_Feuil1 2" xfId="3581"/>
    <cellStyle name="_Feuil1_10_IBM_Bank Recon" xfId="3582"/>
    <cellStyle name="_Feuil1_10_IBM_J8_Cash Cut Off" xfId="3583"/>
    <cellStyle name="_Feuil1_10_IBM_PLSF_Circularisation status" xfId="3584"/>
    <cellStyle name="_Feuil1_Sheet1" xfId="3585"/>
    <cellStyle name="_FIFES" xfId="3586"/>
    <cellStyle name="_Fitch Input" xfId="3587"/>
    <cellStyle name="_Fitch Inputs" xfId="3588"/>
    <cellStyle name="_Fitch VECTOR" xfId="3589"/>
    <cellStyle name="_Fitch_MATRIX" xfId="3590"/>
    <cellStyle name="_Fitch_VECTOR_Model" xfId="3591"/>
    <cellStyle name="_Fitch_VECTOR_Model_Correlation Matrix" xfId="3592"/>
    <cellStyle name="_Fitch_VECTOR_Model_Factor Exposure" xfId="3593"/>
    <cellStyle name="_Fitch_VECTOR_Model_Portfolio Definition" xfId="3594"/>
    <cellStyle name="_Fitch_VECTOR_Model_Recovery Rates" xfId="3595"/>
    <cellStyle name="_Fitch_VECTOR_Model2.0" xfId="3596"/>
    <cellStyle name="_FP BS Audit Schedules - Apr 07" xfId="3597"/>
    <cellStyle name="_FP BS Audit Schedules - Aug 07" xfId="3598"/>
    <cellStyle name="_FP BS Audit Schedules - Jun 07" xfId="3599"/>
    <cellStyle name="_FP BS Audit Schedules - Mar 07" xfId="3600"/>
    <cellStyle name="_FP BS Audit Schedules - May 07" xfId="3601"/>
    <cellStyle name="_FP BS Audit Schedules - Nov 07" xfId="3602"/>
    <cellStyle name="_FP BS Audit Schedules - SepV1 07" xfId="3603"/>
    <cellStyle name="_Funded-CDX-DG-013105" xfId="3604"/>
    <cellStyle name="_Funded-CDX-DG-013105_Sheet1" xfId="3605"/>
    <cellStyle name="_FV of Derivatives - 31.03.08" xfId="3606"/>
    <cellStyle name="_FV of Derivatives - 31.03.08_Circularisation Status Specialised Finance Division 17 Mar 10" xfId="3607"/>
    <cellStyle name="_FV of Derivatives - 31.03.08_Sheet1" xfId="3608"/>
    <cellStyle name="_General Prov IBM Jan 08" xfId="3609"/>
    <cellStyle name="_General Prov IBM Jan 08_10_IBM_Bank Recon" xfId="3610"/>
    <cellStyle name="_General Prov IBM Jan 08_10_IBM_J8_Cash Cut Off" xfId="3611"/>
    <cellStyle name="_General Prov IBM Jan 08_10_IBM_PLSF_Circularisation status" xfId="3612"/>
    <cellStyle name="_General Prov IBM Jan 08_Sheet1" xfId="3613"/>
    <cellStyle name="_getdata" xfId="3614"/>
    <cellStyle name="_getdata_Sheet1" xfId="3615"/>
    <cellStyle name="_GLACIER III" xfId="3616"/>
    <cellStyle name="_GLACIER III_Sheet1" xfId="3617"/>
    <cellStyle name="_Groups" xfId="3618"/>
    <cellStyle name="_H-" xfId="3619"/>
    <cellStyle name="_H - Scenario" xfId="3620"/>
    <cellStyle name="_H-_Sheet1" xfId="3621"/>
    <cellStyle name="_headers" xfId="3622"/>
    <cellStyle name="_headers 2" xfId="3623"/>
    <cellStyle name="_headers_10_IBM_Bank Recon" xfId="3624"/>
    <cellStyle name="_headers_10_IBM_J8_Cash Cut Off" xfId="3625"/>
    <cellStyle name="_headers_10_IBM_PLSF_Circularisation status" xfId="3626"/>
    <cellStyle name="_headers_Sheet1" xfId="3627"/>
    <cellStyle name="_Heading" xfId="3628"/>
    <cellStyle name="_Highlight" xfId="3629"/>
    <cellStyle name="_IBL Consol March 2009 15.05" xfId="3630"/>
    <cellStyle name="_IBM financial statements - 31 March 2009 - Final version" xfId="3631"/>
    <cellStyle name="_IBM financial statements - 31 March 2009 - Final version_Circularisation Status Specialised Finance Division 17 Mar 10" xfId="3632"/>
    <cellStyle name="_IBM financial statements - 31 March 2009 - Final version_Sheet1" xfId="3633"/>
    <cellStyle name="_IBM_Circularisation Status @ 24 Apr 08_B" xfId="3634"/>
    <cellStyle name="_IBM_Circularisation Status @ 24 Apr 08_B Modified" xfId="3635"/>
    <cellStyle name="_IBM_Circularisation Status @ 24 Apr 08_B Modified_Circularisation Status Specialised Finance Division 17 Mar 10" xfId="3636"/>
    <cellStyle name="_IBM_Circularisation Status @ 24 Apr 08_B Modified_Sheet1" xfId="3637"/>
    <cellStyle name="_IBM_Circularisation Status @ 24 Apr 08_B_Circularisation Status Specialised Finance Division 17 Mar 10" xfId="3638"/>
    <cellStyle name="_IBM_Circularisation Status @ 24 Apr 08_B_Sheet1" xfId="3639"/>
    <cellStyle name="_IBM_MAR 08 INCLUDING clos" xfId="3640"/>
    <cellStyle name="_IBM_MAR 08 INCLUDING clos_Report Finance" xfId="3641"/>
    <cellStyle name="_IBM_MAR 08 INCLUDING clos_Sheet1" xfId="3642"/>
    <cellStyle name="_IBP Mar09" xfId="3643"/>
    <cellStyle name="_Info Sheet" xfId="3644"/>
    <cellStyle name="_Info Sheet_Sheet1" xfId="3645"/>
    <cellStyle name="_Inman  - Static ABS Deal" xfId="3646"/>
    <cellStyle name="_Inman  - Static ABS Deal_Sheet1" xfId="3647"/>
    <cellStyle name="_Inputs" xfId="3648"/>
    <cellStyle name="_interdiv" xfId="3649"/>
    <cellStyle name="_interdiv P&amp;L" xfId="3650"/>
    <cellStyle name="_interdiv P&amp;L_10_IBM_Bank Recon" xfId="3651"/>
    <cellStyle name="_interdiv P&amp;L_10_IBM_J8_Cash Cut Off" xfId="3652"/>
    <cellStyle name="_interdiv P&amp;L_10_IBM_PLSF_Circularisation status" xfId="3653"/>
    <cellStyle name="_interdiv P&amp;L_Sheet1" xfId="3654"/>
    <cellStyle name="_interdiv_10_IBM_Bank Recon" xfId="3655"/>
    <cellStyle name="_interdiv_10_IBM_J8_Cash Cut Off" xfId="3656"/>
    <cellStyle name="_interdiv_10_IBM_PLSF_Circularisation status" xfId="3657"/>
    <cellStyle name="_interdiv_scap" xfId="3658"/>
    <cellStyle name="_interdiv_scap_10_IBM_Bank Recon" xfId="3659"/>
    <cellStyle name="_interdiv_scap_10_IBM_J8_Cash Cut Off" xfId="3660"/>
    <cellStyle name="_interdiv_scap_10_IBM_PLSF_Circularisation status" xfId="3661"/>
    <cellStyle name="_interdiv_scap_Sheet1" xfId="3662"/>
    <cellStyle name="_interdiv_Sheet1" xfId="3663"/>
    <cellStyle name="_InterdivInterco_PLT" xfId="3664"/>
    <cellStyle name="_InterdivInterco_PLT_10_IBM_Bank Recon" xfId="3665"/>
    <cellStyle name="_InterdivInterco_PLT_10_IBM_J8_Cash Cut Off" xfId="3666"/>
    <cellStyle name="_InterdivInterco_PLT_10_IBM_PLSF_Circularisation status" xfId="3667"/>
    <cellStyle name="_InterdivInterco_PLT_Sheet1" xfId="3668"/>
    <cellStyle name="_Interims - Kensington template_300907v1" xfId="3669"/>
    <cellStyle name="_ITML YP 0809" xfId="3670"/>
    <cellStyle name="_ITML YP 0809_(19) Loan Feb-11(Feb-11 figures)" xfId="3671"/>
    <cellStyle name="_ITML YP 0809_10_IBM_Preliminary PM " xfId="3672"/>
    <cellStyle name="_ITML YP 0809_10_IBM_Sig Acc and SFOT determination " xfId="3673"/>
    <cellStyle name="_ITML YP 0809_Book1 (4)" xfId="3674"/>
    <cellStyle name="_ITML YP 0809_Circularisation Status Specialised Finance Division 17 Mar 10" xfId="3675"/>
    <cellStyle name="_IVY Detailed Collateral CDO sheet" xfId="3676"/>
    <cellStyle name="_JP_Residual" xfId="3677"/>
    <cellStyle name="_JP_Residual_Circularisation Status Specialised Finance Division 17 Mar 10" xfId="3678"/>
    <cellStyle name="_JP_Residual_Sheet1" xfId="3679"/>
    <cellStyle name="_junk" xfId="3680"/>
    <cellStyle name="_junk_Sheet1" xfId="3681"/>
    <cellStyle name="_Kefton CDO Detail File" xfId="3682"/>
    <cellStyle name="_LatAm" xfId="3683"/>
    <cellStyle name="_LatAm_Sheet1" xfId="3684"/>
    <cellStyle name="_Liabilities" xfId="3685"/>
    <cellStyle name="_Liabilities_Sheet1" xfId="3686"/>
    <cellStyle name="_Loan by DI sector" xfId="3687"/>
    <cellStyle name="_Loan by DI sector_Sheet1" xfId="3688"/>
    <cellStyle name="_Loan by DI sectors" xfId="3689"/>
    <cellStyle name="_Loan by DI sectors_Report Finance" xfId="3690"/>
    <cellStyle name="_Loan by DI sectors_Sheet1" xfId="3691"/>
    <cellStyle name="_Loan by DI sectors-Original" xfId="3692"/>
    <cellStyle name="_Loan by DI sectors-Original_Report Finance" xfId="3693"/>
    <cellStyle name="_Loan by DI sectors-Original_Sheet1" xfId="3694"/>
    <cellStyle name="_Loan listing" xfId="3695"/>
    <cellStyle name="_Loan Listing 31 Jan 09" xfId="3696"/>
    <cellStyle name="_Loan Listing 31 Jan 09_Circularisation Status Specialised Finance Division 17 Mar 10" xfId="3697"/>
    <cellStyle name="_Loan Listing 31 Jan 09_Sheet1" xfId="3698"/>
    <cellStyle name="_Loan listing_Sheet1" xfId="3699"/>
    <cellStyle name="_Loans after decision has been taken" xfId="3700"/>
    <cellStyle name="_Loans after decision has been taken_10_IBM_Bank Recon" xfId="3701"/>
    <cellStyle name="_Loans after decision has been taken_10_IBM_J8_Cash Cut Off" xfId="3702"/>
    <cellStyle name="_Loans after decision has been taken_10_IBM_PLSF_Circularisation status" xfId="3703"/>
    <cellStyle name="_Loans after decision has been taken_Sheet1" xfId="3704"/>
    <cellStyle name="_loans mar 09" xfId="3705"/>
    <cellStyle name="_LOOKUP" xfId="3706"/>
    <cellStyle name="_LOOKUP 2" xfId="3707"/>
    <cellStyle name="_lookup sheet" xfId="3708"/>
    <cellStyle name="_lookup sheet_Report Finance" xfId="3709"/>
    <cellStyle name="_lookup sheet_Sheet1" xfId="3710"/>
    <cellStyle name="_LOOKUP_(05) CAR Dec-07" xfId="3711"/>
    <cellStyle name="_LOOKUP_(05) CAR Dec-07 2" xfId="3712"/>
    <cellStyle name="_LOOKUP_(05) CAR Dec-07_(26) Oct-09 (AL)" xfId="3713"/>
    <cellStyle name="_LOOKUP_(05) CAR Dec-07_(27) Nov-09 (AL)" xfId="3714"/>
    <cellStyle name="_LOOKUP_(05) CAR Dec-07_09_IBM_A5.6.3_Sig Acc and SFOT Determination" xfId="3715"/>
    <cellStyle name="_LOOKUP_(05) CAR Dec-07_09_IBM_Preliminary PM (Interim) 31.03.010" xfId="3716"/>
    <cellStyle name="_LOOKUP_(05) CAR Dec-07_10_IBM_Bank Recon" xfId="3717"/>
    <cellStyle name="_LOOKUP_(05) CAR Dec-07_10_IBM_J8_Cash Cut Off" xfId="3718"/>
    <cellStyle name="_LOOKUP_(05) CAR Dec-07_10_IBM_Other liabilities" xfId="3719"/>
    <cellStyle name="_LOOKUP_(05) CAR Dec-07_10_IBM_PLSF_Circularisation status" xfId="3720"/>
    <cellStyle name="_LOOKUP_(05) CAR Dec-07_10_IBM_Preliminary PM " xfId="3721"/>
    <cellStyle name="_LOOKUP_(05) CAR Dec-07_10_IBM_Sig Acc and SFOT determination " xfId="3722"/>
    <cellStyle name="_LOOKUP_(05) CAR Dec-07_31.12.09 Mauritius-USD based ledger - Final1" xfId="3723"/>
    <cellStyle name="_LOOKUP_(05) CAR Dec-07_Book1 (4)" xfId="3724"/>
    <cellStyle name="_LOOKUP_(05) CAR Dec-07_Book4" xfId="3725"/>
    <cellStyle name="_LOOKUP_(05) CAR Dec-07_capital adequacy September 2009" xfId="3726"/>
    <cellStyle name="_LOOKUP_(05) CAR Dec-07_Circularisation Status Specialised Finance Division 17 Mar 10" xfId="3727"/>
    <cellStyle name="_LOOKUP_(05) CAR Dec-07_Copy of Mauritius-USD based ledger" xfId="3728"/>
    <cellStyle name="_LOOKUP_(05) CAR Dec-07_IBM_Grouped(2)" xfId="3729"/>
    <cellStyle name="_LOOKUP_(05) CAR Dec-07_IBM_Grouped_USD" xfId="3730"/>
    <cellStyle name="_LOOKUP_(05) CAR Dec-07_IBM_Grouped_ZAR" xfId="3731"/>
    <cellStyle name="_LOOKUP_(05) CAR Dec-07_Liquidity and repricing" xfId="3732"/>
    <cellStyle name="_LOOKUP_(05) CAR Dec-07_NOP 2010 01 31 USD BASED" xfId="3733"/>
    <cellStyle name="_LOOKUP_(05) CAR Dec-07_NOP 2010 01 31 USD BASED_Report Finance" xfId="3734"/>
    <cellStyle name="_LOOKUP_(05) CAR Dec-07_NOP 2010 02 28 USD BASED Final" xfId="3735"/>
    <cellStyle name="_LOOKUP_(05) CAR Dec-07_NOP 2010 02 28 USD BASED Final_Report Finance" xfId="3736"/>
    <cellStyle name="_LOOKUP_(05) CAR Dec-07_NOP 2010 03 31 USD BASEDrevised" xfId="3737"/>
    <cellStyle name="_LOOKUP_(05) CAR Dec-07_NOP 2010 03 31 USD BASEDrevised_Report Finance" xfId="3738"/>
    <cellStyle name="_LOOKUP_(05) CAR Dec-07_NOP 2010 04 30" xfId="3739"/>
    <cellStyle name="_LOOKUP_(05) CAR Dec-07_NOP 2010 04 30_Report Finance" xfId="3740"/>
    <cellStyle name="_LOOKUP_(05) CAR Dec-07_ORIGINAL NOP 2009 12 31 USD BASED" xfId="3741"/>
    <cellStyle name="_LOOKUP_(05) CAR Dec-07_ORIGINAL NOP 2009 12 31 USD BASED_Report Finance" xfId="3742"/>
    <cellStyle name="_LOOKUP_(05) CAR Dec-07_Sheet1" xfId="3743"/>
    <cellStyle name="_LOOKUP_(26) Oct-09 (AL)" xfId="3744"/>
    <cellStyle name="_LOOKUP_(27) Nov-09 (AL)" xfId="3745"/>
    <cellStyle name="_LOOKUP_08_IBM_A2.2.1 to A2.2.15_Statutory workings - 31 03 08" xfId="3746"/>
    <cellStyle name="_LOOKUP_08_IBM_A2.2.1 to A2.2.15_Statutory workings - 31 03 08_10_IBM_PLSF_Circularisation status" xfId="3747"/>
    <cellStyle name="_LOOKUP_08_IBM_A2.2.1 to A2.2.15_Statutory workings - 31 03 08_10_IBM_Preliminary PM " xfId="3748"/>
    <cellStyle name="_LOOKUP_08_IBM_A2.2.1 to A2.2.15_Statutory workings - 31 03 08_10_IBM_Sig Acc and SFOT determination " xfId="3749"/>
    <cellStyle name="_LOOKUP_08_IBM_A2.2.1 to A2.2.15_Statutory workings - 31 03 08_31.12.09 Mauritius-USD based ledger - Final1" xfId="3750"/>
    <cellStyle name="_LOOKUP_08_IBM_A2.2.1 to A2.2.15_Statutory workings - 31 03 08_Book4" xfId="3751"/>
    <cellStyle name="_LOOKUP_08_IBM_A2.2.1 to A2.2.15_Statutory workings - 31 03 08_Book5" xfId="3752"/>
    <cellStyle name="_LOOKUP_08_IBM_A2.2.1 to A2.2.15_Statutory workings - 31 03 08_Book5_(19) Loan Feb-11(Feb-11 figures)" xfId="3753"/>
    <cellStyle name="_LOOKUP_08_IBM_A2.2.1 to A2.2.15_Statutory workings - 31 03 08_Circularisation Status Specialised Finance Division 17 Mar 10" xfId="3754"/>
    <cellStyle name="_LOOKUP_08_IBM_A2.2.1 to A2.2.15_Statutory workings - 31 03 08_RELATED PARTY-2010 05 31" xfId="3755"/>
    <cellStyle name="_LOOKUP_08_IBM_A2.2.1 to A2.2.15_Statutory workings - 31 03 08_RELATED PARTY-2010 05 31_(19) Loan Feb-11(Feb-11 figures)" xfId="3756"/>
    <cellStyle name="_LOOKUP_09_IBM_A5.6.3_Sig Acc and SFOT Determination" xfId="3757"/>
    <cellStyle name="_LOOKUP_09_IBM_Pre-Final WP_Share capital_BS_H4 - N4_07.04.09" xfId="3758"/>
    <cellStyle name="_LOOKUP_09_IBM_Preliminary PM (Interim) 31.03.010" xfId="3759"/>
    <cellStyle name="_LOOKUP_09_Sep_IBM_Final WP_Share capital_BS_F-4_Investments" xfId="3760"/>
    <cellStyle name="_LOOKUP_10_IBM_Bank Recon" xfId="3761"/>
    <cellStyle name="_LOOKUP_10_IBM_J8_Cash Cut Off" xfId="3762"/>
    <cellStyle name="_LOOKUP_10_IBM_Other liabilities" xfId="3763"/>
    <cellStyle name="_LOOKUP_10_IBM_PLSF_Circularisation status" xfId="3764"/>
    <cellStyle name="_LOOKUP_10_IBM_Preliminary PM " xfId="3765"/>
    <cellStyle name="_LOOKUP_10_IBM_Sig Acc and SFOT determination " xfId="3766"/>
    <cellStyle name="_LOOKUP_31.12.09 Mauritius-USD based ledger - Final1" xfId="3767"/>
    <cellStyle name="_LOOKUP_audit adjustment 2007" xfId="3768"/>
    <cellStyle name="_LOOKUP_audit adjustment 2007 2" xfId="3769"/>
    <cellStyle name="_LOOKUP_audit adjustment 2007_(26) Oct-09 (AL)" xfId="3770"/>
    <cellStyle name="_LOOKUP_audit adjustment 2007_(27) Nov-09 (AL)" xfId="3771"/>
    <cellStyle name="_LOOKUP_audit adjustment 2007_09_IBM_A5.6.3_Sig Acc and SFOT Determination" xfId="3772"/>
    <cellStyle name="_LOOKUP_audit adjustment 2007_09_IBM_Preliminary PM (Interim) 31.03.010" xfId="3773"/>
    <cellStyle name="_LOOKUP_audit adjustment 2007_10_IBM_Bank Recon" xfId="3774"/>
    <cellStyle name="_LOOKUP_audit adjustment 2007_10_IBM_J8_Cash Cut Off" xfId="3775"/>
    <cellStyle name="_LOOKUP_audit adjustment 2007_10_IBM_Other liabilities" xfId="3776"/>
    <cellStyle name="_LOOKUP_audit adjustment 2007_10_IBM_PLSF_Circularisation status" xfId="3777"/>
    <cellStyle name="_LOOKUP_audit adjustment 2007_10_IBM_Preliminary PM " xfId="3778"/>
    <cellStyle name="_LOOKUP_audit adjustment 2007_10_IBM_Sig Acc and SFOT determination " xfId="3779"/>
    <cellStyle name="_LOOKUP_audit adjustment 2007_31.12.09 Mauritius-USD based ledger - Final1" xfId="3780"/>
    <cellStyle name="_LOOKUP_audit adjustment 2007_Book1 (4)" xfId="3781"/>
    <cellStyle name="_LOOKUP_audit adjustment 2007_Book4" xfId="3782"/>
    <cellStyle name="_LOOKUP_audit adjustment 2007_capital adequacy September 2009" xfId="3783"/>
    <cellStyle name="_LOOKUP_audit adjustment 2007_Circularisation Status Specialised Finance Division 17 Mar 10" xfId="3784"/>
    <cellStyle name="_LOOKUP_audit adjustment 2007_Copy of Mauritius-USD based ledger" xfId="3785"/>
    <cellStyle name="_LOOKUP_audit adjustment 2007_IBM_Grouped(2)" xfId="3786"/>
    <cellStyle name="_LOOKUP_audit adjustment 2007_IBM_Grouped_USD" xfId="3787"/>
    <cellStyle name="_LOOKUP_audit adjustment 2007_IBM_Grouped_ZAR" xfId="3788"/>
    <cellStyle name="_LOOKUP_audit adjustment 2007_Liquidity and repricing" xfId="3789"/>
    <cellStyle name="_LOOKUP_audit adjustment 2007_NOP 2010 01 31 USD BASED" xfId="3790"/>
    <cellStyle name="_LOOKUP_audit adjustment 2007_NOP 2010 01 31 USD BASED_Report Finance" xfId="3791"/>
    <cellStyle name="_LOOKUP_audit adjustment 2007_NOP 2010 02 28 USD BASED Final" xfId="3792"/>
    <cellStyle name="_LOOKUP_audit adjustment 2007_NOP 2010 02 28 USD BASED Final_Report Finance" xfId="3793"/>
    <cellStyle name="_LOOKUP_audit adjustment 2007_NOP 2010 03 31 USD BASEDrevised" xfId="3794"/>
    <cellStyle name="_LOOKUP_audit adjustment 2007_NOP 2010 03 31 USD BASEDrevised_Report Finance" xfId="3795"/>
    <cellStyle name="_LOOKUP_audit adjustment 2007_NOP 2010 04 30" xfId="3796"/>
    <cellStyle name="_LOOKUP_audit adjustment 2007_NOP 2010 04 30_Report Finance" xfId="3797"/>
    <cellStyle name="_LOOKUP_audit adjustment 2007_ORIGINAL NOP 2009 12 31 USD BASED" xfId="3798"/>
    <cellStyle name="_LOOKUP_audit adjustment 2007_ORIGINAL NOP 2009 12 31 USD BASED_Report Finance" xfId="3799"/>
    <cellStyle name="_LOOKUP_audit adjustment 2007_Sheet1" xfId="3800"/>
    <cellStyle name="_LOOKUP_BA 610 wkgs &amp; Return - 30 Jun 08" xfId="3801"/>
    <cellStyle name="_LOOKUP_BA 610 wkgs &amp; Return - 30 Jun 08_10_IBM_PLSF_Circularisation status" xfId="3802"/>
    <cellStyle name="_LOOKUP_BA 610 wkgs &amp; Return - 30 Jun 08_10_IBM_Preliminary PM " xfId="3803"/>
    <cellStyle name="_LOOKUP_BA 610 wkgs &amp; Return - 30 Jun 08_10_IBM_Sig Acc and SFOT determination " xfId="3804"/>
    <cellStyle name="_LOOKUP_BA 610 wkgs &amp; Return - 30 Jun 09" xfId="3805"/>
    <cellStyle name="_LOOKUP_BA 610 wkgs &amp; Return - 30 Sep 08" xfId="3806"/>
    <cellStyle name="_LOOKUP_BA 610 wkgs &amp; Return - 30 Sep 08_10_IBM_PLSF_Circularisation status" xfId="3807"/>
    <cellStyle name="_LOOKUP_BA 610 wkgs &amp; Return - 30 Sep 08_10_IBM_Preliminary PM " xfId="3808"/>
    <cellStyle name="_LOOKUP_BA 610 wkgs &amp; Return - 30 Sep 08_10_IBM_Sig Acc and SFOT determination " xfId="3809"/>
    <cellStyle name="_LOOKUP_BA 610 wkgs &amp; Return - 31 Dec 08" xfId="3810"/>
    <cellStyle name="_LOOKUP_BA 610 wkgs &amp; Return - 31 Dec 08 LATEST" xfId="3811"/>
    <cellStyle name="_LOOKUP_BA 610 wkgs &amp; Return - 31 Dec 08_10_IBM_PLSF_Circularisation status" xfId="3812"/>
    <cellStyle name="_LOOKUP_BA 610 wkgs &amp; Return - 31 Dec 08_10_IBM_Preliminary PM " xfId="3813"/>
    <cellStyle name="_LOOKUP_BA 610 wkgs &amp; Return - 31 Dec 08_10_IBM_Sig Acc and SFOT determination " xfId="3814"/>
    <cellStyle name="_LOOKUP_BA 610 wkgs -31.03.08(Version 2)" xfId="3815"/>
    <cellStyle name="_LOOKUP_BA 610 wkgs -31.03.08(Version 2)_10_IBM_PLSF_Circularisation status" xfId="3816"/>
    <cellStyle name="_LOOKUP_BA 610 wkgs -31.03.08(Version 2)_10_IBM_Preliminary PM " xfId="3817"/>
    <cellStyle name="_LOOKUP_BA 610 wkgs -31.03.08(Version 2)_10_IBM_Sig Acc and SFOT determination " xfId="3818"/>
    <cellStyle name="_LOOKUP_Book1" xfId="3819"/>
    <cellStyle name="_LOOKUP_Book1 (3)" xfId="3820"/>
    <cellStyle name="_LOOKUP_Book1 (4)" xfId="3821"/>
    <cellStyle name="_LOOKUP_Book1_1" xfId="3822"/>
    <cellStyle name="_LOOKUP_Book1_1_10_IBM_PLSF_Circularisation status" xfId="3823"/>
    <cellStyle name="_LOOKUP_Book1_1_10_IBM_Preliminary PM " xfId="3824"/>
    <cellStyle name="_LOOKUP_Book1_1_10_IBM_Sig Acc and SFOT determination " xfId="3825"/>
    <cellStyle name="_LOOKUP_Book1_10_IBM_PLSF_Circularisation status" xfId="3826"/>
    <cellStyle name="_LOOKUP_Book1_10_IBM_Preliminary PM " xfId="3827"/>
    <cellStyle name="_LOOKUP_Book1_10_IBM_Sig Acc and SFOT determination " xfId="3828"/>
    <cellStyle name="_LOOKUP_Book1_31.12.09 Mauritius-USD based ledger - Final1" xfId="3829"/>
    <cellStyle name="_LOOKUP_Book1_Book4" xfId="3830"/>
    <cellStyle name="_LOOKUP_Book1_Book5" xfId="3831"/>
    <cellStyle name="_LOOKUP_Book1_Book5_(19) Loan Feb-11(Feb-11 figures)" xfId="3832"/>
    <cellStyle name="_LOOKUP_Book1_capital adequacy September 2009" xfId="3833"/>
    <cellStyle name="_LOOKUP_Book1_Circularisation Status Specialised Finance Division 17 Mar 10" xfId="3834"/>
    <cellStyle name="_LOOKUP_Book1_Copy of Mauritius-USD based ledger" xfId="3835"/>
    <cellStyle name="_LOOKUP_Book1_Ops risk Mauritius - Sep 09 split stephanie after adjusment conversion" xfId="3836"/>
    <cellStyle name="_LOOKUP_Book1_RELATED PARTY-2010 05 31" xfId="3837"/>
    <cellStyle name="_LOOKUP_Book1_RELATED PARTY-2010 05 31_(19) Loan Feb-11(Feb-11 figures)" xfId="3838"/>
    <cellStyle name="_LOOKUP_Book2 (2)" xfId="3839"/>
    <cellStyle name="_LOOKUP_Book3" xfId="3840"/>
    <cellStyle name="_LOOKUP_Book3_10_IBM_PLSF_Circularisation status" xfId="3841"/>
    <cellStyle name="_LOOKUP_Book3_10_IBM_Preliminary PM " xfId="3842"/>
    <cellStyle name="_LOOKUP_Book3_10_IBM_Sig Acc and SFOT determination " xfId="3843"/>
    <cellStyle name="_LOOKUP_Book3_31.12.09 Mauritius-USD based ledger - Final1" xfId="3844"/>
    <cellStyle name="_LOOKUP_Book3_Book4" xfId="3845"/>
    <cellStyle name="_LOOKUP_Book3_Book5" xfId="3846"/>
    <cellStyle name="_LOOKUP_Book3_Book5_(19) Loan Feb-11(Feb-11 figures)" xfId="3847"/>
    <cellStyle name="_LOOKUP_Book3_capital adequacy September 2009" xfId="3848"/>
    <cellStyle name="_LOOKUP_Book3_Circularisation Status Specialised Finance Division 17 Mar 10" xfId="3849"/>
    <cellStyle name="_LOOKUP_Book3_Copy of Mauritius-USD based ledger" xfId="3850"/>
    <cellStyle name="_LOOKUP_Book3_Ops risk Mauritius - Sep 09 split stephanie after adjusment conversion" xfId="3851"/>
    <cellStyle name="_LOOKUP_Book3_RELATED PARTY-2010 05 31" xfId="3852"/>
    <cellStyle name="_LOOKUP_Book3_RELATED PARTY-2010 05 31_(19) Loan Feb-11(Feb-11 figures)" xfId="3853"/>
    <cellStyle name="_LOOKUP_Book4" xfId="3854"/>
    <cellStyle name="_LOOKUP_Book5 (2)" xfId="3855"/>
    <cellStyle name="_LOOKUP_Book5 (2) 2" xfId="3856"/>
    <cellStyle name="_LOOKUP_Book5 (2)_10_IBM_Bank Recon" xfId="3857"/>
    <cellStyle name="_LOOKUP_Book5 (2)_10_IBM_J8_Cash Cut Off" xfId="3858"/>
    <cellStyle name="_LOOKUP_Book5 (2)_10_IBM_PLSF_Circularisation status" xfId="3859"/>
    <cellStyle name="_LOOKUP_Book5 (2)_Sheet1" xfId="3860"/>
    <cellStyle name="_LOOKUP_Book6" xfId="3861"/>
    <cellStyle name="_LOOKUP_Book6_10_IBM_PLSF_Circularisation status" xfId="3862"/>
    <cellStyle name="_LOOKUP_Book6_10_IBM_Preliminary PM " xfId="3863"/>
    <cellStyle name="_LOOKUP_Book6_10_IBM_Sig Acc and SFOT determination " xfId="3864"/>
    <cellStyle name="_LOOKUP_Book6_31.12.09 Mauritius-USD based ledger - Final1" xfId="3865"/>
    <cellStyle name="_LOOKUP_Book6_Book4" xfId="3866"/>
    <cellStyle name="_LOOKUP_Book6_Book5" xfId="3867"/>
    <cellStyle name="_LOOKUP_Book6_Book5_(19) Loan Feb-11(Feb-11 figures)" xfId="3868"/>
    <cellStyle name="_LOOKUP_Book6_capital adequacy September 2009" xfId="3869"/>
    <cellStyle name="_LOOKUP_Book6_Circularisation Status Specialised Finance Division 17 Mar 10" xfId="3870"/>
    <cellStyle name="_LOOKUP_Book6_Copy of Mauritius-USD based ledger" xfId="3871"/>
    <cellStyle name="_LOOKUP_Book6_Ops risk Mauritius - Sep 09 split stephanie after adjusment conversion" xfId="3872"/>
    <cellStyle name="_LOOKUP_Book6_RELATED PARTY-2010 05 31" xfId="3873"/>
    <cellStyle name="_LOOKUP_Book6_RELATED PARTY-2010 05 31_(19) Loan Feb-11(Feb-11 figures)" xfId="3874"/>
    <cellStyle name="_LOOKUP_BS - Mar 09" xfId="3875"/>
    <cellStyle name="_LOOKUP_capital adequacy September 2009" xfId="3876"/>
    <cellStyle name="_LOOKUP_Circularisation Status Specialised Finance Division 17 Mar 10" xfId="3877"/>
    <cellStyle name="_LOOKUP_Detailed BS Dec 07" xfId="3878"/>
    <cellStyle name="_LOOKUP_Detailed BS Dec 07 2" xfId="3879"/>
    <cellStyle name="_LOOKUP_Detailed BS Dec 07_10_IBM_Bank Recon" xfId="3880"/>
    <cellStyle name="_LOOKUP_Detailed BS Dec 07_10_IBM_J8_Cash Cut Off" xfId="3881"/>
    <cellStyle name="_LOOKUP_Detailed BS Dec 07_10_IBM_PLSF_Circularisation status" xfId="3882"/>
    <cellStyle name="_LOOKUP_Detailed BS Dec 07_Avearge retrieval" xfId="3883"/>
    <cellStyle name="_LOOKUP_Detailed BS Dec 07_Avearge retrieval 2" xfId="3884"/>
    <cellStyle name="_LOOKUP_Detailed BS Dec 07_Avearge retrieval_(26) Oct-09 (AL)" xfId="3885"/>
    <cellStyle name="_LOOKUP_Detailed BS Dec 07_Avearge retrieval_(27) Nov-09 (AL)" xfId="3886"/>
    <cellStyle name="_LOOKUP_Detailed BS Dec 07_Avearge retrieval_09_IBM_A5.6.3_Sig Acc and SFOT Determination" xfId="3887"/>
    <cellStyle name="_LOOKUP_Detailed BS Dec 07_Avearge retrieval_09_IBM_Preliminary PM (Interim) 31.03.010" xfId="3888"/>
    <cellStyle name="_LOOKUP_Detailed BS Dec 07_Avearge retrieval_10_IBM_Bank Recon" xfId="3889"/>
    <cellStyle name="_LOOKUP_Detailed BS Dec 07_Avearge retrieval_10_IBM_J8_Cash Cut Off" xfId="3890"/>
    <cellStyle name="_LOOKUP_Detailed BS Dec 07_Avearge retrieval_10_IBM_Other liabilities" xfId="3891"/>
    <cellStyle name="_LOOKUP_Detailed BS Dec 07_Avearge retrieval_10_IBM_PLSF_Circularisation status" xfId="3892"/>
    <cellStyle name="_LOOKUP_Detailed BS Dec 07_Avearge retrieval_10_IBM_Preliminary PM " xfId="3893"/>
    <cellStyle name="_LOOKUP_Detailed BS Dec 07_Avearge retrieval_10_IBM_Sig Acc and SFOT determination " xfId="3894"/>
    <cellStyle name="_LOOKUP_Detailed BS Dec 07_Avearge retrieval_31.12.09 Mauritius-USD based ledger - Final1" xfId="3895"/>
    <cellStyle name="_LOOKUP_Detailed BS Dec 07_Avearge retrieval_Book1 (4)" xfId="3896"/>
    <cellStyle name="_LOOKUP_Detailed BS Dec 07_Avearge retrieval_Book4" xfId="3897"/>
    <cellStyle name="_LOOKUP_Detailed BS Dec 07_Avearge retrieval_capital adequacy September 2009" xfId="3898"/>
    <cellStyle name="_LOOKUP_Detailed BS Dec 07_Avearge retrieval_Circularisation Status Specialised Finance Division 17 Mar 10" xfId="3899"/>
    <cellStyle name="_LOOKUP_Detailed BS Dec 07_Avearge retrieval_Copy of Mauritius-USD based ledger" xfId="3900"/>
    <cellStyle name="_LOOKUP_Detailed BS Dec 07_Avearge retrieval_IBM_Grouped(2)" xfId="3901"/>
    <cellStyle name="_LOOKUP_Detailed BS Dec 07_Avearge retrieval_IBM_Grouped_USD" xfId="3902"/>
    <cellStyle name="_LOOKUP_Detailed BS Dec 07_Avearge retrieval_IBM_Grouped_ZAR" xfId="3903"/>
    <cellStyle name="_LOOKUP_Detailed BS Dec 07_Avearge retrieval_Liquidity and repricing" xfId="3904"/>
    <cellStyle name="_LOOKUP_Detailed BS Dec 07_Avearge retrieval_NOP 2010 01 31 USD BASED" xfId="3905"/>
    <cellStyle name="_LOOKUP_Detailed BS Dec 07_Avearge retrieval_NOP 2010 01 31 USD BASED_Report Finance" xfId="3906"/>
    <cellStyle name="_LOOKUP_Detailed BS Dec 07_Avearge retrieval_NOP 2010 02 28 USD BASED Final" xfId="3907"/>
    <cellStyle name="_LOOKUP_Detailed BS Dec 07_Avearge retrieval_NOP 2010 02 28 USD BASED Final_Report Finance" xfId="3908"/>
    <cellStyle name="_LOOKUP_Detailed BS Dec 07_Avearge retrieval_NOP 2010 03 31 USD BASEDrevised" xfId="3909"/>
    <cellStyle name="_LOOKUP_Detailed BS Dec 07_Avearge retrieval_NOP 2010 03 31 USD BASEDrevised_Report Finance" xfId="3910"/>
    <cellStyle name="_LOOKUP_Detailed BS Dec 07_Avearge retrieval_NOP 2010 04 30" xfId="3911"/>
    <cellStyle name="_LOOKUP_Detailed BS Dec 07_Avearge retrieval_NOP 2010 04 30_Report Finance" xfId="3912"/>
    <cellStyle name="_LOOKUP_Detailed BS Dec 07_Avearge retrieval_ORIGINAL NOP 2009 12 31 USD BASED" xfId="3913"/>
    <cellStyle name="_LOOKUP_Detailed BS Dec 07_Avearge retrieval_ORIGINAL NOP 2009 12 31 USD BASED_Report Finance" xfId="3914"/>
    <cellStyle name="_LOOKUP_Detailed BS Dec 07_Avearge retrieval_Sheet1" xfId="3915"/>
    <cellStyle name="_LOOKUP_Detailed BS Dec 07_Sheet1" xfId="3916"/>
    <cellStyle name="_LOOKUP_Detailed BS Dec 08" xfId="3917"/>
    <cellStyle name="_LOOKUP_Detailed BS Jun 09" xfId="3918"/>
    <cellStyle name="_LOOKUP_Detailed BS June08" xfId="3919"/>
    <cellStyle name="_LOOKUP_Detailed BS June08_10_IBM_PLSF_Circularisation status" xfId="3920"/>
    <cellStyle name="_LOOKUP_Detailed BS June08_10_IBM_Preliminary PM " xfId="3921"/>
    <cellStyle name="_LOOKUP_Detailed BS June08_10_IBM_Sig Acc and SFOT determination " xfId="3922"/>
    <cellStyle name="_LOOKUP_Detailed BS June08_31.12.09 Mauritius-USD based ledger - Final1" xfId="3923"/>
    <cellStyle name="_LOOKUP_Detailed BS June08_Book4" xfId="3924"/>
    <cellStyle name="_LOOKUP_Detailed BS June08_Book5" xfId="3925"/>
    <cellStyle name="_LOOKUP_Detailed BS June08_Book5_(19) Loan Feb-11(Feb-11 figures)" xfId="3926"/>
    <cellStyle name="_LOOKUP_Detailed BS June08_capital adequacy September 2009" xfId="3927"/>
    <cellStyle name="_LOOKUP_Detailed BS June08_Circularisation Status Specialised Finance Division 17 Mar 10" xfId="3928"/>
    <cellStyle name="_LOOKUP_Detailed BS June08_Copy of Mauritius-USD based ledger" xfId="3929"/>
    <cellStyle name="_LOOKUP_Detailed BS June08_Ops risk Mauritius - Sep 09 split stephanie after adjusment conversion" xfId="3930"/>
    <cellStyle name="_LOOKUP_Detailed BS June08_RELATED PARTY-2010 05 31" xfId="3931"/>
    <cellStyle name="_LOOKUP_Detailed BS June08_RELATED PARTY-2010 05 31_(19) Loan Feb-11(Feb-11 figures)" xfId="3932"/>
    <cellStyle name="_LOOKUP_Detailed BS March 08(1)" xfId="3933"/>
    <cellStyle name="_LOOKUP_Detailed BS March 08(1)_10_IBM_PLSF_Circularisation status" xfId="3934"/>
    <cellStyle name="_LOOKUP_Detailed BS March 08(1)_10_IBM_Preliminary PM " xfId="3935"/>
    <cellStyle name="_LOOKUP_Detailed BS March 08(1)_10_IBM_Sig Acc and SFOT determination " xfId="3936"/>
    <cellStyle name="_LOOKUP_Detailed BS March 08(1)_31.12.09 Mauritius-USD based ledger - Final1" xfId="3937"/>
    <cellStyle name="_LOOKUP_Detailed BS March 08(1)_Book4" xfId="3938"/>
    <cellStyle name="_LOOKUP_Detailed BS March 08(1)_Book5" xfId="3939"/>
    <cellStyle name="_LOOKUP_Detailed BS March 08(1)_Book5_(19) Loan Feb-11(Feb-11 figures)" xfId="3940"/>
    <cellStyle name="_LOOKUP_Detailed BS March 08(1)_capital adequacy September 2009" xfId="3941"/>
    <cellStyle name="_LOOKUP_Detailed BS March 08(1)_Circularisation Status Specialised Finance Division 17 Mar 10" xfId="3942"/>
    <cellStyle name="_LOOKUP_Detailed BS March 08(1)_Copy of Mauritius-USD based ledger" xfId="3943"/>
    <cellStyle name="_LOOKUP_Detailed BS March 08(1)_Ops risk Mauritius - Sep 09 split stephanie after adjusment conversion" xfId="3944"/>
    <cellStyle name="_LOOKUP_Detailed BS March 08(1)_RELATED PARTY-2010 05 31" xfId="3945"/>
    <cellStyle name="_LOOKUP_Detailed BS March 08(1)_RELATED PARTY-2010 05 31_(19) Loan Feb-11(Feb-11 figures)" xfId="3946"/>
    <cellStyle name="_LOOKUP_Detailed BS March 09" xfId="3947"/>
    <cellStyle name="_LOOKUP_Essbase March 2008" xfId="3948"/>
    <cellStyle name="_LOOKUP_Essbase March 2008_10_IBM_PLSF_Circularisation status" xfId="3949"/>
    <cellStyle name="_LOOKUP_Essbase March 2008_10_IBM_Preliminary PM " xfId="3950"/>
    <cellStyle name="_LOOKUP_Essbase March 2008_10_IBM_Sig Acc and SFOT determination " xfId="3951"/>
    <cellStyle name="_LOOKUP_Essbase March 2008_31.12.09 Mauritius-USD based ledger - Final1" xfId="3952"/>
    <cellStyle name="_LOOKUP_Essbase March 2008_Book4" xfId="3953"/>
    <cellStyle name="_LOOKUP_Essbase March 2008_Book5" xfId="3954"/>
    <cellStyle name="_LOOKUP_Essbase March 2008_Book5_(19) Loan Feb-11(Feb-11 figures)" xfId="3955"/>
    <cellStyle name="_LOOKUP_Essbase March 2008_capital adequacy September 2009" xfId="3956"/>
    <cellStyle name="_LOOKUP_Essbase March 2008_Circularisation Status Specialised Finance Division 17 Mar 10" xfId="3957"/>
    <cellStyle name="_LOOKUP_Essbase March 2008_Copy of Mauritius-USD based ledger" xfId="3958"/>
    <cellStyle name="_LOOKUP_Essbase March 2008_Ops risk Mauritius - Sep 09 split stephanie after adjusment conversion" xfId="3959"/>
    <cellStyle name="_LOOKUP_Essbase March 2008_RELATED PARTY-2010 05 31" xfId="3960"/>
    <cellStyle name="_LOOKUP_Essbase March 2008_RELATED PARTY-2010 05 31_(19) Loan Feb-11(Feb-11 figures)" xfId="3961"/>
    <cellStyle name="_LOOKUP_FINANCIALS 30-JUN-08-New Format-Auditors-Reformated" xfId="3962"/>
    <cellStyle name="_LOOKUP_FINANCIALS 30-JUN-08-New Format-Auditors-Reformated_10_IBM_PLSF_Circularisation status" xfId="3963"/>
    <cellStyle name="_LOOKUP_FINANCIALS 30-JUN-08-New Format-Auditors-Reformated_10_IBM_Preliminary PM " xfId="3964"/>
    <cellStyle name="_LOOKUP_FINANCIALS 30-JUN-08-New Format-Auditors-Reformated_10_IBM_Sig Acc and SFOT determination " xfId="3965"/>
    <cellStyle name="_LOOKUP_Fixed Assets Register 11 Feb10" xfId="3966"/>
    <cellStyle name="_LOOKUP_Fixed Assets Register 11 Feb10_(19) Loan Feb-11(Feb-11 figures)" xfId="3967"/>
    <cellStyle name="_LOOKUP_Fixed Assets Register 12 Mar10.xls" xfId="3968"/>
    <cellStyle name="_LOOKUP_Fixed Assets Register 12 Mar10.xls_(19) Loan Feb-11(Feb-11 figures)" xfId="3969"/>
    <cellStyle name="_LOOKUP_FV of Derivatives - 30 06 09" xfId="3970"/>
    <cellStyle name="_LOOKUP_FV of Derivatives - 31.03.08" xfId="3971"/>
    <cellStyle name="_LOOKUP_FV of Derivatives - 31.03.08_10_IBM_PLSF_Circularisation status" xfId="3972"/>
    <cellStyle name="_LOOKUP_FV of Derivatives - 31.03.08_10_IBM_Preliminary PM " xfId="3973"/>
    <cellStyle name="_LOOKUP_FV of Derivatives - 31.03.08_10_IBM_Sig Acc and SFOT determination " xfId="3974"/>
    <cellStyle name="_LOOKUP_FV of Derivatives - 31.03.08_31.12.09 Mauritius-USD based ledger - Final1" xfId="3975"/>
    <cellStyle name="_LOOKUP_FV of Derivatives - 31.03.08_Book4" xfId="3976"/>
    <cellStyle name="_LOOKUP_FV of Derivatives - 31.03.08_Book5" xfId="3977"/>
    <cellStyle name="_LOOKUP_FV of Derivatives - 31.03.08_Book5_(19) Loan Feb-11(Feb-11 figures)" xfId="3978"/>
    <cellStyle name="_LOOKUP_FV of Derivatives - 31.03.08_capital adequacy September 2009" xfId="3979"/>
    <cellStyle name="_LOOKUP_FV of Derivatives - 31.03.08_Circularisation Status Specialised Finance Division 17 Mar 10" xfId="3980"/>
    <cellStyle name="_LOOKUP_FV of Derivatives - 31.03.08_Copy of Mauritius-USD based ledger" xfId="3981"/>
    <cellStyle name="_LOOKUP_FV of Derivatives - 31.03.08_Ops risk Mauritius - Sep 09 split stephanie after adjusment conversion" xfId="3982"/>
    <cellStyle name="_LOOKUP_FV of Derivatives - 31.03.08_RELATED PARTY-2010 05 31" xfId="3983"/>
    <cellStyle name="_LOOKUP_FV of Derivatives - 31.03.08_RELATED PARTY-2010 05 31_(19) Loan Feb-11(Feb-11 figures)" xfId="3984"/>
    <cellStyle name="_LOOKUP_IBM Input Sheet 31.03.2010 v0.4" xfId="3985"/>
    <cellStyle name="_LOOKUP_IBM Input Sheet 31.03.2010 v0.4_(19) Loan Feb-11(Feb-11 figures)" xfId="3986"/>
    <cellStyle name="_LOOKUP_IBM_Grouped(2)" xfId="3987"/>
    <cellStyle name="_LOOKUP_IBM_Grouped_USD" xfId="3988"/>
    <cellStyle name="_LOOKUP_IBM_Grouped_ZAR" xfId="3989"/>
    <cellStyle name="_LOOKUP_Liquidity and repricing" xfId="3990"/>
    <cellStyle name="_LOOKUP_Loans list Jan 2010" xfId="3991"/>
    <cellStyle name="_LOOKUP_Loans list Jan 2010_10_IBM_PRE FINAL WP_PB_BS 170310" xfId="3992"/>
    <cellStyle name="_LOOKUP_MUR position" xfId="3993"/>
    <cellStyle name="_LOOKUP_NOP 2010 01 31 USD BASED" xfId="3994"/>
    <cellStyle name="_LOOKUP_NOP 2010 01 31 USD BASED_Report Finance" xfId="3995"/>
    <cellStyle name="_LOOKUP_NOP 2010 02 28 USD BASED Final" xfId="3996"/>
    <cellStyle name="_LOOKUP_NOP 2010 02 28 USD BASED Final_Report Finance" xfId="3997"/>
    <cellStyle name="_LOOKUP_NOP 2010 03 31 USD BASEDrevised" xfId="3998"/>
    <cellStyle name="_LOOKUP_NOP 2010 03 31 USD BASEDrevised_Report Finance" xfId="3999"/>
    <cellStyle name="_LOOKUP_NOP 2010 04 30" xfId="4000"/>
    <cellStyle name="_LOOKUP_NOP 2010 04 30_Report Finance" xfId="4001"/>
    <cellStyle name="_LOOKUP_Opeartional Risk sept 2009" xfId="4002"/>
    <cellStyle name="_LOOKUP_Ops risk Mauritius - Sep 09 split stephanie after adjusment conversion" xfId="4003"/>
    <cellStyle name="_LOOKUP_ORIGINAL NOP 2009 12 31 USD BASED" xfId="4004"/>
    <cellStyle name="_LOOKUP_ORIGINAL NOP 2009 12 31 USD BASED_Report Finance" xfId="4005"/>
    <cellStyle name="_LOOKUP_Related Party Dec-08" xfId="4006"/>
    <cellStyle name="_LOOKUP_Report Finance" xfId="4007"/>
    <cellStyle name="_LOOKUP_SARB BOM Comparison 20081231 v3 0" xfId="4008"/>
    <cellStyle name="_LOOKUP_SARB BOM Comparison 20081231 v3 0v from Mahen" xfId="4009"/>
    <cellStyle name="_LOOKUP_SARBResults_1101" xfId="4010"/>
    <cellStyle name="_LOOKUP_SARBResults_1101_10_IBM_PLSF_Circularisation status" xfId="4011"/>
    <cellStyle name="_LOOKUP_SARBResults_1101_10_IBM_Preliminary PM " xfId="4012"/>
    <cellStyle name="_LOOKUP_SARBResults_1101_10_IBM_Sig Acc and SFOT determination " xfId="4013"/>
    <cellStyle name="_LOOKUP_SARBResults_1101_31.12.09 Mauritius-USD based ledger - Final1" xfId="4014"/>
    <cellStyle name="_LOOKUP_SARBResults_1101_Book4" xfId="4015"/>
    <cellStyle name="_LOOKUP_SARBResults_1101_Book5" xfId="4016"/>
    <cellStyle name="_LOOKUP_SARBResults_1101_Book5_(19) Loan Feb-11(Feb-11 figures)" xfId="4017"/>
    <cellStyle name="_LOOKUP_SARBResults_1101_capital adequacy September 2009" xfId="4018"/>
    <cellStyle name="_LOOKUP_SARBResults_1101_Circularisation Status Specialised Finance Division 17 Mar 10" xfId="4019"/>
    <cellStyle name="_LOOKUP_SARBResults_1101_Copy of Mauritius-USD based ledger" xfId="4020"/>
    <cellStyle name="_LOOKUP_SARBResults_1101_Ops risk Mauritius - Sep 09 split stephanie after adjusment conversion" xfId="4021"/>
    <cellStyle name="_LOOKUP_SARBResults_1101_RELATED PARTY-2010 05 31" xfId="4022"/>
    <cellStyle name="_LOOKUP_SARBResults_1101_RELATED PARTY-2010 05 31_(19) Loan Feb-11(Feb-11 figures)" xfId="4023"/>
    <cellStyle name="_LOOKUP_SARBResults_2697 (vanessa board2)" xfId="4024"/>
    <cellStyle name="_LOOKUP_Sheet1" xfId="4025"/>
    <cellStyle name="_LOOKUP_Sheet1_1" xfId="4026"/>
    <cellStyle name="_LOOKUP_Statutory Annual Report - 31 03 08" xfId="4027"/>
    <cellStyle name="_LOOKUP_Statutory Annual Report - 31 03 08_10_IBM_PLSF_Circularisation status" xfId="4028"/>
    <cellStyle name="_LOOKUP_Statutory Annual Report - 31 03 08_10_IBM_Preliminary PM " xfId="4029"/>
    <cellStyle name="_LOOKUP_Statutory Annual Report - 31 03 08_10_IBM_Sig Acc and SFOT determination " xfId="4030"/>
    <cellStyle name="_LOOKUP_Statutory Annual Report - 31 03 08_31.12.09 Mauritius-USD based ledger - Final1" xfId="4031"/>
    <cellStyle name="_LOOKUP_Statutory Annual Report - 31 03 08_Book4" xfId="4032"/>
    <cellStyle name="_LOOKUP_Statutory Annual Report - 31 03 08_Book5" xfId="4033"/>
    <cellStyle name="_LOOKUP_Statutory Annual Report - 31 03 08_Book5_(19) Loan Feb-11(Feb-11 figures)" xfId="4034"/>
    <cellStyle name="_LOOKUP_Statutory Annual Report - 31 03 08_capital adequacy September 2009" xfId="4035"/>
    <cellStyle name="_LOOKUP_Statutory Annual Report - 31 03 08_Circularisation Status Specialised Finance Division 17 Mar 10" xfId="4036"/>
    <cellStyle name="_LOOKUP_Statutory Annual Report - 31 03 08_Copy of Mauritius-USD based ledger" xfId="4037"/>
    <cellStyle name="_LOOKUP_Statutory Annual Report - 31 03 08_Ops risk Mauritius - Sep 09 split stephanie after adjusment conversion" xfId="4038"/>
    <cellStyle name="_LOOKUP_Statutory Annual Report - 31 03 08_RELATED PARTY-2010 05 31" xfId="4039"/>
    <cellStyle name="_LOOKUP_Statutory Annual Report - 31 03 08_RELATED PARTY-2010 05 31_(19) Loan Feb-11(Feb-11 figures)" xfId="4040"/>
    <cellStyle name="_LTD Consol March 2009 15.05" xfId="4041"/>
    <cellStyle name="_man swaps" xfId="4042"/>
    <cellStyle name="_man swaps_Sheet1" xfId="4043"/>
    <cellStyle name="_Manual Tkts" xfId="4044"/>
    <cellStyle name="_Manual Tkts_Sheet1" xfId="4045"/>
    <cellStyle name="_Mapping" xfId="4046"/>
    <cellStyle name="_Mapping_Sheet1" xfId="4047"/>
    <cellStyle name="_mir-2000-Nov-03_eod " xfId="4048"/>
    <cellStyle name="_mir-2000-Nov-03_eod _Sheet1" xfId="4049"/>
    <cellStyle name="_ML HG LIST" xfId="4050"/>
    <cellStyle name="_MRS Consol March 2009 (4)" xfId="4051"/>
    <cellStyle name="_Multiple" xfId="4052"/>
    <cellStyle name="_MultipleSpace" xfId="4053"/>
    <cellStyle name="_New" xfId="4054"/>
    <cellStyle name="_New_10_IBM_Other liabilities" xfId="4055"/>
    <cellStyle name="_New_Circularisation Status Specialised Finance Division 17 Mar 10" xfId="4056"/>
    <cellStyle name="_New_Sheet1" xfId="4057"/>
    <cellStyle name="_Nf" xfId="4058"/>
    <cellStyle name="_Nf_Sheet1" xfId="4059"/>
    <cellStyle name="_Ng" xfId="4060"/>
    <cellStyle name="_Ng_Sheet1" xfId="4061"/>
    <cellStyle name="_o trade" xfId="4062"/>
    <cellStyle name="_o trade_Sheet1" xfId="4063"/>
    <cellStyle name="_Oa" xfId="4064"/>
    <cellStyle name="_Oa_Sheet1" xfId="4065"/>
    <cellStyle name="_Ob" xfId="4066"/>
    <cellStyle name="_Ob_Sheet1" xfId="4067"/>
    <cellStyle name="_Oc" xfId="4068"/>
    <cellStyle name="_Oc_Sheet1" xfId="4069"/>
    <cellStyle name="_Offer Sheet" xfId="4070"/>
    <cellStyle name="_Offer Sheet_Sheet1" xfId="4071"/>
    <cellStyle name="_Output" xfId="4072"/>
    <cellStyle name="_Pa" xfId="4073"/>
    <cellStyle name="_Pa_Sheet1" xfId="4074"/>
    <cellStyle name="_Pack supporting info 31 Jan 09" xfId="4075"/>
    <cellStyle name="_Pack supporting info 31 Jan 09_(19) Loan Feb-11(Feb-11 figures)" xfId="4076"/>
    <cellStyle name="_Pack supporting info 31 Jan 09_(32) Mar-10 Breakdown of Credit" xfId="4077"/>
    <cellStyle name="_Pack supporting info 31 Jan 09_(32) Mar-10 Loan" xfId="4078"/>
    <cellStyle name="_Pack supporting info 31 Jan 09_(33) Apr-10 Breakdown of Credit" xfId="4079"/>
    <cellStyle name="_Pack supporting info 31 Jan 09_(33) Apr-10 Loan" xfId="4080"/>
    <cellStyle name="_Pack supporting info 31 Jan 09_Book15" xfId="4081"/>
    <cellStyle name="_Pack supporting info 31 Jan 09_Book16" xfId="4082"/>
    <cellStyle name="_Pack supporting info 31 Jan 09_Book17" xfId="4083"/>
    <cellStyle name="_Pack supporting info 31 Jan 09_Book19" xfId="4084"/>
    <cellStyle name="_Pack supporting info 31 Jan 09_Book20" xfId="4085"/>
    <cellStyle name="_Pack supporting info 31 Jan 09_Book8" xfId="4086"/>
    <cellStyle name="_Pack supporting info 31 Jan 09_Book9" xfId="4087"/>
    <cellStyle name="_page q 2" xfId="4088"/>
    <cellStyle name="_page q 2_Sheet1" xfId="4089"/>
    <cellStyle name="_pageO" xfId="4090"/>
    <cellStyle name="_pageO_Sheet1" xfId="4091"/>
    <cellStyle name="_PB Consol September (5)" xfId="4092"/>
    <cellStyle name="_PB Pack workings MAR09" xfId="4093"/>
    <cellStyle name="_PB Pack workings MAR09_Circularisation Status Specialised Finance Division 17 Mar 10" xfId="4094"/>
    <cellStyle name="_PB Pack workings MAR09_Sheet1" xfId="4095"/>
    <cellStyle name="_Pine Mountain 2_Omnicron Request_10.15.06" xfId="4096"/>
    <cellStyle name="_Pine Mountain 2_Omnicron Request_10.15.06_Report Finance" xfId="4097"/>
    <cellStyle name="_Pine Mountain 2_Omnicron Request_10.15.06_Sheet1" xfId="4098"/>
    <cellStyle name="_PLT - Interdiv" xfId="4099"/>
    <cellStyle name="_PLT - Interdiv_10_IBM_Bank Recon" xfId="4100"/>
    <cellStyle name="_PLT - Interdiv_10_IBM_J8_Cash Cut Off" xfId="4101"/>
    <cellStyle name="_PLT - Interdiv_10_IBM_Other liabilities" xfId="4102"/>
    <cellStyle name="_PLT - Interdiv_Circularisation Status Specialised Finance Division 17 Mar 10" xfId="4103"/>
    <cellStyle name="_PLT - Interdiv_Sheet1" xfId="4104"/>
    <cellStyle name="_PLT interdiv" xfId="4105"/>
    <cellStyle name="_PLT interdiv_10_IBM_Bank Recon" xfId="4106"/>
    <cellStyle name="_PLT interdiv_10_IBM_J8_Cash Cut Off" xfId="4107"/>
    <cellStyle name="_PLT interdiv_10_IBM_PLSF_Circularisation status" xfId="4108"/>
    <cellStyle name="_PLT interdiv_Sheet1" xfId="4109"/>
    <cellStyle name="_PM2_CDO Stress Runs for Ischus_10.12.06" xfId="4110"/>
    <cellStyle name="_PM2_CDO Stress Runs for Ischus_10.12.06_Sheet1" xfId="4111"/>
    <cellStyle name="_Portfolio" xfId="4112"/>
    <cellStyle name="_Portfolio 2" xfId="4113"/>
    <cellStyle name="_Portfolio Data Spreadsheet (2006-08-21)" xfId="4114"/>
    <cellStyle name="_Portfolio Definition" xfId="4115"/>
    <cellStyle name="_Portfolio Definition_1" xfId="4116"/>
    <cellStyle name="_Portfolio Definition_1_Sheet1" xfId="4117"/>
    <cellStyle name="_Portfolio Definition_Correlation Matrix" xfId="4118"/>
    <cellStyle name="_Portfolio Definition_Factor Exposure" xfId="4119"/>
    <cellStyle name="_Portfolio Definition_Portfolio Definition" xfId="4120"/>
    <cellStyle name="_Portfolio Definition_Recovery Rates" xfId="4121"/>
    <cellStyle name="_Portfolio Lookup" xfId="4122"/>
    <cellStyle name="_Portfolio_(05) CAR Dec-07" xfId="4123"/>
    <cellStyle name="_Portfolio_(05) CAR Dec-07 2" xfId="4124"/>
    <cellStyle name="_Portfolio_(05) CAR Dec-07_(26) Oct-09 (AL)" xfId="4125"/>
    <cellStyle name="_Portfolio_(05) CAR Dec-07_(27) Nov-09 (AL)" xfId="4126"/>
    <cellStyle name="_Portfolio_(05) CAR Dec-07_09_IBM_A5.6.3_Sig Acc and SFOT Determination" xfId="4127"/>
    <cellStyle name="_Portfolio_(05) CAR Dec-07_09_IBM_Preliminary PM (Interim) 31.03.010" xfId="4128"/>
    <cellStyle name="_Portfolio_(05) CAR Dec-07_10_IBM_Bank Recon" xfId="4129"/>
    <cellStyle name="_Portfolio_(05) CAR Dec-07_10_IBM_J8_Cash Cut Off" xfId="4130"/>
    <cellStyle name="_Portfolio_(05) CAR Dec-07_10_IBM_Other liabilities" xfId="4131"/>
    <cellStyle name="_Portfolio_(05) CAR Dec-07_10_IBM_PLSF_Circularisation status" xfId="4132"/>
    <cellStyle name="_Portfolio_(05) CAR Dec-07_10_IBM_Preliminary PM " xfId="4133"/>
    <cellStyle name="_Portfolio_(05) CAR Dec-07_10_IBM_Sig Acc and SFOT determination " xfId="4134"/>
    <cellStyle name="_Portfolio_(05) CAR Dec-07_31.12.09 Mauritius-USD based ledger - Final1" xfId="4135"/>
    <cellStyle name="_Portfolio_(05) CAR Dec-07_Book1 (4)" xfId="4136"/>
    <cellStyle name="_Portfolio_(05) CAR Dec-07_Book4" xfId="4137"/>
    <cellStyle name="_Portfolio_(05) CAR Dec-07_capital adequacy September 2009" xfId="4138"/>
    <cellStyle name="_Portfolio_(05) CAR Dec-07_Circularisation Status Specialised Finance Division 17 Mar 10" xfId="4139"/>
    <cellStyle name="_Portfolio_(05) CAR Dec-07_Copy of Mauritius-USD based ledger" xfId="4140"/>
    <cellStyle name="_Portfolio_(05) CAR Dec-07_IBM_Grouped(2)" xfId="4141"/>
    <cellStyle name="_Portfolio_(05) CAR Dec-07_IBM_Grouped_USD" xfId="4142"/>
    <cellStyle name="_Portfolio_(05) CAR Dec-07_IBM_Grouped_ZAR" xfId="4143"/>
    <cellStyle name="_Portfolio_(05) CAR Dec-07_Liquidity and repricing" xfId="4144"/>
    <cellStyle name="_Portfolio_(05) CAR Dec-07_NOP 2010 01 31 USD BASED" xfId="4145"/>
    <cellStyle name="_Portfolio_(05) CAR Dec-07_NOP 2010 01 31 USD BASED_Report Finance" xfId="4146"/>
    <cellStyle name="_Portfolio_(05) CAR Dec-07_NOP 2010 02 28 USD BASED Final" xfId="4147"/>
    <cellStyle name="_Portfolio_(05) CAR Dec-07_NOP 2010 02 28 USD BASED Final_Report Finance" xfId="4148"/>
    <cellStyle name="_Portfolio_(05) CAR Dec-07_NOP 2010 03 31 USD BASEDrevised" xfId="4149"/>
    <cellStyle name="_Portfolio_(05) CAR Dec-07_NOP 2010 03 31 USD BASEDrevised_Report Finance" xfId="4150"/>
    <cellStyle name="_Portfolio_(05) CAR Dec-07_NOP 2010 04 30" xfId="4151"/>
    <cellStyle name="_Portfolio_(05) CAR Dec-07_NOP 2010 04 30_Report Finance" xfId="4152"/>
    <cellStyle name="_Portfolio_(05) CAR Dec-07_ORIGINAL NOP 2009 12 31 USD BASED" xfId="4153"/>
    <cellStyle name="_Portfolio_(05) CAR Dec-07_ORIGINAL NOP 2009 12 31 USD BASED_Report Finance" xfId="4154"/>
    <cellStyle name="_Portfolio_(05) CAR Dec-07_Sheet1" xfId="4155"/>
    <cellStyle name="_Portfolio_(26) Oct-09 (AL)" xfId="4156"/>
    <cellStyle name="_Portfolio_(27) Nov-09 (AL)" xfId="4157"/>
    <cellStyle name="_Portfolio_08_IBM_A2.2.1 to A2.2.15_Statutory workings - 31 03 08" xfId="4158"/>
    <cellStyle name="_Portfolio_08_IBM_A2.2.1 to A2.2.15_Statutory workings - 31 03 08_10_IBM_PLSF_Circularisation status" xfId="4159"/>
    <cellStyle name="_Portfolio_08_IBM_A2.2.1 to A2.2.15_Statutory workings - 31 03 08_10_IBM_Preliminary PM " xfId="4160"/>
    <cellStyle name="_Portfolio_08_IBM_A2.2.1 to A2.2.15_Statutory workings - 31 03 08_10_IBM_Sig Acc and SFOT determination " xfId="4161"/>
    <cellStyle name="_Portfolio_08_IBM_A2.2.1 to A2.2.15_Statutory workings - 31 03 08_31.12.09 Mauritius-USD based ledger - Final1" xfId="4162"/>
    <cellStyle name="_Portfolio_08_IBM_A2.2.1 to A2.2.15_Statutory workings - 31 03 08_Book4" xfId="4163"/>
    <cellStyle name="_Portfolio_08_IBM_A2.2.1 to A2.2.15_Statutory workings - 31 03 08_Book5" xfId="4164"/>
    <cellStyle name="_Portfolio_08_IBM_A2.2.1 to A2.2.15_Statutory workings - 31 03 08_Book5_(19) Loan Feb-11(Feb-11 figures)" xfId="4165"/>
    <cellStyle name="_Portfolio_08_IBM_A2.2.1 to A2.2.15_Statutory workings - 31 03 08_Circularisation Status Specialised Finance Division 17 Mar 10" xfId="4166"/>
    <cellStyle name="_Portfolio_08_IBM_A2.2.1 to A2.2.15_Statutory workings - 31 03 08_RELATED PARTY-2010 05 31" xfId="4167"/>
    <cellStyle name="_Portfolio_08_IBM_A2.2.1 to A2.2.15_Statutory workings - 31 03 08_RELATED PARTY-2010 05 31_(19) Loan Feb-11(Feb-11 figures)" xfId="4168"/>
    <cellStyle name="_Portfolio_09_IBM_A5.6.3_Sig Acc and SFOT Determination" xfId="4169"/>
    <cellStyle name="_Portfolio_09_IBM_Pre-Final WP_Share capital_BS_H4 - N4_07.04.09" xfId="4170"/>
    <cellStyle name="_Portfolio_09_IBM_Preliminary PM (Interim) 31.03.010" xfId="4171"/>
    <cellStyle name="_Portfolio_09_Sep_IBM_Final WP_Share capital_BS_F-4_Investments" xfId="4172"/>
    <cellStyle name="_Portfolio_10_IBM_Bank Recon" xfId="4173"/>
    <cellStyle name="_Portfolio_10_IBM_J8_Cash Cut Off" xfId="4174"/>
    <cellStyle name="_Portfolio_10_IBM_Other liabilities" xfId="4175"/>
    <cellStyle name="_Portfolio_10_IBM_PLSF_Circularisation status" xfId="4176"/>
    <cellStyle name="_Portfolio_10_IBM_Preliminary PM " xfId="4177"/>
    <cellStyle name="_Portfolio_10_IBM_Sig Acc and SFOT determination " xfId="4178"/>
    <cellStyle name="_Portfolio_31.12.09 Mauritius-USD based ledger - Final1" xfId="4179"/>
    <cellStyle name="_Portfolio_audit adjustment 2007" xfId="4180"/>
    <cellStyle name="_Portfolio_audit adjustment 2007 2" xfId="4181"/>
    <cellStyle name="_Portfolio_audit adjustment 2007_(26) Oct-09 (AL)" xfId="4182"/>
    <cellStyle name="_Portfolio_audit adjustment 2007_(27) Nov-09 (AL)" xfId="4183"/>
    <cellStyle name="_Portfolio_audit adjustment 2007_09_IBM_A5.6.3_Sig Acc and SFOT Determination" xfId="4184"/>
    <cellStyle name="_Portfolio_audit adjustment 2007_09_IBM_Preliminary PM (Interim) 31.03.010" xfId="4185"/>
    <cellStyle name="_Portfolio_audit adjustment 2007_10_IBM_Bank Recon" xfId="4186"/>
    <cellStyle name="_Portfolio_audit adjustment 2007_10_IBM_J8_Cash Cut Off" xfId="4187"/>
    <cellStyle name="_Portfolio_audit adjustment 2007_10_IBM_Other liabilities" xfId="4188"/>
    <cellStyle name="_Portfolio_audit adjustment 2007_10_IBM_PLSF_Circularisation status" xfId="4189"/>
    <cellStyle name="_Portfolio_audit adjustment 2007_10_IBM_Preliminary PM " xfId="4190"/>
    <cellStyle name="_Portfolio_audit adjustment 2007_10_IBM_Sig Acc and SFOT determination " xfId="4191"/>
    <cellStyle name="_Portfolio_audit adjustment 2007_31.12.09 Mauritius-USD based ledger - Final1" xfId="4192"/>
    <cellStyle name="_Portfolio_audit adjustment 2007_Book1 (4)" xfId="4193"/>
    <cellStyle name="_Portfolio_audit adjustment 2007_Book4" xfId="4194"/>
    <cellStyle name="_Portfolio_audit adjustment 2007_capital adequacy September 2009" xfId="4195"/>
    <cellStyle name="_Portfolio_audit adjustment 2007_Circularisation Status Specialised Finance Division 17 Mar 10" xfId="4196"/>
    <cellStyle name="_Portfolio_audit adjustment 2007_Copy of Mauritius-USD based ledger" xfId="4197"/>
    <cellStyle name="_Portfolio_audit adjustment 2007_IBM_Grouped(2)" xfId="4198"/>
    <cellStyle name="_Portfolio_audit adjustment 2007_IBM_Grouped_USD" xfId="4199"/>
    <cellStyle name="_Portfolio_audit adjustment 2007_IBM_Grouped_ZAR" xfId="4200"/>
    <cellStyle name="_Portfolio_audit adjustment 2007_Liquidity and repricing" xfId="4201"/>
    <cellStyle name="_Portfolio_audit adjustment 2007_NOP 2010 01 31 USD BASED" xfId="4202"/>
    <cellStyle name="_Portfolio_audit adjustment 2007_NOP 2010 01 31 USD BASED_Report Finance" xfId="4203"/>
    <cellStyle name="_Portfolio_audit adjustment 2007_NOP 2010 02 28 USD BASED Final" xfId="4204"/>
    <cellStyle name="_Portfolio_audit adjustment 2007_NOP 2010 02 28 USD BASED Final_Report Finance" xfId="4205"/>
    <cellStyle name="_Portfolio_audit adjustment 2007_NOP 2010 03 31 USD BASEDrevised" xfId="4206"/>
    <cellStyle name="_Portfolio_audit adjustment 2007_NOP 2010 03 31 USD BASEDrevised_Report Finance" xfId="4207"/>
    <cellStyle name="_Portfolio_audit adjustment 2007_NOP 2010 04 30" xfId="4208"/>
    <cellStyle name="_Portfolio_audit adjustment 2007_NOP 2010 04 30_Report Finance" xfId="4209"/>
    <cellStyle name="_Portfolio_audit adjustment 2007_ORIGINAL NOP 2009 12 31 USD BASED" xfId="4210"/>
    <cellStyle name="_Portfolio_audit adjustment 2007_ORIGINAL NOP 2009 12 31 USD BASED_Report Finance" xfId="4211"/>
    <cellStyle name="_Portfolio_audit adjustment 2007_Sheet1" xfId="4212"/>
    <cellStyle name="_Portfolio_BA 610 wkgs &amp; Return - 30 Jun 08" xfId="4213"/>
    <cellStyle name="_Portfolio_BA 610 wkgs &amp; Return - 30 Jun 08_10_IBM_PLSF_Circularisation status" xfId="4214"/>
    <cellStyle name="_Portfolio_BA 610 wkgs &amp; Return - 30 Jun 08_10_IBM_Preliminary PM " xfId="4215"/>
    <cellStyle name="_Portfolio_BA 610 wkgs &amp; Return - 30 Jun 08_10_IBM_Sig Acc and SFOT determination " xfId="4216"/>
    <cellStyle name="_Portfolio_BA 610 wkgs &amp; Return - 30 Jun 09" xfId="4217"/>
    <cellStyle name="_Portfolio_BA 610 wkgs &amp; Return - 30 Sep 08" xfId="4218"/>
    <cellStyle name="_Portfolio_BA 610 wkgs &amp; Return - 30 Sep 08_10_IBM_PLSF_Circularisation status" xfId="4219"/>
    <cellStyle name="_Portfolio_BA 610 wkgs &amp; Return - 30 Sep 08_10_IBM_Preliminary PM " xfId="4220"/>
    <cellStyle name="_Portfolio_BA 610 wkgs &amp; Return - 30 Sep 08_10_IBM_Sig Acc and SFOT determination " xfId="4221"/>
    <cellStyle name="_Portfolio_BA 610 wkgs &amp; Return - 31 Dec 08" xfId="4222"/>
    <cellStyle name="_Portfolio_BA 610 wkgs &amp; Return - 31 Dec 08 LATEST" xfId="4223"/>
    <cellStyle name="_Portfolio_BA 610 wkgs &amp; Return - 31 Dec 08_10_IBM_PLSF_Circularisation status" xfId="4224"/>
    <cellStyle name="_Portfolio_BA 610 wkgs &amp; Return - 31 Dec 08_10_IBM_Preliminary PM " xfId="4225"/>
    <cellStyle name="_Portfolio_BA 610 wkgs &amp; Return - 31 Dec 08_10_IBM_Sig Acc and SFOT determination " xfId="4226"/>
    <cellStyle name="_Portfolio_BA 610 wkgs -31.03.08(Version 2)" xfId="4227"/>
    <cellStyle name="_Portfolio_BA 610 wkgs -31.03.08(Version 2)_10_IBM_PLSF_Circularisation status" xfId="4228"/>
    <cellStyle name="_Portfolio_BA 610 wkgs -31.03.08(Version 2)_10_IBM_Preliminary PM " xfId="4229"/>
    <cellStyle name="_Portfolio_BA 610 wkgs -31.03.08(Version 2)_10_IBM_Sig Acc and SFOT determination " xfId="4230"/>
    <cellStyle name="_Portfolio_Book1" xfId="4231"/>
    <cellStyle name="_Portfolio_Book1 (3)" xfId="4232"/>
    <cellStyle name="_Portfolio_Book1 (4)" xfId="4233"/>
    <cellStyle name="_Portfolio_Book1_1" xfId="4234"/>
    <cellStyle name="_Portfolio_Book1_1_10_IBM_PLSF_Circularisation status" xfId="4235"/>
    <cellStyle name="_Portfolio_Book1_1_10_IBM_Preliminary PM " xfId="4236"/>
    <cellStyle name="_Portfolio_Book1_1_10_IBM_Sig Acc and SFOT determination " xfId="4237"/>
    <cellStyle name="_Portfolio_Book1_10_IBM_PLSF_Circularisation status" xfId="4238"/>
    <cellStyle name="_Portfolio_Book1_10_IBM_Preliminary PM " xfId="4239"/>
    <cellStyle name="_Portfolio_Book1_10_IBM_Sig Acc and SFOT determination " xfId="4240"/>
    <cellStyle name="_Portfolio_Book1_31.12.09 Mauritius-USD based ledger - Final1" xfId="4241"/>
    <cellStyle name="_Portfolio_Book1_Book4" xfId="4242"/>
    <cellStyle name="_Portfolio_Book1_Book5" xfId="4243"/>
    <cellStyle name="_Portfolio_Book1_Book5_(19) Loan Feb-11(Feb-11 figures)" xfId="4244"/>
    <cellStyle name="_Portfolio_Book1_capital adequacy September 2009" xfId="4245"/>
    <cellStyle name="_Portfolio_Book1_Circularisation Status Specialised Finance Division 17 Mar 10" xfId="4246"/>
    <cellStyle name="_Portfolio_Book1_Copy of Mauritius-USD based ledger" xfId="4247"/>
    <cellStyle name="_Portfolio_Book1_Ops risk Mauritius - Sep 09 split stephanie after adjusment conversion" xfId="4248"/>
    <cellStyle name="_Portfolio_Book1_RELATED PARTY-2010 05 31" xfId="4249"/>
    <cellStyle name="_Portfolio_Book1_RELATED PARTY-2010 05 31_(19) Loan Feb-11(Feb-11 figures)" xfId="4250"/>
    <cellStyle name="_Portfolio_Book2 (2)" xfId="4251"/>
    <cellStyle name="_Portfolio_Book3" xfId="4252"/>
    <cellStyle name="_Portfolio_Book3_10_IBM_PLSF_Circularisation status" xfId="4253"/>
    <cellStyle name="_Portfolio_Book3_10_IBM_Preliminary PM " xfId="4254"/>
    <cellStyle name="_Portfolio_Book3_10_IBM_Sig Acc and SFOT determination " xfId="4255"/>
    <cellStyle name="_Portfolio_Book3_31.12.09 Mauritius-USD based ledger - Final1" xfId="4256"/>
    <cellStyle name="_Portfolio_Book3_Book4" xfId="4257"/>
    <cellStyle name="_Portfolio_Book3_Book5" xfId="4258"/>
    <cellStyle name="_Portfolio_Book3_Book5_(19) Loan Feb-11(Feb-11 figures)" xfId="4259"/>
    <cellStyle name="_Portfolio_Book3_capital adequacy September 2009" xfId="4260"/>
    <cellStyle name="_Portfolio_Book3_Circularisation Status Specialised Finance Division 17 Mar 10" xfId="4261"/>
    <cellStyle name="_Portfolio_Book3_Copy of Mauritius-USD based ledger" xfId="4262"/>
    <cellStyle name="_Portfolio_Book3_Ops risk Mauritius - Sep 09 split stephanie after adjusment conversion" xfId="4263"/>
    <cellStyle name="_Portfolio_Book3_RELATED PARTY-2010 05 31" xfId="4264"/>
    <cellStyle name="_Portfolio_Book3_RELATED PARTY-2010 05 31_(19) Loan Feb-11(Feb-11 figures)" xfId="4265"/>
    <cellStyle name="_Portfolio_Book4" xfId="4266"/>
    <cellStyle name="_Portfolio_Book5 (2)" xfId="4267"/>
    <cellStyle name="_Portfolio_Book5 (2) 2" xfId="4268"/>
    <cellStyle name="_Portfolio_Book5 (2)_10_IBM_Bank Recon" xfId="4269"/>
    <cellStyle name="_Portfolio_Book5 (2)_10_IBM_J8_Cash Cut Off" xfId="4270"/>
    <cellStyle name="_Portfolio_Book5 (2)_10_IBM_PLSF_Circularisation status" xfId="4271"/>
    <cellStyle name="_Portfolio_Book5 (2)_Sheet1" xfId="4272"/>
    <cellStyle name="_Portfolio_Book6" xfId="4273"/>
    <cellStyle name="_Portfolio_Book6_10_IBM_PLSF_Circularisation status" xfId="4274"/>
    <cellStyle name="_Portfolio_Book6_10_IBM_Preliminary PM " xfId="4275"/>
    <cellStyle name="_Portfolio_Book6_10_IBM_Sig Acc and SFOT determination " xfId="4276"/>
    <cellStyle name="_Portfolio_Book6_31.12.09 Mauritius-USD based ledger - Final1" xfId="4277"/>
    <cellStyle name="_Portfolio_Book6_Book4" xfId="4278"/>
    <cellStyle name="_Portfolio_Book6_Book5" xfId="4279"/>
    <cellStyle name="_Portfolio_Book6_Book5_(19) Loan Feb-11(Feb-11 figures)" xfId="4280"/>
    <cellStyle name="_Portfolio_Book6_capital adequacy September 2009" xfId="4281"/>
    <cellStyle name="_Portfolio_Book6_Circularisation Status Specialised Finance Division 17 Mar 10" xfId="4282"/>
    <cellStyle name="_Portfolio_Book6_Copy of Mauritius-USD based ledger" xfId="4283"/>
    <cellStyle name="_Portfolio_Book6_Ops risk Mauritius - Sep 09 split stephanie after adjusment conversion" xfId="4284"/>
    <cellStyle name="_Portfolio_Book6_RELATED PARTY-2010 05 31" xfId="4285"/>
    <cellStyle name="_Portfolio_Book6_RELATED PARTY-2010 05 31_(19) Loan Feb-11(Feb-11 figures)" xfId="4286"/>
    <cellStyle name="_Portfolio_BS - Mar 09" xfId="4287"/>
    <cellStyle name="_Portfolio_capital adequacy September 2009" xfId="4288"/>
    <cellStyle name="_Portfolio_Circularisation Status Specialised Finance Division 17 Mar 10" xfId="4289"/>
    <cellStyle name="_Portfolio_Detailed BS Dec 07" xfId="4290"/>
    <cellStyle name="_Portfolio_Detailed BS Dec 07 2" xfId="4291"/>
    <cellStyle name="_Portfolio_Detailed BS Dec 07_10_IBM_Bank Recon" xfId="4292"/>
    <cellStyle name="_Portfolio_Detailed BS Dec 07_10_IBM_J8_Cash Cut Off" xfId="4293"/>
    <cellStyle name="_Portfolio_Detailed BS Dec 07_10_IBM_PLSF_Circularisation status" xfId="4294"/>
    <cellStyle name="_Portfolio_Detailed BS Dec 07_Avearge retrieval" xfId="4295"/>
    <cellStyle name="_Portfolio_Detailed BS Dec 07_Avearge retrieval 2" xfId="4296"/>
    <cellStyle name="_Portfolio_Detailed BS Dec 07_Avearge retrieval_(26) Oct-09 (AL)" xfId="4297"/>
    <cellStyle name="_Portfolio_Detailed BS Dec 07_Avearge retrieval_(27) Nov-09 (AL)" xfId="4298"/>
    <cellStyle name="_Portfolio_Detailed BS Dec 07_Avearge retrieval_09_IBM_A5.6.3_Sig Acc and SFOT Determination" xfId="4299"/>
    <cellStyle name="_Portfolio_Detailed BS Dec 07_Avearge retrieval_09_IBM_Preliminary PM (Interim) 31.03.010" xfId="4300"/>
    <cellStyle name="_Portfolio_Detailed BS Dec 07_Avearge retrieval_10_IBM_Bank Recon" xfId="4301"/>
    <cellStyle name="_Portfolio_Detailed BS Dec 07_Avearge retrieval_10_IBM_J8_Cash Cut Off" xfId="4302"/>
    <cellStyle name="_Portfolio_Detailed BS Dec 07_Avearge retrieval_10_IBM_Other liabilities" xfId="4303"/>
    <cellStyle name="_Portfolio_Detailed BS Dec 07_Avearge retrieval_10_IBM_PLSF_Circularisation status" xfId="4304"/>
    <cellStyle name="_Portfolio_Detailed BS Dec 07_Avearge retrieval_10_IBM_Preliminary PM " xfId="4305"/>
    <cellStyle name="_Portfolio_Detailed BS Dec 07_Avearge retrieval_10_IBM_Sig Acc and SFOT determination " xfId="4306"/>
    <cellStyle name="_Portfolio_Detailed BS Dec 07_Avearge retrieval_31.12.09 Mauritius-USD based ledger - Final1" xfId="4307"/>
    <cellStyle name="_Portfolio_Detailed BS Dec 07_Avearge retrieval_Book1 (4)" xfId="4308"/>
    <cellStyle name="_Portfolio_Detailed BS Dec 07_Avearge retrieval_Book4" xfId="4309"/>
    <cellStyle name="_Portfolio_Detailed BS Dec 07_Avearge retrieval_capital adequacy September 2009" xfId="4310"/>
    <cellStyle name="_Portfolio_Detailed BS Dec 07_Avearge retrieval_Circularisation Status Specialised Finance Division 17 Mar 10" xfId="4311"/>
    <cellStyle name="_Portfolio_Detailed BS Dec 07_Avearge retrieval_Copy of Mauritius-USD based ledger" xfId="4312"/>
    <cellStyle name="_Portfolio_Detailed BS Dec 07_Avearge retrieval_IBM_Grouped(2)" xfId="4313"/>
    <cellStyle name="_Portfolio_Detailed BS Dec 07_Avearge retrieval_IBM_Grouped_USD" xfId="4314"/>
    <cellStyle name="_Portfolio_Detailed BS Dec 07_Avearge retrieval_IBM_Grouped_ZAR" xfId="4315"/>
    <cellStyle name="_Portfolio_Detailed BS Dec 07_Avearge retrieval_Liquidity and repricing" xfId="4316"/>
    <cellStyle name="_Portfolio_Detailed BS Dec 07_Avearge retrieval_NOP 2010 01 31 USD BASED" xfId="4317"/>
    <cellStyle name="_Portfolio_Detailed BS Dec 07_Avearge retrieval_NOP 2010 01 31 USD BASED_Report Finance" xfId="4318"/>
    <cellStyle name="_Portfolio_Detailed BS Dec 07_Avearge retrieval_NOP 2010 02 28 USD BASED Final" xfId="4319"/>
    <cellStyle name="_Portfolio_Detailed BS Dec 07_Avearge retrieval_NOP 2010 02 28 USD BASED Final_Report Finance" xfId="4320"/>
    <cellStyle name="_Portfolio_Detailed BS Dec 07_Avearge retrieval_NOP 2010 03 31 USD BASEDrevised" xfId="4321"/>
    <cellStyle name="_Portfolio_Detailed BS Dec 07_Avearge retrieval_NOP 2010 03 31 USD BASEDrevised_Report Finance" xfId="4322"/>
    <cellStyle name="_Portfolio_Detailed BS Dec 07_Avearge retrieval_NOP 2010 04 30" xfId="4323"/>
    <cellStyle name="_Portfolio_Detailed BS Dec 07_Avearge retrieval_NOP 2010 04 30_Report Finance" xfId="4324"/>
    <cellStyle name="_Portfolio_Detailed BS Dec 07_Avearge retrieval_ORIGINAL NOP 2009 12 31 USD BASED" xfId="4325"/>
    <cellStyle name="_Portfolio_Detailed BS Dec 07_Avearge retrieval_ORIGINAL NOP 2009 12 31 USD BASED_Report Finance" xfId="4326"/>
    <cellStyle name="_Portfolio_Detailed BS Dec 07_Avearge retrieval_Sheet1" xfId="4327"/>
    <cellStyle name="_Portfolio_Detailed BS Dec 07_Sheet1" xfId="4328"/>
    <cellStyle name="_Portfolio_Detailed BS Dec 08" xfId="4329"/>
    <cellStyle name="_Portfolio_Detailed BS Jun 09" xfId="4330"/>
    <cellStyle name="_Portfolio_Detailed BS June08" xfId="4331"/>
    <cellStyle name="_Portfolio_Detailed BS June08_10_IBM_PLSF_Circularisation status" xfId="4332"/>
    <cellStyle name="_Portfolio_Detailed BS June08_10_IBM_Preliminary PM " xfId="4333"/>
    <cellStyle name="_Portfolio_Detailed BS June08_10_IBM_Sig Acc and SFOT determination " xfId="4334"/>
    <cellStyle name="_Portfolio_Detailed BS June08_31.12.09 Mauritius-USD based ledger - Final1" xfId="4335"/>
    <cellStyle name="_Portfolio_Detailed BS June08_Book4" xfId="4336"/>
    <cellStyle name="_Portfolio_Detailed BS June08_Book5" xfId="4337"/>
    <cellStyle name="_Portfolio_Detailed BS June08_Book5_(19) Loan Feb-11(Feb-11 figures)" xfId="4338"/>
    <cellStyle name="_Portfolio_Detailed BS June08_capital adequacy September 2009" xfId="4339"/>
    <cellStyle name="_Portfolio_Detailed BS June08_Circularisation Status Specialised Finance Division 17 Mar 10" xfId="4340"/>
    <cellStyle name="_Portfolio_Detailed BS June08_Copy of Mauritius-USD based ledger" xfId="4341"/>
    <cellStyle name="_Portfolio_Detailed BS June08_Ops risk Mauritius - Sep 09 split stephanie after adjusment conversion" xfId="4342"/>
    <cellStyle name="_Portfolio_Detailed BS June08_RELATED PARTY-2010 05 31" xfId="4343"/>
    <cellStyle name="_Portfolio_Detailed BS June08_RELATED PARTY-2010 05 31_(19) Loan Feb-11(Feb-11 figures)" xfId="4344"/>
    <cellStyle name="_Portfolio_Detailed BS March 08(1)" xfId="4345"/>
    <cellStyle name="_Portfolio_Detailed BS March 08(1)_10_IBM_PLSF_Circularisation status" xfId="4346"/>
    <cellStyle name="_Portfolio_Detailed BS March 08(1)_10_IBM_Preliminary PM " xfId="4347"/>
    <cellStyle name="_Portfolio_Detailed BS March 08(1)_10_IBM_Sig Acc and SFOT determination " xfId="4348"/>
    <cellStyle name="_Portfolio_Detailed BS March 08(1)_31.12.09 Mauritius-USD based ledger - Final1" xfId="4349"/>
    <cellStyle name="_Portfolio_Detailed BS March 08(1)_Book4" xfId="4350"/>
    <cellStyle name="_Portfolio_Detailed BS March 08(1)_Book5" xfId="4351"/>
    <cellStyle name="_Portfolio_Detailed BS March 08(1)_Book5_(19) Loan Feb-11(Feb-11 figures)" xfId="4352"/>
    <cellStyle name="_Portfolio_Detailed BS March 08(1)_capital adequacy September 2009" xfId="4353"/>
    <cellStyle name="_Portfolio_Detailed BS March 08(1)_Circularisation Status Specialised Finance Division 17 Mar 10" xfId="4354"/>
    <cellStyle name="_Portfolio_Detailed BS March 08(1)_Copy of Mauritius-USD based ledger" xfId="4355"/>
    <cellStyle name="_Portfolio_Detailed BS March 08(1)_Ops risk Mauritius - Sep 09 split stephanie after adjusment conversion" xfId="4356"/>
    <cellStyle name="_Portfolio_Detailed BS March 08(1)_RELATED PARTY-2010 05 31" xfId="4357"/>
    <cellStyle name="_Portfolio_Detailed BS March 08(1)_RELATED PARTY-2010 05 31_(19) Loan Feb-11(Feb-11 figures)" xfId="4358"/>
    <cellStyle name="_Portfolio_Detailed BS March 09" xfId="4359"/>
    <cellStyle name="_Portfolio_Essbase March 2008" xfId="4360"/>
    <cellStyle name="_Portfolio_Essbase March 2008_10_IBM_PLSF_Circularisation status" xfId="4361"/>
    <cellStyle name="_Portfolio_Essbase March 2008_10_IBM_Preliminary PM " xfId="4362"/>
    <cellStyle name="_Portfolio_Essbase March 2008_10_IBM_Sig Acc and SFOT determination " xfId="4363"/>
    <cellStyle name="_Portfolio_Essbase March 2008_31.12.09 Mauritius-USD based ledger - Final1" xfId="4364"/>
    <cellStyle name="_Portfolio_Essbase March 2008_Book4" xfId="4365"/>
    <cellStyle name="_Portfolio_Essbase March 2008_Book5" xfId="4366"/>
    <cellStyle name="_Portfolio_Essbase March 2008_Book5_(19) Loan Feb-11(Feb-11 figures)" xfId="4367"/>
    <cellStyle name="_Portfolio_Essbase March 2008_capital adequacy September 2009" xfId="4368"/>
    <cellStyle name="_Portfolio_Essbase March 2008_Circularisation Status Specialised Finance Division 17 Mar 10" xfId="4369"/>
    <cellStyle name="_Portfolio_Essbase March 2008_Copy of Mauritius-USD based ledger" xfId="4370"/>
    <cellStyle name="_Portfolio_Essbase March 2008_Ops risk Mauritius - Sep 09 split stephanie after adjusment conversion" xfId="4371"/>
    <cellStyle name="_Portfolio_Essbase March 2008_RELATED PARTY-2010 05 31" xfId="4372"/>
    <cellStyle name="_Portfolio_Essbase March 2008_RELATED PARTY-2010 05 31_(19) Loan Feb-11(Feb-11 figures)" xfId="4373"/>
    <cellStyle name="_Portfolio_FINANCIALS 30-JUN-08-New Format-Auditors-Reformated" xfId="4374"/>
    <cellStyle name="_Portfolio_FINANCIALS 30-JUN-08-New Format-Auditors-Reformated_10_IBM_PLSF_Circularisation status" xfId="4375"/>
    <cellStyle name="_Portfolio_FINANCIALS 30-JUN-08-New Format-Auditors-Reformated_10_IBM_Preliminary PM " xfId="4376"/>
    <cellStyle name="_Portfolio_FINANCIALS 30-JUN-08-New Format-Auditors-Reformated_10_IBM_Sig Acc and SFOT determination " xfId="4377"/>
    <cellStyle name="_Portfolio_Fixed Assets Register 11 Feb10" xfId="4378"/>
    <cellStyle name="_Portfolio_Fixed Assets Register 11 Feb10_(19) Loan Feb-11(Feb-11 figures)" xfId="4379"/>
    <cellStyle name="_Portfolio_Fixed Assets Register 12 Mar10.xls" xfId="4380"/>
    <cellStyle name="_Portfolio_Fixed Assets Register 12 Mar10.xls_(19) Loan Feb-11(Feb-11 figures)" xfId="4381"/>
    <cellStyle name="_Portfolio_FV of Derivatives - 30 06 09" xfId="4382"/>
    <cellStyle name="_Portfolio_FV of Derivatives - 31.03.08" xfId="4383"/>
    <cellStyle name="_Portfolio_FV of Derivatives - 31.03.08_10_IBM_PLSF_Circularisation status" xfId="4384"/>
    <cellStyle name="_Portfolio_FV of Derivatives - 31.03.08_10_IBM_Preliminary PM " xfId="4385"/>
    <cellStyle name="_Portfolio_FV of Derivatives - 31.03.08_10_IBM_Sig Acc and SFOT determination " xfId="4386"/>
    <cellStyle name="_Portfolio_FV of Derivatives - 31.03.08_31.12.09 Mauritius-USD based ledger - Final1" xfId="4387"/>
    <cellStyle name="_Portfolio_FV of Derivatives - 31.03.08_Book4" xfId="4388"/>
    <cellStyle name="_Portfolio_FV of Derivatives - 31.03.08_Book5" xfId="4389"/>
    <cellStyle name="_Portfolio_FV of Derivatives - 31.03.08_Book5_(19) Loan Feb-11(Feb-11 figures)" xfId="4390"/>
    <cellStyle name="_Portfolio_FV of Derivatives - 31.03.08_capital adequacy September 2009" xfId="4391"/>
    <cellStyle name="_Portfolio_FV of Derivatives - 31.03.08_Circularisation Status Specialised Finance Division 17 Mar 10" xfId="4392"/>
    <cellStyle name="_Portfolio_FV of Derivatives - 31.03.08_Copy of Mauritius-USD based ledger" xfId="4393"/>
    <cellStyle name="_Portfolio_FV of Derivatives - 31.03.08_Ops risk Mauritius - Sep 09 split stephanie after adjusment conversion" xfId="4394"/>
    <cellStyle name="_Portfolio_FV of Derivatives - 31.03.08_RELATED PARTY-2010 05 31" xfId="4395"/>
    <cellStyle name="_Portfolio_FV of Derivatives - 31.03.08_RELATED PARTY-2010 05 31_(19) Loan Feb-11(Feb-11 figures)" xfId="4396"/>
    <cellStyle name="_Portfolio_IBM Input Sheet 31.03.2010 v0.4" xfId="4397"/>
    <cellStyle name="_Portfolio_IBM Input Sheet 31.03.2010 v0.4_(19) Loan Feb-11(Feb-11 figures)" xfId="4398"/>
    <cellStyle name="_Portfolio_IBM_Grouped(2)" xfId="4399"/>
    <cellStyle name="_Portfolio_IBM_Grouped_USD" xfId="4400"/>
    <cellStyle name="_Portfolio_IBM_Grouped_ZAR" xfId="4401"/>
    <cellStyle name="_Portfolio_Liquidity and repricing" xfId="4402"/>
    <cellStyle name="_Portfolio_Loans list Jan 2010" xfId="4403"/>
    <cellStyle name="_Portfolio_Loans list Jan 2010_10_IBM_PRE FINAL WP_PB_BS 170310" xfId="4404"/>
    <cellStyle name="_Portfolio_MUR position" xfId="4405"/>
    <cellStyle name="_Portfolio_NOP 2010 01 31 USD BASED" xfId="4406"/>
    <cellStyle name="_Portfolio_NOP 2010 01 31 USD BASED_Report Finance" xfId="4407"/>
    <cellStyle name="_Portfolio_NOP 2010 02 28 USD BASED Final" xfId="4408"/>
    <cellStyle name="_Portfolio_NOP 2010 02 28 USD BASED Final_Report Finance" xfId="4409"/>
    <cellStyle name="_Portfolio_NOP 2010 03 31 USD BASEDrevised" xfId="4410"/>
    <cellStyle name="_Portfolio_NOP 2010 03 31 USD BASEDrevised_Report Finance" xfId="4411"/>
    <cellStyle name="_Portfolio_NOP 2010 04 30" xfId="4412"/>
    <cellStyle name="_Portfolio_NOP 2010 04 30_Report Finance" xfId="4413"/>
    <cellStyle name="_Portfolio_Opeartional Risk sept 2009" xfId="4414"/>
    <cellStyle name="_Portfolio_Ops risk Mauritius - Sep 09 split stephanie after adjusment conversion" xfId="4415"/>
    <cellStyle name="_Portfolio_ORIGINAL NOP 2009 12 31 USD BASED" xfId="4416"/>
    <cellStyle name="_Portfolio_ORIGINAL NOP 2009 12 31 USD BASED_Report Finance" xfId="4417"/>
    <cellStyle name="_Portfolio_Ratings action BLP links" xfId="4418"/>
    <cellStyle name="_Portfolio_Related Party Dec-08" xfId="4419"/>
    <cellStyle name="_Portfolio_Report Finance" xfId="4420"/>
    <cellStyle name="_Portfolio_SARB BOM Comparison 20081231 v3 0" xfId="4421"/>
    <cellStyle name="_Portfolio_SARB BOM Comparison 20081231 v3 0v from Mahen" xfId="4422"/>
    <cellStyle name="_Portfolio_SARBResults_1101" xfId="4423"/>
    <cellStyle name="_Portfolio_SARBResults_1101_10_IBM_PLSF_Circularisation status" xfId="4424"/>
    <cellStyle name="_Portfolio_SARBResults_1101_10_IBM_Preliminary PM " xfId="4425"/>
    <cellStyle name="_Portfolio_SARBResults_1101_10_IBM_Sig Acc and SFOT determination " xfId="4426"/>
    <cellStyle name="_Portfolio_SARBResults_1101_31.12.09 Mauritius-USD based ledger - Final1" xfId="4427"/>
    <cellStyle name="_Portfolio_SARBResults_1101_Book4" xfId="4428"/>
    <cellStyle name="_Portfolio_SARBResults_1101_Book5" xfId="4429"/>
    <cellStyle name="_Portfolio_SARBResults_1101_Book5_(19) Loan Feb-11(Feb-11 figures)" xfId="4430"/>
    <cellStyle name="_Portfolio_SARBResults_1101_capital adequacy September 2009" xfId="4431"/>
    <cellStyle name="_Portfolio_SARBResults_1101_Circularisation Status Specialised Finance Division 17 Mar 10" xfId="4432"/>
    <cellStyle name="_Portfolio_SARBResults_1101_Copy of Mauritius-USD based ledger" xfId="4433"/>
    <cellStyle name="_Portfolio_SARBResults_1101_Ops risk Mauritius - Sep 09 split stephanie after adjusment conversion" xfId="4434"/>
    <cellStyle name="_Portfolio_SARBResults_1101_RELATED PARTY-2010 05 31" xfId="4435"/>
    <cellStyle name="_Portfolio_SARBResults_1101_RELATED PARTY-2010 05 31_(19) Loan Feb-11(Feb-11 figures)" xfId="4436"/>
    <cellStyle name="_Portfolio_SARBResults_2697 (vanessa board2)" xfId="4437"/>
    <cellStyle name="_Portfolio_Sheet1" xfId="4438"/>
    <cellStyle name="_Portfolio_Sheet1_1" xfId="4439"/>
    <cellStyle name="_Portfolio_Statutory Annual Report - 31 03 08" xfId="4440"/>
    <cellStyle name="_Portfolio_Statutory Annual Report - 31 03 08_10_IBM_PLSF_Circularisation status" xfId="4441"/>
    <cellStyle name="_Portfolio_Statutory Annual Report - 31 03 08_10_IBM_Preliminary PM " xfId="4442"/>
    <cellStyle name="_Portfolio_Statutory Annual Report - 31 03 08_10_IBM_Sig Acc and SFOT determination " xfId="4443"/>
    <cellStyle name="_Portfolio_Statutory Annual Report - 31 03 08_31.12.09 Mauritius-USD based ledger - Final1" xfId="4444"/>
    <cellStyle name="_Portfolio_Statutory Annual Report - 31 03 08_Book4" xfId="4445"/>
    <cellStyle name="_Portfolio_Statutory Annual Report - 31 03 08_Book5" xfId="4446"/>
    <cellStyle name="_Portfolio_Statutory Annual Report - 31 03 08_Book5_(19) Loan Feb-11(Feb-11 figures)" xfId="4447"/>
    <cellStyle name="_Portfolio_Statutory Annual Report - 31 03 08_capital adequacy September 2009" xfId="4448"/>
    <cellStyle name="_Portfolio_Statutory Annual Report - 31 03 08_Circularisation Status Specialised Finance Division 17 Mar 10" xfId="4449"/>
    <cellStyle name="_Portfolio_Statutory Annual Report - 31 03 08_Copy of Mauritius-USD based ledger" xfId="4450"/>
    <cellStyle name="_Portfolio_Statutory Annual Report - 31 03 08_Ops risk Mauritius - Sep 09 split stephanie after adjusment conversion" xfId="4451"/>
    <cellStyle name="_Portfolio_Statutory Annual Report - 31 03 08_RELATED PARTY-2010 05 31" xfId="4452"/>
    <cellStyle name="_Portfolio_Statutory Annual Report - 31 03 08_RELATED PARTY-2010 05 31_(19) Loan Feb-11(Feb-11 figures)" xfId="4453"/>
    <cellStyle name="_Positions" xfId="4454"/>
    <cellStyle name="_Positions_Sheet1" xfId="4455"/>
    <cellStyle name="_Pricing Lookup" xfId="4456"/>
    <cellStyle name="_Pricing Lookup_Sheet1" xfId="4457"/>
    <cellStyle name="_Private banking" xfId="4458"/>
    <cellStyle name="_Private banking_Sheet1" xfId="4459"/>
    <cellStyle name="_Prp5_ Bond_Prices" xfId="4460"/>
    <cellStyle name="_Prp5_ Bond_Prices_Sheet1" xfId="4461"/>
    <cellStyle name="_Qa" xfId="4462"/>
    <cellStyle name="_Qa_Sheet1" xfId="4463"/>
    <cellStyle name="_Qb" xfId="4464"/>
    <cellStyle name="_Qb_Sheet1" xfId="4465"/>
    <cellStyle name="_Rating" xfId="4466"/>
    <cellStyle name="_Rating_Sheet1" xfId="4467"/>
    <cellStyle name="_Ratings" xfId="4468"/>
    <cellStyle name="_Ratings_Sheet1" xfId="4469"/>
    <cellStyle name="_Recon" xfId="4470"/>
    <cellStyle name="_Recon_Sheet1" xfId="4471"/>
    <cellStyle name="_Ref Ob. Underlying Collateral" xfId="4472"/>
    <cellStyle name="_Ref Ob. Underlying Collateral_Sheet1" xfId="4473"/>
    <cellStyle name="_Residual charges v" xfId="4474"/>
    <cellStyle name="_Residual charges v_Circularisation Status Specialised Finance Division 17 Mar 10" xfId="4475"/>
    <cellStyle name="_Residual charges v_Sheet1" xfId="4476"/>
    <cellStyle name="_Rid_10_xt_ml_s31" xfId="4477"/>
    <cellStyle name="_Rid_10_xt_ml_s31 2" xfId="4478"/>
    <cellStyle name="_Rid_10_xt_ml_s6" xfId="4479"/>
    <cellStyle name="_Rid_10_xt_ml_s6 2" xfId="4480"/>
    <cellStyle name="_Rid_10_xt_ml_s7" xfId="4481"/>
    <cellStyle name="_Rid_10_xt_ml_s7 2" xfId="4482"/>
    <cellStyle name="_Rid_10_xt_mv_s12" xfId="4483"/>
    <cellStyle name="_Rid_10_xt_mv_s12 2" xfId="4484"/>
    <cellStyle name="_Rid_10_xt_mv_s13" xfId="4485"/>
    <cellStyle name="_Rid_10_xt_mv_s13 2" xfId="4486"/>
    <cellStyle name="_Rid_10_xt_s33" xfId="4487"/>
    <cellStyle name="_Rid_10_xt_s33 2" xfId="4488"/>
    <cellStyle name="_Rid_10_xt_s6" xfId="4489"/>
    <cellStyle name="_Rid_10_xt_s6 2" xfId="4490"/>
    <cellStyle name="_Rid_11_s0" xfId="4491"/>
    <cellStyle name="_Rid_11_s0 2" xfId="4492"/>
    <cellStyle name="_Rid_11_s1" xfId="4493"/>
    <cellStyle name="_Rid_11_s1 2" xfId="4494"/>
    <cellStyle name="_Rid_11_s2_s3" xfId="4495"/>
    <cellStyle name="_Rid_11_s2_s3 2" xfId="4496"/>
    <cellStyle name="_Rid_11_xt_ml_s13" xfId="4497"/>
    <cellStyle name="_Rid_11_xt_ml_s13 2" xfId="4498"/>
    <cellStyle name="_Rid_11_xt_ml_s8" xfId="4499"/>
    <cellStyle name="_Rid_11_xt_ml_s8 2" xfId="4500"/>
    <cellStyle name="_Rid_11_xt_xm" xfId="4501"/>
    <cellStyle name="_Rid_11_xt_xm 2" xfId="4502"/>
    <cellStyle name="_Rid_12_cl_s3" xfId="4503"/>
    <cellStyle name="_Rid_12_cl_s3 2" xfId="4504"/>
    <cellStyle name="_Rid_12_cl_s5" xfId="4505"/>
    <cellStyle name="_Rid_12_cl_s5 2" xfId="4506"/>
    <cellStyle name="_Rid_12_s0" xfId="4507"/>
    <cellStyle name="_Rid_12_s0 2" xfId="4508"/>
    <cellStyle name="_Rid_12_s1" xfId="4509"/>
    <cellStyle name="_Rid_12_s1 2" xfId="4510"/>
    <cellStyle name="_Rid_12_s2" xfId="4511"/>
    <cellStyle name="_Rid_12_s2 2" xfId="4512"/>
    <cellStyle name="_Rid_12_xt_cv_s11_s10" xfId="4513"/>
    <cellStyle name="_Rid_12_xt_cv_s11_s10 2" xfId="4514"/>
    <cellStyle name="_Rid_12_xt_cv_s12_s10" xfId="4515"/>
    <cellStyle name="_Rid_12_xt_cv_s12_s10 2" xfId="4516"/>
    <cellStyle name="_Rid_12_xt_cv_s13_s10" xfId="4517"/>
    <cellStyle name="_Rid_12_xt_cv_s13_s10 2" xfId="4518"/>
    <cellStyle name="_Rid_12_xt_cv_s14_s10" xfId="4519"/>
    <cellStyle name="_Rid_12_xt_cv_s14_s10 2" xfId="4520"/>
    <cellStyle name="_Rid_12_xt_cv_s15_s10" xfId="4521"/>
    <cellStyle name="_Rid_12_xt_cv_s15_s10 2" xfId="4522"/>
    <cellStyle name="_Rid_12_xt_cv_s16_s10" xfId="4523"/>
    <cellStyle name="_Rid_12_xt_cv_s16_s10 2" xfId="4524"/>
    <cellStyle name="_Rid_12_xt_cv_s17_s10" xfId="4525"/>
    <cellStyle name="_Rid_12_xt_cv_s17_s10 2" xfId="4526"/>
    <cellStyle name="_Rid_12_xt_cv_s18_s10" xfId="4527"/>
    <cellStyle name="_Rid_12_xt_cv_s18_s10 2" xfId="4528"/>
    <cellStyle name="_Rid_12_xt_cv_s20_s10" xfId="4529"/>
    <cellStyle name="_Rid_12_xt_cv_s20_s10 2" xfId="4530"/>
    <cellStyle name="_Rid_12_xt_cv_s21_s10" xfId="4531"/>
    <cellStyle name="_Rid_12_xt_cv_s21_s10 2" xfId="4532"/>
    <cellStyle name="_Rid_12_xt_cv_s22_s10" xfId="4533"/>
    <cellStyle name="_Rid_12_xt_cv_s22_s10 2" xfId="4534"/>
    <cellStyle name="_Rid_12_xt_cv_s23_s10" xfId="4535"/>
    <cellStyle name="_Rid_12_xt_cv_s23_s10 2" xfId="4536"/>
    <cellStyle name="_Rid_12_xt_cv_s24_s10" xfId="4537"/>
    <cellStyle name="_Rid_12_xt_cv_s24_s10 2" xfId="4538"/>
    <cellStyle name="_Rid_12_xt_cv_s25_s10" xfId="4539"/>
    <cellStyle name="_Rid_12_xt_cv_s25_s10 2" xfId="4540"/>
    <cellStyle name="_Rid_12_xt_cv_s9_s10" xfId="4541"/>
    <cellStyle name="_Rid_12_xt_cv_s9_s10 2" xfId="4542"/>
    <cellStyle name="_Rid_12_xt_ml_s19" xfId="4543"/>
    <cellStyle name="_Rid_12_xt_ml_s19 2" xfId="4544"/>
    <cellStyle name="_Rid_12_xt_ml_s8" xfId="4545"/>
    <cellStyle name="_Rid_12_xt_ml_s8 2" xfId="4546"/>
    <cellStyle name="_Rid_12_xt_s26" xfId="4547"/>
    <cellStyle name="_Rid_12_xt_s26 2" xfId="4548"/>
    <cellStyle name="_Rid_12_xt_s4" xfId="4549"/>
    <cellStyle name="_Rid_12_xt_s4 2" xfId="4550"/>
    <cellStyle name="_Rid_12_xt_s6" xfId="4551"/>
    <cellStyle name="_Rid_12_xt_s6 2" xfId="4552"/>
    <cellStyle name="_Rid_12_xt_s7" xfId="4553"/>
    <cellStyle name="_Rid_12_xt_s7 2" xfId="4554"/>
    <cellStyle name="_Rid_12_xt_xm" xfId="4555"/>
    <cellStyle name="_Rid_12_xt_xm 2" xfId="4556"/>
    <cellStyle name="_Rid_13_cl_s3" xfId="4557"/>
    <cellStyle name="_Rid_13_cl_s3 2" xfId="4558"/>
    <cellStyle name="_Rid_13_cl_s5" xfId="4559"/>
    <cellStyle name="_Rid_13_cl_s5 2" xfId="4560"/>
    <cellStyle name="_Rid_13_cl_s7" xfId="4561"/>
    <cellStyle name="_Rid_13_cl_s7 2" xfId="4562"/>
    <cellStyle name="_Rid_13_s0" xfId="4563"/>
    <cellStyle name="_Rid_13_s0 2" xfId="4564"/>
    <cellStyle name="_Rid_13_s1" xfId="4565"/>
    <cellStyle name="_Rid_13_s1 2" xfId="4566"/>
    <cellStyle name="_Rid_13_s2" xfId="4567"/>
    <cellStyle name="_Rid_13_s2 2" xfId="4568"/>
    <cellStyle name="_Rid_13_xt_cv_s10_s6" xfId="4569"/>
    <cellStyle name="_Rid_13_xt_cv_s10_s6 2" xfId="4570"/>
    <cellStyle name="_Rid_13_xt_cv_s11_s6" xfId="4571"/>
    <cellStyle name="_Rid_13_xt_cv_s11_s6 2" xfId="4572"/>
    <cellStyle name="_Rid_13_xt_cv_s12_s6" xfId="4573"/>
    <cellStyle name="_Rid_13_xt_cv_s12_s6 2" xfId="4574"/>
    <cellStyle name="_Rid_13_xt_cv_s13_s6" xfId="4575"/>
    <cellStyle name="_Rid_13_xt_cv_s13_s6 2" xfId="4576"/>
    <cellStyle name="_Rid_13_xt_cv_s14_s6" xfId="4577"/>
    <cellStyle name="_Rid_13_xt_cv_s14_s6 2" xfId="4578"/>
    <cellStyle name="_Rid_13_xt_cv_s15_s6" xfId="4579"/>
    <cellStyle name="_Rid_13_xt_cv_s15_s6 2" xfId="4580"/>
    <cellStyle name="_Rid_13_xt_cv_s16_s6" xfId="4581"/>
    <cellStyle name="_Rid_13_xt_cv_s16_s6 2" xfId="4582"/>
    <cellStyle name="_Rid_13_xt_cv_s17_s6" xfId="4583"/>
    <cellStyle name="_Rid_13_xt_cv_s17_s6 2" xfId="4584"/>
    <cellStyle name="_Rid_13_xt_cv_s18_s6" xfId="4585"/>
    <cellStyle name="_Rid_13_xt_cv_s18_s6 2" xfId="4586"/>
    <cellStyle name="_Rid_13_xt_cv_s20_s6" xfId="4587"/>
    <cellStyle name="_Rid_13_xt_cv_s20_s6 2" xfId="4588"/>
    <cellStyle name="_Rid_13_xt_cv_s21_s6" xfId="4589"/>
    <cellStyle name="_Rid_13_xt_cv_s21_s6 2" xfId="4590"/>
    <cellStyle name="_Rid_13_xt_cv_s22_s6" xfId="4591"/>
    <cellStyle name="_Rid_13_xt_cv_s22_s6 2" xfId="4592"/>
    <cellStyle name="_Rid_13_xt_cv_s9_s6" xfId="4593"/>
    <cellStyle name="_Rid_13_xt_cv_s9_s6 2" xfId="4594"/>
    <cellStyle name="_Rid_13_xt_ml_s19" xfId="4595"/>
    <cellStyle name="_Rid_13_xt_ml_s19 2" xfId="4596"/>
    <cellStyle name="_Rid_13_xt_ml_s8" xfId="4597"/>
    <cellStyle name="_Rid_13_xt_ml_s8 2" xfId="4598"/>
    <cellStyle name="_Rid_13_xt_s23" xfId="4599"/>
    <cellStyle name="_Rid_13_xt_s23 2" xfId="4600"/>
    <cellStyle name="_Rid_13_xt_s4" xfId="4601"/>
    <cellStyle name="_Rid_13_xt_s4 2" xfId="4602"/>
    <cellStyle name="_Rid_13_xt_xm" xfId="4603"/>
    <cellStyle name="_Rid_13_xt_xm 2" xfId="4604"/>
    <cellStyle name="_risk" xfId="4605"/>
    <cellStyle name="_risk_Sheet1" xfId="4606"/>
    <cellStyle name="_Rolf" xfId="4607"/>
    <cellStyle name="_Rolf_72340 130607" xfId="4608"/>
    <cellStyle name="_Rolf_Sheet1" xfId="4609"/>
    <cellStyle name="_S&amp;T Sheet" xfId="4610"/>
    <cellStyle name="_S&amp;T Sheet_Sheet1" xfId="4611"/>
    <cellStyle name="_SandP Inputs" xfId="4612"/>
    <cellStyle name="_Securitised exposures" xfId="4613"/>
    <cellStyle name="_Securitization" xfId="4614"/>
    <cellStyle name="_Securitization_(19) Loan Feb-11(Feb-11 figures)" xfId="4615"/>
    <cellStyle name="_Securitization_(32) Mar-10 Breakdown of Credit" xfId="4616"/>
    <cellStyle name="_Securitization_(32) Mar-10 Loan" xfId="4617"/>
    <cellStyle name="_Securitization_(33) Apr-10 Breakdown of Credit" xfId="4618"/>
    <cellStyle name="_Securitization_(33) Apr-10 Loan" xfId="4619"/>
    <cellStyle name="_Securitization_Book15" xfId="4620"/>
    <cellStyle name="_Securitization_Book16" xfId="4621"/>
    <cellStyle name="_Securitization_Book17" xfId="4622"/>
    <cellStyle name="_Securitization_Book19" xfId="4623"/>
    <cellStyle name="_Securitization_Book20" xfId="4624"/>
    <cellStyle name="_Securitization_Book8" xfId="4625"/>
    <cellStyle name="_Securitization_Book9" xfId="4626"/>
    <cellStyle name="_SFN Acc-May07AS" xfId="4627"/>
    <cellStyle name="_SFN Acc-Nov07" xfId="4628"/>
    <cellStyle name="_Sheet1" xfId="4629"/>
    <cellStyle name="_Sheet1 (2)" xfId="4630"/>
    <cellStyle name="_Sheet1 (2)_Circularisation Status Specialised Finance Division 17 Mar 10" xfId="4631"/>
    <cellStyle name="_Sheet1 (2)_Sheet1" xfId="4632"/>
    <cellStyle name="_Sheet1 2" xfId="4633"/>
    <cellStyle name="_Sheet1 3" xfId="4634"/>
    <cellStyle name="_Sheet1_(05) CAR Dec-07" xfId="4635"/>
    <cellStyle name="_Sheet1_(05) CAR Dec-07 2" xfId="4636"/>
    <cellStyle name="_Sheet1_(05) CAR Dec-07_(26) Oct-09 (AL)" xfId="4637"/>
    <cellStyle name="_Sheet1_(05) CAR Dec-07_(27) Nov-09 (AL)" xfId="4638"/>
    <cellStyle name="_Sheet1_(05) CAR Dec-07_09_IBM_A5.6.3_Sig Acc and SFOT Determination" xfId="4639"/>
    <cellStyle name="_Sheet1_(05) CAR Dec-07_09_IBM_Preliminary PM (Interim) 31.03.010" xfId="4640"/>
    <cellStyle name="_Sheet1_(05) CAR Dec-07_10_IBM_Bank Recon" xfId="4641"/>
    <cellStyle name="_Sheet1_(05) CAR Dec-07_10_IBM_J8_Cash Cut Off" xfId="4642"/>
    <cellStyle name="_Sheet1_(05) CAR Dec-07_10_IBM_Other liabilities" xfId="4643"/>
    <cellStyle name="_Sheet1_(05) CAR Dec-07_10_IBM_PLSF_Circularisation status" xfId="4644"/>
    <cellStyle name="_Sheet1_(05) CAR Dec-07_10_IBM_Preliminary PM " xfId="4645"/>
    <cellStyle name="_Sheet1_(05) CAR Dec-07_10_IBM_Sig Acc and SFOT determination " xfId="4646"/>
    <cellStyle name="_Sheet1_(05) CAR Dec-07_31.12.09 Mauritius-USD based ledger - Final1" xfId="4647"/>
    <cellStyle name="_Sheet1_(05) CAR Dec-07_Book1 (4)" xfId="4648"/>
    <cellStyle name="_Sheet1_(05) CAR Dec-07_Book4" xfId="4649"/>
    <cellStyle name="_Sheet1_(05) CAR Dec-07_capital adequacy September 2009" xfId="4650"/>
    <cellStyle name="_Sheet1_(05) CAR Dec-07_Circularisation Status Specialised Finance Division 17 Mar 10" xfId="4651"/>
    <cellStyle name="_Sheet1_(05) CAR Dec-07_Copy of Mauritius-USD based ledger" xfId="4652"/>
    <cellStyle name="_Sheet1_(05) CAR Dec-07_IBM_Grouped(2)" xfId="4653"/>
    <cellStyle name="_Sheet1_(05) CAR Dec-07_IBM_Grouped_USD" xfId="4654"/>
    <cellStyle name="_Sheet1_(05) CAR Dec-07_IBM_Grouped_ZAR" xfId="4655"/>
    <cellStyle name="_Sheet1_(05) CAR Dec-07_Liquidity and repricing" xfId="4656"/>
    <cellStyle name="_Sheet1_(05) CAR Dec-07_NOP 2010 01 31 USD BASED" xfId="4657"/>
    <cellStyle name="_Sheet1_(05) CAR Dec-07_NOP 2010 01 31 USD BASED_Report Finance" xfId="4658"/>
    <cellStyle name="_Sheet1_(05) CAR Dec-07_NOP 2010 02 28 USD BASED Final" xfId="4659"/>
    <cellStyle name="_Sheet1_(05) CAR Dec-07_NOP 2010 02 28 USD BASED Final_Report Finance" xfId="4660"/>
    <cellStyle name="_Sheet1_(05) CAR Dec-07_NOP 2010 03 31 USD BASEDrevised" xfId="4661"/>
    <cellStyle name="_Sheet1_(05) CAR Dec-07_NOP 2010 03 31 USD BASEDrevised_Report Finance" xfId="4662"/>
    <cellStyle name="_Sheet1_(05) CAR Dec-07_NOP 2010 04 30" xfId="4663"/>
    <cellStyle name="_Sheet1_(05) CAR Dec-07_NOP 2010 04 30_Report Finance" xfId="4664"/>
    <cellStyle name="_Sheet1_(05) CAR Dec-07_ORIGINAL NOP 2009 12 31 USD BASED" xfId="4665"/>
    <cellStyle name="_Sheet1_(05) CAR Dec-07_ORIGINAL NOP 2009 12 31 USD BASED_Report Finance" xfId="4666"/>
    <cellStyle name="_Sheet1_(05) CAR Dec-07_Sheet1" xfId="4667"/>
    <cellStyle name="_Sheet1_(26) Oct-09 (AL)" xfId="4668"/>
    <cellStyle name="_Sheet1_(27) Nov-09 (AL)" xfId="4669"/>
    <cellStyle name="_Sheet1_08_IBM_A2.2.1 to A2.2.15_Statutory workings - 31 03 08" xfId="4670"/>
    <cellStyle name="_Sheet1_08_IBM_A2.2.1 to A2.2.15_Statutory workings - 31 03 08_10_IBM_PLSF_Circularisation status" xfId="4671"/>
    <cellStyle name="_Sheet1_08_IBM_A2.2.1 to A2.2.15_Statutory workings - 31 03 08_10_IBM_Preliminary PM " xfId="4672"/>
    <cellStyle name="_Sheet1_08_IBM_A2.2.1 to A2.2.15_Statutory workings - 31 03 08_10_IBM_Sig Acc and SFOT determination " xfId="4673"/>
    <cellStyle name="_Sheet1_08_IBM_A2.2.1 to A2.2.15_Statutory workings - 31 03 08_31.12.09 Mauritius-USD based ledger - Final1" xfId="4674"/>
    <cellStyle name="_Sheet1_08_IBM_A2.2.1 to A2.2.15_Statutory workings - 31 03 08_Book4" xfId="4675"/>
    <cellStyle name="_Sheet1_08_IBM_A2.2.1 to A2.2.15_Statutory workings - 31 03 08_Book5" xfId="4676"/>
    <cellStyle name="_Sheet1_08_IBM_A2.2.1 to A2.2.15_Statutory workings - 31 03 08_Book5_(19) Loan Feb-11(Feb-11 figures)" xfId="4677"/>
    <cellStyle name="_Sheet1_08_IBM_A2.2.1 to A2.2.15_Statutory workings - 31 03 08_Circularisation Status Specialised Finance Division 17 Mar 10" xfId="4678"/>
    <cellStyle name="_Sheet1_08_IBM_A2.2.1 to A2.2.15_Statutory workings - 31 03 08_RELATED PARTY-2010 05 31" xfId="4679"/>
    <cellStyle name="_Sheet1_08_IBM_A2.2.1 to A2.2.15_Statutory workings - 31 03 08_RELATED PARTY-2010 05 31_(19) Loan Feb-11(Feb-11 figures)" xfId="4680"/>
    <cellStyle name="_Sheet1_09_IBM_A5.6.3_Sig Acc and SFOT Determination" xfId="4681"/>
    <cellStyle name="_Sheet1_09_IBM_Pre-Final WP_Share capital_BS_H4 - N4_07.04.09" xfId="4682"/>
    <cellStyle name="_Sheet1_09_IBM_Preliminary PM (Interim) 31.03.010" xfId="4683"/>
    <cellStyle name="_Sheet1_09_Sep_IBM_Final WP_Share capital_BS_F-4_Investments" xfId="4684"/>
    <cellStyle name="_Sheet1_1" xfId="4685"/>
    <cellStyle name="_Sheet1_1_Rating Actions" xfId="4686"/>
    <cellStyle name="_Sheet1_1_Rating Actions_Report Finance" xfId="4687"/>
    <cellStyle name="_Sheet1_1_Rating Actions_Sheet1" xfId="4688"/>
    <cellStyle name="_Sheet1_1_Ratings action BLP links" xfId="4689"/>
    <cellStyle name="_Sheet1_1_Ratings action BLP links_1" xfId="4690"/>
    <cellStyle name="_Sheet1_1_Ratings action BLP links_1_Sheet1" xfId="4691"/>
    <cellStyle name="_Sheet1_1_Ratings action BLP links_Report Finance" xfId="4692"/>
    <cellStyle name="_Sheet1_1_Ratings action BLP links_Sheet1" xfId="4693"/>
    <cellStyle name="_Sheet1_1_Sheet1" xfId="4694"/>
    <cellStyle name="_Sheet1_10_IBM_Bank Recon" xfId="4695"/>
    <cellStyle name="_Sheet1_10_IBM_J8_Cash Cut Off" xfId="4696"/>
    <cellStyle name="_Sheet1_10_IBM_Other liabilities" xfId="4697"/>
    <cellStyle name="_Sheet1_10_IBM_PLSF_Circularisation status" xfId="4698"/>
    <cellStyle name="_Sheet1_10_IBM_Preliminary PM " xfId="4699"/>
    <cellStyle name="_Sheet1_10_IBM_Sig Acc and SFOT determination " xfId="4700"/>
    <cellStyle name="_Sheet1_31.12.09 Mauritius-USD based ledger - Final1" xfId="4701"/>
    <cellStyle name="_Sheet1_Asset information" xfId="4702"/>
    <cellStyle name="_Sheet1_Asset information_Sheet1" xfId="4703"/>
    <cellStyle name="_Sheet1_audit adjustment 2007" xfId="4704"/>
    <cellStyle name="_Sheet1_audit adjustment 2007 2" xfId="4705"/>
    <cellStyle name="_Sheet1_audit adjustment 2007_(26) Oct-09 (AL)" xfId="4706"/>
    <cellStyle name="_Sheet1_audit adjustment 2007_(27) Nov-09 (AL)" xfId="4707"/>
    <cellStyle name="_Sheet1_audit adjustment 2007_09_IBM_A5.6.3_Sig Acc and SFOT Determination" xfId="4708"/>
    <cellStyle name="_Sheet1_audit adjustment 2007_09_IBM_Preliminary PM (Interim) 31.03.010" xfId="4709"/>
    <cellStyle name="_Sheet1_audit adjustment 2007_10_IBM_Bank Recon" xfId="4710"/>
    <cellStyle name="_Sheet1_audit adjustment 2007_10_IBM_J8_Cash Cut Off" xfId="4711"/>
    <cellStyle name="_Sheet1_audit adjustment 2007_10_IBM_PLSF_Circularisation status" xfId="4712"/>
    <cellStyle name="_Sheet1_audit adjustment 2007_10_IBM_Preliminary PM " xfId="4713"/>
    <cellStyle name="_Sheet1_audit adjustment 2007_10_IBM_Sig Acc and SFOT determination " xfId="4714"/>
    <cellStyle name="_Sheet1_audit adjustment 2007_31.12.09 Mauritius-USD based ledger - Final1" xfId="4715"/>
    <cellStyle name="_Sheet1_audit adjustment 2007_Book1 (4)" xfId="4716"/>
    <cellStyle name="_Sheet1_audit adjustment 2007_Book4" xfId="4717"/>
    <cellStyle name="_Sheet1_audit adjustment 2007_capital adequacy September 2009" xfId="4718"/>
    <cellStyle name="_Sheet1_audit adjustment 2007_Circularisation Status Specialised Finance Division 17 Mar 10" xfId="4719"/>
    <cellStyle name="_Sheet1_audit adjustment 2007_Copy of Mauritius-USD based ledger" xfId="4720"/>
    <cellStyle name="_Sheet1_audit adjustment 2007_IBM_Grouped(2)" xfId="4721"/>
    <cellStyle name="_Sheet1_audit adjustment 2007_IBM_Grouped_USD" xfId="4722"/>
    <cellStyle name="_Sheet1_audit adjustment 2007_IBM_Grouped_ZAR" xfId="4723"/>
    <cellStyle name="_Sheet1_audit adjustment 2007_Liquidity and repricing" xfId="4724"/>
    <cellStyle name="_Sheet1_audit adjustment 2007_NOP 2010 01 31 USD BASED" xfId="4725"/>
    <cellStyle name="_Sheet1_audit adjustment 2007_NOP 2010 01 31 USD BASED_Report Finance" xfId="4726"/>
    <cellStyle name="_Sheet1_audit adjustment 2007_NOP 2010 02 28 USD BASED Final" xfId="4727"/>
    <cellStyle name="_Sheet1_audit adjustment 2007_NOP 2010 02 28 USD BASED Final_Report Finance" xfId="4728"/>
    <cellStyle name="_Sheet1_audit adjustment 2007_NOP 2010 03 31 USD BASEDrevised" xfId="4729"/>
    <cellStyle name="_Sheet1_audit adjustment 2007_NOP 2010 03 31 USD BASEDrevised_Report Finance" xfId="4730"/>
    <cellStyle name="_Sheet1_audit adjustment 2007_NOP 2010 04 30" xfId="4731"/>
    <cellStyle name="_Sheet1_audit adjustment 2007_NOP 2010 04 30_Report Finance" xfId="4732"/>
    <cellStyle name="_Sheet1_audit adjustment 2007_ORIGINAL NOP 2009 12 31 USD BASED" xfId="4733"/>
    <cellStyle name="_Sheet1_audit adjustment 2007_ORIGINAL NOP 2009 12 31 USD BASED_Report Finance" xfId="4734"/>
    <cellStyle name="_Sheet1_audit adjustment 2007_Sheet1" xfId="4735"/>
    <cellStyle name="_Sheet1_BA 610 wkgs &amp; Return - 30 Jun 08" xfId="4736"/>
    <cellStyle name="_Sheet1_BA 610 wkgs &amp; Return - 30 Jun 08_10_IBM_PLSF_Circularisation status" xfId="4737"/>
    <cellStyle name="_Sheet1_BA 610 wkgs &amp; Return - 30 Jun 08_10_IBM_Preliminary PM " xfId="4738"/>
    <cellStyle name="_Sheet1_BA 610 wkgs &amp; Return - 30 Jun 08_10_IBM_Sig Acc and SFOT determination " xfId="4739"/>
    <cellStyle name="_Sheet1_BA 610 wkgs &amp; Return - 30 Jun 09" xfId="4740"/>
    <cellStyle name="_Sheet1_BA 610 wkgs &amp; Return - 30 Sep 08" xfId="4741"/>
    <cellStyle name="_Sheet1_BA 610 wkgs &amp; Return - 30 Sep 08_10_IBM_PLSF_Circularisation status" xfId="4742"/>
    <cellStyle name="_Sheet1_BA 610 wkgs &amp; Return - 30 Sep 08_10_IBM_Preliminary PM " xfId="4743"/>
    <cellStyle name="_Sheet1_BA 610 wkgs &amp; Return - 30 Sep 08_10_IBM_Sig Acc and SFOT determination " xfId="4744"/>
    <cellStyle name="_Sheet1_BA 610 wkgs &amp; Return - 31 Dec 08" xfId="4745"/>
    <cellStyle name="_Sheet1_BA 610 wkgs &amp; Return - 31 Dec 08 LATEST" xfId="4746"/>
    <cellStyle name="_Sheet1_BA 610 wkgs &amp; Return - 31 Dec 08_10_IBM_PLSF_Circularisation status" xfId="4747"/>
    <cellStyle name="_Sheet1_BA 610 wkgs &amp; Return - 31 Dec 08_10_IBM_Preliminary PM " xfId="4748"/>
    <cellStyle name="_Sheet1_BA 610 wkgs &amp; Return - 31 Dec 08_10_IBM_Sig Acc and SFOT determination " xfId="4749"/>
    <cellStyle name="_Sheet1_BA 610 wkgs -31.03.08(Version 2)" xfId="4750"/>
    <cellStyle name="_Sheet1_BA 610 wkgs -31.03.08(Version 2)_10_IBM_PLSF_Circularisation status" xfId="4751"/>
    <cellStyle name="_Sheet1_BA 610 wkgs -31.03.08(Version 2)_10_IBM_Preliminary PM " xfId="4752"/>
    <cellStyle name="_Sheet1_BA 610 wkgs -31.03.08(Version 2)_10_IBM_Sig Acc and SFOT determination " xfId="4753"/>
    <cellStyle name="_Sheet1_Base Case Cash Flows 5 yr call 2006-07-19" xfId="4754"/>
    <cellStyle name="_Sheet1_Base Case Cash Flows 5 yr call 2006-07-19_Sheet1" xfId="4755"/>
    <cellStyle name="_Sheet1_Book1" xfId="4756"/>
    <cellStyle name="_Sheet1_Book1 (3)" xfId="4757"/>
    <cellStyle name="_Sheet1_Book1 (4)" xfId="4758"/>
    <cellStyle name="_Sheet1_Book1_1" xfId="4759"/>
    <cellStyle name="_Sheet1_Book1_1_10_IBM_PLSF_Circularisation status" xfId="4760"/>
    <cellStyle name="_Sheet1_Book1_1_10_IBM_Preliminary PM " xfId="4761"/>
    <cellStyle name="_Sheet1_Book1_1_10_IBM_Sig Acc and SFOT determination " xfId="4762"/>
    <cellStyle name="_Sheet1_Book1_10_IBM_PLSF_Circularisation status" xfId="4763"/>
    <cellStyle name="_Sheet1_Book1_10_IBM_Preliminary PM " xfId="4764"/>
    <cellStyle name="_Sheet1_Book1_10_IBM_Sig Acc and SFOT determination " xfId="4765"/>
    <cellStyle name="_Sheet1_Book1_31.12.09 Mauritius-USD based ledger - Final1" xfId="4766"/>
    <cellStyle name="_Sheet1_Book1_Book4" xfId="4767"/>
    <cellStyle name="_Sheet1_Book1_Book5" xfId="4768"/>
    <cellStyle name="_Sheet1_Book1_Book5_(19) Loan Feb-11(Feb-11 figures)" xfId="4769"/>
    <cellStyle name="_Sheet1_Book1_capital adequacy September 2009" xfId="4770"/>
    <cellStyle name="_Sheet1_Book1_Circularisation Status Specialised Finance Division 17 Mar 10" xfId="4771"/>
    <cellStyle name="_Sheet1_Book1_Copy of Mauritius-USD based ledger" xfId="4772"/>
    <cellStyle name="_Sheet1_Book1_Ops risk Mauritius - Sep 09 split stephanie after adjusment conversion" xfId="4773"/>
    <cellStyle name="_Sheet1_Book1_RELATED PARTY-2010 05 31" xfId="4774"/>
    <cellStyle name="_Sheet1_Book1_RELATED PARTY-2010 05 31_(19) Loan Feb-11(Feb-11 figures)" xfId="4775"/>
    <cellStyle name="_Sheet1_Book2 (2)" xfId="4776"/>
    <cellStyle name="_Sheet1_Book3" xfId="4777"/>
    <cellStyle name="_Sheet1_Book3_10_IBM_PLSF_Circularisation status" xfId="4778"/>
    <cellStyle name="_Sheet1_Book3_10_IBM_Preliminary PM " xfId="4779"/>
    <cellStyle name="_Sheet1_Book3_10_IBM_Sig Acc and SFOT determination " xfId="4780"/>
    <cellStyle name="_Sheet1_Book3_31.12.09 Mauritius-USD based ledger - Final1" xfId="4781"/>
    <cellStyle name="_Sheet1_Book3_Book4" xfId="4782"/>
    <cellStyle name="_Sheet1_Book3_Book5" xfId="4783"/>
    <cellStyle name="_Sheet1_Book3_Book5_(19) Loan Feb-11(Feb-11 figures)" xfId="4784"/>
    <cellStyle name="_Sheet1_Book3_capital adequacy September 2009" xfId="4785"/>
    <cellStyle name="_Sheet1_Book3_Circularisation Status Specialised Finance Division 17 Mar 10" xfId="4786"/>
    <cellStyle name="_Sheet1_Book3_Copy of Mauritius-USD based ledger" xfId="4787"/>
    <cellStyle name="_Sheet1_Book3_Ops risk Mauritius - Sep 09 split stephanie after adjusment conversion" xfId="4788"/>
    <cellStyle name="_Sheet1_Book3_RELATED PARTY-2010 05 31" xfId="4789"/>
    <cellStyle name="_Sheet1_Book3_RELATED PARTY-2010 05 31_(19) Loan Feb-11(Feb-11 figures)" xfId="4790"/>
    <cellStyle name="_Sheet1_Book4" xfId="4791"/>
    <cellStyle name="_Sheet1_Book5 (2)" xfId="4792"/>
    <cellStyle name="_Sheet1_Book5 (2) 2" xfId="4793"/>
    <cellStyle name="_Sheet1_Book5 (2)_10_IBM_Bank Recon" xfId="4794"/>
    <cellStyle name="_Sheet1_Book5 (2)_10_IBM_J8_Cash Cut Off" xfId="4795"/>
    <cellStyle name="_Sheet1_Book5 (2)_10_IBM_PLSF_Circularisation status" xfId="4796"/>
    <cellStyle name="_Sheet1_Book5 (2)_Sheet1" xfId="4797"/>
    <cellStyle name="_Sheet1_Book6" xfId="4798"/>
    <cellStyle name="_Sheet1_Book6_10_IBM_PLSF_Circularisation status" xfId="4799"/>
    <cellStyle name="_Sheet1_Book6_10_IBM_Preliminary PM " xfId="4800"/>
    <cellStyle name="_Sheet1_Book6_10_IBM_Sig Acc and SFOT determination " xfId="4801"/>
    <cellStyle name="_Sheet1_Book6_31.12.09 Mauritius-USD based ledger - Final1" xfId="4802"/>
    <cellStyle name="_Sheet1_Book6_Book4" xfId="4803"/>
    <cellStyle name="_Sheet1_Book6_Book5" xfId="4804"/>
    <cellStyle name="_Sheet1_Book6_Book5_(19) Loan Feb-11(Feb-11 figures)" xfId="4805"/>
    <cellStyle name="_Sheet1_Book6_capital adequacy September 2009" xfId="4806"/>
    <cellStyle name="_Sheet1_Book6_Circularisation Status Specialised Finance Division 17 Mar 10" xfId="4807"/>
    <cellStyle name="_Sheet1_Book6_Copy of Mauritius-USD based ledger" xfId="4808"/>
    <cellStyle name="_Sheet1_Book6_Ops risk Mauritius - Sep 09 split stephanie after adjusment conversion" xfId="4809"/>
    <cellStyle name="_Sheet1_Book6_RELATED PARTY-2010 05 31" xfId="4810"/>
    <cellStyle name="_Sheet1_Book6_RELATED PARTY-2010 05 31_(19) Loan Feb-11(Feb-11 figures)" xfId="4811"/>
    <cellStyle name="_Sheet1_BS - Mar 09" xfId="4812"/>
    <cellStyle name="_Sheet1_capital adequacy September 2009" xfId="4813"/>
    <cellStyle name="_Sheet1_CDO Bucket" xfId="4814"/>
    <cellStyle name="_Sheet1_CDO Bucket_Sheet1" xfId="4815"/>
    <cellStyle name="_Sheet1_Circularisation Status Specialised Finance Division 17 Mar 10" xfId="4816"/>
    <cellStyle name="_Sheet1_CollateralSummary (2)" xfId="4817"/>
    <cellStyle name="_Sheet1_CollateralSummary (2)_Report Finance" xfId="4818"/>
    <cellStyle name="_Sheet1_CollateralSummary (2)_Sheet1" xfId="4819"/>
    <cellStyle name="_Sheet1_Copy of Springdale 2006-1 Sources and Uses 07-17-2006" xfId="4820"/>
    <cellStyle name="_Sheet1_Detailed BS Dec 07" xfId="4821"/>
    <cellStyle name="_Sheet1_Detailed BS Dec 07 2" xfId="4822"/>
    <cellStyle name="_Sheet1_Detailed BS Dec 07_10_IBM_Bank Recon" xfId="4823"/>
    <cellStyle name="_Sheet1_Detailed BS Dec 07_10_IBM_J8_Cash Cut Off" xfId="4824"/>
    <cellStyle name="_Sheet1_Detailed BS Dec 07_10_IBM_PLSF_Circularisation status" xfId="4825"/>
    <cellStyle name="_Sheet1_Detailed BS Dec 07_Avearge retrieval" xfId="4826"/>
    <cellStyle name="_Sheet1_Detailed BS Dec 07_Avearge retrieval 2" xfId="4827"/>
    <cellStyle name="_Sheet1_Detailed BS Dec 07_Avearge retrieval_(26) Oct-09 (AL)" xfId="4828"/>
    <cellStyle name="_Sheet1_Detailed BS Dec 07_Avearge retrieval_(27) Nov-09 (AL)" xfId="4829"/>
    <cellStyle name="_Sheet1_Detailed BS Dec 07_Avearge retrieval_09_IBM_A5.6.3_Sig Acc and SFOT Determination" xfId="4830"/>
    <cellStyle name="_Sheet1_Detailed BS Dec 07_Avearge retrieval_09_IBM_Preliminary PM (Interim) 31.03.010" xfId="4831"/>
    <cellStyle name="_Sheet1_Detailed BS Dec 07_Avearge retrieval_10_IBM_Bank Recon" xfId="4832"/>
    <cellStyle name="_Sheet1_Detailed BS Dec 07_Avearge retrieval_10_IBM_J8_Cash Cut Off" xfId="4833"/>
    <cellStyle name="_Sheet1_Detailed BS Dec 07_Avearge retrieval_10_IBM_PLSF_Circularisation status" xfId="4834"/>
    <cellStyle name="_Sheet1_Detailed BS Dec 07_Avearge retrieval_10_IBM_Preliminary PM " xfId="4835"/>
    <cellStyle name="_Sheet1_Detailed BS Dec 07_Avearge retrieval_10_IBM_Sig Acc and SFOT determination " xfId="4836"/>
    <cellStyle name="_Sheet1_Detailed BS Dec 07_Avearge retrieval_31.12.09 Mauritius-USD based ledger - Final1" xfId="4837"/>
    <cellStyle name="_Sheet1_Detailed BS Dec 07_Avearge retrieval_Book1 (4)" xfId="4838"/>
    <cellStyle name="_Sheet1_Detailed BS Dec 07_Avearge retrieval_Book4" xfId="4839"/>
    <cellStyle name="_Sheet1_Detailed BS Dec 07_Avearge retrieval_capital adequacy September 2009" xfId="4840"/>
    <cellStyle name="_Sheet1_Detailed BS Dec 07_Avearge retrieval_Circularisation Status Specialised Finance Division 17 Mar 10" xfId="4841"/>
    <cellStyle name="_Sheet1_Detailed BS Dec 07_Avearge retrieval_Copy of Mauritius-USD based ledger" xfId="4842"/>
    <cellStyle name="_Sheet1_Detailed BS Dec 07_Avearge retrieval_IBM_Grouped(2)" xfId="4843"/>
    <cellStyle name="_Sheet1_Detailed BS Dec 07_Avearge retrieval_IBM_Grouped_USD" xfId="4844"/>
    <cellStyle name="_Sheet1_Detailed BS Dec 07_Avearge retrieval_IBM_Grouped_ZAR" xfId="4845"/>
    <cellStyle name="_Sheet1_Detailed BS Dec 07_Avearge retrieval_Liquidity and repricing" xfId="4846"/>
    <cellStyle name="_Sheet1_Detailed BS Dec 07_Avearge retrieval_NOP 2010 01 31 USD BASED" xfId="4847"/>
    <cellStyle name="_Sheet1_Detailed BS Dec 07_Avearge retrieval_NOP 2010 01 31 USD BASED_Report Finance" xfId="4848"/>
    <cellStyle name="_Sheet1_Detailed BS Dec 07_Avearge retrieval_NOP 2010 02 28 USD BASED Final" xfId="4849"/>
    <cellStyle name="_Sheet1_Detailed BS Dec 07_Avearge retrieval_NOP 2010 02 28 USD BASED Final_Report Finance" xfId="4850"/>
    <cellStyle name="_Sheet1_Detailed BS Dec 07_Avearge retrieval_NOP 2010 03 31 USD BASEDrevised" xfId="4851"/>
    <cellStyle name="_Sheet1_Detailed BS Dec 07_Avearge retrieval_NOP 2010 03 31 USD BASEDrevised_Report Finance" xfId="4852"/>
    <cellStyle name="_Sheet1_Detailed BS Dec 07_Avearge retrieval_NOP 2010 04 30" xfId="4853"/>
    <cellStyle name="_Sheet1_Detailed BS Dec 07_Avearge retrieval_NOP 2010 04 30_Report Finance" xfId="4854"/>
    <cellStyle name="_Sheet1_Detailed BS Dec 07_Avearge retrieval_ORIGINAL NOP 2009 12 31 USD BASED" xfId="4855"/>
    <cellStyle name="_Sheet1_Detailed BS Dec 07_Avearge retrieval_ORIGINAL NOP 2009 12 31 USD BASED_Report Finance" xfId="4856"/>
    <cellStyle name="_Sheet1_Detailed BS Dec 07_Avearge retrieval_Sheet1" xfId="4857"/>
    <cellStyle name="_Sheet1_Detailed BS Dec 07_Sheet1" xfId="4858"/>
    <cellStyle name="_Sheet1_Detailed BS Dec 08" xfId="4859"/>
    <cellStyle name="_Sheet1_Detailed BS Jun 09" xfId="4860"/>
    <cellStyle name="_Sheet1_Detailed BS June08" xfId="4861"/>
    <cellStyle name="_Sheet1_Detailed BS June08_10_IBM_PLSF_Circularisation status" xfId="4862"/>
    <cellStyle name="_Sheet1_Detailed BS June08_10_IBM_Preliminary PM " xfId="4863"/>
    <cellStyle name="_Sheet1_Detailed BS June08_10_IBM_Sig Acc and SFOT determination " xfId="4864"/>
    <cellStyle name="_Sheet1_Detailed BS June08_31.12.09 Mauritius-USD based ledger - Final1" xfId="4865"/>
    <cellStyle name="_Sheet1_Detailed BS June08_Book4" xfId="4866"/>
    <cellStyle name="_Sheet1_Detailed BS June08_Book5" xfId="4867"/>
    <cellStyle name="_Sheet1_Detailed BS June08_Book5_(19) Loan Feb-11(Feb-11 figures)" xfId="4868"/>
    <cellStyle name="_Sheet1_Detailed BS June08_capital adequacy September 2009" xfId="4869"/>
    <cellStyle name="_Sheet1_Detailed BS June08_Circularisation Status Specialised Finance Division 17 Mar 10" xfId="4870"/>
    <cellStyle name="_Sheet1_Detailed BS June08_Copy of Mauritius-USD based ledger" xfId="4871"/>
    <cellStyle name="_Sheet1_Detailed BS June08_Ops risk Mauritius - Sep 09 split stephanie after adjusment conversion" xfId="4872"/>
    <cellStyle name="_Sheet1_Detailed BS June08_RELATED PARTY-2010 05 31" xfId="4873"/>
    <cellStyle name="_Sheet1_Detailed BS June08_RELATED PARTY-2010 05 31_(19) Loan Feb-11(Feb-11 figures)" xfId="4874"/>
    <cellStyle name="_Sheet1_Detailed BS March 08(1)" xfId="4875"/>
    <cellStyle name="_Sheet1_Detailed BS March 08(1)_10_IBM_PLSF_Circularisation status" xfId="4876"/>
    <cellStyle name="_Sheet1_Detailed BS March 08(1)_10_IBM_Preliminary PM " xfId="4877"/>
    <cellStyle name="_Sheet1_Detailed BS March 08(1)_10_IBM_Sig Acc and SFOT determination " xfId="4878"/>
    <cellStyle name="_Sheet1_Detailed BS March 08(1)_31.12.09 Mauritius-USD based ledger - Final1" xfId="4879"/>
    <cellStyle name="_Sheet1_Detailed BS March 08(1)_Book4" xfId="4880"/>
    <cellStyle name="_Sheet1_Detailed BS March 08(1)_Book5" xfId="4881"/>
    <cellStyle name="_Sheet1_Detailed BS March 08(1)_Book5_(19) Loan Feb-11(Feb-11 figures)" xfId="4882"/>
    <cellStyle name="_Sheet1_Detailed BS March 08(1)_capital adequacy September 2009" xfId="4883"/>
    <cellStyle name="_Sheet1_Detailed BS March 08(1)_Circularisation Status Specialised Finance Division 17 Mar 10" xfId="4884"/>
    <cellStyle name="_Sheet1_Detailed BS March 08(1)_Copy of Mauritius-USD based ledger" xfId="4885"/>
    <cellStyle name="_Sheet1_Detailed BS March 08(1)_Ops risk Mauritius - Sep 09 split stephanie after adjusment conversion" xfId="4886"/>
    <cellStyle name="_Sheet1_Detailed BS March 08(1)_RELATED PARTY-2010 05 31" xfId="4887"/>
    <cellStyle name="_Sheet1_Detailed BS March 08(1)_RELATED PARTY-2010 05 31_(19) Loan Feb-11(Feb-11 figures)" xfId="4888"/>
    <cellStyle name="_Sheet1_Detailed BS March 09" xfId="4889"/>
    <cellStyle name="_Sheet1_Disclaimer" xfId="4890"/>
    <cellStyle name="_Sheet1_Disclaimer_Sheet1" xfId="4891"/>
    <cellStyle name="_Sheet1_Essbase March 2008" xfId="4892"/>
    <cellStyle name="_Sheet1_Essbase March 2008_10_IBM_PLSF_Circularisation status" xfId="4893"/>
    <cellStyle name="_Sheet1_Essbase March 2008_10_IBM_Preliminary PM " xfId="4894"/>
    <cellStyle name="_Sheet1_Essbase March 2008_10_IBM_Sig Acc and SFOT determination " xfId="4895"/>
    <cellStyle name="_Sheet1_Essbase March 2008_31.12.09 Mauritius-USD based ledger - Final1" xfId="4896"/>
    <cellStyle name="_Sheet1_Essbase March 2008_Book4" xfId="4897"/>
    <cellStyle name="_Sheet1_Essbase March 2008_Book5" xfId="4898"/>
    <cellStyle name="_Sheet1_Essbase March 2008_Book5_(19) Loan Feb-11(Feb-11 figures)" xfId="4899"/>
    <cellStyle name="_Sheet1_Essbase March 2008_capital adequacy September 2009" xfId="4900"/>
    <cellStyle name="_Sheet1_Essbase March 2008_Circularisation Status Specialised Finance Division 17 Mar 10" xfId="4901"/>
    <cellStyle name="_Sheet1_Essbase March 2008_Copy of Mauritius-USD based ledger" xfId="4902"/>
    <cellStyle name="_Sheet1_Essbase March 2008_Ops risk Mauritius - Sep 09 split stephanie after adjusment conversion" xfId="4903"/>
    <cellStyle name="_Sheet1_Essbase March 2008_RELATED PARTY-2010 05 31" xfId="4904"/>
    <cellStyle name="_Sheet1_Essbase March 2008_RELATED PARTY-2010 05 31_(19) Loan Feb-11(Feb-11 figures)" xfId="4905"/>
    <cellStyle name="_Sheet1_FINANCIALS 30-JUN-08-New Format-Auditors-Reformated" xfId="4906"/>
    <cellStyle name="_Sheet1_FINANCIALS 30-JUN-08-New Format-Auditors-Reformated_10_IBM_PLSF_Circularisation status" xfId="4907"/>
    <cellStyle name="_Sheet1_FINANCIALS 30-JUN-08-New Format-Auditors-Reformated_10_IBM_Preliminary PM " xfId="4908"/>
    <cellStyle name="_Sheet1_FINANCIALS 30-JUN-08-New Format-Auditors-Reformated_10_IBM_Sig Acc and SFOT determination " xfId="4909"/>
    <cellStyle name="_Sheet1_Fixed Assets Register 11 Feb10" xfId="4910"/>
    <cellStyle name="_Sheet1_Fixed Assets Register 11 Feb10_(19) Loan Feb-11(Feb-11 figures)" xfId="4911"/>
    <cellStyle name="_Sheet1_Fixed Assets Register 12 Mar10.xls" xfId="4912"/>
    <cellStyle name="_Sheet1_Fixed Assets Register 12 Mar10.xls_(19) Loan Feb-11(Feb-11 figures)" xfId="4913"/>
    <cellStyle name="_Sheet1_FV of Derivatives - 30 06 09" xfId="4914"/>
    <cellStyle name="_Sheet1_FV of Derivatives - 31.03.08" xfId="4915"/>
    <cellStyle name="_Sheet1_FV of Derivatives - 31.03.08_10_IBM_PLSF_Circularisation status" xfId="4916"/>
    <cellStyle name="_Sheet1_FV of Derivatives - 31.03.08_10_IBM_Preliminary PM " xfId="4917"/>
    <cellStyle name="_Sheet1_FV of Derivatives - 31.03.08_10_IBM_Sig Acc and SFOT determination " xfId="4918"/>
    <cellStyle name="_Sheet1_FV of Derivatives - 31.03.08_31.12.09 Mauritius-USD based ledger - Final1" xfId="4919"/>
    <cellStyle name="_Sheet1_FV of Derivatives - 31.03.08_Book4" xfId="4920"/>
    <cellStyle name="_Sheet1_FV of Derivatives - 31.03.08_Book5" xfId="4921"/>
    <cellStyle name="_Sheet1_FV of Derivatives - 31.03.08_Book5_(19) Loan Feb-11(Feb-11 figures)" xfId="4922"/>
    <cellStyle name="_Sheet1_FV of Derivatives - 31.03.08_capital adequacy September 2009" xfId="4923"/>
    <cellStyle name="_Sheet1_FV of Derivatives - 31.03.08_Circularisation Status Specialised Finance Division 17 Mar 10" xfId="4924"/>
    <cellStyle name="_Sheet1_FV of Derivatives - 31.03.08_Copy of Mauritius-USD based ledger" xfId="4925"/>
    <cellStyle name="_Sheet1_FV of Derivatives - 31.03.08_Ops risk Mauritius - Sep 09 split stephanie after adjusment conversion" xfId="4926"/>
    <cellStyle name="_Sheet1_FV of Derivatives - 31.03.08_RELATED PARTY-2010 05 31" xfId="4927"/>
    <cellStyle name="_Sheet1_FV of Derivatives - 31.03.08_RELATED PARTY-2010 05 31_(19) Loan Feb-11(Feb-11 figures)" xfId="4928"/>
    <cellStyle name="_Sheet1_IBM Input Sheet 31.03.2010 v0.4" xfId="4929"/>
    <cellStyle name="_Sheet1_IBM Input Sheet 31.03.2010 v0.4_(19) Loan Feb-11(Feb-11 figures)" xfId="4930"/>
    <cellStyle name="_Sheet1_IBM_Grouped(2)" xfId="4931"/>
    <cellStyle name="_Sheet1_IBM_Grouped_USD" xfId="4932"/>
    <cellStyle name="_Sheet1_IBM_Grouped_ZAR" xfId="4933"/>
    <cellStyle name="_Sheet1_Info Sheet" xfId="4934"/>
    <cellStyle name="_Sheet1_Info Sheet_Sheet1" xfId="4935"/>
    <cellStyle name="_Sheet1_Liquidity and repricing" xfId="4936"/>
    <cellStyle name="_Sheet1_Loans list Jan 2010" xfId="4937"/>
    <cellStyle name="_Sheet1_Loans list Jan 2010_10_IBM_PRE FINAL WP_PB_BS 170310" xfId="4938"/>
    <cellStyle name="_Sheet1_lookup sheet" xfId="4939"/>
    <cellStyle name="_Sheet1_lookup sheet_1" xfId="4940"/>
    <cellStyle name="_Sheet1_lookup sheet_1_Sheet1" xfId="4941"/>
    <cellStyle name="_Sheet1_MUR position" xfId="4942"/>
    <cellStyle name="_Sheet1_NOP 2010 01 31 USD BASED" xfId="4943"/>
    <cellStyle name="_Sheet1_NOP 2010 01 31 USD BASED_Report Finance" xfId="4944"/>
    <cellStyle name="_Sheet1_NOP 2010 02 28 USD BASED Final" xfId="4945"/>
    <cellStyle name="_Sheet1_NOP 2010 02 28 USD BASED Final_Report Finance" xfId="4946"/>
    <cellStyle name="_Sheet1_NOP 2010 03 31 USD BASEDrevised" xfId="4947"/>
    <cellStyle name="_Sheet1_NOP 2010 03 31 USD BASEDrevised_Report Finance" xfId="4948"/>
    <cellStyle name="_Sheet1_NOP 2010 04 30" xfId="4949"/>
    <cellStyle name="_Sheet1_NOP 2010 04 30_Report Finance" xfId="4950"/>
    <cellStyle name="_Sheet1_Opeartional Risk sept 2009" xfId="4951"/>
    <cellStyle name="_Sheet1_Ops risk Mauritius - Sep 09 split stephanie after adjusment conversion" xfId="4952"/>
    <cellStyle name="_Sheet1_ORIGINAL NOP 2009 12 31 USD BASED" xfId="4953"/>
    <cellStyle name="_Sheet1_ORIGINAL NOP 2009 12 31 USD BASED_Report Finance" xfId="4954"/>
    <cellStyle name="_Sheet1_Portfolio" xfId="4955"/>
    <cellStyle name="_Sheet1_Portfolio_Sheet1" xfId="4956"/>
    <cellStyle name="_Sheet1_Rating Actions" xfId="4957"/>
    <cellStyle name="_Sheet1_Rating Actions BLP links" xfId="4958"/>
    <cellStyle name="_Sheet1_Rating Actions BLP links_Report Finance" xfId="4959"/>
    <cellStyle name="_Sheet1_Rating Actions BLP links_Sheet1" xfId="4960"/>
    <cellStyle name="_Sheet1_Ratings action BLP links" xfId="4961"/>
    <cellStyle name="_Sheet1_Ratings action BLP links_1" xfId="4962"/>
    <cellStyle name="_Sheet1_Ratings action BLP links_1_Sheet1" xfId="4963"/>
    <cellStyle name="_Sheet1_Ref Ob. Underlying Collateral" xfId="4964"/>
    <cellStyle name="_Sheet1_Ref Ob. Underlying Collateral_Sheet1" xfId="4965"/>
    <cellStyle name="_Sheet1_Related Party Dec-08" xfId="4966"/>
    <cellStyle name="_Sheet1_Report Finance" xfId="4967"/>
    <cellStyle name="_Sheet1_SARB BOM Comparison 20081231 v3 0" xfId="4968"/>
    <cellStyle name="_Sheet1_SARB BOM Comparison 20081231 v3 0v from Mahen" xfId="4969"/>
    <cellStyle name="_Sheet1_SARBResults_1101" xfId="4970"/>
    <cellStyle name="_Sheet1_SARBResults_1101_10_IBM_PLSF_Circularisation status" xfId="4971"/>
    <cellStyle name="_Sheet1_SARBResults_1101_10_IBM_Preliminary PM " xfId="4972"/>
    <cellStyle name="_Sheet1_SARBResults_1101_10_IBM_Sig Acc and SFOT determination " xfId="4973"/>
    <cellStyle name="_Sheet1_SARBResults_1101_31.12.09 Mauritius-USD based ledger - Final1" xfId="4974"/>
    <cellStyle name="_Sheet1_SARBResults_1101_Book4" xfId="4975"/>
    <cellStyle name="_Sheet1_SARBResults_1101_Book5" xfId="4976"/>
    <cellStyle name="_Sheet1_SARBResults_1101_Book5_(19) Loan Feb-11(Feb-11 figures)" xfId="4977"/>
    <cellStyle name="_Sheet1_SARBResults_1101_capital adequacy September 2009" xfId="4978"/>
    <cellStyle name="_Sheet1_SARBResults_1101_Circularisation Status Specialised Finance Division 17 Mar 10" xfId="4979"/>
    <cellStyle name="_Sheet1_SARBResults_1101_Copy of Mauritius-USD based ledger" xfId="4980"/>
    <cellStyle name="_Sheet1_SARBResults_1101_Ops risk Mauritius - Sep 09 split stephanie after adjusment conversion" xfId="4981"/>
    <cellStyle name="_Sheet1_SARBResults_1101_RELATED PARTY-2010 05 31" xfId="4982"/>
    <cellStyle name="_Sheet1_SARBResults_1101_RELATED PARTY-2010 05 31_(19) Loan Feb-11(Feb-11 figures)" xfId="4983"/>
    <cellStyle name="_Sheet1_SARBResults_2697 (vanessa board2)" xfId="4984"/>
    <cellStyle name="_Sheet1_Sheet1" xfId="4985"/>
    <cellStyle name="_Sheet1_Sheet1_1" xfId="4986"/>
    <cellStyle name="_Sheet1_Sheet1_1_Report Finance" xfId="4987"/>
    <cellStyle name="_Sheet1_Sheet1_1_Sheet1" xfId="4988"/>
    <cellStyle name="_Sheet1_Sheet1_2" xfId="4989"/>
    <cellStyle name="_Sheet1_Sheet1_3" xfId="4990"/>
    <cellStyle name="_Sheet1_Sheet1_Ratings action BLP links" xfId="4991"/>
    <cellStyle name="_Sheet1_Sheet1_Ratings action BLP links_Report Finance" xfId="4992"/>
    <cellStyle name="_Sheet1_Sheet1_Ratings action BLP links_Sheet1" xfId="4993"/>
    <cellStyle name="_Sheet1_Sheet1_Sheet1" xfId="4994"/>
    <cellStyle name="_Sheet1_Sheet2" xfId="4995"/>
    <cellStyle name="_Sheet1_Sheet2_Sheet1" xfId="4996"/>
    <cellStyle name="_Sheet1_Solent CDO Portfolio Update Request v3" xfId="4997"/>
    <cellStyle name="_Sheet1_Sphynx Ratings Analysis" xfId="4998"/>
    <cellStyle name="_Sheet1_Sphynx Ratings Analysis_Sheet1" xfId="4999"/>
    <cellStyle name="_Sheet1_Springdale 2006-1 Sources and Uses 08-09-2006" xfId="5000"/>
    <cellStyle name="_Sheet1_Springdale Investor Request for Church Tavern" xfId="5001"/>
    <cellStyle name="_Sheet1_Springdale Investor Request for Church Tavern_Sheet1" xfId="5002"/>
    <cellStyle name="_Sheet1_Statutory Annual Report - 31 03 08" xfId="5003"/>
    <cellStyle name="_Sheet1_Statutory Annual Report - 31 03 08_10_IBM_PLSF_Circularisation status" xfId="5004"/>
    <cellStyle name="_Sheet1_Statutory Annual Report - 31 03 08_10_IBM_Preliminary PM " xfId="5005"/>
    <cellStyle name="_Sheet1_Statutory Annual Report - 31 03 08_10_IBM_Sig Acc and SFOT determination " xfId="5006"/>
    <cellStyle name="_Sheet1_Statutory Annual Report - 31 03 08_31.12.09 Mauritius-USD based ledger - Final1" xfId="5007"/>
    <cellStyle name="_Sheet1_Statutory Annual Report - 31 03 08_Book4" xfId="5008"/>
    <cellStyle name="_Sheet1_Statutory Annual Report - 31 03 08_Book5" xfId="5009"/>
    <cellStyle name="_Sheet1_Statutory Annual Report - 31 03 08_Book5_(19) Loan Feb-11(Feb-11 figures)" xfId="5010"/>
    <cellStyle name="_Sheet1_Statutory Annual Report - 31 03 08_capital adequacy September 2009" xfId="5011"/>
    <cellStyle name="_Sheet1_Statutory Annual Report - 31 03 08_Circularisation Status Specialised Finance Division 17 Mar 10" xfId="5012"/>
    <cellStyle name="_Sheet1_Statutory Annual Report - 31 03 08_Copy of Mauritius-USD based ledger" xfId="5013"/>
    <cellStyle name="_Sheet1_Statutory Annual Report - 31 03 08_Ops risk Mauritius - Sep 09 split stephanie after adjusment conversion" xfId="5014"/>
    <cellStyle name="_Sheet1_Statutory Annual Report - 31 03 08_RELATED PARTY-2010 05 31" xfId="5015"/>
    <cellStyle name="_Sheet1_Statutory Annual Report - 31 03 08_RELATED PARTY-2010 05 31_(19) Loan Feb-11(Feb-11 figures)" xfId="5016"/>
    <cellStyle name="_Sheet1_StructProdDeals" xfId="5017"/>
    <cellStyle name="_Sheet1_StructProdDeals_Sheet1" xfId="5018"/>
    <cellStyle name="_Sheet2" xfId="5019"/>
    <cellStyle name="_Sheet2_lookup sheet" xfId="5020"/>
    <cellStyle name="_Sheet2_lookup sheet_1" xfId="5021"/>
    <cellStyle name="_Sheet2_lookup sheet_1_Sheet1" xfId="5022"/>
    <cellStyle name="_Sheet2_Ratings action BLP links" xfId="5023"/>
    <cellStyle name="_Sheet2_Sheet1" xfId="5024"/>
    <cellStyle name="_Sheet3" xfId="5025"/>
    <cellStyle name="_Sheet3_lookup sheet" xfId="5026"/>
    <cellStyle name="_Sheet3_lookup sheet_Sheet1" xfId="5027"/>
    <cellStyle name="_Sheet3_Ratings action BLP links" xfId="5028"/>
    <cellStyle name="_Sheet3_Report Finance" xfId="5029"/>
    <cellStyle name="_Sheet3_Sheet1" xfId="5030"/>
    <cellStyle name="_Sheet4" xfId="5031"/>
    <cellStyle name="_Sheet6" xfId="5032"/>
    <cellStyle name="_Sheet6 2" xfId="5033"/>
    <cellStyle name="_Sheet6_10_IBM_Bank Recon" xfId="5034"/>
    <cellStyle name="_Sheet6_10_IBM_J8_Cash Cut Off" xfId="5035"/>
    <cellStyle name="_Sheet6_10_IBM_PLSF_Circularisation status" xfId="5036"/>
    <cellStyle name="_Sheet6_Sheet1" xfId="5037"/>
    <cellStyle name="_SmartLiveRates" xfId="5038"/>
    <cellStyle name="_SmartLiveRates_Sheet1" xfId="5039"/>
    <cellStyle name="_South Africa Alpha SPC IBUK values Jan" xfId="5040"/>
    <cellStyle name="_South Africa Alpha SPC IBUK values Jan_Circularisation Status Specialised Finance Division 17 Mar 10" xfId="5041"/>
    <cellStyle name="_South Africa Alpha SPC IBUK values Jan_Sheet1" xfId="5042"/>
    <cellStyle name="_Sphynx Ratings Analysis" xfId="5043"/>
    <cellStyle name="_Sphynx Ratings Analysis_Sheet1" xfId="5044"/>
    <cellStyle name="_Sphynx_Portfolio_Disclosure" xfId="5045"/>
    <cellStyle name="_Springdale (Princeton) Reference Portfolio 2006-07-17" xfId="5046"/>
    <cellStyle name="_Springdale Investor Request for Church Tavern" xfId="5047"/>
    <cellStyle name="_Start" xfId="5048"/>
    <cellStyle name="_Start_Sheet1" xfId="5049"/>
    <cellStyle name="_Strats" xfId="5050"/>
    <cellStyle name="_Strats_Sheet1" xfId="5051"/>
    <cellStyle name="_StructProdDeals" xfId="5052"/>
    <cellStyle name="_SU_6_7_05" xfId="5053"/>
    <cellStyle name="_SubHeading" xfId="5054"/>
    <cellStyle name="_Summary" xfId="5055"/>
    <cellStyle name="_Summary 2" xfId="5056"/>
    <cellStyle name="_Summary Surveillance Report May 2007" xfId="5057"/>
    <cellStyle name="_Summary Surveillance Report May 2007_Sheet1" xfId="5058"/>
    <cellStyle name="_Summary_10_IBM_Bank Recon" xfId="5059"/>
    <cellStyle name="_Summary_10_IBM_J8_Cash Cut Off" xfId="5060"/>
    <cellStyle name="_Summary_10_IBM_PLSF_Circularisation status" xfId="5061"/>
    <cellStyle name="_Summary_Sheet1" xfId="5062"/>
    <cellStyle name="_SummitDBRec" xfId="5063"/>
    <cellStyle name="_SummitDBRec_Calculator" xfId="5064"/>
    <cellStyle name="_SummitDBRec_CreditEvents" xfId="5065"/>
    <cellStyle name="_SummitDBRec_FIFES" xfId="5066"/>
    <cellStyle name="_SummitDBRec_Positions" xfId="5067"/>
    <cellStyle name="_SummitDBRec_Settings" xfId="5068"/>
    <cellStyle name="_SummitDBRec_SyntheticABS-Jack" xfId="5069"/>
    <cellStyle name="_Symphony 2006-07-30 (Combo)" xfId="5070"/>
    <cellStyle name="_Symphony 2006-07-30 (Combo)_Sheet1" xfId="5071"/>
    <cellStyle name="_SYN FX" xfId="5072"/>
    <cellStyle name="_SYN FX_Sheet1" xfId="5073"/>
    <cellStyle name="_Synthetic ABS NOV 4" xfId="5074"/>
    <cellStyle name="_SyntheticABSCDOModel CMBS Tranches 09302005" xfId="5075"/>
    <cellStyle name="_SyntheticABSCDOModel CMBS Tranches 09302005_Sheet1" xfId="5076"/>
    <cellStyle name="_TabExport" xfId="5077"/>
    <cellStyle name="_TabExport_Sheet1" xfId="5078"/>
    <cellStyle name="_Table" xfId="5079"/>
    <cellStyle name="_Table_Report Finance" xfId="5080"/>
    <cellStyle name="_Table_Sheet1" xfId="5081"/>
    <cellStyle name="_TableHead" xfId="5082"/>
    <cellStyle name="_TableHead_Report Finance" xfId="5083"/>
    <cellStyle name="_TableHead_Sheet1" xfId="5084"/>
    <cellStyle name="_TableRowHead" xfId="5085"/>
    <cellStyle name="_Tables" xfId="5086"/>
    <cellStyle name="_Tables_lookup sheet" xfId="5087"/>
    <cellStyle name="_Tables_lookup sheet_Sheet1" xfId="5088"/>
    <cellStyle name="_TableSuperHead" xfId="5089"/>
    <cellStyle name="_TB" xfId="5090"/>
    <cellStyle name="_TB 31 Mar 09" xfId="5091"/>
    <cellStyle name="_TB 31 Mar 09_Circularisation Status Specialised Finance Division 17 Mar 10" xfId="5092"/>
    <cellStyle name="_TB 31 Mar 09_Sheet1" xfId="5093"/>
    <cellStyle name="_TB -31.01.09 v2" xfId="5094"/>
    <cellStyle name="_TB -31.01.09 v2_Circularisation Status Specialised Finance Division 17 Mar 10" xfId="5095"/>
    <cellStyle name="_TB -31.01.09 v2_Sheet1" xfId="5096"/>
    <cellStyle name="_TB_Circularisation Status Specialised Finance Division 17 Mar 10" xfId="5097"/>
    <cellStyle name="_TB_Sheet1" xfId="5098"/>
    <cellStyle name="_tb31.01.09" xfId="5099"/>
    <cellStyle name="_tb31.01.09_Circularisation Status Specialised Finance Division 17 Mar 10" xfId="5100"/>
    <cellStyle name="_tb31.01.09_Sheet1" xfId="5101"/>
    <cellStyle name="_tb-bs workings" xfId="5102"/>
    <cellStyle name="_tb-bs workings_Sheet1" xfId="5103"/>
    <cellStyle name="_to print" xfId="5104"/>
    <cellStyle name="_to print_Sheet1" xfId="5105"/>
    <cellStyle name="_Top 10 exposures per industry" xfId="5106"/>
    <cellStyle name="_Top 10 exposures per industry_(19) Loan Feb-11(Feb-11 figures)" xfId="5107"/>
    <cellStyle name="_Top 10 exposures per industry_(32) Mar-10 Breakdown of Credit" xfId="5108"/>
    <cellStyle name="_Top 10 exposures per industry_(32) Mar-10 Loan" xfId="5109"/>
    <cellStyle name="_Top 10 exposures per industry_(33) Apr-10 Breakdown of Credit" xfId="5110"/>
    <cellStyle name="_Top 10 exposures per industry_(33) Apr-10 Loan" xfId="5111"/>
    <cellStyle name="_Top 10 exposures per industry_Book15" xfId="5112"/>
    <cellStyle name="_Top 10 exposures per industry_Book16" xfId="5113"/>
    <cellStyle name="_Top 10 exposures per industry_Book17" xfId="5114"/>
    <cellStyle name="_Top 10 exposures per industry_Book19" xfId="5115"/>
    <cellStyle name="_Top 10 exposures per industry_Book20" xfId="5116"/>
    <cellStyle name="_Top 10 exposures per industry_Book8" xfId="5117"/>
    <cellStyle name="_Top 10 exposures per industry_Book9" xfId="5118"/>
    <cellStyle name="_Trade" xfId="5119"/>
    <cellStyle name="_Trade 2" xfId="5120"/>
    <cellStyle name="_Trade_10_IBM_Bank Recon" xfId="5121"/>
    <cellStyle name="_Trade_10_IBM_J8_Cash Cut Off" xfId="5122"/>
    <cellStyle name="_Trade_10_IBM_PLSF_Circularisation status" xfId="5123"/>
    <cellStyle name="_Trade_Sheet1" xfId="5124"/>
    <cellStyle name="_Trades" xfId="5125"/>
    <cellStyle name="_TRIAL BALANCE - 31.03.08" xfId="5126"/>
    <cellStyle name="_TRIAL BALANCE - 31.03.08_10_IBM_Bank Recon" xfId="5127"/>
    <cellStyle name="_TRIAL BALANCE - 31.03.08_10_IBM_J8_Cash Cut Off" xfId="5128"/>
    <cellStyle name="_TRIAL BALANCE - 31.03.08_10_IBM_PLSF_Circularisation status" xfId="5129"/>
    <cellStyle name="_TRIAL BALANCE - 31.03.08_Sheet1" xfId="5130"/>
    <cellStyle name="_TRS" xfId="5131"/>
    <cellStyle name="_TRS 2" xfId="5132"/>
    <cellStyle name="_TRS_10_IBM_Bank Recon" xfId="5133"/>
    <cellStyle name="_TRS_10_IBM_J8_Cash Cut Off" xfId="5134"/>
    <cellStyle name="_TRS_10_IBM_PLSF_Circularisation status" xfId="5135"/>
    <cellStyle name="_TRS_Sheet1" xfId="5136"/>
    <cellStyle name="_Trustee details" xfId="5137"/>
    <cellStyle name="_Trustee details_Report Finance" xfId="5138"/>
    <cellStyle name="_Trustee details_Sheet1" xfId="5139"/>
    <cellStyle name="_TURKEYBALANCESHEET" xfId="5140"/>
    <cellStyle name="_TURKEYBALANCESHEET_Sheet1" xfId="5141"/>
    <cellStyle name="_T-XX Interdiv march final 2008" xfId="5142"/>
    <cellStyle name="_T-XX Interdiv march final 2008_10_IBM_Bank Recon" xfId="5143"/>
    <cellStyle name="_T-XX Interdiv march final 2008_10_IBM_J8_Cash Cut Off" xfId="5144"/>
    <cellStyle name="_T-XX Interdiv march final 2008_10_IBM_PLSF_Circularisation status" xfId="5145"/>
    <cellStyle name="_T-XX Interdiv march final 2008_10_IBM_Preliminary PM " xfId="5146"/>
    <cellStyle name="_T-XX Interdiv march final 2008_10_IBM_Sig Acc and SFOT determination " xfId="5147"/>
    <cellStyle name="_T-XX Interdiv march final 2008_Book1 (4)" xfId="5148"/>
    <cellStyle name="_T-XX Interdiv march final 2008_Circularisation Status Specialised Finance Division 17 Mar 10" xfId="5149"/>
    <cellStyle name="_U.51 Analysis Residuals" xfId="5150"/>
    <cellStyle name="_U.51 Analysis Residuals_Circularisation Status Specialised Finance Division 17 Mar 10" xfId="5151"/>
    <cellStyle name="_U.51 Analysis Residuals_Sheet1" xfId="5152"/>
    <cellStyle name="_Vector Output &amp; Default Timing" xfId="5153"/>
    <cellStyle name="_WatchlistBonds" xfId="5154"/>
    <cellStyle name="_WatchlistBonds_Sheet1" xfId="5155"/>
    <cellStyle name="_Workings - Pack 2008" xfId="5156"/>
    <cellStyle name="_Workings - Pack 2008_Sheet1" xfId="5157"/>
    <cellStyle name="_Xx" xfId="5158"/>
    <cellStyle name="_Xx_Sheet1" xfId="5159"/>
    <cellStyle name="_Xy" xfId="5160"/>
    <cellStyle name="_Xy_Sheet1" xfId="5161"/>
    <cellStyle name="_Ya" xfId="5162"/>
    <cellStyle name="_Ya_1" xfId="5163"/>
    <cellStyle name="_Ya_1_Sheet1" xfId="5164"/>
    <cellStyle name="_Ya_Sheet1" xfId="5165"/>
    <cellStyle name="_yc6 aug12" xfId="5166"/>
    <cellStyle name="_yc6 aug12_Sheet1" xfId="5167"/>
    <cellStyle name="_Yn" xfId="5168"/>
    <cellStyle name="_Yn_Sheet1" xfId="5169"/>
    <cellStyle name="_Z_FRONT" xfId="5170"/>
    <cellStyle name="_Z_FRONT_Sheet1" xfId="5171"/>
    <cellStyle name="_Zz" xfId="5172"/>
    <cellStyle name="_Zz_Sheet1" xfId="5173"/>
    <cellStyle name="£ BP" xfId="5174"/>
    <cellStyle name="¥ JY" xfId="5175"/>
    <cellStyle name="=C:\WINNT35\SYSTEM32\COMMAND.COM" xfId="5176"/>
    <cellStyle name="=C:\WINNT35\SYSTEM32\COMMAND.COM 2" xfId="5177"/>
    <cellStyle name="•W€_NewOriginal100" xfId="5178"/>
    <cellStyle name="20% - Accent1 2" xfId="5179"/>
    <cellStyle name="20% - Accent1 2 2" xfId="5180"/>
    <cellStyle name="20% - Accent1 2 3" xfId="5181"/>
    <cellStyle name="20% - Accent1 3" xfId="5182"/>
    <cellStyle name="20% - Accent1 4" xfId="5183"/>
    <cellStyle name="20% - Accent1 4 2" xfId="5184"/>
    <cellStyle name="20% - Accent1 5" xfId="5185"/>
    <cellStyle name="20% - Accent1 5 2" xfId="5186"/>
    <cellStyle name="20% - Accent1 6" xfId="5187"/>
    <cellStyle name="20% - Accent1 7" xfId="5188"/>
    <cellStyle name="20% - Accent2 2" xfId="5189"/>
    <cellStyle name="20% - Accent2 2 2" xfId="5190"/>
    <cellStyle name="20% - Accent2 2 3" xfId="5191"/>
    <cellStyle name="20% - Accent2 3" xfId="5192"/>
    <cellStyle name="20% - Accent2 4" xfId="5193"/>
    <cellStyle name="20% - Accent2 4 2" xfId="5194"/>
    <cellStyle name="20% - Accent2 5" xfId="5195"/>
    <cellStyle name="20% - Accent2 5 2" xfId="5196"/>
    <cellStyle name="20% - Accent2 6" xfId="5197"/>
    <cellStyle name="20% - Accent2 7" xfId="5198"/>
    <cellStyle name="20% - Accent3 2" xfId="5199"/>
    <cellStyle name="20% - Accent3 2 2" xfId="5200"/>
    <cellStyle name="20% - Accent3 2 3" xfId="5201"/>
    <cellStyle name="20% - Accent3 3" xfId="5202"/>
    <cellStyle name="20% - Accent3 4" xfId="5203"/>
    <cellStyle name="20% - Accent3 4 2" xfId="5204"/>
    <cellStyle name="20% - Accent3 5" xfId="5205"/>
    <cellStyle name="20% - Accent3 5 2" xfId="5206"/>
    <cellStyle name="20% - Accent3 6" xfId="5207"/>
    <cellStyle name="20% - Accent3 7" xfId="5208"/>
    <cellStyle name="20% - Accent4 2" xfId="5209"/>
    <cellStyle name="20% - Accent4 2 2" xfId="5210"/>
    <cellStyle name="20% - Accent4 2 3" xfId="5211"/>
    <cellStyle name="20% - Accent4 3" xfId="5212"/>
    <cellStyle name="20% - Accent4 4" xfId="5213"/>
    <cellStyle name="20% - Accent4 4 2" xfId="5214"/>
    <cellStyle name="20% - Accent4 5" xfId="5215"/>
    <cellStyle name="20% - Accent4 5 2" xfId="5216"/>
    <cellStyle name="20% - Accent4 6" xfId="5217"/>
    <cellStyle name="20% - Accent4 7" xfId="5218"/>
    <cellStyle name="20% - Accent5 2" xfId="5219"/>
    <cellStyle name="20% - Accent5 2 2" xfId="5220"/>
    <cellStyle name="20% - Accent5 2 3" xfId="5221"/>
    <cellStyle name="20% - Accent5 3" xfId="5222"/>
    <cellStyle name="20% - Accent5 4" xfId="5223"/>
    <cellStyle name="20% - Accent5 4 2" xfId="5224"/>
    <cellStyle name="20% - Accent5 5" xfId="5225"/>
    <cellStyle name="20% - Accent5 5 2" xfId="5226"/>
    <cellStyle name="20% - Accent5 6" xfId="5227"/>
    <cellStyle name="20% - Accent5 7" xfId="5228"/>
    <cellStyle name="20% - Accent6 2" xfId="5229"/>
    <cellStyle name="20% - Accent6 2 2" xfId="5230"/>
    <cellStyle name="20% - Accent6 2 3" xfId="5231"/>
    <cellStyle name="20% - Accent6 3" xfId="5232"/>
    <cellStyle name="20% - Accent6 4" xfId="5233"/>
    <cellStyle name="20% - Accent6 4 2" xfId="5234"/>
    <cellStyle name="20% - Accent6 5" xfId="5235"/>
    <cellStyle name="20% - Accent6 5 2" xfId="5236"/>
    <cellStyle name="20% - Accent6 6" xfId="5237"/>
    <cellStyle name="20% - Accent6 7" xfId="5238"/>
    <cellStyle name="32s" xfId="5239"/>
    <cellStyle name="40% - Accent1 2" xfId="5240"/>
    <cellStyle name="40% - Accent1 2 2" xfId="5241"/>
    <cellStyle name="40% - Accent1 2 3" xfId="5242"/>
    <cellStyle name="40% - Accent1 3" xfId="5243"/>
    <cellStyle name="40% - Accent1 4" xfId="5244"/>
    <cellStyle name="40% - Accent1 4 2" xfId="5245"/>
    <cellStyle name="40% - Accent1 5" xfId="5246"/>
    <cellStyle name="40% - Accent1 5 2" xfId="5247"/>
    <cellStyle name="40% - Accent1 6" xfId="5248"/>
    <cellStyle name="40% - Accent1 7" xfId="5249"/>
    <cellStyle name="40% - Accent2 2" xfId="5250"/>
    <cellStyle name="40% - Accent2 2 2" xfId="5251"/>
    <cellStyle name="40% - Accent2 2 3" xfId="5252"/>
    <cellStyle name="40% - Accent2 3" xfId="5253"/>
    <cellStyle name="40% - Accent2 4" xfId="5254"/>
    <cellStyle name="40% - Accent2 4 2" xfId="5255"/>
    <cellStyle name="40% - Accent2 5" xfId="5256"/>
    <cellStyle name="40% - Accent2 5 2" xfId="5257"/>
    <cellStyle name="40% - Accent2 6" xfId="5258"/>
    <cellStyle name="40% - Accent2 7" xfId="5259"/>
    <cellStyle name="40% - Accent3 2" xfId="5260"/>
    <cellStyle name="40% - Accent3 2 2" xfId="5261"/>
    <cellStyle name="40% - Accent3 2 3" xfId="5262"/>
    <cellStyle name="40% - Accent3 3" xfId="5263"/>
    <cellStyle name="40% - Accent3 4" xfId="5264"/>
    <cellStyle name="40% - Accent3 4 2" xfId="5265"/>
    <cellStyle name="40% - Accent3 5" xfId="5266"/>
    <cellStyle name="40% - Accent3 5 2" xfId="5267"/>
    <cellStyle name="40% - Accent3 6" xfId="5268"/>
    <cellStyle name="40% - Accent3 7" xfId="5269"/>
    <cellStyle name="40% - Accent4 2" xfId="5270"/>
    <cellStyle name="40% - Accent4 2 2" xfId="5271"/>
    <cellStyle name="40% - Accent4 2 3" xfId="5272"/>
    <cellStyle name="40% - Accent4 3" xfId="5273"/>
    <cellStyle name="40% - Accent4 4" xfId="5274"/>
    <cellStyle name="40% - Accent4 4 2" xfId="5275"/>
    <cellStyle name="40% - Accent4 5" xfId="5276"/>
    <cellStyle name="40% - Accent4 5 2" xfId="5277"/>
    <cellStyle name="40% - Accent4 6" xfId="5278"/>
    <cellStyle name="40% - Accent4 7" xfId="5279"/>
    <cellStyle name="40% - Accent5 2" xfId="5280"/>
    <cellStyle name="40% - Accent5 2 2" xfId="5281"/>
    <cellStyle name="40% - Accent5 2 3" xfId="5282"/>
    <cellStyle name="40% - Accent5 3" xfId="5283"/>
    <cellStyle name="40% - Accent5 4" xfId="5284"/>
    <cellStyle name="40% - Accent5 4 2" xfId="5285"/>
    <cellStyle name="40% - Accent5 5" xfId="5286"/>
    <cellStyle name="40% - Accent5 5 2" xfId="5287"/>
    <cellStyle name="40% - Accent5 6" xfId="5288"/>
    <cellStyle name="40% - Accent5 7" xfId="5289"/>
    <cellStyle name="40% - Accent6 2" xfId="5290"/>
    <cellStyle name="40% - Accent6 2 2" xfId="5291"/>
    <cellStyle name="40% - Accent6 2 3" xfId="5292"/>
    <cellStyle name="40% - Accent6 3" xfId="5293"/>
    <cellStyle name="40% - Accent6 4" xfId="5294"/>
    <cellStyle name="40% - Accent6 4 2" xfId="5295"/>
    <cellStyle name="40% - Accent6 5" xfId="5296"/>
    <cellStyle name="40% - Accent6 5 2" xfId="5297"/>
    <cellStyle name="40% - Accent6 6" xfId="5298"/>
    <cellStyle name="40% - Accent6 7" xfId="5299"/>
    <cellStyle name="60% - Accent1 2" xfId="5300"/>
    <cellStyle name="60% - Accent1 3" xfId="5301"/>
    <cellStyle name="60% - Accent1 5" xfId="5302"/>
    <cellStyle name="60% - Accent2 2" xfId="5303"/>
    <cellStyle name="60% - Accent2 3" xfId="5304"/>
    <cellStyle name="60% - Accent2 5" xfId="5305"/>
    <cellStyle name="60% - Accent3 2" xfId="5306"/>
    <cellStyle name="60% - Accent3 3" xfId="5307"/>
    <cellStyle name="60% - Accent3 5" xfId="5308"/>
    <cellStyle name="60% - Accent4 2" xfId="5309"/>
    <cellStyle name="60% - Accent4 3" xfId="5310"/>
    <cellStyle name="60% - Accent4 5" xfId="5311"/>
    <cellStyle name="60% - Accent5 2" xfId="5312"/>
    <cellStyle name="60% - Accent5 3" xfId="5313"/>
    <cellStyle name="60% - Accent5 5" xfId="5314"/>
    <cellStyle name="60% - Accent6 2" xfId="5315"/>
    <cellStyle name="60% - Accent6 3" xfId="5316"/>
    <cellStyle name="60% - Accent6 5" xfId="5317"/>
    <cellStyle name="Accent1 2" xfId="5318"/>
    <cellStyle name="Accent1 3" xfId="5319"/>
    <cellStyle name="Accent1 5" xfId="5320"/>
    <cellStyle name="Accent2 2" xfId="5321"/>
    <cellStyle name="Accent2 3" xfId="5322"/>
    <cellStyle name="Accent2 5" xfId="5323"/>
    <cellStyle name="Accent3 2" xfId="5324"/>
    <cellStyle name="Accent3 3" xfId="5325"/>
    <cellStyle name="Accent3 5" xfId="5326"/>
    <cellStyle name="Accent4 2" xfId="5327"/>
    <cellStyle name="Accent4 3" xfId="5328"/>
    <cellStyle name="Accent4 5" xfId="5329"/>
    <cellStyle name="Accent5 2" xfId="5330"/>
    <cellStyle name="Accent5 3" xfId="5331"/>
    <cellStyle name="Accent5 5" xfId="5332"/>
    <cellStyle name="Accent6 2" xfId="5333"/>
    <cellStyle name="Accent6 3" xfId="5334"/>
    <cellStyle name="Accent6 5" xfId="5335"/>
    <cellStyle name="adam" xfId="5336"/>
    <cellStyle name="Adjustable" xfId="5337"/>
    <cellStyle name="AFE" xfId="5338"/>
    <cellStyle name="AminPageHeading" xfId="5339"/>
    <cellStyle name="amount" xfId="5340"/>
    <cellStyle name="AskSide" xfId="5341"/>
    <cellStyle name="AttribBox" xfId="5342"/>
    <cellStyle name="Attribute" xfId="5343"/>
    <cellStyle name="AutoFormat Options" xfId="5344"/>
    <cellStyle name="Axis.EffectiveDate" xfId="5345"/>
    <cellStyle name="Axis.Seasoning" xfId="5346"/>
    <cellStyle name="Background" xfId="5347"/>
    <cellStyle name="Bad 2" xfId="5348"/>
    <cellStyle name="Bad 2 2" xfId="5349"/>
    <cellStyle name="Bad 3" xfId="5350"/>
    <cellStyle name="Bad 5" xfId="5351"/>
    <cellStyle name="Bid Lables" xfId="5352"/>
    <cellStyle name="BidSide" xfId="5353"/>
    <cellStyle name="Big Money" xfId="5354"/>
    <cellStyle name="black" xfId="5355"/>
    <cellStyle name="BlankedZeros" xfId="5356"/>
    <cellStyle name="BlankedZeros 2" xfId="5357"/>
    <cellStyle name="BlankedZeros 3" xfId="5358"/>
    <cellStyle name="Blue" xfId="5359"/>
    <cellStyle name="Body" xfId="5360"/>
    <cellStyle name="Body text" xfId="5361"/>
    <cellStyle name="Bold" xfId="5362"/>
    <cellStyle name="Bold/Border" xfId="5363"/>
    <cellStyle name="Bold_Report Finance" xfId="5364"/>
    <cellStyle name="BoldLineDescription" xfId="5365"/>
    <cellStyle name="BoldUnderline" xfId="5366"/>
    <cellStyle name="Border" xfId="5367"/>
    <cellStyle name="Border 2" xfId="5368"/>
    <cellStyle name="Border 2 2" xfId="5369"/>
    <cellStyle name="Border 2 2 2" xfId="5370"/>
    <cellStyle name="Border 2 2 2 2" xfId="5371"/>
    <cellStyle name="Border 2 2 3" xfId="5372"/>
    <cellStyle name="Border 2 2 4" xfId="5373"/>
    <cellStyle name="Border 2 3" xfId="5374"/>
    <cellStyle name="Border 2 4" xfId="5375"/>
    <cellStyle name="Border 3" xfId="5376"/>
    <cellStyle name="Border 4" xfId="5377"/>
    <cellStyle name="Border Heavy" xfId="5378"/>
    <cellStyle name="Border Thin" xfId="5379"/>
    <cellStyle name="Border, Bottom" xfId="5380"/>
    <cellStyle name="Border, Left" xfId="5381"/>
    <cellStyle name="Border, Right" xfId="5382"/>
    <cellStyle name="Border, Top" xfId="5383"/>
    <cellStyle name="Border, Top 2" xfId="5384"/>
    <cellStyle name="Border, Top 2 2" xfId="5385"/>
    <cellStyle name="Border, Top 2 2 2" xfId="5386"/>
    <cellStyle name="Border, Top 2 2 2 2" xfId="5387"/>
    <cellStyle name="Border_(26) Oct-09 (AL)" xfId="5388"/>
    <cellStyle name="Bullet" xfId="5389"/>
    <cellStyle name="calc" xfId="5390"/>
    <cellStyle name="Calc Currency (0)" xfId="5391"/>
    <cellStyle name="Calc Currency (0) 2" xfId="5392"/>
    <cellStyle name="Calc Currency (0) 3" xfId="5393"/>
    <cellStyle name="Calc Currency (2)" xfId="5394"/>
    <cellStyle name="Calc Percent (0)" xfId="5395"/>
    <cellStyle name="Calc Percent (1)" xfId="5396"/>
    <cellStyle name="Calc Percent (2)" xfId="5397"/>
    <cellStyle name="Calc Units (0)" xfId="5398"/>
    <cellStyle name="Calc Units (1)" xfId="5399"/>
    <cellStyle name="Calc Units (2)" xfId="5400"/>
    <cellStyle name="Calculation 2" xfId="5401"/>
    <cellStyle name="Calculation 3" xfId="5402"/>
    <cellStyle name="Calculation 5" xfId="5403"/>
    <cellStyle name="CategoryHeading" xfId="5404"/>
    <cellStyle name="Check Cell 2" xfId="5405"/>
    <cellStyle name="Check Cell 3" xfId="5406"/>
    <cellStyle name="Check Cell 5" xfId="5407"/>
    <cellStyle name="checkExposure" xfId="5408"/>
    <cellStyle name="Co. Names" xfId="5409"/>
    <cellStyle name="Comm? [0]_FOP1&amp;L_PLN0309_NewBrazil3007.xls Chart 2" xfId="5410"/>
    <cellStyle name="Comma" xfId="1" builtinId="3"/>
    <cellStyle name="Comma  - Style1" xfId="5411"/>
    <cellStyle name="Comma  - Style2" xfId="5412"/>
    <cellStyle name="Comma  - Style3" xfId="5413"/>
    <cellStyle name="Comma  - Style4" xfId="5414"/>
    <cellStyle name="Comma  - Style5" xfId="5415"/>
    <cellStyle name="Comma  - Style6" xfId="5416"/>
    <cellStyle name="Comma  - Style7" xfId="5417"/>
    <cellStyle name="Comma  - Style8" xfId="5418"/>
    <cellStyle name="Comma [00]" xfId="5419"/>
    <cellStyle name="Comma 0" xfId="5420"/>
    <cellStyle name="Comma 10" xfId="5421"/>
    <cellStyle name="Comma 10 10" xfId="5422"/>
    <cellStyle name="Comma 10 11" xfId="5423"/>
    <cellStyle name="Comma 10 2" xfId="5424"/>
    <cellStyle name="Comma 10 2 2" xfId="5425"/>
    <cellStyle name="Comma 10 2 3" xfId="5426"/>
    <cellStyle name="Comma 10 2 4" xfId="5427"/>
    <cellStyle name="Comma 10 2 5" xfId="5428"/>
    <cellStyle name="Comma 10 2 6" xfId="5429"/>
    <cellStyle name="Comma 10 3" xfId="5430"/>
    <cellStyle name="Comma 10 4" xfId="5431"/>
    <cellStyle name="Comma 10 5" xfId="5432"/>
    <cellStyle name="Comma 10 6" xfId="5433"/>
    <cellStyle name="Comma 10 7" xfId="5434"/>
    <cellStyle name="Comma 10 8" xfId="5435"/>
    <cellStyle name="Comma 10 9" xfId="5436"/>
    <cellStyle name="Comma 100" xfId="5437"/>
    <cellStyle name="Comma 100 2" xfId="5438"/>
    <cellStyle name="Comma 100 3" xfId="5439"/>
    <cellStyle name="Comma 100 4" xfId="5440"/>
    <cellStyle name="Comma 100 4 2" xfId="5441"/>
    <cellStyle name="Comma 101" xfId="5442"/>
    <cellStyle name="Comma 101 2" xfId="5443"/>
    <cellStyle name="Comma 101 3" xfId="5444"/>
    <cellStyle name="Comma 101 4" xfId="5445"/>
    <cellStyle name="Comma 101 5" xfId="5446"/>
    <cellStyle name="Comma 101 5 2" xfId="5447"/>
    <cellStyle name="Comma 101 6" xfId="5448"/>
    <cellStyle name="Comma 101 6 2" xfId="5449"/>
    <cellStyle name="Comma 102" xfId="5450"/>
    <cellStyle name="Comma 102 2" xfId="5451"/>
    <cellStyle name="Comma 102 3" xfId="5452"/>
    <cellStyle name="Comma 102 3 2" xfId="5453"/>
    <cellStyle name="Comma 103" xfId="5454"/>
    <cellStyle name="Comma 103 2" xfId="5455"/>
    <cellStyle name="Comma 103 3" xfId="5456"/>
    <cellStyle name="Comma 103 3 2" xfId="5457"/>
    <cellStyle name="Comma 104" xfId="5458"/>
    <cellStyle name="Comma 104 2" xfId="5459"/>
    <cellStyle name="Comma 104 3" xfId="5460"/>
    <cellStyle name="Comma 104 3 2" xfId="5461"/>
    <cellStyle name="Comma 105" xfId="5462"/>
    <cellStyle name="Comma 105 2" xfId="5463"/>
    <cellStyle name="Comma 105 3" xfId="5464"/>
    <cellStyle name="Comma 105 3 2" xfId="5465"/>
    <cellStyle name="Comma 106" xfId="5466"/>
    <cellStyle name="Comma 106 2" xfId="5467"/>
    <cellStyle name="Comma 106 3" xfId="5468"/>
    <cellStyle name="Comma 106 3 2" xfId="5469"/>
    <cellStyle name="Comma 107" xfId="5470"/>
    <cellStyle name="Comma 107 2" xfId="5471"/>
    <cellStyle name="Comma 107 3" xfId="5472"/>
    <cellStyle name="Comma 107 3 2" xfId="5473"/>
    <cellStyle name="Comma 108" xfId="5474"/>
    <cellStyle name="Comma 108 2" xfId="5475"/>
    <cellStyle name="Comma 108 3" xfId="5476"/>
    <cellStyle name="Comma 108 3 2" xfId="5477"/>
    <cellStyle name="Comma 109" xfId="5478"/>
    <cellStyle name="Comma 109 2" xfId="5479"/>
    <cellStyle name="Comma 109 3" xfId="5480"/>
    <cellStyle name="Comma 109 3 2" xfId="5481"/>
    <cellStyle name="Comma 11" xfId="5482"/>
    <cellStyle name="Comma 11 2" xfId="5483"/>
    <cellStyle name="Comma 11 2 2" xfId="5484"/>
    <cellStyle name="Comma 11 2 2 2" xfId="5485"/>
    <cellStyle name="Comma 11 2 3" xfId="5486"/>
    <cellStyle name="Comma 11 2 4" xfId="5487"/>
    <cellStyle name="Comma 11 2 5" xfId="5488"/>
    <cellStyle name="Comma 11 2 6" xfId="5489"/>
    <cellStyle name="Comma 11 2 7" xfId="5490"/>
    <cellStyle name="Comma 11 3" xfId="5491"/>
    <cellStyle name="Comma 11 4" xfId="5492"/>
    <cellStyle name="Comma 11 5" xfId="5493"/>
    <cellStyle name="Comma 11 6" xfId="5494"/>
    <cellStyle name="Comma 11 7" xfId="5495"/>
    <cellStyle name="Comma 11 7 2" xfId="5496"/>
    <cellStyle name="Comma 11 8" xfId="5497"/>
    <cellStyle name="Comma 110" xfId="5498"/>
    <cellStyle name="Comma 110 2" xfId="5499"/>
    <cellStyle name="Comma 110 3" xfId="5500"/>
    <cellStyle name="Comma 110 3 2" xfId="5501"/>
    <cellStyle name="Comma 111" xfId="5502"/>
    <cellStyle name="Comma 111 2" xfId="5503"/>
    <cellStyle name="Comma 111 3" xfId="5504"/>
    <cellStyle name="Comma 111 3 2" xfId="5505"/>
    <cellStyle name="Comma 112" xfId="5506"/>
    <cellStyle name="Comma 112 2" xfId="5507"/>
    <cellStyle name="Comma 112 3" xfId="5508"/>
    <cellStyle name="Comma 112 3 2" xfId="5509"/>
    <cellStyle name="Comma 113" xfId="5510"/>
    <cellStyle name="Comma 113 2" xfId="5511"/>
    <cellStyle name="Comma 113 3" xfId="5512"/>
    <cellStyle name="Comma 113 3 2" xfId="5513"/>
    <cellStyle name="Comma 114" xfId="5514"/>
    <cellStyle name="Comma 114 2" xfId="5515"/>
    <cellStyle name="Comma 114 3" xfId="5516"/>
    <cellStyle name="Comma 114 3 2" xfId="5517"/>
    <cellStyle name="Comma 115" xfId="5518"/>
    <cellStyle name="Comma 115 2" xfId="5519"/>
    <cellStyle name="Comma 115 3" xfId="5520"/>
    <cellStyle name="Comma 115 3 2" xfId="5521"/>
    <cellStyle name="Comma 116" xfId="5522"/>
    <cellStyle name="Comma 116 2" xfId="5523"/>
    <cellStyle name="Comma 116 3" xfId="5524"/>
    <cellStyle name="Comma 116 3 2" xfId="5525"/>
    <cellStyle name="Comma 117" xfId="5526"/>
    <cellStyle name="Comma 117 2" xfId="5527"/>
    <cellStyle name="Comma 117 3" xfId="5528"/>
    <cellStyle name="Comma 117 3 2" xfId="5529"/>
    <cellStyle name="Comma 118" xfId="5530"/>
    <cellStyle name="Comma 118 2" xfId="5531"/>
    <cellStyle name="Comma 118 3" xfId="5532"/>
    <cellStyle name="Comma 118 3 2" xfId="5533"/>
    <cellStyle name="Comma 119" xfId="5534"/>
    <cellStyle name="Comma 119 2" xfId="5535"/>
    <cellStyle name="Comma 119 3" xfId="5536"/>
    <cellStyle name="Comma 119 3 2" xfId="5537"/>
    <cellStyle name="Comma 12" xfId="5538"/>
    <cellStyle name="Comma 12 10" xfId="5539"/>
    <cellStyle name="Comma 12 10 2" xfId="5540"/>
    <cellStyle name="Comma 12 11" xfId="5541"/>
    <cellStyle name="Comma 12 2" xfId="5542"/>
    <cellStyle name="Comma 12 2 2" xfId="5543"/>
    <cellStyle name="Comma 12 2 3" xfId="5544"/>
    <cellStyle name="Comma 12 2 4" xfId="5545"/>
    <cellStyle name="Comma 12 2 5" xfId="5546"/>
    <cellStyle name="Comma 12 2 6" xfId="5547"/>
    <cellStyle name="Comma 12 3" xfId="5548"/>
    <cellStyle name="Comma 12 4" xfId="5549"/>
    <cellStyle name="Comma 12 5" xfId="5550"/>
    <cellStyle name="Comma 12 6" xfId="5551"/>
    <cellStyle name="Comma 12 7" xfId="5552"/>
    <cellStyle name="Comma 12 8" xfId="5553"/>
    <cellStyle name="Comma 12 9" xfId="5554"/>
    <cellStyle name="Comma 12 9 2" xfId="5555"/>
    <cellStyle name="Comma 120" xfId="5556"/>
    <cellStyle name="Comma 120 2" xfId="5557"/>
    <cellStyle name="Comma 120 3" xfId="5558"/>
    <cellStyle name="Comma 120 3 2" xfId="5559"/>
    <cellStyle name="Comma 121" xfId="5560"/>
    <cellStyle name="Comma 121 2" xfId="5561"/>
    <cellStyle name="Comma 121 3" xfId="5562"/>
    <cellStyle name="Comma 121 3 2" xfId="5563"/>
    <cellStyle name="Comma 122" xfId="5564"/>
    <cellStyle name="Comma 122 2" xfId="5565"/>
    <cellStyle name="Comma 122 3" xfId="5566"/>
    <cellStyle name="Comma 122 3 2" xfId="5567"/>
    <cellStyle name="Comma 123" xfId="5568"/>
    <cellStyle name="Comma 123 2" xfId="5569"/>
    <cellStyle name="Comma 123 3" xfId="5570"/>
    <cellStyle name="Comma 123 3 2" xfId="5571"/>
    <cellStyle name="Comma 124" xfId="5572"/>
    <cellStyle name="Comma 124 2" xfId="5573"/>
    <cellStyle name="Comma 124 3" xfId="5574"/>
    <cellStyle name="Comma 124 3 2" xfId="5575"/>
    <cellStyle name="Comma 125" xfId="5576"/>
    <cellStyle name="Comma 125 2" xfId="5577"/>
    <cellStyle name="Comma 125 3" xfId="5578"/>
    <cellStyle name="Comma 125 3 2" xfId="5579"/>
    <cellStyle name="Comma 126" xfId="5580"/>
    <cellStyle name="Comma 126 2" xfId="5581"/>
    <cellStyle name="Comma 126 3" xfId="5582"/>
    <cellStyle name="Comma 126 3 2" xfId="5583"/>
    <cellStyle name="Comma 127" xfId="5584"/>
    <cellStyle name="Comma 127 2" xfId="5585"/>
    <cellStyle name="Comma 127 3" xfId="5586"/>
    <cellStyle name="Comma 127 3 2" xfId="5587"/>
    <cellStyle name="Comma 128" xfId="5588"/>
    <cellStyle name="Comma 128 2" xfId="5589"/>
    <cellStyle name="Comma 128 3" xfId="5590"/>
    <cellStyle name="Comma 128 3 2" xfId="5591"/>
    <cellStyle name="Comma 129" xfId="5592"/>
    <cellStyle name="Comma 129 2" xfId="5593"/>
    <cellStyle name="Comma 129 3" xfId="5594"/>
    <cellStyle name="Comma 129 3 2" xfId="5595"/>
    <cellStyle name="Comma 13" xfId="5596"/>
    <cellStyle name="Comma 13 2" xfId="5597"/>
    <cellStyle name="Comma 13 2 2" xfId="5598"/>
    <cellStyle name="Comma 13 2 3" xfId="5599"/>
    <cellStyle name="Comma 13 3" xfId="5600"/>
    <cellStyle name="Comma 13 3 2" xfId="5601"/>
    <cellStyle name="Comma 13 4" xfId="5602"/>
    <cellStyle name="Comma 130" xfId="5603"/>
    <cellStyle name="Comma 130 2" xfId="5604"/>
    <cellStyle name="Comma 130 3" xfId="5605"/>
    <cellStyle name="Comma 130 3 2" xfId="5606"/>
    <cellStyle name="Comma 131" xfId="5607"/>
    <cellStyle name="Comma 131 2" xfId="5608"/>
    <cellStyle name="Comma 131 3" xfId="5609"/>
    <cellStyle name="Comma 131 3 2" xfId="5610"/>
    <cellStyle name="Comma 132" xfId="5611"/>
    <cellStyle name="Comma 132 2" xfId="5612"/>
    <cellStyle name="Comma 132 3" xfId="5613"/>
    <cellStyle name="Comma 132 3 2" xfId="5614"/>
    <cellStyle name="Comma 133" xfId="5615"/>
    <cellStyle name="Comma 133 2" xfId="5616"/>
    <cellStyle name="Comma 133 3" xfId="5617"/>
    <cellStyle name="Comma 133 3 2" xfId="5618"/>
    <cellStyle name="Comma 134" xfId="5619"/>
    <cellStyle name="Comma 134 2" xfId="5620"/>
    <cellStyle name="Comma 134 3" xfId="5621"/>
    <cellStyle name="Comma 134 3 2" xfId="5622"/>
    <cellStyle name="Comma 135" xfId="5623"/>
    <cellStyle name="Comma 135 2" xfId="5624"/>
    <cellStyle name="Comma 135 3" xfId="5625"/>
    <cellStyle name="Comma 135 3 2" xfId="5626"/>
    <cellStyle name="Comma 136" xfId="5627"/>
    <cellStyle name="Comma 136 2" xfId="5628"/>
    <cellStyle name="Comma 136 3" xfId="5629"/>
    <cellStyle name="Comma 136 3 2" xfId="5630"/>
    <cellStyle name="Comma 137" xfId="5631"/>
    <cellStyle name="Comma 137 2" xfId="5632"/>
    <cellStyle name="Comma 137 3" xfId="5633"/>
    <cellStyle name="Comma 137 3 2" xfId="5634"/>
    <cellStyle name="Comma 138" xfId="5635"/>
    <cellStyle name="Comma 138 2" xfId="5636"/>
    <cellStyle name="Comma 138 3" xfId="5637"/>
    <cellStyle name="Comma 138 3 2" xfId="5638"/>
    <cellStyle name="Comma 139" xfId="5639"/>
    <cellStyle name="Comma 139 2" xfId="5640"/>
    <cellStyle name="Comma 139 3" xfId="5641"/>
    <cellStyle name="Comma 139 3 2" xfId="5642"/>
    <cellStyle name="Comma 14" xfId="5643"/>
    <cellStyle name="Comma 14 2" xfId="5644"/>
    <cellStyle name="Comma 14 3" xfId="5645"/>
    <cellStyle name="Comma 14 4" xfId="5646"/>
    <cellStyle name="Comma 14 5" xfId="5647"/>
    <cellStyle name="Comma 14 6" xfId="5648"/>
    <cellStyle name="Comma 14 7" xfId="5649"/>
    <cellStyle name="Comma 14 7 2" xfId="5650"/>
    <cellStyle name="Comma 14 8" xfId="5651"/>
    <cellStyle name="Comma 14 9" xfId="5652"/>
    <cellStyle name="Comma 140" xfId="5653"/>
    <cellStyle name="Comma 140 2" xfId="5654"/>
    <cellStyle name="Comma 140 3" xfId="5655"/>
    <cellStyle name="Comma 140 3 2" xfId="5656"/>
    <cellStyle name="Comma 141" xfId="5657"/>
    <cellStyle name="Comma 141 2" xfId="5658"/>
    <cellStyle name="Comma 141 3" xfId="5659"/>
    <cellStyle name="Comma 141 3 2" xfId="5660"/>
    <cellStyle name="Comma 142" xfId="5661"/>
    <cellStyle name="Comma 142 2" xfId="5662"/>
    <cellStyle name="Comma 142 3" xfId="5663"/>
    <cellStyle name="Comma 142 3 2" xfId="5664"/>
    <cellStyle name="Comma 143" xfId="5665"/>
    <cellStyle name="Comma 143 2" xfId="5666"/>
    <cellStyle name="Comma 143 3" xfId="5667"/>
    <cellStyle name="Comma 143 3 2" xfId="5668"/>
    <cellStyle name="Comma 144" xfId="5669"/>
    <cellStyle name="Comma 144 2" xfId="5670"/>
    <cellStyle name="Comma 144 3" xfId="5671"/>
    <cellStyle name="Comma 144 3 2" xfId="5672"/>
    <cellStyle name="Comma 145" xfId="5673"/>
    <cellStyle name="Comma 145 2" xfId="5674"/>
    <cellStyle name="Comma 145 2 2" xfId="5675"/>
    <cellStyle name="Comma 146" xfId="5676"/>
    <cellStyle name="Comma 146 2" xfId="5677"/>
    <cellStyle name="Comma 146 2 2" xfId="5678"/>
    <cellStyle name="Comma 146 2 3" xfId="5679"/>
    <cellStyle name="Comma 146 3" xfId="5680"/>
    <cellStyle name="Comma 146 4" xfId="5681"/>
    <cellStyle name="Comma 147" xfId="5682"/>
    <cellStyle name="Comma 147 2" xfId="5683"/>
    <cellStyle name="Comma 148" xfId="5684"/>
    <cellStyle name="Comma 148 2" xfId="5685"/>
    <cellStyle name="Comma 149" xfId="5686"/>
    <cellStyle name="Comma 149 2" xfId="5687"/>
    <cellStyle name="Comma 15" xfId="5688"/>
    <cellStyle name="Comma 15 2" xfId="5689"/>
    <cellStyle name="Comma 15 3" xfId="5690"/>
    <cellStyle name="Comma 15 4" xfId="5691"/>
    <cellStyle name="Comma 15 5" xfId="5692"/>
    <cellStyle name="Comma 150" xfId="5693"/>
    <cellStyle name="Comma 150 2" xfId="5694"/>
    <cellStyle name="Comma 151" xfId="5695"/>
    <cellStyle name="Comma 151 2" xfId="5696"/>
    <cellStyle name="Comma 152" xfId="5697"/>
    <cellStyle name="Comma 152 2" xfId="5698"/>
    <cellStyle name="Comma 153" xfId="5699"/>
    <cellStyle name="Comma 153 2" xfId="5700"/>
    <cellStyle name="Comma 154" xfId="5701"/>
    <cellStyle name="Comma 154 2" xfId="5702"/>
    <cellStyle name="Comma 155" xfId="5703"/>
    <cellStyle name="Comma 155 2" xfId="5704"/>
    <cellStyle name="Comma 156" xfId="5705"/>
    <cellStyle name="Comma 156 2" xfId="5706"/>
    <cellStyle name="Comma 157" xfId="5707"/>
    <cellStyle name="Comma 157 2" xfId="5708"/>
    <cellStyle name="Comma 158" xfId="5709"/>
    <cellStyle name="Comma 158 2" xfId="5710"/>
    <cellStyle name="Comma 159" xfId="5711"/>
    <cellStyle name="Comma 159 2" xfId="5712"/>
    <cellStyle name="Comma 16" xfId="5713"/>
    <cellStyle name="Comma 16 2" xfId="5714"/>
    <cellStyle name="Comma 16 3" xfId="5715"/>
    <cellStyle name="Comma 16 4" xfId="5716"/>
    <cellStyle name="Comma 16 5" xfId="5717"/>
    <cellStyle name="Comma 160" xfId="5718"/>
    <cellStyle name="Comma 160 2" xfId="5719"/>
    <cellStyle name="Comma 161" xfId="5720"/>
    <cellStyle name="Comma 161 2" xfId="5721"/>
    <cellStyle name="Comma 162" xfId="5722"/>
    <cellStyle name="Comma 162 2" xfId="5723"/>
    <cellStyle name="Comma 163" xfId="5724"/>
    <cellStyle name="Comma 163 2" xfId="5725"/>
    <cellStyle name="Comma 164" xfId="5726"/>
    <cellStyle name="Comma 164 2" xfId="5727"/>
    <cellStyle name="Comma 165" xfId="5728"/>
    <cellStyle name="Comma 165 2" xfId="5729"/>
    <cellStyle name="Comma 166" xfId="5730"/>
    <cellStyle name="Comma 166 2" xfId="5731"/>
    <cellStyle name="Comma 167" xfId="5732"/>
    <cellStyle name="Comma 167 2" xfId="5733"/>
    <cellStyle name="Comma 168" xfId="5734"/>
    <cellStyle name="Comma 168 2" xfId="5735"/>
    <cellStyle name="Comma 169" xfId="5736"/>
    <cellStyle name="Comma 169 2" xfId="5737"/>
    <cellStyle name="Comma 17" xfId="5738"/>
    <cellStyle name="Comma 17 2" xfId="5739"/>
    <cellStyle name="Comma 17 2 2" xfId="5740"/>
    <cellStyle name="Comma 17 2 2 2" xfId="5741"/>
    <cellStyle name="Comma 17 2 3" xfId="5742"/>
    <cellStyle name="Comma 17 3" xfId="5743"/>
    <cellStyle name="Comma 17 4" xfId="5744"/>
    <cellStyle name="Comma 17 5" xfId="5745"/>
    <cellStyle name="Comma 170" xfId="5746"/>
    <cellStyle name="Comma 170 2" xfId="5747"/>
    <cellStyle name="Comma 171" xfId="5748"/>
    <cellStyle name="Comma 171 2" xfId="5749"/>
    <cellStyle name="Comma 172" xfId="5750"/>
    <cellStyle name="Comma 172 2" xfId="5751"/>
    <cellStyle name="Comma 173" xfId="5752"/>
    <cellStyle name="Comma 173 2" xfId="5753"/>
    <cellStyle name="Comma 174" xfId="5754"/>
    <cellStyle name="Comma 174 2" xfId="5755"/>
    <cellStyle name="Comma 175" xfId="5756"/>
    <cellStyle name="Comma 175 2" xfId="5757"/>
    <cellStyle name="Comma 176" xfId="5758"/>
    <cellStyle name="Comma 176 2" xfId="5759"/>
    <cellStyle name="Comma 177" xfId="5760"/>
    <cellStyle name="Comma 177 2" xfId="5761"/>
    <cellStyle name="Comma 178" xfId="5762"/>
    <cellStyle name="Comma 178 2" xfId="5763"/>
    <cellStyle name="Comma 179" xfId="5764"/>
    <cellStyle name="Comma 179 2" xfId="5765"/>
    <cellStyle name="Comma 18" xfId="5766"/>
    <cellStyle name="Comma 18 2" xfId="5767"/>
    <cellStyle name="Comma 18 3" xfId="5768"/>
    <cellStyle name="Comma 18 4" xfId="5769"/>
    <cellStyle name="Comma 180" xfId="5770"/>
    <cellStyle name="Comma 180 2" xfId="5771"/>
    <cellStyle name="Comma 181" xfId="5772"/>
    <cellStyle name="Comma 181 2" xfId="5773"/>
    <cellStyle name="Comma 182" xfId="5774"/>
    <cellStyle name="Comma 182 2" xfId="5775"/>
    <cellStyle name="Comma 183" xfId="5776"/>
    <cellStyle name="Comma 183 2" xfId="5777"/>
    <cellStyle name="Comma 184" xfId="5778"/>
    <cellStyle name="Comma 185" xfId="5779"/>
    <cellStyle name="Comma 186" xfId="5780"/>
    <cellStyle name="Comma 187" xfId="5781"/>
    <cellStyle name="Comma 188" xfId="5782"/>
    <cellStyle name="Comma 189" xfId="5783"/>
    <cellStyle name="Comma 19" xfId="5784"/>
    <cellStyle name="Comma 19 2" xfId="5785"/>
    <cellStyle name="Comma 19 3" xfId="5786"/>
    <cellStyle name="Comma 19 4" xfId="5787"/>
    <cellStyle name="Comma 190" xfId="5788"/>
    <cellStyle name="Comma 191" xfId="5789"/>
    <cellStyle name="Comma 192" xfId="5790"/>
    <cellStyle name="Comma 193" xfId="5791"/>
    <cellStyle name="Comma 194" xfId="5792"/>
    <cellStyle name="Comma 195" xfId="5793"/>
    <cellStyle name="Comma 195 2" xfId="5794"/>
    <cellStyle name="Comma 195 3" xfId="5795"/>
    <cellStyle name="Comma 195 4" xfId="5796"/>
    <cellStyle name="Comma 195 4 2" xfId="5797"/>
    <cellStyle name="Comma 196" xfId="5798"/>
    <cellStyle name="Comma 196 2" xfId="5799"/>
    <cellStyle name="Comma 196 3" xfId="5800"/>
    <cellStyle name="Comma 196 3 2" xfId="5801"/>
    <cellStyle name="Comma 197" xfId="5802"/>
    <cellStyle name="Comma 198" xfId="5803"/>
    <cellStyle name="Comma 199" xfId="5804"/>
    <cellStyle name="Comma 2" xfId="5805"/>
    <cellStyle name="Comma 2 10" xfId="5806"/>
    <cellStyle name="Comma 2 11" xfId="5807"/>
    <cellStyle name="Comma 2 12" xfId="5808"/>
    <cellStyle name="Comma 2 13" xfId="5809"/>
    <cellStyle name="Comma 2 14" xfId="5810"/>
    <cellStyle name="Comma 2 15" xfId="5811"/>
    <cellStyle name="Comma 2 16" xfId="5812"/>
    <cellStyle name="Comma 2 17" xfId="5813"/>
    <cellStyle name="Comma 2 18" xfId="5814"/>
    <cellStyle name="Comma 2 19" xfId="5815"/>
    <cellStyle name="Comma 2 19 2" xfId="5816"/>
    <cellStyle name="Comma 2 2" xfId="5817"/>
    <cellStyle name="Comma 2 2 10" xfId="7905"/>
    <cellStyle name="Comma 2 2 2" xfId="5818"/>
    <cellStyle name="Comma 2 2 2 2" xfId="5819"/>
    <cellStyle name="Comma 2 2 2 2 2" xfId="5820"/>
    <cellStyle name="Comma 2 2 2 2 2 2" xfId="5821"/>
    <cellStyle name="Comma 2 2 2 2 2 2 2" xfId="5822"/>
    <cellStyle name="Comma 2 2 2 2 2 3" xfId="5823"/>
    <cellStyle name="Comma 2 2 2 2 3" xfId="5824"/>
    <cellStyle name="Comma 2 2 2 2 3 2" xfId="5825"/>
    <cellStyle name="Comma 2 2 2 3" xfId="5826"/>
    <cellStyle name="Comma 2 2 2 4" xfId="5827"/>
    <cellStyle name="Comma 2 2 2 5" xfId="5828"/>
    <cellStyle name="Comma 2 2 2 6" xfId="5829"/>
    <cellStyle name="Comma 2 2 2 7" xfId="5830"/>
    <cellStyle name="Comma 2 2 2 7 2" xfId="5831"/>
    <cellStyle name="Comma 2 2 3" xfId="5832"/>
    <cellStyle name="Comma 2 2 4" xfId="5833"/>
    <cellStyle name="Comma 2 2 5" xfId="5834"/>
    <cellStyle name="Comma 2 2 6" xfId="5835"/>
    <cellStyle name="Comma 2 2 7" xfId="5836"/>
    <cellStyle name="Comma 2 2 7 2" xfId="5837"/>
    <cellStyle name="Comma 2 2 8" xfId="5838"/>
    <cellStyle name="Comma 2 2 8 2" xfId="5839"/>
    <cellStyle name="Comma 2 2 9" xfId="5840"/>
    <cellStyle name="Comma 2 20" xfId="5841"/>
    <cellStyle name="Comma 2 21" xfId="5842"/>
    <cellStyle name="Comma 2 22" xfId="5843"/>
    <cellStyle name="Comma 2 3" xfId="5844"/>
    <cellStyle name="Comma 2 3 2" xfId="5845"/>
    <cellStyle name="Comma 2 3 3" xfId="5846"/>
    <cellStyle name="Comma 2 3 4" xfId="5847"/>
    <cellStyle name="Comma 2 3 5" xfId="5848"/>
    <cellStyle name="Comma 2 4" xfId="5849"/>
    <cellStyle name="Comma 2 4 2" xfId="5850"/>
    <cellStyle name="Comma 2 4 3" xfId="5851"/>
    <cellStyle name="Comma 2 4 4" xfId="5852"/>
    <cellStyle name="Comma 2 5" xfId="5853"/>
    <cellStyle name="Comma 2 5 2" xfId="5854"/>
    <cellStyle name="Comma 2 5 3" xfId="5855"/>
    <cellStyle name="Comma 2 5 4" xfId="5856"/>
    <cellStyle name="Comma 2 5 5" xfId="5857"/>
    <cellStyle name="Comma 2 5 6" xfId="5858"/>
    <cellStyle name="Comma 2 6" xfId="5859"/>
    <cellStyle name="Comma 2 6 2" xfId="5860"/>
    <cellStyle name="Comma 2 6 3" xfId="5861"/>
    <cellStyle name="Comma 2 7" xfId="5862"/>
    <cellStyle name="Comma 2 7 2" xfId="5863"/>
    <cellStyle name="Comma 2 7 3" xfId="5864"/>
    <cellStyle name="Comma 2 8" xfId="5865"/>
    <cellStyle name="Comma 2 9" xfId="5866"/>
    <cellStyle name="Comma 2 9 2" xfId="5867"/>
    <cellStyle name="Comma 2_GTO recharge" xfId="5868"/>
    <cellStyle name="Comma 20" xfId="5869"/>
    <cellStyle name="Comma 20 2" xfId="5870"/>
    <cellStyle name="Comma 20 3" xfId="5871"/>
    <cellStyle name="Comma 200" xfId="5872"/>
    <cellStyle name="Comma 201" xfId="5873"/>
    <cellStyle name="Comma 202" xfId="5874"/>
    <cellStyle name="Comma 203" xfId="5875"/>
    <cellStyle name="Comma 204" xfId="5876"/>
    <cellStyle name="Comma 204 2" xfId="5877"/>
    <cellStyle name="Comma 204 3" xfId="5878"/>
    <cellStyle name="Comma 204 3 2" xfId="5879"/>
    <cellStyle name="Comma 205" xfId="5880"/>
    <cellStyle name="Comma 205 2" xfId="5881"/>
    <cellStyle name="Comma 205 3" xfId="5882"/>
    <cellStyle name="Comma 206" xfId="5883"/>
    <cellStyle name="Comma 206 2" xfId="5884"/>
    <cellStyle name="Comma 207" xfId="5885"/>
    <cellStyle name="Comma 207 2" xfId="5886"/>
    <cellStyle name="Comma 208" xfId="5887"/>
    <cellStyle name="Comma 208 2" xfId="5888"/>
    <cellStyle name="Comma 209" xfId="5889"/>
    <cellStyle name="Comma 209 2" xfId="5890"/>
    <cellStyle name="Comma 21" xfId="5891"/>
    <cellStyle name="Comma 21 2" xfId="5892"/>
    <cellStyle name="Comma 21 3" xfId="5893"/>
    <cellStyle name="Comma 210" xfId="5894"/>
    <cellStyle name="Comma 210 2" xfId="5895"/>
    <cellStyle name="Comma 211" xfId="5896"/>
    <cellStyle name="Comma 211 2" xfId="5897"/>
    <cellStyle name="Comma 212" xfId="5898"/>
    <cellStyle name="Comma 212 2" xfId="5899"/>
    <cellStyle name="Comma 213" xfId="5900"/>
    <cellStyle name="Comma 213 2" xfId="5901"/>
    <cellStyle name="Comma 214" xfId="5902"/>
    <cellStyle name="Comma 214 2" xfId="5903"/>
    <cellStyle name="Comma 215" xfId="5904"/>
    <cellStyle name="Comma 215 2" xfId="5905"/>
    <cellStyle name="Comma 216" xfId="5906"/>
    <cellStyle name="Comma 217" xfId="5907"/>
    <cellStyle name="Comma 218" xfId="5908"/>
    <cellStyle name="Comma 219" xfId="5909"/>
    <cellStyle name="Comma 22" xfId="5910"/>
    <cellStyle name="Comma 22 2" xfId="5911"/>
    <cellStyle name="Comma 22 3" xfId="5912"/>
    <cellStyle name="Comma 220" xfId="5913"/>
    <cellStyle name="Comma 221" xfId="5914"/>
    <cellStyle name="Comma 222" xfId="5915"/>
    <cellStyle name="Comma 223" xfId="5916"/>
    <cellStyle name="Comma 224" xfId="5917"/>
    <cellStyle name="Comma 225" xfId="5918"/>
    <cellStyle name="Comma 226" xfId="5919"/>
    <cellStyle name="Comma 227" xfId="5920"/>
    <cellStyle name="Comma 228" xfId="5921"/>
    <cellStyle name="Comma 229" xfId="5922"/>
    <cellStyle name="Comma 23" xfId="5923"/>
    <cellStyle name="Comma 23 2" xfId="5924"/>
    <cellStyle name="Comma 23 3" xfId="5925"/>
    <cellStyle name="Comma 230" xfId="5926"/>
    <cellStyle name="Comma 231" xfId="5927"/>
    <cellStyle name="Comma 232" xfId="5928"/>
    <cellStyle name="Comma 233" xfId="5929"/>
    <cellStyle name="Comma 234" xfId="5930"/>
    <cellStyle name="Comma 235" xfId="5931"/>
    <cellStyle name="Comma 236" xfId="5932"/>
    <cellStyle name="Comma 237" xfId="5933"/>
    <cellStyle name="Comma 237 2" xfId="5934"/>
    <cellStyle name="Comma 238" xfId="5935"/>
    <cellStyle name="Comma 239" xfId="5936"/>
    <cellStyle name="Comma 24" xfId="5937"/>
    <cellStyle name="Comma 24 2" xfId="5938"/>
    <cellStyle name="Comma 24 3" xfId="5939"/>
    <cellStyle name="Comma 240" xfId="5940"/>
    <cellStyle name="Comma 241" xfId="5941"/>
    <cellStyle name="Comma 242" xfId="5942"/>
    <cellStyle name="Comma 243" xfId="5943"/>
    <cellStyle name="Comma 244" xfId="5944"/>
    <cellStyle name="Comma 245" xfId="5945"/>
    <cellStyle name="Comma 246" xfId="5946"/>
    <cellStyle name="Comma 247" xfId="5947"/>
    <cellStyle name="Comma 248" xfId="5948"/>
    <cellStyle name="Comma 249" xfId="5949"/>
    <cellStyle name="Comma 25" xfId="5950"/>
    <cellStyle name="Comma 25 2" xfId="5951"/>
    <cellStyle name="Comma 25 3" xfId="5952"/>
    <cellStyle name="Comma 250" xfId="5953"/>
    <cellStyle name="Comma 251" xfId="5954"/>
    <cellStyle name="Comma 252" xfId="5955"/>
    <cellStyle name="Comma 253" xfId="5956"/>
    <cellStyle name="Comma 254" xfId="5957"/>
    <cellStyle name="Comma 255" xfId="5958"/>
    <cellStyle name="Comma 256" xfId="5959"/>
    <cellStyle name="Comma 257" xfId="5960"/>
    <cellStyle name="Comma 258" xfId="5961"/>
    <cellStyle name="Comma 259" xfId="5962"/>
    <cellStyle name="Comma 26" xfId="5963"/>
    <cellStyle name="Comma 26 2" xfId="5964"/>
    <cellStyle name="Comma 26 3" xfId="5965"/>
    <cellStyle name="Comma 260" xfId="5966"/>
    <cellStyle name="Comma 261" xfId="5967"/>
    <cellStyle name="Comma 262" xfId="5968"/>
    <cellStyle name="Comma 263" xfId="5969"/>
    <cellStyle name="Comma 264" xfId="5970"/>
    <cellStyle name="Comma 265" xfId="5971"/>
    <cellStyle name="Comma 266" xfId="5972"/>
    <cellStyle name="Comma 267" xfId="5973"/>
    <cellStyle name="Comma 268" xfId="5974"/>
    <cellStyle name="Comma 269" xfId="5975"/>
    <cellStyle name="Comma 27" xfId="5976"/>
    <cellStyle name="Comma 27 2" xfId="5977"/>
    <cellStyle name="Comma 27 3" xfId="5978"/>
    <cellStyle name="Comma 270" xfId="5979"/>
    <cellStyle name="Comma 271" xfId="5980"/>
    <cellStyle name="Comma 272" xfId="5981"/>
    <cellStyle name="Comma 273" xfId="5982"/>
    <cellStyle name="Comma 274" xfId="5983"/>
    <cellStyle name="Comma 275" xfId="5984"/>
    <cellStyle name="Comma 276" xfId="5985"/>
    <cellStyle name="Comma 277" xfId="5986"/>
    <cellStyle name="Comma 278" xfId="5987"/>
    <cellStyle name="Comma 279" xfId="5988"/>
    <cellStyle name="Comma 28" xfId="5989"/>
    <cellStyle name="Comma 28 2" xfId="5990"/>
    <cellStyle name="Comma 28 3" xfId="5991"/>
    <cellStyle name="Comma 280" xfId="5992"/>
    <cellStyle name="Comma 281" xfId="5993"/>
    <cellStyle name="Comma 282" xfId="5994"/>
    <cellStyle name="Comma 282 2" xfId="7908"/>
    <cellStyle name="Comma 283" xfId="5995"/>
    <cellStyle name="Comma 284" xfId="5996"/>
    <cellStyle name="Comma 285" xfId="5997"/>
    <cellStyle name="Comma 286" xfId="7881"/>
    <cellStyle name="Comma 287" xfId="7901"/>
    <cellStyle name="Comma 288" xfId="7906"/>
    <cellStyle name="Comma 29" xfId="5998"/>
    <cellStyle name="Comma 29 2" xfId="5999"/>
    <cellStyle name="Comma 29 3" xfId="6000"/>
    <cellStyle name="Comma 3" xfId="6001"/>
    <cellStyle name="Comma 3 10" xfId="6002"/>
    <cellStyle name="Comma 3 11" xfId="6003"/>
    <cellStyle name="Comma 3 12" xfId="6004"/>
    <cellStyle name="Comma 3 12 2" xfId="6005"/>
    <cellStyle name="Comma 3 13" xfId="6006"/>
    <cellStyle name="Comma 3 14" xfId="6007"/>
    <cellStyle name="Comma 3 2" xfId="6008"/>
    <cellStyle name="Comma 3 2 2" xfId="6009"/>
    <cellStyle name="Comma 3 2 2 2" xfId="6010"/>
    <cellStyle name="Comma 3 2 3" xfId="6011"/>
    <cellStyle name="Comma 3 2 4" xfId="6012"/>
    <cellStyle name="Comma 3 2 5" xfId="6013"/>
    <cellStyle name="Comma 3 2 6" xfId="6014"/>
    <cellStyle name="Comma 3 2 7" xfId="6015"/>
    <cellStyle name="Comma 3 3" xfId="6016"/>
    <cellStyle name="Comma 3 3 2" xfId="6017"/>
    <cellStyle name="Comma 3 3 2 2" xfId="6018"/>
    <cellStyle name="Comma 3 3 2 3" xfId="6019"/>
    <cellStyle name="Comma 3 3 3" xfId="6020"/>
    <cellStyle name="Comma 3 3 4" xfId="6021"/>
    <cellStyle name="Comma 3 3 5" xfId="6022"/>
    <cellStyle name="Comma 3 3 6" xfId="6023"/>
    <cellStyle name="Comma 3 3 7" xfId="6024"/>
    <cellStyle name="Comma 3 3 8" xfId="6025"/>
    <cellStyle name="Comma 3 4" xfId="6026"/>
    <cellStyle name="Comma 3 4 2" xfId="6027"/>
    <cellStyle name="Comma 3 4 3" xfId="6028"/>
    <cellStyle name="Comma 3 4 4" xfId="6029"/>
    <cellStyle name="Comma 3 4 5" xfId="6030"/>
    <cellStyle name="Comma 3 4 6" xfId="6031"/>
    <cellStyle name="Comma 3 5" xfId="6032"/>
    <cellStyle name="Comma 3 5 2" xfId="6033"/>
    <cellStyle name="Comma 3 5 3" xfId="6034"/>
    <cellStyle name="Comma 3 5 4" xfId="6035"/>
    <cellStyle name="Comma 3 5 5" xfId="6036"/>
    <cellStyle name="Comma 3 5 6" xfId="6037"/>
    <cellStyle name="Comma 3 6" xfId="6038"/>
    <cellStyle name="Comma 3 7" xfId="6039"/>
    <cellStyle name="Comma 3 8" xfId="6040"/>
    <cellStyle name="Comma 3 9" xfId="6041"/>
    <cellStyle name="Comma 30" xfId="6042"/>
    <cellStyle name="Comma 30 2" xfId="6043"/>
    <cellStyle name="Comma 30 3" xfId="6044"/>
    <cellStyle name="Comma 31" xfId="6045"/>
    <cellStyle name="Comma 31 2" xfId="6046"/>
    <cellStyle name="Comma 31 3" xfId="6047"/>
    <cellStyle name="Comma 32" xfId="6048"/>
    <cellStyle name="Comma 32 2" xfId="6049"/>
    <cellStyle name="Comma 32 3" xfId="6050"/>
    <cellStyle name="Comma 33" xfId="6051"/>
    <cellStyle name="Comma 33 2" xfId="6052"/>
    <cellStyle name="Comma 33 3" xfId="6053"/>
    <cellStyle name="Comma 34" xfId="6054"/>
    <cellStyle name="Comma 34 2" xfId="6055"/>
    <cellStyle name="Comma 34 3" xfId="6056"/>
    <cellStyle name="Comma 35" xfId="6057"/>
    <cellStyle name="Comma 35 2" xfId="6058"/>
    <cellStyle name="Comma 35 3" xfId="6059"/>
    <cellStyle name="Comma 36" xfId="6060"/>
    <cellStyle name="Comma 36 2" xfId="6061"/>
    <cellStyle name="Comma 36 3" xfId="6062"/>
    <cellStyle name="Comma 37" xfId="6063"/>
    <cellStyle name="Comma 37 2" xfId="6064"/>
    <cellStyle name="Comma 37 3" xfId="6065"/>
    <cellStyle name="Comma 38" xfId="6066"/>
    <cellStyle name="Comma 38 2" xfId="6067"/>
    <cellStyle name="Comma 38 3" xfId="6068"/>
    <cellStyle name="Comma 39" xfId="6069"/>
    <cellStyle name="Comma 39 2" xfId="6070"/>
    <cellStyle name="Comma 39 3" xfId="6071"/>
    <cellStyle name="Comma 4" xfId="6072"/>
    <cellStyle name="Comma 4 10" xfId="6073"/>
    <cellStyle name="Comma 4 11" xfId="6074"/>
    <cellStyle name="Comma 4 12" xfId="6075"/>
    <cellStyle name="Comma 4 2" xfId="6076"/>
    <cellStyle name="Comma 4 2 2" xfId="6077"/>
    <cellStyle name="Comma 4 2 2 2" xfId="6078"/>
    <cellStyle name="Comma 4 2 2 3" xfId="6079"/>
    <cellStyle name="Comma 4 2 3" xfId="6080"/>
    <cellStyle name="Comma 4 2 4" xfId="6081"/>
    <cellStyle name="Comma 4 2 5" xfId="6082"/>
    <cellStyle name="Comma 4 2 6" xfId="6083"/>
    <cellStyle name="Comma 4 2 7" xfId="6084"/>
    <cellStyle name="Comma 4 2_20SDM" xfId="6085"/>
    <cellStyle name="Comma 4 3" xfId="6086"/>
    <cellStyle name="Comma 4 3 2" xfId="6087"/>
    <cellStyle name="Comma 4 3 2 2" xfId="6088"/>
    <cellStyle name="Comma 4 3 3" xfId="6089"/>
    <cellStyle name="Comma 4 3 4" xfId="6090"/>
    <cellStyle name="Comma 4 3 5" xfId="6091"/>
    <cellStyle name="Comma 4 3 6" xfId="6092"/>
    <cellStyle name="Comma 4 4" xfId="6093"/>
    <cellStyle name="Comma 4 4 2" xfId="6094"/>
    <cellStyle name="Comma 4 4 3" xfId="6095"/>
    <cellStyle name="Comma 4 5" xfId="6096"/>
    <cellStyle name="Comma 4 6" xfId="6097"/>
    <cellStyle name="Comma 4 7" xfId="6098"/>
    <cellStyle name="Comma 4 8" xfId="6099"/>
    <cellStyle name="Comma 4 9" xfId="6100"/>
    <cellStyle name="Comma 4_20SDM" xfId="6101"/>
    <cellStyle name="Comma 40" xfId="6102"/>
    <cellStyle name="Comma 40 2" xfId="6103"/>
    <cellStyle name="Comma 40 3" xfId="6104"/>
    <cellStyle name="Comma 41" xfId="6105"/>
    <cellStyle name="Comma 41 2" xfId="6106"/>
    <cellStyle name="Comma 41 3" xfId="6107"/>
    <cellStyle name="Comma 41 4" xfId="6108"/>
    <cellStyle name="Comma 42" xfId="6109"/>
    <cellStyle name="Comma 42 2" xfId="6110"/>
    <cellStyle name="Comma 42 3" xfId="6111"/>
    <cellStyle name="Comma 42 4" xfId="6112"/>
    <cellStyle name="Comma 43" xfId="6113"/>
    <cellStyle name="Comma 43 2" xfId="6114"/>
    <cellStyle name="Comma 44" xfId="6115"/>
    <cellStyle name="Comma 44 2" xfId="6116"/>
    <cellStyle name="Comma 45" xfId="6117"/>
    <cellStyle name="Comma 45 2" xfId="6118"/>
    <cellStyle name="Comma 46" xfId="6119"/>
    <cellStyle name="Comma 46 2" xfId="6120"/>
    <cellStyle name="Comma 47" xfId="6121"/>
    <cellStyle name="Comma 47 2" xfId="6122"/>
    <cellStyle name="Comma 48" xfId="6123"/>
    <cellStyle name="Comma 48 2" xfId="6124"/>
    <cellStyle name="Comma 48 3" xfId="6125"/>
    <cellStyle name="Comma 48 4" xfId="6126"/>
    <cellStyle name="Comma 48 5" xfId="6127"/>
    <cellStyle name="Comma 49" xfId="6128"/>
    <cellStyle name="Comma 49 2" xfId="6129"/>
    <cellStyle name="Comma 49 3" xfId="6130"/>
    <cellStyle name="Comma 49_20SDM" xfId="6131"/>
    <cellStyle name="Comma 5" xfId="6132"/>
    <cellStyle name="Comma 5 10" xfId="6133"/>
    <cellStyle name="Comma 5 10 2" xfId="6134"/>
    <cellStyle name="Comma 5 11" xfId="6135"/>
    <cellStyle name="Comma 5 12" xfId="6136"/>
    <cellStyle name="Comma 5 12 2" xfId="6137"/>
    <cellStyle name="Comma 5 13" xfId="6138"/>
    <cellStyle name="Comma 5 13 2" xfId="6139"/>
    <cellStyle name="Comma 5 2" xfId="6140"/>
    <cellStyle name="Comma 5 2 2" xfId="6141"/>
    <cellStyle name="Comma 5 2 2 2" xfId="6142"/>
    <cellStyle name="Comma 5 2 2 3" xfId="6143"/>
    <cellStyle name="Comma 5 2 3" xfId="6144"/>
    <cellStyle name="Comma 5 2 3 2" xfId="6145"/>
    <cellStyle name="Comma 5 2 3 3" xfId="6146"/>
    <cellStyle name="Comma 5 2 4" xfId="6147"/>
    <cellStyle name="Comma 5 2 5" xfId="6148"/>
    <cellStyle name="Comma 5 2 6" xfId="6149"/>
    <cellStyle name="Comma 5 2 7" xfId="6150"/>
    <cellStyle name="Comma 5 2 8" xfId="6151"/>
    <cellStyle name="Comma 5 2 8 2" xfId="6152"/>
    <cellStyle name="Comma 5 3" xfId="6153"/>
    <cellStyle name="Comma 5 3 2" xfId="6154"/>
    <cellStyle name="Comma 5 3 2 2" xfId="6155"/>
    <cellStyle name="Comma 5 3 3" xfId="6156"/>
    <cellStyle name="Comma 5 3 4" xfId="6157"/>
    <cellStyle name="Comma 5 3 5" xfId="6158"/>
    <cellStyle name="Comma 5 3 6" xfId="6159"/>
    <cellStyle name="Comma 5 4" xfId="6160"/>
    <cellStyle name="Comma 5 4 2" xfId="6161"/>
    <cellStyle name="Comma 5 4 3" xfId="6162"/>
    <cellStyle name="Comma 5 4 4" xfId="6163"/>
    <cellStyle name="Comma 5 5" xfId="6164"/>
    <cellStyle name="Comma 5 5 2" xfId="6165"/>
    <cellStyle name="Comma 5 6" xfId="6166"/>
    <cellStyle name="Comma 5 6 2" xfId="6167"/>
    <cellStyle name="Comma 5 7" xfId="6168"/>
    <cellStyle name="Comma 5 7 2" xfId="6169"/>
    <cellStyle name="Comma 5 8" xfId="6170"/>
    <cellStyle name="Comma 5 8 2" xfId="6171"/>
    <cellStyle name="Comma 5 9" xfId="6172"/>
    <cellStyle name="Comma 5 9 2" xfId="6173"/>
    <cellStyle name="Comma 5_20SDM" xfId="6174"/>
    <cellStyle name="Comma 50" xfId="6175"/>
    <cellStyle name="Comma 50 2" xfId="6176"/>
    <cellStyle name="Comma 50 3" xfId="6177"/>
    <cellStyle name="Comma 50_20SDM" xfId="6178"/>
    <cellStyle name="Comma 51" xfId="6179"/>
    <cellStyle name="Comma 51 2" xfId="6180"/>
    <cellStyle name="Comma 51 3" xfId="6181"/>
    <cellStyle name="Comma 51 4" xfId="6182"/>
    <cellStyle name="Comma 51_20SDM" xfId="6183"/>
    <cellStyle name="Comma 52" xfId="6184"/>
    <cellStyle name="Comma 52 2" xfId="6185"/>
    <cellStyle name="Comma 52 3" xfId="6186"/>
    <cellStyle name="Comma 52 4" xfId="6187"/>
    <cellStyle name="Comma 52_20SDM" xfId="6188"/>
    <cellStyle name="Comma 53" xfId="6189"/>
    <cellStyle name="Comma 53 2" xfId="6190"/>
    <cellStyle name="Comma 53 3" xfId="6191"/>
    <cellStyle name="Comma 53 4" xfId="6192"/>
    <cellStyle name="Comma 53_20SDM" xfId="6193"/>
    <cellStyle name="Comma 54" xfId="6194"/>
    <cellStyle name="Comma 54 2" xfId="6195"/>
    <cellStyle name="Comma 54 3" xfId="6196"/>
    <cellStyle name="Comma 54 4" xfId="6197"/>
    <cellStyle name="Comma 54_20SDM" xfId="6198"/>
    <cellStyle name="Comma 55" xfId="6199"/>
    <cellStyle name="Comma 55 2" xfId="6200"/>
    <cellStyle name="Comma 55 3" xfId="6201"/>
    <cellStyle name="Comma 55 4" xfId="6202"/>
    <cellStyle name="Comma 55_20SDM" xfId="6203"/>
    <cellStyle name="Comma 56" xfId="6204"/>
    <cellStyle name="Comma 56 2" xfId="6205"/>
    <cellStyle name="Comma 56 3" xfId="6206"/>
    <cellStyle name="Comma 56 4" xfId="6207"/>
    <cellStyle name="Comma 56_20SDM" xfId="6208"/>
    <cellStyle name="Comma 57" xfId="6209"/>
    <cellStyle name="Comma 57 2" xfId="6210"/>
    <cellStyle name="Comma 57 3" xfId="6211"/>
    <cellStyle name="Comma 57_20SDM" xfId="6212"/>
    <cellStyle name="Comma 58" xfId="6213"/>
    <cellStyle name="Comma 58 2" xfId="6214"/>
    <cellStyle name="Comma 58 3" xfId="6215"/>
    <cellStyle name="Comma 59" xfId="6216"/>
    <cellStyle name="Comma 59 2" xfId="6217"/>
    <cellStyle name="Comma 6" xfId="6218"/>
    <cellStyle name="Comma 6 10" xfId="6219"/>
    <cellStyle name="Comma 6 11" xfId="6220"/>
    <cellStyle name="Comma 6 2" xfId="6221"/>
    <cellStyle name="Comma 6 2 2" xfId="6222"/>
    <cellStyle name="Comma 6 3" xfId="6223"/>
    <cellStyle name="Comma 6 3 2" xfId="6224"/>
    <cellStyle name="Comma 6 3 3" xfId="6225"/>
    <cellStyle name="Comma 6 3 4" xfId="6226"/>
    <cellStyle name="Comma 6 4" xfId="6227"/>
    <cellStyle name="Comma 6 5" xfId="6228"/>
    <cellStyle name="Comma 6 6" xfId="6229"/>
    <cellStyle name="Comma 6 7" xfId="6230"/>
    <cellStyle name="Comma 6 8" xfId="6231"/>
    <cellStyle name="Comma 6 9" xfId="6232"/>
    <cellStyle name="Comma 60" xfId="6233"/>
    <cellStyle name="Comma 60 2" xfId="6234"/>
    <cellStyle name="Comma 61" xfId="6235"/>
    <cellStyle name="Comma 61 2" xfId="6236"/>
    <cellStyle name="Comma 62" xfId="6237"/>
    <cellStyle name="Comma 62 2" xfId="6238"/>
    <cellStyle name="Comma 63" xfId="6239"/>
    <cellStyle name="Comma 63 2" xfId="6240"/>
    <cellStyle name="Comma 64" xfId="6241"/>
    <cellStyle name="Comma 64 2" xfId="6242"/>
    <cellStyle name="Comma 65" xfId="6243"/>
    <cellStyle name="Comma 65 2" xfId="6244"/>
    <cellStyle name="Comma 66" xfId="6245"/>
    <cellStyle name="Comma 66 2" xfId="6246"/>
    <cellStyle name="Comma 67" xfId="6247"/>
    <cellStyle name="Comma 67 2" xfId="6248"/>
    <cellStyle name="Comma 68" xfId="6249"/>
    <cellStyle name="Comma 68 2" xfId="6250"/>
    <cellStyle name="Comma 69" xfId="6251"/>
    <cellStyle name="Comma 69 2" xfId="6252"/>
    <cellStyle name="Comma 7" xfId="6253"/>
    <cellStyle name="Comma 7 10" xfId="6254"/>
    <cellStyle name="Comma 7 10 2" xfId="6255"/>
    <cellStyle name="Comma 7 11" xfId="6256"/>
    <cellStyle name="Comma 7 2" xfId="6257"/>
    <cellStyle name="Comma 7 2 2" xfId="6258"/>
    <cellStyle name="Comma 7 2 3" xfId="6259"/>
    <cellStyle name="Comma 7 2 4" xfId="6260"/>
    <cellStyle name="Comma 7 2 5" xfId="6261"/>
    <cellStyle name="Comma 7 2 6" xfId="6262"/>
    <cellStyle name="Comma 7 3" xfId="6263"/>
    <cellStyle name="Comma 7 3 2" xfId="6264"/>
    <cellStyle name="Comma 7 3 3" xfId="6265"/>
    <cellStyle name="Comma 7 3 4" xfId="6266"/>
    <cellStyle name="Comma 7 3 5" xfId="6267"/>
    <cellStyle name="Comma 7 3 6" xfId="6268"/>
    <cellStyle name="Comma 7 4" xfId="6269"/>
    <cellStyle name="Comma 7 4 2" xfId="6270"/>
    <cellStyle name="Comma 7 4 2 2" xfId="6271"/>
    <cellStyle name="Comma 7 5" xfId="6272"/>
    <cellStyle name="Comma 7 5 2" xfId="6273"/>
    <cellStyle name="Comma 7 5 2 2" xfId="6274"/>
    <cellStyle name="Comma 7 6" xfId="6275"/>
    <cellStyle name="Comma 7 6 2" xfId="6276"/>
    <cellStyle name="Comma 7 6 2 2" xfId="6277"/>
    <cellStyle name="Comma 7 7" xfId="6278"/>
    <cellStyle name="Comma 7 7 2" xfId="6279"/>
    <cellStyle name="Comma 7 7 2 2" xfId="6280"/>
    <cellStyle name="Comma 7 8" xfId="6281"/>
    <cellStyle name="Comma 7 8 2" xfId="6282"/>
    <cellStyle name="Comma 7 8 2 2" xfId="6283"/>
    <cellStyle name="Comma 7 9" xfId="6284"/>
    <cellStyle name="Comma 7 9 2" xfId="6285"/>
    <cellStyle name="Comma 7 9 2 2" xfId="6286"/>
    <cellStyle name="Comma 70" xfId="6287"/>
    <cellStyle name="Comma 70 2" xfId="6288"/>
    <cellStyle name="Comma 71" xfId="6289"/>
    <cellStyle name="Comma 71 2" xfId="6290"/>
    <cellStyle name="Comma 72" xfId="6291"/>
    <cellStyle name="Comma 72 2" xfId="6292"/>
    <cellStyle name="Comma 73" xfId="6293"/>
    <cellStyle name="Comma 73 2" xfId="6294"/>
    <cellStyle name="Comma 74" xfId="6295"/>
    <cellStyle name="Comma 74 2" xfId="6296"/>
    <cellStyle name="Comma 75" xfId="6297"/>
    <cellStyle name="Comma 75 2" xfId="6298"/>
    <cellStyle name="Comma 76" xfId="6299"/>
    <cellStyle name="Comma 76 2" xfId="6300"/>
    <cellStyle name="Comma 77" xfId="6301"/>
    <cellStyle name="Comma 77 2" xfId="6302"/>
    <cellStyle name="Comma 78" xfId="6303"/>
    <cellStyle name="Comma 78 2" xfId="6304"/>
    <cellStyle name="Comma 79" xfId="6305"/>
    <cellStyle name="Comma 79 2" xfId="6306"/>
    <cellStyle name="Comma 8" xfId="6307"/>
    <cellStyle name="Comma 8 2" xfId="6308"/>
    <cellStyle name="Comma 8 2 2" xfId="6309"/>
    <cellStyle name="Comma 8 2 2 2" xfId="6310"/>
    <cellStyle name="Comma 8 2 3" xfId="6311"/>
    <cellStyle name="Comma 8 2 4" xfId="6312"/>
    <cellStyle name="Comma 8 2 5" xfId="6313"/>
    <cellStyle name="Comma 8 2 6" xfId="6314"/>
    <cellStyle name="Comma 8 2 7" xfId="6315"/>
    <cellStyle name="Comma 8 3" xfId="6316"/>
    <cellStyle name="Comma 8 4" xfId="6317"/>
    <cellStyle name="Comma 8 5" xfId="6318"/>
    <cellStyle name="Comma 8 6" xfId="6319"/>
    <cellStyle name="Comma 8 7" xfId="6320"/>
    <cellStyle name="Comma 8 8" xfId="6321"/>
    <cellStyle name="Comma 80" xfId="6322"/>
    <cellStyle name="Comma 80 2" xfId="6323"/>
    <cellStyle name="Comma 81" xfId="6324"/>
    <cellStyle name="Comma 81 2" xfId="6325"/>
    <cellStyle name="Comma 82" xfId="6326"/>
    <cellStyle name="Comma 82 2" xfId="6327"/>
    <cellStyle name="Comma 83" xfId="6328"/>
    <cellStyle name="Comma 83 2" xfId="6329"/>
    <cellStyle name="Comma 84" xfId="6330"/>
    <cellStyle name="Comma 84 2" xfId="6331"/>
    <cellStyle name="Comma 85" xfId="6332"/>
    <cellStyle name="Comma 85 2" xfId="6333"/>
    <cellStyle name="Comma 86" xfId="6334"/>
    <cellStyle name="Comma 86 2" xfId="6335"/>
    <cellStyle name="Comma 87" xfId="6336"/>
    <cellStyle name="Comma 87 2" xfId="6337"/>
    <cellStyle name="Comma 88" xfId="6338"/>
    <cellStyle name="Comma 88 2" xfId="6339"/>
    <cellStyle name="Comma 89" xfId="6340"/>
    <cellStyle name="Comma 89 2" xfId="6341"/>
    <cellStyle name="Comma 9" xfId="6342"/>
    <cellStyle name="Comma 9 10" xfId="6343"/>
    <cellStyle name="Comma 9 11" xfId="6344"/>
    <cellStyle name="Comma 9 2" xfId="6345"/>
    <cellStyle name="Comma 9 2 2" xfId="6346"/>
    <cellStyle name="Comma 9 2 2 2" xfId="6347"/>
    <cellStyle name="Comma 9 2 3" xfId="6348"/>
    <cellStyle name="Comma 9 2 4" xfId="6349"/>
    <cellStyle name="Comma 9 3" xfId="6350"/>
    <cellStyle name="Comma 9 3 2" xfId="6351"/>
    <cellStyle name="Comma 9 3 3" xfId="6352"/>
    <cellStyle name="Comma 9 3 3 2" xfId="6353"/>
    <cellStyle name="Comma 9 4" xfId="6354"/>
    <cellStyle name="Comma 9 5" xfId="6355"/>
    <cellStyle name="Comma 9 6" xfId="6356"/>
    <cellStyle name="Comma 9 7" xfId="6357"/>
    <cellStyle name="Comma 9 8" xfId="6358"/>
    <cellStyle name="Comma 9 9" xfId="6359"/>
    <cellStyle name="Comma 9 9 2" xfId="6360"/>
    <cellStyle name="Comma 90" xfId="6361"/>
    <cellStyle name="Comma 90 2" xfId="6362"/>
    <cellStyle name="Comma 91" xfId="6363"/>
    <cellStyle name="Comma 91 2" xfId="6364"/>
    <cellStyle name="Comma 92" xfId="6365"/>
    <cellStyle name="Comma 92 2" xfId="6366"/>
    <cellStyle name="Comma 93" xfId="6367"/>
    <cellStyle name="Comma 93 2" xfId="6368"/>
    <cellStyle name="Comma 94" xfId="6369"/>
    <cellStyle name="Comma 94 2" xfId="6370"/>
    <cellStyle name="Comma 95" xfId="6371"/>
    <cellStyle name="Comma 95 2" xfId="6372"/>
    <cellStyle name="Comma 96" xfId="6373"/>
    <cellStyle name="Comma 96 2" xfId="6374"/>
    <cellStyle name="Comma 97" xfId="6375"/>
    <cellStyle name="Comma 97 2" xfId="6376"/>
    <cellStyle name="Comma 98" xfId="6377"/>
    <cellStyle name="Comma 98 2" xfId="6378"/>
    <cellStyle name="Comma 98 3" xfId="6379"/>
    <cellStyle name="Comma 98 4" xfId="6380"/>
    <cellStyle name="Comma 98 4 2" xfId="6381"/>
    <cellStyle name="Comma 99" xfId="6382"/>
    <cellStyle name="Comma 99 2" xfId="6383"/>
    <cellStyle name="Comma 99 3" xfId="6384"/>
    <cellStyle name="Comma 99 4" xfId="6385"/>
    <cellStyle name="Comma 99 5" xfId="6386"/>
    <cellStyle name="Comma 99 5 2" xfId="6387"/>
    <cellStyle name="Comma_Table 1 2" xfId="7907"/>
    <cellStyle name="Comma_Table 20-21" xfId="7888"/>
    <cellStyle name="Comma_Table 41a-41b" xfId="7896"/>
    <cellStyle name="Comma0" xfId="6388"/>
    <cellStyle name="Comma0 - Modelo1" xfId="6389"/>
    <cellStyle name="Comma0 - Style1" xfId="6390"/>
    <cellStyle name="Comma0_(26) Oct-09 (AL)" xfId="6391"/>
    <cellStyle name="Comma1 - Modelo2" xfId="6392"/>
    <cellStyle name="Comma1 - Style1" xfId="6393"/>
    <cellStyle name="Comma1 - Style2" xfId="6394"/>
    <cellStyle name="comment" xfId="6395"/>
    <cellStyle name="comment2" xfId="6396"/>
    <cellStyle name="Commg [0]_FOP1&amp;L_PLN0309_NewBrazil3007.xls Chart 2" xfId="6397"/>
    <cellStyle name="Commɡ [0]_FOP1&amp;L_PLN0309_NewBrazil3007.xls Chart 2" xfId="6398"/>
    <cellStyle name="CompanyName" xfId="6399"/>
    <cellStyle name="ContentsHyperlink" xfId="6400"/>
    <cellStyle name="Contract" xfId="6401"/>
    <cellStyle name="Convergence" xfId="6402"/>
    <cellStyle name="Copied" xfId="6403"/>
    <cellStyle name="Crosspull" xfId="6404"/>
    <cellStyle name="Curren - Style2" xfId="6405"/>
    <cellStyle name="Currency [£]" xfId="6406"/>
    <cellStyle name="Currency [00]" xfId="6407"/>
    <cellStyle name="Currency [2]" xfId="6408"/>
    <cellStyle name="Currency 0" xfId="6409"/>
    <cellStyle name="Currency 10" xfId="6410"/>
    <cellStyle name="Currency 10 2" xfId="6411"/>
    <cellStyle name="Currency 2" xfId="6412"/>
    <cellStyle name="Currency 2 2" xfId="6413"/>
    <cellStyle name="Currency 2 3" xfId="6414"/>
    <cellStyle name="Currency 2 3 2" xfId="6415"/>
    <cellStyle name="Currency 2 3 2 2" xfId="6416"/>
    <cellStyle name="Currency 2 3 3" xfId="6417"/>
    <cellStyle name="Currency 2 3 4" xfId="6418"/>
    <cellStyle name="Currency 2 4" xfId="6419"/>
    <cellStyle name="Currency 2 4 2" xfId="6420"/>
    <cellStyle name="Currency 2 5" xfId="6421"/>
    <cellStyle name="Currency 2 5 2" xfId="6422"/>
    <cellStyle name="Currency 2 6" xfId="6423"/>
    <cellStyle name="Currency 2 7" xfId="6424"/>
    <cellStyle name="Currency 3" xfId="6425"/>
    <cellStyle name="Currency 3 2" xfId="6426"/>
    <cellStyle name="Currency 3 2 2" xfId="6427"/>
    <cellStyle name="Currency 3 3" xfId="6428"/>
    <cellStyle name="Currency 3 3 2" xfId="6429"/>
    <cellStyle name="Currency 3 4" xfId="6430"/>
    <cellStyle name="Currency 3 4 2" xfId="6431"/>
    <cellStyle name="Currency 3 5" xfId="6432"/>
    <cellStyle name="Currency 3 6" xfId="6433"/>
    <cellStyle name="Currency 4" xfId="6434"/>
    <cellStyle name="Currency 4 2" xfId="6435"/>
    <cellStyle name="Currency 4 2 2" xfId="6436"/>
    <cellStyle name="Currency 4 3" xfId="6437"/>
    <cellStyle name="Currency 4 3 2" xfId="6438"/>
    <cellStyle name="Currency 4 4" xfId="6439"/>
    <cellStyle name="Currency 4 4 2" xfId="6440"/>
    <cellStyle name="Currency 4 5" xfId="6441"/>
    <cellStyle name="Currency 4 6" xfId="6442"/>
    <cellStyle name="Currency 5" xfId="6443"/>
    <cellStyle name="Currency 5 2" xfId="6444"/>
    <cellStyle name="Currency 5 2 2" xfId="6445"/>
    <cellStyle name="Currency 5 3" xfId="6446"/>
    <cellStyle name="Currency 5 3 2" xfId="6447"/>
    <cellStyle name="Currency 5 4" xfId="6448"/>
    <cellStyle name="Currency 5 4 2" xfId="6449"/>
    <cellStyle name="Currency 5 5" xfId="6450"/>
    <cellStyle name="Currency 5 6" xfId="6451"/>
    <cellStyle name="Currency 6" xfId="6452"/>
    <cellStyle name="Currency 6 2" xfId="6453"/>
    <cellStyle name="Currency 6 2 2" xfId="6454"/>
    <cellStyle name="Currency 6 3" xfId="6455"/>
    <cellStyle name="Currency 6 3 2" xfId="6456"/>
    <cellStyle name="Currency 6 4" xfId="6457"/>
    <cellStyle name="Currency 7" xfId="6458"/>
    <cellStyle name="Currency 7 2" xfId="6459"/>
    <cellStyle name="Currency 7 2 2" xfId="6460"/>
    <cellStyle name="Currency 7 3" xfId="6461"/>
    <cellStyle name="Currency 7 3 2" xfId="6462"/>
    <cellStyle name="Currency 7 4" xfId="6463"/>
    <cellStyle name="Currency 8" xfId="6464"/>
    <cellStyle name="Currency 8 2" xfId="6465"/>
    <cellStyle name="Currency 8 2 2" xfId="6466"/>
    <cellStyle name="Currency 8 3" xfId="6467"/>
    <cellStyle name="Currency 8 4" xfId="6468"/>
    <cellStyle name="Currency 9" xfId="6469"/>
    <cellStyle name="Currency 9 2" xfId="6470"/>
    <cellStyle name="Currency0" xfId="6471"/>
    <cellStyle name="Dash" xfId="6472"/>
    <cellStyle name="Data" xfId="6473"/>
    <cellStyle name="Data.LongPercent" xfId="6474"/>
    <cellStyle name="Data.NumPercent" xfId="6475"/>
    <cellStyle name="Data.NumShortPercent" xfId="6476"/>
    <cellStyle name="data_entry" xfId="6477"/>
    <cellStyle name="Data1" xfId="6478"/>
    <cellStyle name="Data2" xfId="6479"/>
    <cellStyle name="Data3" xfId="6480"/>
    <cellStyle name="Data4" xfId="6481"/>
    <cellStyle name="dataentry" xfId="6482"/>
    <cellStyle name="dataentry4" xfId="6483"/>
    <cellStyle name="Date" xfId="6484"/>
    <cellStyle name="Date - Style3" xfId="6485"/>
    <cellStyle name="Date Aligned" xfId="6486"/>
    <cellStyle name="Date Short" xfId="6487"/>
    <cellStyle name="Date_(26) Oct-09 (AL)" xfId="6488"/>
    <cellStyle name="Date1" xfId="6489"/>
    <cellStyle name="DateFormat" xfId="6490"/>
    <cellStyle name="DateFormat 2" xfId="6491"/>
    <cellStyle name="DELTA" xfId="6492"/>
    <cellStyle name="Dezimal [0]_Compiling Utility Macros" xfId="6493"/>
    <cellStyle name="Dezimal_Compiling Utility Macros" xfId="6494"/>
    <cellStyle name="Dia" xfId="6495"/>
    <cellStyle name="Dollar" xfId="6496"/>
    <cellStyle name="Dotted Line" xfId="6497"/>
    <cellStyle name="DS 0" xfId="6498"/>
    <cellStyle name="DS 4" xfId="6499"/>
    <cellStyle name="E&amp;Y House" xfId="6500"/>
    <cellStyle name="Encabez1" xfId="6501"/>
    <cellStyle name="Encabez2" xfId="6502"/>
    <cellStyle name="Enter Currency (0)" xfId="6503"/>
    <cellStyle name="Enter Currency (2)" xfId="6504"/>
    <cellStyle name="Enter Units (0)" xfId="6505"/>
    <cellStyle name="Enter Units (1)" xfId="6506"/>
    <cellStyle name="Enter Units (2)" xfId="6507"/>
    <cellStyle name="Entered" xfId="6508"/>
    <cellStyle name="Error Detection" xfId="6509"/>
    <cellStyle name="Euro" xfId="6510"/>
    <cellStyle name="Euro 2" xfId="6511"/>
    <cellStyle name="excrate" xfId="6512"/>
    <cellStyle name="Explanatory Text 2" xfId="6513"/>
    <cellStyle name="Explanatory Text 5" xfId="6514"/>
    <cellStyle name="EY House" xfId="6515"/>
    <cellStyle name="EY Narrative text" xfId="6516"/>
    <cellStyle name="EY%colcalc" xfId="6517"/>
    <cellStyle name="EY%input" xfId="6518"/>
    <cellStyle name="EY%rowcalc" xfId="6519"/>
    <cellStyle name="EY0dp" xfId="6520"/>
    <cellStyle name="EY1dp" xfId="6521"/>
    <cellStyle name="EY2dp" xfId="6522"/>
    <cellStyle name="EY3dp" xfId="6523"/>
    <cellStyle name="EYChartTitle" xfId="6524"/>
    <cellStyle name="EYColumnHeading" xfId="6525"/>
    <cellStyle name="EYColumnHeadingItalic" xfId="6526"/>
    <cellStyle name="EYCoverDatabookName" xfId="6527"/>
    <cellStyle name="EYCoverDate" xfId="6528"/>
    <cellStyle name="EYCoverDraft" xfId="6529"/>
    <cellStyle name="EYCoverProjectName" xfId="6530"/>
    <cellStyle name="EYCurrency" xfId="6531"/>
    <cellStyle name="EYNotes" xfId="6532"/>
    <cellStyle name="EYNotesHeading" xfId="6533"/>
    <cellStyle name="EYnumber" xfId="6534"/>
    <cellStyle name="EYRelianceRestricted" xfId="6535"/>
    <cellStyle name="EYSectionHeading" xfId="6536"/>
    <cellStyle name="EYSheetHeader1" xfId="6537"/>
    <cellStyle name="EYSheetHeading" xfId="6538"/>
    <cellStyle name="EYsmallheading" xfId="6539"/>
    <cellStyle name="EYsmallheading 2" xfId="6540"/>
    <cellStyle name="EYSource" xfId="6541"/>
    <cellStyle name="EYtext" xfId="6542"/>
    <cellStyle name="EYtextbold" xfId="6543"/>
    <cellStyle name="EYtextbolditalic" xfId="6544"/>
    <cellStyle name="EYtextitalic" xfId="6545"/>
    <cellStyle name="F2" xfId="6546"/>
    <cellStyle name="F3" xfId="6547"/>
    <cellStyle name="F4" xfId="6548"/>
    <cellStyle name="F5" xfId="6549"/>
    <cellStyle name="F6" xfId="6550"/>
    <cellStyle name="F7" xfId="6551"/>
    <cellStyle name="F8" xfId="6552"/>
    <cellStyle name="fcsCurrency" xfId="6553"/>
    <cellStyle name="fcsDate" xfId="6554"/>
    <cellStyle name="fcsStandard" xfId="6555"/>
    <cellStyle name="Feed" xfId="6556"/>
    <cellStyle name="Fijo" xfId="6557"/>
    <cellStyle name="Financiero" xfId="6558"/>
    <cellStyle name="first line" xfId="6559"/>
    <cellStyle name="FirstNumbers" xfId="6560"/>
    <cellStyle name="Fixed" xfId="6561"/>
    <cellStyle name="Footnote" xfId="6562"/>
    <cellStyle name="-Footnote_&amp;_Source" xfId="6563"/>
    <cellStyle name="Footnote_AnalysisTemplate" xfId="6564"/>
    <cellStyle name="Foreground_tcslctpk" xfId="6565"/>
    <cellStyle name="FullTime" xfId="6566"/>
    <cellStyle name="FullTimeBrief" xfId="6567"/>
    <cellStyle name="FX Rate" xfId="6568"/>
    <cellStyle name="Gallons" xfId="6569"/>
    <cellStyle name="General" xfId="6570"/>
    <cellStyle name="Gentia To Excel" xfId="6571"/>
    <cellStyle name="Good 2" xfId="6572"/>
    <cellStyle name="Good 2 2" xfId="6573"/>
    <cellStyle name="Good 3" xfId="6574"/>
    <cellStyle name="Good 5" xfId="6575"/>
    <cellStyle name="Good Group" xfId="6576"/>
    <cellStyle name="Grey" xfId="6577"/>
    <cellStyle name="GreybarHeader" xfId="6578"/>
    <cellStyle name="greyed" xfId="6579"/>
    <cellStyle name="GroupTitles" xfId="6580"/>
    <cellStyle name="gunz" xfId="6581"/>
    <cellStyle name="handle" xfId="6582"/>
    <cellStyle name="Hard Percent" xfId="6583"/>
    <cellStyle name="Header" xfId="6584"/>
    <cellStyle name="Header Total" xfId="6585"/>
    <cellStyle name="header_CollateralSummary (2)" xfId="6586"/>
    <cellStyle name="Header1" xfId="6587"/>
    <cellStyle name="Header2" xfId="6588"/>
    <cellStyle name="Header3" xfId="6589"/>
    <cellStyle name="Header4" xfId="6590"/>
    <cellStyle name="Heading" xfId="6591"/>
    <cellStyle name="Heading 1 2" xfId="6592"/>
    <cellStyle name="Heading 1 5" xfId="6593"/>
    <cellStyle name="Heading 2 2" xfId="6594"/>
    <cellStyle name="Heading 2 5" xfId="6595"/>
    <cellStyle name="Heading 3 2" xfId="6596"/>
    <cellStyle name="Heading 3 5" xfId="6597"/>
    <cellStyle name="Heading 4 2" xfId="6598"/>
    <cellStyle name="Heading 4 5" xfId="6599"/>
    <cellStyle name="hidden" xfId="6600"/>
    <cellStyle name="highlightExposure" xfId="6601"/>
    <cellStyle name="highlightPD" xfId="6602"/>
    <cellStyle name="highlightText" xfId="6603"/>
    <cellStyle name="hotlinks" xfId="6604"/>
    <cellStyle name="hotlinks 2" xfId="6605"/>
    <cellStyle name="Hyperlink 2" xfId="6606"/>
    <cellStyle name="HyperlinkIndex" xfId="6607"/>
    <cellStyle name="Input [yellow]" xfId="6608"/>
    <cellStyle name="Input 2" xfId="6609"/>
    <cellStyle name="Input 3" xfId="6610"/>
    <cellStyle name="Input 5" xfId="6611"/>
    <cellStyle name="inputExposure" xfId="6612"/>
    <cellStyle name="Integer" xfId="6613"/>
    <cellStyle name="intro" xfId="6614"/>
    <cellStyle name="ItalicHeader" xfId="6615"/>
    <cellStyle name="Item" xfId="6616"/>
    <cellStyle name="Komma [0]_Fees &amp; Expenses" xfId="6617"/>
    <cellStyle name="Komma_Fees &amp; Expenses" xfId="6618"/>
    <cellStyle name="KPMG Heading 1" xfId="6619"/>
    <cellStyle name="KPMG Heading 2" xfId="6620"/>
    <cellStyle name="KPMG Heading 3" xfId="6621"/>
    <cellStyle name="KPMG Heading 4" xfId="6622"/>
    <cellStyle name="KPMG Normal" xfId="6623"/>
    <cellStyle name="KPMG Normal Text" xfId="6624"/>
    <cellStyle name="label" xfId="6625"/>
    <cellStyle name="Labels 8p Bold" xfId="6626"/>
    <cellStyle name="Labels 8p Bold 2" xfId="6627"/>
    <cellStyle name="last line" xfId="6628"/>
    <cellStyle name="Lien hypertexte_LPTD format" xfId="6629"/>
    <cellStyle name="LineNum w/ Border" xfId="6630"/>
    <cellStyle name="LineNumbers" xfId="6631"/>
    <cellStyle name="LineNumbersFirstColumn" xfId="6632"/>
    <cellStyle name="Link Currency (0)" xfId="6633"/>
    <cellStyle name="Link Currency (2)" xfId="6634"/>
    <cellStyle name="Link Units (0)" xfId="6635"/>
    <cellStyle name="Link Units (1)" xfId="6636"/>
    <cellStyle name="Link Units (2)" xfId="6637"/>
    <cellStyle name="Linked Cell 2" xfId="6638"/>
    <cellStyle name="Linked Cell 5" xfId="6639"/>
    <cellStyle name="Locked" xfId="6640"/>
    <cellStyle name="Lookup" xfId="6641"/>
    <cellStyle name="MajorHeading" xfId="6642"/>
    <cellStyle name="Map Labels" xfId="6643"/>
    <cellStyle name="Map Legend" xfId="6644"/>
    <cellStyle name="Map Title" xfId="6645"/>
    <cellStyle name="McForm" xfId="6646"/>
    <cellStyle name="McFormBody" xfId="6647"/>
    <cellStyle name="MCNewReport" xfId="6648"/>
    <cellStyle name="MCReport" xfId="6649"/>
    <cellStyle name="Menu" xfId="6650"/>
    <cellStyle name="Middle" xfId="6651"/>
    <cellStyle name="Migliaia (0)_LINEA GLOBALE" xfId="6652"/>
    <cellStyle name="Migliaia_LINEA GLOBALE" xfId="6653"/>
    <cellStyle name="Millares [0]_10 AVERIAS MASIVAS + ANT" xfId="6654"/>
    <cellStyle name="Millares_10 AVERIAS MASIVAS + ANT" xfId="6655"/>
    <cellStyle name="Milliers [0]_3A_NumeratorReport_Option1_040611" xfId="6656"/>
    <cellStyle name="Milliers_3A_NumeratorReport_Option1_040611" xfId="6657"/>
    <cellStyle name="mir" xfId="6658"/>
    <cellStyle name="mm/dd/yy" xfId="6659"/>
    <cellStyle name="MMBTU's" xfId="6660"/>
    <cellStyle name="Modifiable" xfId="6661"/>
    <cellStyle name="Moneda [0]_10 AVERIAS MASIVAS + ANT" xfId="6662"/>
    <cellStyle name="Moneda_10 AVERIAS MASIVAS + ANT" xfId="6663"/>
    <cellStyle name="Monétaire [0]_3A_NumeratorReport_Option1_040611" xfId="6664"/>
    <cellStyle name="Monétaire_3A_NumeratorReport_Option1_040611" xfId="6665"/>
    <cellStyle name="Monetario" xfId="6666"/>
    <cellStyle name="Money" xfId="6667"/>
    <cellStyle name="Multiple" xfId="6668"/>
    <cellStyle name="NACC" xfId="6669"/>
    <cellStyle name="Negative" xfId="6670"/>
    <cellStyle name="Negative 2" xfId="6671"/>
    <cellStyle name="Neutral 2" xfId="6672"/>
    <cellStyle name="Neutral 2 2" xfId="6673"/>
    <cellStyle name="Neutral 3" xfId="6674"/>
    <cellStyle name="Neutral 5" xfId="6675"/>
    <cellStyle name="NEW" xfId="6676"/>
    <cellStyle name="no dec" xfId="6677"/>
    <cellStyle name="NoChange" xfId="6678"/>
    <cellStyle name="Non Zero" xfId="6679"/>
    <cellStyle name="Non_$_PL" xfId="6680"/>
    <cellStyle name="NonPrint_copyright" xfId="6681"/>
    <cellStyle name="Normal" xfId="0" builtinId="0"/>
    <cellStyle name="Normal - Style1" xfId="6682"/>
    <cellStyle name="Normal - Style1 2" xfId="6683"/>
    <cellStyle name="Normal - Style1 3" xfId="6684"/>
    <cellStyle name="Normal - Style2" xfId="6685"/>
    <cellStyle name="Normal 10" xfId="6686"/>
    <cellStyle name="Normal 10 10" xfId="6687"/>
    <cellStyle name="Normal 10 10 10" xfId="7892"/>
    <cellStyle name="Normal 10 10 11" xfId="7904"/>
    <cellStyle name="Normal 10 10 2" xfId="6688"/>
    <cellStyle name="Normal 10 10 3" xfId="6689"/>
    <cellStyle name="Normal 10 10 3 2" xfId="6690"/>
    <cellStyle name="Normal 10 10 4" xfId="6691"/>
    <cellStyle name="Normal 10 10 5" xfId="6692"/>
    <cellStyle name="Normal 10 10 6" xfId="6693"/>
    <cellStyle name="Normal 10 10 7" xfId="6694"/>
    <cellStyle name="Normal 10 10 8" xfId="6695"/>
    <cellStyle name="Normal 10 10 8 2" xfId="6696"/>
    <cellStyle name="Normal 10 10 8 2 2" xfId="6697"/>
    <cellStyle name="Normal 10 10 8 2 2 2" xfId="6698"/>
    <cellStyle name="Normal 10 10 8 2 2 2 2" xfId="6699"/>
    <cellStyle name="Normal 10 10 8 2 2 2 3" xfId="6700"/>
    <cellStyle name="Normal 10 10 8 2 2 2 4" xfId="6701"/>
    <cellStyle name="Normal 10 10 8 2 2 2 5" xfId="6702"/>
    <cellStyle name="Normal 10 10 8 2 2 2 5 2" xfId="7894"/>
    <cellStyle name="Normal 10 10 8 3" xfId="6703"/>
    <cellStyle name="Normal 10 10 8 3 2" xfId="6704"/>
    <cellStyle name="Normal 10 10 8 3 2 2" xfId="6705"/>
    <cellStyle name="Normal 10 10 8 3 2 3" xfId="6706"/>
    <cellStyle name="Normal 10 10 8 3 2 4" xfId="6707"/>
    <cellStyle name="Normal 10 10 8 3 2 5" xfId="6708"/>
    <cellStyle name="Normal 10 10 8 3 2 5 2" xfId="7893"/>
    <cellStyle name="Normal 10 10 9" xfId="6709"/>
    <cellStyle name="Normal 10 11" xfId="6710"/>
    <cellStyle name="Normal 10 2" xfId="6711"/>
    <cellStyle name="Normal 10 3" xfId="6712"/>
    <cellStyle name="Normal 10 4" xfId="6713"/>
    <cellStyle name="Normal 10 5" xfId="6714"/>
    <cellStyle name="Normal 10 6" xfId="6715"/>
    <cellStyle name="Normal 10 7" xfId="6716"/>
    <cellStyle name="Normal 10 8" xfId="6717"/>
    <cellStyle name="Normal 10 9" xfId="6718"/>
    <cellStyle name="Normal 100" xfId="6719"/>
    <cellStyle name="Normal 101" xfId="6720"/>
    <cellStyle name="Normal 102" xfId="6721"/>
    <cellStyle name="Normal 103" xfId="6722"/>
    <cellStyle name="Normal 104" xfId="6723"/>
    <cellStyle name="Normal 105" xfId="6724"/>
    <cellStyle name="Normal 106" xfId="6725"/>
    <cellStyle name="Normal 107" xfId="6726"/>
    <cellStyle name="Normal 108" xfId="6727"/>
    <cellStyle name="Normal 109" xfId="6728"/>
    <cellStyle name="Normal 11" xfId="6729"/>
    <cellStyle name="Normal 11 2" xfId="6730"/>
    <cellStyle name="Normal 11 2 2" xfId="6731"/>
    <cellStyle name="Normal 11 2 3" xfId="6732"/>
    <cellStyle name="Normal 11 2_(19) Loan Feb-11(Feb-11 figures)" xfId="6733"/>
    <cellStyle name="Normal 11 3" xfId="6734"/>
    <cellStyle name="Normal 11 3 2" xfId="6735"/>
    <cellStyle name="Normal 11 3_(19) Loan Feb-11(Feb-11 figures)" xfId="6736"/>
    <cellStyle name="Normal 11 4" xfId="6737"/>
    <cellStyle name="Normal 11 4 2" xfId="6738"/>
    <cellStyle name="Normal 11 4_(19) Loan Feb-11(Feb-11 figures)" xfId="6739"/>
    <cellStyle name="Normal 11 5" xfId="6740"/>
    <cellStyle name="Normal 11 5 2" xfId="6741"/>
    <cellStyle name="Normal 11 5_(19) Loan Feb-11(Feb-11 figures)" xfId="6742"/>
    <cellStyle name="Normal 11 6" xfId="6743"/>
    <cellStyle name="Normal 11 6 2" xfId="6744"/>
    <cellStyle name="Normal 11 6_(19) Loan Feb-11(Feb-11 figures)" xfId="6745"/>
    <cellStyle name="Normal 11 7" xfId="6746"/>
    <cellStyle name="Normal 110" xfId="6747"/>
    <cellStyle name="Normal 111" xfId="6748"/>
    <cellStyle name="Normal 112" xfId="6749"/>
    <cellStyle name="Normal 113" xfId="6750"/>
    <cellStyle name="Normal 114" xfId="6751"/>
    <cellStyle name="Normal 115" xfId="6752"/>
    <cellStyle name="Normal 116" xfId="6753"/>
    <cellStyle name="Normal 117" xfId="6754"/>
    <cellStyle name="Normal 118" xfId="6755"/>
    <cellStyle name="Normal 119" xfId="6756"/>
    <cellStyle name="Normal 12" xfId="6757"/>
    <cellStyle name="Normal 12 2" xfId="6758"/>
    <cellStyle name="Normal 120" xfId="6759"/>
    <cellStyle name="Normal 121" xfId="6760"/>
    <cellStyle name="Normal 122" xfId="6761"/>
    <cellStyle name="Normal 123" xfId="6762"/>
    <cellStyle name="Normal 124" xfId="6763"/>
    <cellStyle name="Normal 125" xfId="6764"/>
    <cellStyle name="Normal 126" xfId="6765"/>
    <cellStyle name="Normal 127" xfId="6766"/>
    <cellStyle name="Normal 128" xfId="6767"/>
    <cellStyle name="Normal 129" xfId="6768"/>
    <cellStyle name="Normal 13" xfId="6769"/>
    <cellStyle name="Normal 13 10" xfId="6770"/>
    <cellStyle name="Normal 13 10 2" xfId="6771"/>
    <cellStyle name="Normal 13 10 2 2" xfId="6772"/>
    <cellStyle name="Normal 13 10 3" xfId="6773"/>
    <cellStyle name="Normal 13 2" xfId="6774"/>
    <cellStyle name="Normal 13 2 2" xfId="6775"/>
    <cellStyle name="Normal 13 2 2 2" xfId="6776"/>
    <cellStyle name="Normal 13 2 3" xfId="6777"/>
    <cellStyle name="Normal 13 3" xfId="6778"/>
    <cellStyle name="Normal 13 3 2" xfId="6779"/>
    <cellStyle name="Normal 13 3 2 2" xfId="6780"/>
    <cellStyle name="Normal 13 3 3" xfId="6781"/>
    <cellStyle name="Normal 13 4" xfId="6782"/>
    <cellStyle name="Normal 13 4 2" xfId="6783"/>
    <cellStyle name="Normal 13 4 2 2" xfId="6784"/>
    <cellStyle name="Normal 13 4 3" xfId="6785"/>
    <cellStyle name="Normal 13 5" xfId="6786"/>
    <cellStyle name="Normal 13 5 2" xfId="6787"/>
    <cellStyle name="Normal 13 5 2 2" xfId="6788"/>
    <cellStyle name="Normal 13 5 3" xfId="6789"/>
    <cellStyle name="Normal 13 6" xfId="6790"/>
    <cellStyle name="Normal 13 6 2" xfId="6791"/>
    <cellStyle name="Normal 13 6 2 2" xfId="6792"/>
    <cellStyle name="Normal 13 6 3" xfId="6793"/>
    <cellStyle name="Normal 13 7" xfId="6794"/>
    <cellStyle name="Normal 13 7 2" xfId="6795"/>
    <cellStyle name="Normal 13 7 2 2" xfId="6796"/>
    <cellStyle name="Normal 13 7 3" xfId="6797"/>
    <cellStyle name="Normal 13 8" xfId="6798"/>
    <cellStyle name="Normal 13 8 2" xfId="6799"/>
    <cellStyle name="Normal 13 8 2 2" xfId="6800"/>
    <cellStyle name="Normal 13 8 3" xfId="6801"/>
    <cellStyle name="Normal 13 9" xfId="6802"/>
    <cellStyle name="Normal 13 9 2" xfId="6803"/>
    <cellStyle name="Normal 13 9 2 2" xfId="6804"/>
    <cellStyle name="Normal 13 9 3" xfId="6805"/>
    <cellStyle name="Normal 130" xfId="6806"/>
    <cellStyle name="Normal 131" xfId="6807"/>
    <cellStyle name="Normal 132" xfId="6808"/>
    <cellStyle name="Normal 133" xfId="6809"/>
    <cellStyle name="Normal 134" xfId="6810"/>
    <cellStyle name="Normal 135" xfId="6811"/>
    <cellStyle name="Normal 136" xfId="6812"/>
    <cellStyle name="Normal 137" xfId="6813"/>
    <cellStyle name="Normal 138" xfId="6814"/>
    <cellStyle name="Normal 139" xfId="6815"/>
    <cellStyle name="Normal 139 2" xfId="6816"/>
    <cellStyle name="Normal 139 3" xfId="6817"/>
    <cellStyle name="Normal 139 4" xfId="7887"/>
    <cellStyle name="Normal 14" xfId="6818"/>
    <cellStyle name="Normal 14 2" xfId="6819"/>
    <cellStyle name="Normal 14 3" xfId="6820"/>
    <cellStyle name="Normal 14 4" xfId="6821"/>
    <cellStyle name="Normal 14 5" xfId="6822"/>
    <cellStyle name="Normal 140" xfId="6823"/>
    <cellStyle name="Normal 141" xfId="6824"/>
    <cellStyle name="Normal 142" xfId="6825"/>
    <cellStyle name="Normal 143" xfId="6826"/>
    <cellStyle name="Normal 143 2" xfId="7911"/>
    <cellStyle name="Normal 144" xfId="6827"/>
    <cellStyle name="Normal 144 2" xfId="6828"/>
    <cellStyle name="Normal 145" xfId="6829"/>
    <cellStyle name="Normal 146" xfId="6830"/>
    <cellStyle name="Normal 147" xfId="6831"/>
    <cellStyle name="Normal 148" xfId="7879"/>
    <cellStyle name="Normal 149" xfId="7883"/>
    <cellStyle name="Normal 15" xfId="6832"/>
    <cellStyle name="Normal 15 2" xfId="6833"/>
    <cellStyle name="Normal 15 3" xfId="6834"/>
    <cellStyle name="Normal 15 4" xfId="6835"/>
    <cellStyle name="Normal 150" xfId="7889"/>
    <cellStyle name="Normal 151" xfId="7903"/>
    <cellStyle name="Normal 152" xfId="7910"/>
    <cellStyle name="Normal 16" xfId="6836"/>
    <cellStyle name="Normal 16 2" xfId="6837"/>
    <cellStyle name="Normal 16 2 2" xfId="6838"/>
    <cellStyle name="Normal 16 2 3" xfId="6839"/>
    <cellStyle name="Normal 16 3" xfId="6840"/>
    <cellStyle name="Normal 16 4" xfId="6841"/>
    <cellStyle name="Normal 17" xfId="6842"/>
    <cellStyle name="Normal 17 2" xfId="6843"/>
    <cellStyle name="Normal 18" xfId="6844"/>
    <cellStyle name="Normal 19" xfId="6845"/>
    <cellStyle name="Normal 2" xfId="2"/>
    <cellStyle name="Normal 2 10" xfId="6846"/>
    <cellStyle name="Normal 2 10 2" xfId="6847"/>
    <cellStyle name="Normal 2 10 3" xfId="6848"/>
    <cellStyle name="Normal 2 10 3 2" xfId="6849"/>
    <cellStyle name="Normal 2 11" xfId="6850"/>
    <cellStyle name="Normal 2 11 2" xfId="6851"/>
    <cellStyle name="Normal 2 11 2 2" xfId="6852"/>
    <cellStyle name="Normal 2 11 3" xfId="6853"/>
    <cellStyle name="Normal 2 11 3 2" xfId="6854"/>
    <cellStyle name="Normal 2 11 3 2 2" xfId="6855"/>
    <cellStyle name="Normal 2 12" xfId="6856"/>
    <cellStyle name="Normal 2 12 2" xfId="6857"/>
    <cellStyle name="Normal 2 12 3" xfId="6858"/>
    <cellStyle name="Normal 2 12 3 2" xfId="6859"/>
    <cellStyle name="Normal 2 12 4" xfId="6860"/>
    <cellStyle name="Normal 2 13" xfId="6861"/>
    <cellStyle name="Normal 2 13 2" xfId="6862"/>
    <cellStyle name="Normal 2 14" xfId="6863"/>
    <cellStyle name="Normal 2 14 2" xfId="6864"/>
    <cellStyle name="Normal 2 15" xfId="6865"/>
    <cellStyle name="Normal 2 16" xfId="6866"/>
    <cellStyle name="Normal 2 17" xfId="6867"/>
    <cellStyle name="Normal 2 18" xfId="6868"/>
    <cellStyle name="Normal 2 19" xfId="6869"/>
    <cellStyle name="Normal 2 2" xfId="6870"/>
    <cellStyle name="Normal 2 2 10" xfId="6871"/>
    <cellStyle name="Normal 2 2 11" xfId="6872"/>
    <cellStyle name="Normal 2 2 2" xfId="6873"/>
    <cellStyle name="Normal 2 2 2 2" xfId="6874"/>
    <cellStyle name="Normal 2 2 2 2 2" xfId="6875"/>
    <cellStyle name="Normal 2 2 2 2_(19) Loan Feb-11(Feb-11 figures)" xfId="6876"/>
    <cellStyle name="Normal 2 2 2 3" xfId="6877"/>
    <cellStyle name="Normal 2 2 2 4" xfId="6878"/>
    <cellStyle name="Normal 2 2 2_(19) Loan Feb-11(Feb-11 figures)" xfId="6879"/>
    <cellStyle name="Normal 2 2 3" xfId="6880"/>
    <cellStyle name="Normal 2 2 3 2" xfId="6881"/>
    <cellStyle name="Normal 2 2 3 2 2" xfId="6882"/>
    <cellStyle name="Normal 2 2 3 2 2 2" xfId="6883"/>
    <cellStyle name="Normal 2 2 3 2 3" xfId="6884"/>
    <cellStyle name="Normal 2 2 4" xfId="6885"/>
    <cellStyle name="Normal 2 2 5" xfId="6886"/>
    <cellStyle name="Normal 2 2 6" xfId="6887"/>
    <cellStyle name="Normal 2 2 7" xfId="6888"/>
    <cellStyle name="Normal 2 2 8" xfId="6889"/>
    <cellStyle name="Normal 2 2 9" xfId="6890"/>
    <cellStyle name="Normal 2 2_(19) Loan Feb-11(Feb-11 figures)" xfId="6891"/>
    <cellStyle name="Normal 2 20" xfId="6892"/>
    <cellStyle name="Normal 2 20 2" xfId="6893"/>
    <cellStyle name="Normal 2 21" xfId="6894"/>
    <cellStyle name="Normal 2 3" xfId="6895"/>
    <cellStyle name="Normal 2 3 10" xfId="6896"/>
    <cellStyle name="Normal 2 3 11" xfId="6897"/>
    <cellStyle name="Normal 2 3 12" xfId="6898"/>
    <cellStyle name="Normal 2 3 2" xfId="6899"/>
    <cellStyle name="Normal 2 3 3" xfId="6900"/>
    <cellStyle name="Normal 2 3 4" xfId="6901"/>
    <cellStyle name="Normal 2 3 5" xfId="6902"/>
    <cellStyle name="Normal 2 3 6" xfId="6903"/>
    <cellStyle name="Normal 2 3 7" xfId="6904"/>
    <cellStyle name="Normal 2 3 8" xfId="6905"/>
    <cellStyle name="Normal 2 3 9" xfId="6906"/>
    <cellStyle name="Normal 2 4" xfId="6907"/>
    <cellStyle name="Normal 2 4 10" xfId="6908"/>
    <cellStyle name="Normal 2 4 10 2" xfId="6909"/>
    <cellStyle name="Normal 2 4 11" xfId="6910"/>
    <cellStyle name="Normal 2 4 11 2" xfId="6911"/>
    <cellStyle name="Normal 2 4 12" xfId="6912"/>
    <cellStyle name="Normal 2 4 12 2" xfId="6913"/>
    <cellStyle name="Normal 2 4 2" xfId="6914"/>
    <cellStyle name="Normal 2 4 3" xfId="6915"/>
    <cellStyle name="Normal 2 4 4" xfId="6916"/>
    <cellStyle name="Normal 2 4 5" xfId="6917"/>
    <cellStyle name="Normal 2 4 6" xfId="6918"/>
    <cellStyle name="Normal 2 4 7" xfId="6919"/>
    <cellStyle name="Normal 2 4 7 2" xfId="6920"/>
    <cellStyle name="Normal 2 4 8" xfId="6921"/>
    <cellStyle name="Normal 2 4 8 2" xfId="6922"/>
    <cellStyle name="Normal 2 4 9" xfId="6923"/>
    <cellStyle name="Normal 2 4 9 2" xfId="6924"/>
    <cellStyle name="Normal 2 4_(19) Loan Feb-11(Feb-11 figures)" xfId="6925"/>
    <cellStyle name="Normal 2 43" xfId="6926"/>
    <cellStyle name="Normal 2 5" xfId="6927"/>
    <cellStyle name="Normal 2 5 2" xfId="6928"/>
    <cellStyle name="Normal 2 5 3" xfId="6929"/>
    <cellStyle name="Normal 2 5 4" xfId="6930"/>
    <cellStyle name="Normal 2 5 5" xfId="6931"/>
    <cellStyle name="Normal 2 5 6" xfId="6932"/>
    <cellStyle name="Normal 2 5_(19) Loan Feb-11(Feb-11 figures)" xfId="6933"/>
    <cellStyle name="Normal 2 6" xfId="6934"/>
    <cellStyle name="Normal 2 6 2" xfId="6935"/>
    <cellStyle name="Normal 2 6 3" xfId="6936"/>
    <cellStyle name="Normal 2 6_(19) Loan Feb-11(Feb-11 figures)" xfId="6937"/>
    <cellStyle name="Normal 2 7" xfId="6938"/>
    <cellStyle name="Normal 2 7 2" xfId="6939"/>
    <cellStyle name="Normal 2 7 3" xfId="6940"/>
    <cellStyle name="Normal 2 7_(19) Loan Feb-11(Feb-11 figures)" xfId="6941"/>
    <cellStyle name="Normal 2 8" xfId="6942"/>
    <cellStyle name="Normal 2 8 2" xfId="6943"/>
    <cellStyle name="Normal 2 8 3" xfId="6944"/>
    <cellStyle name="Normal 2 9" xfId="6945"/>
    <cellStyle name="Normal 2 9 2" xfId="6946"/>
    <cellStyle name="Normal 2 9 3" xfId="6947"/>
    <cellStyle name="Normal 2_(19) Loan Feb-11(Feb-11 figures)" xfId="6948"/>
    <cellStyle name="Normal 20" xfId="6949"/>
    <cellStyle name="Normal 21" xfId="6950"/>
    <cellStyle name="Normal 22" xfId="6951"/>
    <cellStyle name="Normal 23" xfId="6952"/>
    <cellStyle name="Normal 23 2" xfId="6953"/>
    <cellStyle name="Normal 23 2 2" xfId="6954"/>
    <cellStyle name="Normal 23 2 2 2" xfId="6955"/>
    <cellStyle name="Normal 23 2 3" xfId="6956"/>
    <cellStyle name="Normal 23 3" xfId="6957"/>
    <cellStyle name="Normal 23 4" xfId="6958"/>
    <cellStyle name="Normal 23 4 2" xfId="6959"/>
    <cellStyle name="Normal 23 5" xfId="6960"/>
    <cellStyle name="Normal 24" xfId="6961"/>
    <cellStyle name="Normal 24 2" xfId="6962"/>
    <cellStyle name="Normal 24 2 2" xfId="6963"/>
    <cellStyle name="Normal 24 2 2 2" xfId="6964"/>
    <cellStyle name="Normal 24 2 3" xfId="6965"/>
    <cellStyle name="Normal 24 2 3 2" xfId="6966"/>
    <cellStyle name="Normal 24 2 4" xfId="6967"/>
    <cellStyle name="Normal 24 2 4 2" xfId="6968"/>
    <cellStyle name="Normal 24 2 5" xfId="6969"/>
    <cellStyle name="Normal 24 2 5 2" xfId="6970"/>
    <cellStyle name="Normal 24 2 6" xfId="6971"/>
    <cellStyle name="Normal 24 2 6 2" xfId="6972"/>
    <cellStyle name="Normal 24 3" xfId="6973"/>
    <cellStyle name="Normal 24 3 2" xfId="6974"/>
    <cellStyle name="Normal 24 4" xfId="6975"/>
    <cellStyle name="Normal 24 5" xfId="6976"/>
    <cellStyle name="Normal 24 6" xfId="6977"/>
    <cellStyle name="Normal 24 7" xfId="6978"/>
    <cellStyle name="Normal 25" xfId="6979"/>
    <cellStyle name="Normal 26" xfId="6980"/>
    <cellStyle name="Normal 27" xfId="6981"/>
    <cellStyle name="Normal 28" xfId="6982"/>
    <cellStyle name="Normal 29" xfId="6983"/>
    <cellStyle name="Normal 3" xfId="6984"/>
    <cellStyle name="Normal 3 10" xfId="6985"/>
    <cellStyle name="Normal 3 10 2" xfId="6986"/>
    <cellStyle name="Normal 3 11" xfId="6987"/>
    <cellStyle name="Normal 3 12" xfId="6988"/>
    <cellStyle name="Normal 3 12 2" xfId="6989"/>
    <cellStyle name="Normal 3 13" xfId="6990"/>
    <cellStyle name="Normal 3 2" xfId="6991"/>
    <cellStyle name="Normal 3 2 2" xfId="6992"/>
    <cellStyle name="Normal 3 2 3" xfId="6993"/>
    <cellStyle name="Normal 3 2 4" xfId="6994"/>
    <cellStyle name="Normal 3 2 5" xfId="6995"/>
    <cellStyle name="Normal 3 2 6" xfId="6996"/>
    <cellStyle name="Normal 3 2 7" xfId="6997"/>
    <cellStyle name="Normal 3 2 8" xfId="6998"/>
    <cellStyle name="Normal 3 3" xfId="6999"/>
    <cellStyle name="Normal 3 3 2" xfId="7000"/>
    <cellStyle name="Normal 3 4" xfId="7001"/>
    <cellStyle name="Normal 3 4 2" xfId="7002"/>
    <cellStyle name="Normal 3 5" xfId="7003"/>
    <cellStyle name="Normal 3 5 2" xfId="7004"/>
    <cellStyle name="Normal 3 6" xfId="7005"/>
    <cellStyle name="Normal 3 6 2" xfId="7006"/>
    <cellStyle name="Normal 3 7" xfId="7007"/>
    <cellStyle name="Normal 3 7 2" xfId="7008"/>
    <cellStyle name="Normal 3 8" xfId="7009"/>
    <cellStyle name="Normal 3 8 2" xfId="7010"/>
    <cellStyle name="Normal 3 9" xfId="7011"/>
    <cellStyle name="Normal 3 9 2" xfId="7012"/>
    <cellStyle name="Normal 3_20SDM" xfId="7013"/>
    <cellStyle name="Normal 30" xfId="7014"/>
    <cellStyle name="Normal 30 2" xfId="7015"/>
    <cellStyle name="Normal 31" xfId="7016"/>
    <cellStyle name="Normal 32" xfId="7017"/>
    <cellStyle name="Normal 32 2" xfId="7018"/>
    <cellStyle name="Normal 33" xfId="7019"/>
    <cellStyle name="Normal 33 2" xfId="7020"/>
    <cellStyle name="Normal 33 2 2" xfId="7021"/>
    <cellStyle name="Normal 33 2 2 2" xfId="7022"/>
    <cellStyle name="Normal 33 2 3" xfId="7023"/>
    <cellStyle name="Normal 34" xfId="7024"/>
    <cellStyle name="Normal 34 2" xfId="7025"/>
    <cellStyle name="Normal 34 2 2" xfId="7026"/>
    <cellStyle name="Normal 34 3" xfId="7027"/>
    <cellStyle name="Normal 35" xfId="7028"/>
    <cellStyle name="Normal 35 2" xfId="7029"/>
    <cellStyle name="Normal 36" xfId="7030"/>
    <cellStyle name="Normal 36 2" xfId="7031"/>
    <cellStyle name="Normal 37" xfId="7032"/>
    <cellStyle name="Normal 37 2" xfId="7033"/>
    <cellStyle name="Normal 38" xfId="7034"/>
    <cellStyle name="Normal 39" xfId="7035"/>
    <cellStyle name="Normal 4" xfId="7036"/>
    <cellStyle name="Normal 4 10" xfId="7037"/>
    <cellStyle name="Normal 4 10 2" xfId="7038"/>
    <cellStyle name="Normal 4 10 2 2" xfId="7039"/>
    <cellStyle name="Normal 4 10 3" xfId="7040"/>
    <cellStyle name="Normal 4 11" xfId="7041"/>
    <cellStyle name="Normal 4 12" xfId="7042"/>
    <cellStyle name="Normal 4 12 2" xfId="7043"/>
    <cellStyle name="Normal 4 13" xfId="7044"/>
    <cellStyle name="Normal 4 14" xfId="7045"/>
    <cellStyle name="Normal 4 15" xfId="7046"/>
    <cellStyle name="Normal 4 2" xfId="7047"/>
    <cellStyle name="Normal 4 2 2" xfId="7048"/>
    <cellStyle name="Normal 4 2 2 2" xfId="7049"/>
    <cellStyle name="Normal 4 2 2 3" xfId="7050"/>
    <cellStyle name="Normal 4 2 3" xfId="7051"/>
    <cellStyle name="Normal 4 2 4" xfId="7052"/>
    <cellStyle name="Normal 4 2 5" xfId="7053"/>
    <cellStyle name="Normal 4 2 6" xfId="7054"/>
    <cellStyle name="Normal 4 2 7" xfId="7055"/>
    <cellStyle name="Normal 4 3" xfId="7056"/>
    <cellStyle name="Normal 4 3 2" xfId="7057"/>
    <cellStyle name="Normal 4 3 3" xfId="7058"/>
    <cellStyle name="Normal 4 3 4" xfId="7059"/>
    <cellStyle name="Normal 4 3 5" xfId="7060"/>
    <cellStyle name="Normal 4 3 6" xfId="7061"/>
    <cellStyle name="Normal 4 3 7" xfId="7062"/>
    <cellStyle name="Normal 4 3 7 2" xfId="7063"/>
    <cellStyle name="Normal 4 4" xfId="7064"/>
    <cellStyle name="Normal 4 4 2" xfId="7065"/>
    <cellStyle name="Normal 4 4 3" xfId="7066"/>
    <cellStyle name="Normal 4 4 4" xfId="7067"/>
    <cellStyle name="Normal 4 4 5" xfId="7068"/>
    <cellStyle name="Normal 4 4 6" xfId="7069"/>
    <cellStyle name="Normal 4 4 7" xfId="7070"/>
    <cellStyle name="Normal 4 5" xfId="7071"/>
    <cellStyle name="Normal 4 5 2" xfId="7072"/>
    <cellStyle name="Normal 4 5 3" xfId="7073"/>
    <cellStyle name="Normal 4 5 4" xfId="7074"/>
    <cellStyle name="Normal 4 5 5" xfId="7075"/>
    <cellStyle name="Normal 4 5 6" xfId="7076"/>
    <cellStyle name="Normal 4 6" xfId="7077"/>
    <cellStyle name="Normal 4 7" xfId="7078"/>
    <cellStyle name="Normal 4 8" xfId="7079"/>
    <cellStyle name="Normal 4 9" xfId="7080"/>
    <cellStyle name="Normal 40" xfId="7081"/>
    <cellStyle name="Normal 40 2" xfId="7082"/>
    <cellStyle name="Normal 41" xfId="7083"/>
    <cellStyle name="Normal 41 2" xfId="7084"/>
    <cellStyle name="Normal 42" xfId="7085"/>
    <cellStyle name="Normal 42 2" xfId="7086"/>
    <cellStyle name="Normal 43" xfId="7087"/>
    <cellStyle name="Normal 43 2" xfId="7088"/>
    <cellStyle name="Normal 44" xfId="7089"/>
    <cellStyle name="Normal 45" xfId="7090"/>
    <cellStyle name="Normal 46" xfId="7091"/>
    <cellStyle name="Normal 47" xfId="7092"/>
    <cellStyle name="Normal 48" xfId="7093"/>
    <cellStyle name="Normal 49" xfId="7094"/>
    <cellStyle name="Normal 5" xfId="7095"/>
    <cellStyle name="Normal 5 10" xfId="7096"/>
    <cellStyle name="Normal 5 11" xfId="7097"/>
    <cellStyle name="Normal 5 12" xfId="7098"/>
    <cellStyle name="Normal 5 13" xfId="7099"/>
    <cellStyle name="Normal 5 14" xfId="7100"/>
    <cellStyle name="Normal 5 15" xfId="7101"/>
    <cellStyle name="Normal 5 16" xfId="7102"/>
    <cellStyle name="Normal 5 17" xfId="7103"/>
    <cellStyle name="Normal 5 18" xfId="7104"/>
    <cellStyle name="Normal 5 2" xfId="7105"/>
    <cellStyle name="Normal 5 2 2" xfId="7106"/>
    <cellStyle name="Normal 5 2 3" xfId="7107"/>
    <cellStyle name="Normal 5 2 4" xfId="7108"/>
    <cellStyle name="Normal 5 2 5" xfId="7109"/>
    <cellStyle name="Normal 5 2 6" xfId="7110"/>
    <cellStyle name="Normal 5 2 7" xfId="7111"/>
    <cellStyle name="Normal 5 3" xfId="7112"/>
    <cellStyle name="Normal 5 3 2" xfId="7113"/>
    <cellStyle name="Normal 5 3 3" xfId="7898"/>
    <cellStyle name="Normal 5 4" xfId="7114"/>
    <cellStyle name="Normal 5 5" xfId="7115"/>
    <cellStyle name="Normal 5 6" xfId="7116"/>
    <cellStyle name="Normal 5 7" xfId="7117"/>
    <cellStyle name="Normal 5 8" xfId="7118"/>
    <cellStyle name="Normal 5 9" xfId="7119"/>
    <cellStyle name="Normal 50" xfId="7120"/>
    <cellStyle name="Normal 51" xfId="7121"/>
    <cellStyle name="Normal 52" xfId="7122"/>
    <cellStyle name="Normal 53" xfId="7123"/>
    <cellStyle name="Normal 53 2" xfId="7124"/>
    <cellStyle name="Normal 54" xfId="7125"/>
    <cellStyle name="Normal 54 2" xfId="7126"/>
    <cellStyle name="Normal 54 2 2" xfId="7127"/>
    <cellStyle name="Normal 54 3" xfId="7128"/>
    <cellStyle name="Normal 55" xfId="7129"/>
    <cellStyle name="Normal 55 2" xfId="7130"/>
    <cellStyle name="Normal 55 2 2" xfId="7131"/>
    <cellStyle name="Normal 55 3" xfId="7132"/>
    <cellStyle name="Normal 56" xfId="7133"/>
    <cellStyle name="Normal 56 2" xfId="7134"/>
    <cellStyle name="Normal 56 2 2" xfId="7135"/>
    <cellStyle name="Normal 56 3" xfId="7136"/>
    <cellStyle name="Normal 57" xfId="7137"/>
    <cellStyle name="Normal 57 2" xfId="7138"/>
    <cellStyle name="Normal 57 2 2" xfId="7139"/>
    <cellStyle name="Normal 57 3" xfId="7140"/>
    <cellStyle name="Normal 58" xfId="7141"/>
    <cellStyle name="Normal 58 2" xfId="7142"/>
    <cellStyle name="Normal 58 2 2" xfId="7143"/>
    <cellStyle name="Normal 58 3" xfId="7144"/>
    <cellStyle name="Normal 59" xfId="7145"/>
    <cellStyle name="Normal 59 2" xfId="7146"/>
    <cellStyle name="Normal 59 2 2" xfId="7147"/>
    <cellStyle name="Normal 59 3" xfId="7148"/>
    <cellStyle name="Normal 6" xfId="7149"/>
    <cellStyle name="Normal 6 2" xfId="7150"/>
    <cellStyle name="Normal 6 2 2" xfId="7151"/>
    <cellStyle name="Normal 6 3" xfId="7152"/>
    <cellStyle name="Normal 6 3 2" xfId="7899"/>
    <cellStyle name="Normal 6 3 3" xfId="7900"/>
    <cellStyle name="Normal 6 4" xfId="7153"/>
    <cellStyle name="Normal 6 5" xfId="7154"/>
    <cellStyle name="Normal 6 6" xfId="7155"/>
    <cellStyle name="Normal 6 7" xfId="7156"/>
    <cellStyle name="Normal 6 8" xfId="7157"/>
    <cellStyle name="Normal 6 9" xfId="7158"/>
    <cellStyle name="Normal 60" xfId="7159"/>
    <cellStyle name="Normal 60 2" xfId="7160"/>
    <cellStyle name="Normal 60 2 2" xfId="7161"/>
    <cellStyle name="Normal 60 3" xfId="7162"/>
    <cellStyle name="Normal 61" xfId="7163"/>
    <cellStyle name="Normal 61 2" xfId="7164"/>
    <cellStyle name="Normal 61 2 2" xfId="7165"/>
    <cellStyle name="Normal 61 3" xfId="7166"/>
    <cellStyle name="Normal 62" xfId="7167"/>
    <cellStyle name="Normal 62 2" xfId="7168"/>
    <cellStyle name="Normal 62 2 2" xfId="7169"/>
    <cellStyle name="Normal 62 3" xfId="7170"/>
    <cellStyle name="Normal 63" xfId="7171"/>
    <cellStyle name="Normal 63 2" xfId="7172"/>
    <cellStyle name="Normal 63 2 2" xfId="7173"/>
    <cellStyle name="Normal 63 3" xfId="7174"/>
    <cellStyle name="Normal 64" xfId="7175"/>
    <cellStyle name="Normal 64 2" xfId="7176"/>
    <cellStyle name="Normal 64 2 2" xfId="7177"/>
    <cellStyle name="Normal 64 3" xfId="7178"/>
    <cellStyle name="Normal 65" xfId="7179"/>
    <cellStyle name="Normal 66" xfId="7180"/>
    <cellStyle name="Normal 67" xfId="7181"/>
    <cellStyle name="Normal 67 2" xfId="7182"/>
    <cellStyle name="Normal 68" xfId="7183"/>
    <cellStyle name="Normal 68 2" xfId="7184"/>
    <cellStyle name="Normal 69" xfId="7185"/>
    <cellStyle name="Normal 69 2" xfId="7186"/>
    <cellStyle name="Normal 7" xfId="7187"/>
    <cellStyle name="Normal 7 10" xfId="7188"/>
    <cellStyle name="Normal 7 11" xfId="7189"/>
    <cellStyle name="Normal 7 11 2" xfId="7190"/>
    <cellStyle name="Normal 7 12" xfId="7191"/>
    <cellStyle name="Normal 7 2" xfId="7192"/>
    <cellStyle name="Normal 7 2 2" xfId="7193"/>
    <cellStyle name="Normal 7 2 2 2" xfId="7194"/>
    <cellStyle name="Normal 7 3" xfId="7195"/>
    <cellStyle name="Normal 7 3 2" xfId="7196"/>
    <cellStyle name="Normal 7 4" xfId="7197"/>
    <cellStyle name="Normal 7 5" xfId="7198"/>
    <cellStyle name="Normal 7 6" xfId="7199"/>
    <cellStyle name="Normal 7 7" xfId="7200"/>
    <cellStyle name="Normal 7 8" xfId="7201"/>
    <cellStyle name="Normal 7 9" xfId="7202"/>
    <cellStyle name="Normal 70" xfId="7203"/>
    <cellStyle name="Normal 70 2" xfId="7204"/>
    <cellStyle name="Normal 71" xfId="7205"/>
    <cellStyle name="Normal 71 2" xfId="7206"/>
    <cellStyle name="Normal 72" xfId="7207"/>
    <cellStyle name="Normal 72 2" xfId="7208"/>
    <cellStyle name="Normal 73" xfId="7209"/>
    <cellStyle name="Normal 73 2" xfId="7210"/>
    <cellStyle name="Normal 74" xfId="7211"/>
    <cellStyle name="Normal 74 2" xfId="7212"/>
    <cellStyle name="Normal 75" xfId="7213"/>
    <cellStyle name="Normal 75 2" xfId="7214"/>
    <cellStyle name="Normal 76" xfId="7215"/>
    <cellStyle name="Normal 76 2" xfId="7216"/>
    <cellStyle name="Normal 77" xfId="7217"/>
    <cellStyle name="Normal 77 2" xfId="7218"/>
    <cellStyle name="Normal 78" xfId="7219"/>
    <cellStyle name="Normal 78 2" xfId="7220"/>
    <cellStyle name="Normal 79" xfId="7221"/>
    <cellStyle name="Normal 79 2" xfId="7222"/>
    <cellStyle name="Normal 8" xfId="7223"/>
    <cellStyle name="Normal 8 10" xfId="7224"/>
    <cellStyle name="Normal 8 2" xfId="7225"/>
    <cellStyle name="Normal 8 2 2" xfId="7226"/>
    <cellStyle name="Normal 8 3" xfId="7227"/>
    <cellStyle name="Normal 8 4" xfId="7228"/>
    <cellStyle name="Normal 8 5" xfId="7229"/>
    <cellStyle name="Normal 8 6" xfId="7230"/>
    <cellStyle name="Normal 8 7" xfId="7231"/>
    <cellStyle name="Normal 8 8" xfId="7232"/>
    <cellStyle name="Normal 8 9" xfId="7233"/>
    <cellStyle name="Normal 8 9 2" xfId="7234"/>
    <cellStyle name="Normal 8 9 2 2" xfId="7235"/>
    <cellStyle name="Normal 8 9 3" xfId="7236"/>
    <cellStyle name="Normal 8_(19) Loan Feb-11(Feb-11 figures)" xfId="7237"/>
    <cellStyle name="Normal 80" xfId="7238"/>
    <cellStyle name="Normal 80 2" xfId="7239"/>
    <cellStyle name="Normal 81" xfId="7240"/>
    <cellStyle name="Normal 81 2" xfId="7241"/>
    <cellStyle name="Normal 82" xfId="7242"/>
    <cellStyle name="Normal 82 2" xfId="7243"/>
    <cellStyle name="Normal 83" xfId="7244"/>
    <cellStyle name="Normal 83 2" xfId="7245"/>
    <cellStyle name="Normal 83 2 2" xfId="7246"/>
    <cellStyle name="Normal 83 3" xfId="7247"/>
    <cellStyle name="Normal 84" xfId="7248"/>
    <cellStyle name="Normal 84 2" xfId="7249"/>
    <cellStyle name="Normal 85" xfId="7250"/>
    <cellStyle name="Normal 85 2" xfId="7251"/>
    <cellStyle name="Normal 86" xfId="7252"/>
    <cellStyle name="Normal 86 2" xfId="7253"/>
    <cellStyle name="Normal 87" xfId="7254"/>
    <cellStyle name="Normal 87 2" xfId="7255"/>
    <cellStyle name="Normal 88" xfId="7256"/>
    <cellStyle name="Normal 88 2" xfId="7257"/>
    <cellStyle name="Normal 89" xfId="7258"/>
    <cellStyle name="Normal 89 2" xfId="7259"/>
    <cellStyle name="Normal 9" xfId="7260"/>
    <cellStyle name="Normal 9 10" xfId="7261"/>
    <cellStyle name="Normal 9 10 2" xfId="7262"/>
    <cellStyle name="Normal 9 11" xfId="7263"/>
    <cellStyle name="Normal 9 2" xfId="7264"/>
    <cellStyle name="Normal 9 3" xfId="7265"/>
    <cellStyle name="Normal 9 4" xfId="7266"/>
    <cellStyle name="Normal 9 5" xfId="7267"/>
    <cellStyle name="Normal 9 6" xfId="7268"/>
    <cellStyle name="Normal 9 7" xfId="7269"/>
    <cellStyle name="Normal 9 8" xfId="7270"/>
    <cellStyle name="Normal 9 9" xfId="7271"/>
    <cellStyle name="Normal 9_(19) Loan Feb-11(Feb-11 figures)" xfId="7272"/>
    <cellStyle name="Normal 90" xfId="7273"/>
    <cellStyle name="Normal 90 2" xfId="7274"/>
    <cellStyle name="Normal 91" xfId="7275"/>
    <cellStyle name="Normal 92" xfId="7276"/>
    <cellStyle name="Normal 93" xfId="7277"/>
    <cellStyle name="Normal 94" xfId="7278"/>
    <cellStyle name="Normal 95" xfId="7279"/>
    <cellStyle name="Normal 96" xfId="7280"/>
    <cellStyle name="Normal 97" xfId="7281"/>
    <cellStyle name="Normal 98" xfId="7282"/>
    <cellStyle name="Normal 99" xfId="7283"/>
    <cellStyle name="Normal_ODCS" xfId="7885"/>
    <cellStyle name="Normal_Quarterly BOP 2001" xfId="7897"/>
    <cellStyle name="Normal_RHABMCPC010731" xfId="7882"/>
    <cellStyle name="Normal_Sheet1" xfId="7890"/>
    <cellStyle name="Normal_Sheet1 2" xfId="7891"/>
    <cellStyle name="Normal_TAB2.11" xfId="7876"/>
    <cellStyle name="Normal_Tab2.3" xfId="7902"/>
    <cellStyle name="Normal_Table 1 2" xfId="7895"/>
    <cellStyle name="Normal_Table 1 2 2" xfId="7909"/>
    <cellStyle name="Normal_Table 20-21" xfId="7877"/>
    <cellStyle name="Normal_Table 25f" xfId="7884"/>
    <cellStyle name="Normal_Table 25f 2" xfId="7886"/>
    <cellStyle name="Normal_Table 30" xfId="7878"/>
    <cellStyle name="Normale_DB LOTTI CM Torino (PPMM)" xfId="7284"/>
    <cellStyle name="Note 10 10" xfId="7285"/>
    <cellStyle name="Note 10 2" xfId="7286"/>
    <cellStyle name="Note 10 3" xfId="7287"/>
    <cellStyle name="Note 10 4" xfId="7288"/>
    <cellStyle name="Note 10 5" xfId="7289"/>
    <cellStyle name="Note 10 6" xfId="7290"/>
    <cellStyle name="Note 10 7" xfId="7291"/>
    <cellStyle name="Note 10 8" xfId="7292"/>
    <cellStyle name="Note 10 9" xfId="7293"/>
    <cellStyle name="Note 11 10" xfId="7294"/>
    <cellStyle name="Note 11 2" xfId="7295"/>
    <cellStyle name="Note 11 3" xfId="7296"/>
    <cellStyle name="Note 11 4" xfId="7297"/>
    <cellStyle name="Note 11 5" xfId="7298"/>
    <cellStyle name="Note 11 6" xfId="7299"/>
    <cellStyle name="Note 11 7" xfId="7300"/>
    <cellStyle name="Note 11 8" xfId="7301"/>
    <cellStyle name="Note 11 9" xfId="7302"/>
    <cellStyle name="Note 12 10" xfId="7303"/>
    <cellStyle name="Note 12 2" xfId="7304"/>
    <cellStyle name="Note 12 3" xfId="7305"/>
    <cellStyle name="Note 12 4" xfId="7306"/>
    <cellStyle name="Note 12 5" xfId="7307"/>
    <cellStyle name="Note 12 6" xfId="7308"/>
    <cellStyle name="Note 12 7" xfId="7309"/>
    <cellStyle name="Note 12 8" xfId="7310"/>
    <cellStyle name="Note 12 9" xfId="7311"/>
    <cellStyle name="Note 13 10" xfId="7312"/>
    <cellStyle name="Note 13 2" xfId="7313"/>
    <cellStyle name="Note 13 3" xfId="7314"/>
    <cellStyle name="Note 13 4" xfId="7315"/>
    <cellStyle name="Note 13 5" xfId="7316"/>
    <cellStyle name="Note 13 6" xfId="7317"/>
    <cellStyle name="Note 13 7" xfId="7318"/>
    <cellStyle name="Note 13 8" xfId="7319"/>
    <cellStyle name="Note 13 9" xfId="7320"/>
    <cellStyle name="Note 14 10" xfId="7321"/>
    <cellStyle name="Note 14 2" xfId="7322"/>
    <cellStyle name="Note 14 3" xfId="7323"/>
    <cellStyle name="Note 14 4" xfId="7324"/>
    <cellStyle name="Note 14 5" xfId="7325"/>
    <cellStyle name="Note 14 6" xfId="7326"/>
    <cellStyle name="Note 14 7" xfId="7327"/>
    <cellStyle name="Note 14 8" xfId="7328"/>
    <cellStyle name="Note 14 9" xfId="7329"/>
    <cellStyle name="Note 15 10" xfId="7330"/>
    <cellStyle name="Note 15 2" xfId="7331"/>
    <cellStyle name="Note 15 3" xfId="7332"/>
    <cellStyle name="Note 15 4" xfId="7333"/>
    <cellStyle name="Note 15 5" xfId="7334"/>
    <cellStyle name="Note 15 6" xfId="7335"/>
    <cellStyle name="Note 15 7" xfId="7336"/>
    <cellStyle name="Note 15 8" xfId="7337"/>
    <cellStyle name="Note 15 9" xfId="7338"/>
    <cellStyle name="Note 16 2" xfId="7339"/>
    <cellStyle name="Note 16 3" xfId="7340"/>
    <cellStyle name="Note 17 2" xfId="7341"/>
    <cellStyle name="Note 17 3" xfId="7342"/>
    <cellStyle name="Note 18 2" xfId="7343"/>
    <cellStyle name="Note 18 3" xfId="7344"/>
    <cellStyle name="Note 19 2" xfId="7345"/>
    <cellStyle name="Note 19 3" xfId="7346"/>
    <cellStyle name="Note 2" xfId="7347"/>
    <cellStyle name="Note 2 10" xfId="7348"/>
    <cellStyle name="Note 2 11" xfId="7349"/>
    <cellStyle name="Note 2 12" xfId="7350"/>
    <cellStyle name="Note 2 13" xfId="7351"/>
    <cellStyle name="Note 2 2" xfId="7352"/>
    <cellStyle name="Note 2 2 2" xfId="7353"/>
    <cellStyle name="Note 2 2 3" xfId="7354"/>
    <cellStyle name="Note 2 2 3 2" xfId="7355"/>
    <cellStyle name="Note 2 2 4" xfId="7356"/>
    <cellStyle name="Note 2 3" xfId="7357"/>
    <cellStyle name="Note 2 3 2" xfId="7358"/>
    <cellStyle name="Note 2 3 3" xfId="7359"/>
    <cellStyle name="Note 2 3 3 2" xfId="7360"/>
    <cellStyle name="Note 2 3 4" xfId="7361"/>
    <cellStyle name="Note 2 4" xfId="7362"/>
    <cellStyle name="Note 2 5" xfId="7363"/>
    <cellStyle name="Note 2 6" xfId="7364"/>
    <cellStyle name="Note 2 7" xfId="7365"/>
    <cellStyle name="Note 2 8" xfId="7366"/>
    <cellStyle name="Note 2 9" xfId="7367"/>
    <cellStyle name="Note 3" xfId="7368"/>
    <cellStyle name="Note 3 10" xfId="7369"/>
    <cellStyle name="Note 3 2" xfId="7370"/>
    <cellStyle name="Note 3 2 2" xfId="7371"/>
    <cellStyle name="Note 3 3" xfId="7372"/>
    <cellStyle name="Note 3 4" xfId="7373"/>
    <cellStyle name="Note 3 5" xfId="7374"/>
    <cellStyle name="Note 3 6" xfId="7375"/>
    <cellStyle name="Note 3 7" xfId="7376"/>
    <cellStyle name="Note 3 8" xfId="7377"/>
    <cellStyle name="Note 3 9" xfId="7378"/>
    <cellStyle name="Note 4" xfId="7379"/>
    <cellStyle name="Note 4 10" xfId="7380"/>
    <cellStyle name="Note 4 2" xfId="7381"/>
    <cellStyle name="Note 4 3" xfId="7382"/>
    <cellStyle name="Note 4 4" xfId="7383"/>
    <cellStyle name="Note 4 5" xfId="7384"/>
    <cellStyle name="Note 4 6" xfId="7385"/>
    <cellStyle name="Note 4 7" xfId="7386"/>
    <cellStyle name="Note 4 8" xfId="7387"/>
    <cellStyle name="Note 4 9" xfId="7388"/>
    <cellStyle name="Note 5" xfId="7389"/>
    <cellStyle name="Note 5 10" xfId="7390"/>
    <cellStyle name="Note 5 2" xfId="7391"/>
    <cellStyle name="Note 5 2 2" xfId="7392"/>
    <cellStyle name="Note 5 3" xfId="7393"/>
    <cellStyle name="Note 5 4" xfId="7394"/>
    <cellStyle name="Note 5 5" xfId="7395"/>
    <cellStyle name="Note 5 6" xfId="7396"/>
    <cellStyle name="Note 5 7" xfId="7397"/>
    <cellStyle name="Note 5 8" xfId="7398"/>
    <cellStyle name="Note 5 9" xfId="7399"/>
    <cellStyle name="Note 6" xfId="7400"/>
    <cellStyle name="Note 6 10" xfId="7401"/>
    <cellStyle name="Note 6 2" xfId="7402"/>
    <cellStyle name="Note 6 3" xfId="7403"/>
    <cellStyle name="Note 6 4" xfId="7404"/>
    <cellStyle name="Note 6 5" xfId="7405"/>
    <cellStyle name="Note 6 6" xfId="7406"/>
    <cellStyle name="Note 6 7" xfId="7407"/>
    <cellStyle name="Note 6 8" xfId="7408"/>
    <cellStyle name="Note 6 9" xfId="7409"/>
    <cellStyle name="Note 7 10" xfId="7410"/>
    <cellStyle name="Note 7 2" xfId="7411"/>
    <cellStyle name="Note 7 3" xfId="7412"/>
    <cellStyle name="Note 7 4" xfId="7413"/>
    <cellStyle name="Note 7 5" xfId="7414"/>
    <cellStyle name="Note 7 6" xfId="7415"/>
    <cellStyle name="Note 7 7" xfId="7416"/>
    <cellStyle name="Note 7 8" xfId="7417"/>
    <cellStyle name="Note 7 9" xfId="7418"/>
    <cellStyle name="Note 8 10" xfId="7419"/>
    <cellStyle name="Note 8 2" xfId="7420"/>
    <cellStyle name="Note 8 3" xfId="7421"/>
    <cellStyle name="Note 8 4" xfId="7422"/>
    <cellStyle name="Note 8 5" xfId="7423"/>
    <cellStyle name="Note 8 6" xfId="7424"/>
    <cellStyle name="Note 8 7" xfId="7425"/>
    <cellStyle name="Note 8 8" xfId="7426"/>
    <cellStyle name="Note 8 9" xfId="7427"/>
    <cellStyle name="Note 9 10" xfId="7428"/>
    <cellStyle name="Note 9 2" xfId="7429"/>
    <cellStyle name="Note 9 3" xfId="7430"/>
    <cellStyle name="Note 9 4" xfId="7431"/>
    <cellStyle name="Note 9 5" xfId="7432"/>
    <cellStyle name="Note 9 6" xfId="7433"/>
    <cellStyle name="Note 9 7" xfId="7434"/>
    <cellStyle name="Note 9 8" xfId="7435"/>
    <cellStyle name="Note 9 9" xfId="7436"/>
    <cellStyle name="Notes" xfId="7437"/>
    <cellStyle name="NumberFormat" xfId="7438"/>
    <cellStyle name="NumberFormat 2" xfId="7439"/>
    <cellStyle name="Numbers" xfId="7440"/>
    <cellStyle name="Numbers - Bold" xfId="7441"/>
    <cellStyle name="Numbers_increm pf" xfId="7442"/>
    <cellStyle name="Œ…‹æØ‚è [0.00]_Industry" xfId="7443"/>
    <cellStyle name="Œ…‹æØ‚è_Industry" xfId="7444"/>
    <cellStyle name="OfWhich" xfId="7445"/>
    <cellStyle name="Option" xfId="7446"/>
    <cellStyle name="optionalExposure" xfId="7447"/>
    <cellStyle name="Output 2" xfId="7448"/>
    <cellStyle name="Output 3" xfId="7449"/>
    <cellStyle name="Output 5" xfId="7450"/>
    <cellStyle name="Output Amounts" xfId="7451"/>
    <cellStyle name="Output Column Headings" xfId="7452"/>
    <cellStyle name="Output Column Headings 2" xfId="7453"/>
    <cellStyle name="Output Line Items" xfId="7454"/>
    <cellStyle name="Output Line Items 2" xfId="7455"/>
    <cellStyle name="Output Report Heading" xfId="7456"/>
    <cellStyle name="Output Report Heading 2" xfId="7457"/>
    <cellStyle name="Output Report Title" xfId="7458"/>
    <cellStyle name="Output Report Title 2" xfId="7459"/>
    <cellStyle name="Page Heading Large" xfId="7460"/>
    <cellStyle name="Page Heading Small" xfId="7461"/>
    <cellStyle name="Page Number" xfId="7462"/>
    <cellStyle name="pager" xfId="7463"/>
    <cellStyle name="Percent (0.00)" xfId="7464"/>
    <cellStyle name="Percent [0%]" xfId="7465"/>
    <cellStyle name="Percent [0.00%]" xfId="7466"/>
    <cellStyle name="Percent [0]" xfId="7467"/>
    <cellStyle name="Percent [00]" xfId="7468"/>
    <cellStyle name="Percent [2]" xfId="7469"/>
    <cellStyle name="Percent 10" xfId="7470"/>
    <cellStyle name="Percent 10 2" xfId="7471"/>
    <cellStyle name="Percent 11" xfId="7472"/>
    <cellStyle name="Percent 11 2" xfId="7473"/>
    <cellStyle name="Percent 12" xfId="7474"/>
    <cellStyle name="Percent 12 2" xfId="7475"/>
    <cellStyle name="Percent 13" xfId="7476"/>
    <cellStyle name="Percent 13 2" xfId="7477"/>
    <cellStyle name="Percent 14" xfId="7478"/>
    <cellStyle name="Percent 15" xfId="7479"/>
    <cellStyle name="Percent 16" xfId="7480"/>
    <cellStyle name="Percent 17" xfId="7481"/>
    <cellStyle name="Percent 17 2" xfId="7482"/>
    <cellStyle name="Percent 18" xfId="7483"/>
    <cellStyle name="Percent 18 2" xfId="7484"/>
    <cellStyle name="Percent 19" xfId="7485"/>
    <cellStyle name="Percent 19 2" xfId="7486"/>
    <cellStyle name="Percent 2" xfId="7487"/>
    <cellStyle name="Percent 2 2" xfId="7488"/>
    <cellStyle name="Percent 2 3" xfId="7489"/>
    <cellStyle name="Percent 2 3 2" xfId="7490"/>
    <cellStyle name="Percent 2 3 3" xfId="7491"/>
    <cellStyle name="Percent 2 4" xfId="7492"/>
    <cellStyle name="Percent 2 4 2" xfId="7493"/>
    <cellStyle name="Percent 2 5" xfId="7494"/>
    <cellStyle name="Percent 2 5 2" xfId="7495"/>
    <cellStyle name="Percent 20" xfId="7496"/>
    <cellStyle name="Percent 20 2" xfId="7497"/>
    <cellStyle name="Percent 21" xfId="7498"/>
    <cellStyle name="Percent 22" xfId="7499"/>
    <cellStyle name="Percent 23" xfId="7500"/>
    <cellStyle name="Percent 24" xfId="7501"/>
    <cellStyle name="Percent 25" xfId="7502"/>
    <cellStyle name="Percent 26" xfId="7503"/>
    <cellStyle name="Percent 27" xfId="7504"/>
    <cellStyle name="Percent 28" xfId="7505"/>
    <cellStyle name="Percent 29" xfId="7506"/>
    <cellStyle name="Percent 3" xfId="7507"/>
    <cellStyle name="Percent 3 2" xfId="7508"/>
    <cellStyle name="Percent 3 2 2" xfId="7509"/>
    <cellStyle name="Percent 3 3" xfId="7510"/>
    <cellStyle name="Percent 3 4" xfId="7511"/>
    <cellStyle name="Percent 30" xfId="7512"/>
    <cellStyle name="Percent 31" xfId="7513"/>
    <cellStyle name="Percent 32" xfId="7514"/>
    <cellStyle name="Percent 33" xfId="7515"/>
    <cellStyle name="Percent 34" xfId="7880"/>
    <cellStyle name="Percent 4" xfId="7516"/>
    <cellStyle name="Percent 4 2" xfId="7517"/>
    <cellStyle name="Percent 4 2 2" xfId="7518"/>
    <cellStyle name="Percent 4 2 3" xfId="7519"/>
    <cellStyle name="Percent 4 3" xfId="7520"/>
    <cellStyle name="Percent 5" xfId="7521"/>
    <cellStyle name="Percent 5 2" xfId="7522"/>
    <cellStyle name="Percent 5 2 2" xfId="7523"/>
    <cellStyle name="Percent 5 2 3" xfId="7524"/>
    <cellStyle name="Percent 5 3" xfId="7525"/>
    <cellStyle name="Percent 6" xfId="7526"/>
    <cellStyle name="Percent 6 2" xfId="7527"/>
    <cellStyle name="Percent 6 3" xfId="7528"/>
    <cellStyle name="Percent 6 3 2" xfId="7529"/>
    <cellStyle name="Percent 7" xfId="7530"/>
    <cellStyle name="Percent 7 2" xfId="7531"/>
    <cellStyle name="Percent 7 2 2" xfId="7532"/>
    <cellStyle name="Percent 7 2 2 2" xfId="7533"/>
    <cellStyle name="Percent 7 2 3" xfId="7534"/>
    <cellStyle name="Percent 7 2 4" xfId="7535"/>
    <cellStyle name="Percent 7 3" xfId="7536"/>
    <cellStyle name="Percent 7 3 2" xfId="7537"/>
    <cellStyle name="Percent 7 4" xfId="7538"/>
    <cellStyle name="Percent 7 5" xfId="7539"/>
    <cellStyle name="Percent 8" xfId="7540"/>
    <cellStyle name="Percent 8 2" xfId="7541"/>
    <cellStyle name="Percent 8 3" xfId="7542"/>
    <cellStyle name="Percent 8 3 2" xfId="7543"/>
    <cellStyle name="Percent 8 4" xfId="7544"/>
    <cellStyle name="Percent 8 5" xfId="7545"/>
    <cellStyle name="Percent 9" xfId="7546"/>
    <cellStyle name="Percent 9 2" xfId="7547"/>
    <cellStyle name="Percent 9 3" xfId="7548"/>
    <cellStyle name="Percent 9 4" xfId="7549"/>
    <cellStyle name="Percent Hard" xfId="7550"/>
    <cellStyle name="percent2" xfId="7551"/>
    <cellStyle name="percentage" xfId="7552"/>
    <cellStyle name="Percentage 2" xfId="7553"/>
    <cellStyle name="percentage 3" xfId="7554"/>
    <cellStyle name="percentage 4" xfId="7555"/>
    <cellStyle name="percentage_10_IBM_Bank Recon" xfId="7556"/>
    <cellStyle name="Porcentaje" xfId="7557"/>
    <cellStyle name="PrePop Currency (0)" xfId="7558"/>
    <cellStyle name="PrePop Currency (2)" xfId="7559"/>
    <cellStyle name="PrePop Units (0)" xfId="7560"/>
    <cellStyle name="PrePop Units (1)" xfId="7561"/>
    <cellStyle name="PrePop Units (2)" xfId="7562"/>
    <cellStyle name="Price" xfId="7563"/>
    <cellStyle name="Product Header" xfId="7564"/>
    <cellStyle name="Product Title" xfId="7565"/>
    <cellStyle name="Protected_tcslctpk" xfId="7566"/>
    <cellStyle name="PSChar" xfId="7567"/>
    <cellStyle name="PSDec" xfId="7568"/>
    <cellStyle name="PSHeading" xfId="7569"/>
    <cellStyle name="r" xfId="7570"/>
    <cellStyle name="r_pldt" xfId="7571"/>
    <cellStyle name="r_pldt_Report Finance" xfId="7572"/>
    <cellStyle name="r_pldt_Sheet1" xfId="7573"/>
    <cellStyle name="r_Report Finance" xfId="7574"/>
    <cellStyle name="r_Sheet1" xfId="7575"/>
    <cellStyle name="RED_DEBITS" xfId="7576"/>
    <cellStyle name="ReserveStyle" xfId="7577"/>
    <cellStyle name="reset" xfId="7578"/>
    <cellStyle name="Reval_Bond" xfId="7579"/>
    <cellStyle name="RevList" xfId="7580"/>
    <cellStyle name="ri" xfId="7581"/>
    <cellStyle name="RISKbigPercent" xfId="7582"/>
    <cellStyle name="RISKblandrEdge" xfId="7583"/>
    <cellStyle name="RISKblCorner" xfId="7584"/>
    <cellStyle name="RISKbottomEdge" xfId="7585"/>
    <cellStyle name="RISKbrCorner" xfId="7586"/>
    <cellStyle name="RISKdarkBoxed" xfId="7587"/>
    <cellStyle name="RISKdarkShade" xfId="7588"/>
    <cellStyle name="RISKdbottomEdge" xfId="7589"/>
    <cellStyle name="RISKdrightEdge" xfId="7590"/>
    <cellStyle name="RISKdurationTime" xfId="7591"/>
    <cellStyle name="RISKinNumber" xfId="7592"/>
    <cellStyle name="RISKlandrEdge" xfId="7593"/>
    <cellStyle name="RISKleftEdge" xfId="7594"/>
    <cellStyle name="RISKlightBoxed" xfId="7595"/>
    <cellStyle name="RISKltandbEdge" xfId="7596"/>
    <cellStyle name="RISKnormBoxed" xfId="7597"/>
    <cellStyle name="RISKnormCenter" xfId="7598"/>
    <cellStyle name="RISKnormHeading" xfId="7599"/>
    <cellStyle name="RISKnormItal" xfId="7600"/>
    <cellStyle name="RISKnormLabel" xfId="7601"/>
    <cellStyle name="RISKnormShade" xfId="7602"/>
    <cellStyle name="RISKnormTitle" xfId="7603"/>
    <cellStyle name="RISKoutNumber" xfId="7604"/>
    <cellStyle name="RISKrightEdge" xfId="7605"/>
    <cellStyle name="RISKrtandbEdge" xfId="7606"/>
    <cellStyle name="RISKssTime" xfId="7607"/>
    <cellStyle name="RISKtandbEdge" xfId="7608"/>
    <cellStyle name="RISKtlandrEdge" xfId="7609"/>
    <cellStyle name="RISKtlCorner" xfId="7610"/>
    <cellStyle name="RISKtopEdge" xfId="7611"/>
    <cellStyle name="RISKtrCorner" xfId="7612"/>
    <cellStyle name="RM" xfId="7613"/>
    <cellStyle name="RoundingPrecision" xfId="7614"/>
    <cellStyle name="Rubrique" xfId="7615"/>
    <cellStyle name="SAPBEXaggData" xfId="7616"/>
    <cellStyle name="SAPBEXaggData 2" xfId="7617"/>
    <cellStyle name="SAPBEXaggDataEmph" xfId="7618"/>
    <cellStyle name="SAPBEXaggDataEmph 2" xfId="7619"/>
    <cellStyle name="SAPBEXaggItem" xfId="7620"/>
    <cellStyle name="SAPBEXaggItem 2" xfId="7621"/>
    <cellStyle name="SAPBEXaggItemX" xfId="7622"/>
    <cellStyle name="SAPBEXchaText" xfId="7623"/>
    <cellStyle name="SAPBEXchaText 2" xfId="7624"/>
    <cellStyle name="SAPBEXexcBad7" xfId="7625"/>
    <cellStyle name="SAPBEXexcBad7 2" xfId="7626"/>
    <cellStyle name="SAPBEXexcBad8" xfId="7627"/>
    <cellStyle name="SAPBEXexcBad8 2" xfId="7628"/>
    <cellStyle name="SAPBEXexcBad9" xfId="7629"/>
    <cellStyle name="SAPBEXexcBad9 2" xfId="7630"/>
    <cellStyle name="SAPBEXexcCritical4" xfId="7631"/>
    <cellStyle name="SAPBEXexcCritical4 2" xfId="7632"/>
    <cellStyle name="SAPBEXexcCritical5" xfId="7633"/>
    <cellStyle name="SAPBEXexcCritical5 2" xfId="7634"/>
    <cellStyle name="SAPBEXexcCritical6" xfId="7635"/>
    <cellStyle name="SAPBEXexcCritical6 2" xfId="7636"/>
    <cellStyle name="SAPBEXexcGood1" xfId="7637"/>
    <cellStyle name="SAPBEXexcGood1 2" xfId="7638"/>
    <cellStyle name="SAPBEXexcGood2" xfId="7639"/>
    <cellStyle name="SAPBEXexcGood2 2" xfId="7640"/>
    <cellStyle name="SAPBEXexcGood3" xfId="7641"/>
    <cellStyle name="SAPBEXexcGood3 2" xfId="7642"/>
    <cellStyle name="SAPBEXfilterDrill" xfId="7643"/>
    <cellStyle name="SAPBEXfilterDrill 2" xfId="7644"/>
    <cellStyle name="SAPBEXfilterItem" xfId="7645"/>
    <cellStyle name="SAPBEXfilterItem 2" xfId="7646"/>
    <cellStyle name="SAPBEXfilterText" xfId="7647"/>
    <cellStyle name="SAPBEXfilterText 2" xfId="7648"/>
    <cellStyle name="SAPBEXformats" xfId="7649"/>
    <cellStyle name="SAPBEXformats 2" xfId="7650"/>
    <cellStyle name="SAPBEXheaderItem" xfId="7651"/>
    <cellStyle name="SAPBEXheaderItem 2" xfId="7652"/>
    <cellStyle name="SAPBEXheaderText" xfId="7653"/>
    <cellStyle name="SAPBEXheaderText 2" xfId="7654"/>
    <cellStyle name="SAPBEXHLevel0" xfId="7655"/>
    <cellStyle name="SAPBEXHLevel0 2" xfId="7656"/>
    <cellStyle name="SAPBEXHLevel0X" xfId="7657"/>
    <cellStyle name="SAPBEXHLevel0X 2" xfId="7658"/>
    <cellStyle name="SAPBEXHLevel1" xfId="7659"/>
    <cellStyle name="SAPBEXHLevel1 2" xfId="7660"/>
    <cellStyle name="SAPBEXHLevel1X" xfId="7661"/>
    <cellStyle name="SAPBEXHLevel1X 2" xfId="7662"/>
    <cellStyle name="SAPBEXHLevel2" xfId="7663"/>
    <cellStyle name="SAPBEXHLevel2 2" xfId="7664"/>
    <cellStyle name="SAPBEXHLevel2X" xfId="7665"/>
    <cellStyle name="SAPBEXHLevel2X 2" xfId="7666"/>
    <cellStyle name="SAPBEXHLevel3" xfId="7667"/>
    <cellStyle name="SAPBEXHLevel3 2" xfId="7668"/>
    <cellStyle name="SAPBEXHLevel3X" xfId="7669"/>
    <cellStyle name="SAPBEXHLevel3X 2" xfId="7670"/>
    <cellStyle name="SAPBEXresData" xfId="7671"/>
    <cellStyle name="SAPBEXresData 2" xfId="7672"/>
    <cellStyle name="SAPBEXresDataEmph" xfId="7673"/>
    <cellStyle name="SAPBEXresDataEmph 2" xfId="7674"/>
    <cellStyle name="SAPBEXresItem" xfId="7675"/>
    <cellStyle name="SAPBEXresItem 2" xfId="7676"/>
    <cellStyle name="SAPBEXresItemX" xfId="7677"/>
    <cellStyle name="SAPBEXstdData" xfId="7678"/>
    <cellStyle name="SAPBEXstdData 2" xfId="7679"/>
    <cellStyle name="SAPBEXstdDataEmph" xfId="7680"/>
    <cellStyle name="SAPBEXstdDataEmph 2" xfId="7681"/>
    <cellStyle name="SAPBEXstdItem" xfId="7682"/>
    <cellStyle name="SAPBEXstdItem 2" xfId="7683"/>
    <cellStyle name="SAPBEXstdItemX" xfId="7684"/>
    <cellStyle name="SAPBEXtitle" xfId="7685"/>
    <cellStyle name="SAPBEXtitle 2" xfId="7686"/>
    <cellStyle name="SAPBEXundefined" xfId="7687"/>
    <cellStyle name="SAPBEXundefined 2" xfId="7688"/>
    <cellStyle name="ScotchRule" xfId="7689"/>
    <cellStyle name="SdapsDate" xfId="7690"/>
    <cellStyle name="Section" xfId="7691"/>
    <cellStyle name="SEM-BPS-head" xfId="7692"/>
    <cellStyle name="SEM-BPS-key" xfId="7693"/>
    <cellStyle name="Shaded" xfId="7694"/>
    <cellStyle name="Short $" xfId="7695"/>
    <cellStyle name="showExposure" xfId="7696"/>
    <cellStyle name="showPD" xfId="7697"/>
    <cellStyle name="showPercentage" xfId="7698"/>
    <cellStyle name="SMALL_NUMBERS" xfId="7699"/>
    <cellStyle name="SMALLER_NUMBERS" xfId="7700"/>
    <cellStyle name="Standaard_laroux" xfId="7701"/>
    <cellStyle name="Standard 2" xfId="7702"/>
    <cellStyle name="Standard_AFS Debt sec" xfId="7703"/>
    <cellStyle name="StandardDate" xfId="7704"/>
    <cellStyle name="standardnumber" xfId="7705"/>
    <cellStyle name="static" xfId="7706"/>
    <cellStyle name="Sterling [0]" xfId="7707"/>
    <cellStyle name="Stil 1" xfId="7708"/>
    <cellStyle name="styDisplay" xfId="7709"/>
    <cellStyle name="Style 1" xfId="7710"/>
    <cellStyle name="Style 1 2" xfId="7711"/>
    <cellStyle name="Style 1 3" xfId="7712"/>
    <cellStyle name="Style 1 4" xfId="7713"/>
    <cellStyle name="Style 1 5" xfId="7714"/>
    <cellStyle name="Style 1 6" xfId="7715"/>
    <cellStyle name="Style 10" xfId="7716"/>
    <cellStyle name="Style 11" xfId="7717"/>
    <cellStyle name="Style 12" xfId="7718"/>
    <cellStyle name="Style 13" xfId="7719"/>
    <cellStyle name="Style 14" xfId="7720"/>
    <cellStyle name="Style 15" xfId="7721"/>
    <cellStyle name="Style 16" xfId="7722"/>
    <cellStyle name="Style 17" xfId="7723"/>
    <cellStyle name="Style 18" xfId="7724"/>
    <cellStyle name="Style 19" xfId="7725"/>
    <cellStyle name="Style 2" xfId="7726"/>
    <cellStyle name="Style 20" xfId="7727"/>
    <cellStyle name="Style 21" xfId="7728"/>
    <cellStyle name="Style 22" xfId="7729"/>
    <cellStyle name="Style 23" xfId="7730"/>
    <cellStyle name="Style 24" xfId="7731"/>
    <cellStyle name="Style 24 2" xfId="7732"/>
    <cellStyle name="Style 24 3" xfId="7733"/>
    <cellStyle name="Style 25" xfId="7734"/>
    <cellStyle name="Style 26" xfId="7735"/>
    <cellStyle name="Style 27" xfId="7736"/>
    <cellStyle name="Style 27 2" xfId="7737"/>
    <cellStyle name="Style 27 3" xfId="7738"/>
    <cellStyle name="Style 28" xfId="7739"/>
    <cellStyle name="Style 28 2" xfId="7740"/>
    <cellStyle name="Style 28 3" xfId="7741"/>
    <cellStyle name="Style 29" xfId="7742"/>
    <cellStyle name="Style 3" xfId="7743"/>
    <cellStyle name="Style 30" xfId="7744"/>
    <cellStyle name="Style 31" xfId="7745"/>
    <cellStyle name="Style 32" xfId="7746"/>
    <cellStyle name="Style 33" xfId="7747"/>
    <cellStyle name="Style 34" xfId="7748"/>
    <cellStyle name="Style 35" xfId="7749"/>
    <cellStyle name="Style 36" xfId="7750"/>
    <cellStyle name="Style 37" xfId="7751"/>
    <cellStyle name="Style 38" xfId="7752"/>
    <cellStyle name="Style 39" xfId="7753"/>
    <cellStyle name="Style 4" xfId="7754"/>
    <cellStyle name="Style 40" xfId="7755"/>
    <cellStyle name="Style 41" xfId="7756"/>
    <cellStyle name="Style 42" xfId="7757"/>
    <cellStyle name="Style 43" xfId="7758"/>
    <cellStyle name="Style 44" xfId="7759"/>
    <cellStyle name="Style 45" xfId="7760"/>
    <cellStyle name="Style 46" xfId="7761"/>
    <cellStyle name="Style 47" xfId="7762"/>
    <cellStyle name="Style 48" xfId="7763"/>
    <cellStyle name="Style 49" xfId="7764"/>
    <cellStyle name="Style 5" xfId="7765"/>
    <cellStyle name="Style 50" xfId="7766"/>
    <cellStyle name="Style 51" xfId="7767"/>
    <cellStyle name="Style 52" xfId="7768"/>
    <cellStyle name="Style 53" xfId="7769"/>
    <cellStyle name="Style 54" xfId="7770"/>
    <cellStyle name="Style 55" xfId="7771"/>
    <cellStyle name="Style 56" xfId="7772"/>
    <cellStyle name="Style 57" xfId="7773"/>
    <cellStyle name="Style 58" xfId="7774"/>
    <cellStyle name="Style 59" xfId="7775"/>
    <cellStyle name="Style 6" xfId="7776"/>
    <cellStyle name="Style 60" xfId="7777"/>
    <cellStyle name="Style 61" xfId="7778"/>
    <cellStyle name="Style 62" xfId="7779"/>
    <cellStyle name="Style 7" xfId="7780"/>
    <cellStyle name="Style 8" xfId="7781"/>
    <cellStyle name="Style 9" xfId="7782"/>
    <cellStyle name="Style1 - Style1" xfId="7783"/>
    <cellStyle name="styMcList" xfId="7784"/>
    <cellStyle name="Subtitle" xfId="7785"/>
    <cellStyle name="-Subtitle_chart" xfId="7786"/>
    <cellStyle name="Subtitle_Report Finance" xfId="7787"/>
    <cellStyle name="Subtotal" xfId="7788"/>
    <cellStyle name="Subtotal 2" xfId="7789"/>
    <cellStyle name="Subtotal2" xfId="7790"/>
    <cellStyle name="subtotals" xfId="7791"/>
    <cellStyle name="supPercentage" xfId="7792"/>
    <cellStyle name="supText" xfId="7793"/>
    <cellStyle name="Table Col Head" xfId="7794"/>
    <cellStyle name="Table Head" xfId="7795"/>
    <cellStyle name="Table Head Aligned" xfId="7796"/>
    <cellStyle name="Table Head Blue" xfId="7797"/>
    <cellStyle name="Table Head Green" xfId="7798"/>
    <cellStyle name="Table Heading" xfId="7799"/>
    <cellStyle name="Table Sub Head" xfId="7800"/>
    <cellStyle name="Table Title" xfId="7801"/>
    <cellStyle name="Table Units" xfId="7802"/>
    <cellStyle name="Tablebody" xfId="7803"/>
    <cellStyle name="TablebodyDate" xfId="7804"/>
    <cellStyle name="TablebodyOutstandingAmount" xfId="7805"/>
    <cellStyle name="TablebodyPrice" xfId="7806"/>
    <cellStyle name="Tableheading" xfId="7807"/>
    <cellStyle name="Test" xfId="7808"/>
    <cellStyle name="TEXT" xfId="7809"/>
    <cellStyle name="Text Indent A" xfId="7810"/>
    <cellStyle name="Text Indent B" xfId="7811"/>
    <cellStyle name="Text Indent C" xfId="7812"/>
    <cellStyle name="Text Wrap" xfId="7813"/>
    <cellStyle name="TEXT_(19) Loan Feb-11(Feb-11 figures)" xfId="7814"/>
    <cellStyle name="TextStyle" xfId="7815"/>
    <cellStyle name="THS" xfId="7816"/>
    <cellStyle name="Title - Underline" xfId="7817"/>
    <cellStyle name="Title 2" xfId="7818"/>
    <cellStyle name="Title 5" xfId="7819"/>
    <cellStyle name="-Title_01" xfId="7820"/>
    <cellStyle name="Titles" xfId="7821"/>
    <cellStyle name="Titles - Other" xfId="7822"/>
    <cellStyle name="Titles_Avg_BS " xfId="7823"/>
    <cellStyle name="TitreRub" xfId="7824"/>
    <cellStyle name="TitreTab" xfId="7825"/>
    <cellStyle name="TOALS" xfId="7826"/>
    <cellStyle name="Total 2" xfId="7827"/>
    <cellStyle name="Total 5" xfId="7828"/>
    <cellStyle name="TotalNumbers" xfId="7829"/>
    <cellStyle name="TOTALS" xfId="7830"/>
    <cellStyle name="toto" xfId="7831"/>
    <cellStyle name="Trade_Title" xfId="7832"/>
    <cellStyle name="TradeScheduleColHdrStyle" xfId="7833"/>
    <cellStyle name="TradeScheduleDataStyle" xfId="7834"/>
    <cellStyle name="TradeScheduleHdrStyle" xfId="7835"/>
    <cellStyle name="TradeSchedulePercentStyle" xfId="7836"/>
    <cellStyle name="TypeIn" xfId="7837"/>
    <cellStyle name="UBOLD" xfId="7838"/>
    <cellStyle name="underlineHeading" xfId="7839"/>
    <cellStyle name="UnitValuation" xfId="7840"/>
    <cellStyle name="Unlocked" xfId="7841"/>
    <cellStyle name="unpro" xfId="7842"/>
    <cellStyle name="UNPROBLD" xfId="7843"/>
    <cellStyle name="unprobold" xfId="7844"/>
    <cellStyle name="unprotected" xfId="7845"/>
    <cellStyle name="us" xfId="7846"/>
    <cellStyle name="V" xfId="7847"/>
    <cellStyle name="v_~8200732" xfId="7848"/>
    <cellStyle name="v_~8200732_Sheet1" xfId="7849"/>
    <cellStyle name="v_10 BIG Old Spds" xfId="7850"/>
    <cellStyle name="v_10 BIG Pete Spds" xfId="7851"/>
    <cellStyle name="v_10 BIG Rocky Spds" xfId="7852"/>
    <cellStyle name="v_Collateral Summary 051106" xfId="7853"/>
    <cellStyle name="v_Collateral Summary 051106_Sheet1" xfId="7854"/>
    <cellStyle name="v_Pine Mountain 2_Omnicron Request_10.15.06" xfId="7855"/>
    <cellStyle name="v_PM II_Modeling Summary_v12b PJ Sprds 052506_Portfolio 7" xfId="7856"/>
    <cellStyle name="v_PM II_Modeling Summary_v12b PJ Sprds 052506_Portfolio 7_Sheet1" xfId="7857"/>
    <cellStyle name="V_Report Finance" xfId="7858"/>
    <cellStyle name="V_Sheet1" xfId="7859"/>
    <cellStyle name="Valuta (0)_LINEA GLOBALE" xfId="7860"/>
    <cellStyle name="Valuta [0]_Fees &amp; Expenses" xfId="7861"/>
    <cellStyle name="Valuta_Fees &amp; Expenses" xfId="7862"/>
    <cellStyle name="Währung [0]_Compiling Utility Macros" xfId="7863"/>
    <cellStyle name="Währung_Compiling Utility Macros" xfId="7864"/>
    <cellStyle name="Warning" xfId="7865"/>
    <cellStyle name="Warning Text 2" xfId="7866"/>
    <cellStyle name="Warning Text 5" xfId="7867"/>
    <cellStyle name="WorksheetForm" xfId="7868"/>
    <cellStyle name="xy" xfId="7869"/>
    <cellStyle name="Y2K Compliant Date Fmt" xfId="7870"/>
    <cellStyle name="Year" xfId="7871"/>
    <cellStyle name="Years" xfId="7872"/>
    <cellStyle name="日付" xfId="7873"/>
    <cellStyle name="日付 2" xfId="7874"/>
    <cellStyle name="標準_Book3" xfId="787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112" Type="http://schemas.openxmlformats.org/officeDocument/2006/relationships/externalLink" Target="externalLinks/externalLink62.xml"/><Relationship Id="rId16" Type="http://schemas.openxmlformats.org/officeDocument/2006/relationships/worksheet" Target="worksheets/sheet16.xml"/><Relationship Id="rId107" Type="http://schemas.openxmlformats.org/officeDocument/2006/relationships/externalLink" Target="externalLinks/externalLink5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102" Type="http://schemas.openxmlformats.org/officeDocument/2006/relationships/externalLink" Target="externalLinks/externalLink52.xml"/><Relationship Id="rId123" Type="http://schemas.openxmlformats.org/officeDocument/2006/relationships/externalLink" Target="externalLinks/externalLink73.xml"/><Relationship Id="rId5" Type="http://schemas.openxmlformats.org/officeDocument/2006/relationships/worksheet" Target="worksheets/sheet5.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100" Type="http://schemas.openxmlformats.org/officeDocument/2006/relationships/externalLink" Target="externalLinks/externalLink50.xml"/><Relationship Id="rId105" Type="http://schemas.openxmlformats.org/officeDocument/2006/relationships/externalLink" Target="externalLinks/externalLink55.xml"/><Relationship Id="rId113" Type="http://schemas.openxmlformats.org/officeDocument/2006/relationships/externalLink" Target="externalLinks/externalLink63.xml"/><Relationship Id="rId118" Type="http://schemas.openxmlformats.org/officeDocument/2006/relationships/externalLink" Target="externalLinks/externalLink68.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93" Type="http://schemas.openxmlformats.org/officeDocument/2006/relationships/externalLink" Target="externalLinks/externalLink43.xml"/><Relationship Id="rId98" Type="http://schemas.openxmlformats.org/officeDocument/2006/relationships/externalLink" Target="externalLinks/externalLink48.xml"/><Relationship Id="rId121"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103" Type="http://schemas.openxmlformats.org/officeDocument/2006/relationships/externalLink" Target="externalLinks/externalLink53.xml"/><Relationship Id="rId108" Type="http://schemas.openxmlformats.org/officeDocument/2006/relationships/externalLink" Target="externalLinks/externalLink58.xml"/><Relationship Id="rId116" Type="http://schemas.openxmlformats.org/officeDocument/2006/relationships/externalLink" Target="externalLinks/externalLink66.xml"/><Relationship Id="rId124"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externalLink" Target="externalLinks/externalLink46.xml"/><Relationship Id="rId111"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6" Type="http://schemas.openxmlformats.org/officeDocument/2006/relationships/externalLink" Target="externalLinks/externalLink56.xml"/><Relationship Id="rId114" Type="http://schemas.openxmlformats.org/officeDocument/2006/relationships/externalLink" Target="externalLinks/externalLink64.xml"/><Relationship Id="rId119" Type="http://schemas.openxmlformats.org/officeDocument/2006/relationships/externalLink" Target="externalLinks/externalLink69.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externalLink" Target="externalLinks/externalLink49.xml"/><Relationship Id="rId101" Type="http://schemas.openxmlformats.org/officeDocument/2006/relationships/externalLink" Target="externalLinks/externalLink51.xml"/><Relationship Id="rId122" Type="http://schemas.openxmlformats.org/officeDocument/2006/relationships/externalLink" Target="externalLinks/externalLink7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externalLink" Target="externalLinks/externalLink47.xml"/><Relationship Id="rId104" Type="http://schemas.openxmlformats.org/officeDocument/2006/relationships/externalLink" Target="externalLinks/externalLink54.xml"/><Relationship Id="rId120" Type="http://schemas.openxmlformats.org/officeDocument/2006/relationships/externalLink" Target="externalLinks/externalLink7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110" Type="http://schemas.openxmlformats.org/officeDocument/2006/relationships/externalLink" Target="externalLinks/externalLink60.xml"/><Relationship Id="rId115" Type="http://schemas.openxmlformats.org/officeDocument/2006/relationships/externalLink" Target="externalLinks/externalLink65.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RESEARCH\DepoCorp%20Survey\Details\ODC\BNK_SBS_sp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RESEARCH\DepoCorp%20Survey\Details\ODC\BNK_SBS_oc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RESEARCH\DepoCorp%20Survey\Details\ODC\BNK_SBS_nv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RESEARCH\DepoCorp%20Survey\Details\ODC\BNK_SBS_dc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RESEARCH\DepoCorp%20Survey\Details\ODC\BNK_SBS_jn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RESEARCH\DepoCorp%20Survey\Details\ODC\BNK_SBS_fb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RESEARCH\DepoCorp%20Survey\Details\ODC\BNK_SBS_mr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RESEARCH\DepoCorp%20Survey\Details\ODC\BNK_SBS_ap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RESEARCH\DepoCorp%20Survey\Details\ODC\BNK_SBS_my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RESEARCH\DepoCorp%20Survey\Details\ODC\BNK_SBS_ju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RESEARCH\DepoCorp%20Survey\Details\ODC\BNK_SBS_jl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RESEARCH\DepoCorp%20Survey\Details\ODC\BNK_SBS_ag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RESEARCH\DepoCorp%20Survey\Details\ODC\BNK_SBS_sp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RESEARCH\DepoCorp%20Survey\Details\ODC\BNK_SBS_oc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RESEARCH\DepoCorp%20Survey\Details\ODC\BNK_SBS_nv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RESEARCH\DepoCorp%20Survey\Details\ODC\BNK_SBS_dc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RESEARCH\DepoCorp%20Survey\Details\ODC\bnk_sbs_jn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RESEARCH\DepoCorp%20Survey\Details\ODC\bnk_sbs_FB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RESEARCH\DepoCorp%20Survey\Details\ODC\bnk_sbs_m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RESEARCH\DepoCorp%20Survey\Details\ODC\bnk_sbs_ap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RESEARCH\DepoCorp%20Survey\Details\ODC\bnk_sbs_MY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RESEARCH\DepoCorp%20Survey\Details\ODC\bnk_sbs_JU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RESEARCH\DepoCorp%20Survey\Details\ODC\bnk_sbs_Jl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RESEARCH\DepoCorp%20Survey\Details\ODC\bnk_sbs_ag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RESEARCH\DepoCorp%20Survey\Details\ODC\bnk_sbs_sp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RESEARCH\DepoCorp%20Survey\Details\ODC\BNK_SBS_O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RESEARCH\DepoCorp%20Survey\Details\ODC\BNK_SBS_NV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RESEARCH\DepoCorp%20Survey\Details\ODC\BNK_SBS_dc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RESEARCH\DepoCorp%20Survey\Details\ODC\BNK_SBS_jn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RESEARCH\DepoCorp%20Survey\Details\ODC\BNK_SBS_fb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RESEARCH\DepoCorp%20Survey\Details\NBDT%20Inst\NB0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RESEARCH\DepoCorp%20Survey\Cons\ODCSBSJU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RESEARCH\DepoCorp%20Survey\Cons\ODC_SBS_JL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RESEARCH\DepoCorp%20Survey\Cons\ODC_SBS_AG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RESEARCH\DepoCorp%20Survey\Cons\ODC_SBS_SP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RESEARCH\DepoCorp%20Survey\Cons\ODC_SBS_oc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RESEARCH\DepoCorp%20Survey\Cons\ODC_SBS_NV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RESEARCH\DepoCorp%20Survey\Cons\ODC_SBS_DC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RESEARCH\DepoCorp%20Survey\Cons\ODC_SBS_JN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RESEARCH\DepoCorp%20Survey\Cons\ODC_SBS_FB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tatistics\MFS\DepoCorp%20Survey\IMF-DATA\imf684\IMD684dec12-links-adjNPF.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RESEARCH\DepoCorp%20Survey\Cons\ODC_SBS_MR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RESEARCH\DepoCorp%20Survey\Cons\ODC_SBS_AP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U:\RESEARCH\DepoCorp%20Survey\Cons\ODC_SBS_MY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RESEARCH\DepoCorp%20Survey\Cons\ODC_SBS_JU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RESEARCH\DepoCorp%20Survey\Cons\ODC_SBS_JL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RESEARCH\DepoCorp%20Survey\Cons\ODC_SBS_AG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RESEARCH\DepoCorp%20Survey\Cons\ODC_SBS_SP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RESEARCH\DepoCorp%20Survey\Cons\ODC_SBS_OC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RESEARCH\DepoCorp%20Survey\Cons\ODC_SBS_NV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RESEARCH\DepoCorp%20Survey\Cons\ODC_SBS_dc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RESEARCH\DepoCorp%20Survey\Details\Cat%201\C1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RESEARCH\DepoCorp%20Survey\Cons\ODC_SBS_JN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RESEARCH\DepoCorp%20Survey\Cons\ODC_SBS_FB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RESEARCH\DepoCorp%20Survey\Cons\ODC_SBS_MR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RESEARCH\DepoCorp%20Survey\Cons\ODC_SBS_AP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RESEARCH\DepoCorp%20Survey\Cons\ODC_SBS_MY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RESEARCH\DepoCorp%20Survey\Cons\ODC_SBS_JU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RESEARCH\DepoCorp%20Survey\Cons\ODC_SBS_JL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RESEARCH\DepoCorp%20Survey\Cons\ODC_SBS_AG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RESEARCH\DepoCorp%20Survey\Cons\ODC_SBS_SP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U:\RESEARCH\DepoCorp%20Survey\Cons\odc_sbs_oc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RESEARCH\DepoCorp%20Survey\Details\Cat%202\C205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RESEARCH\DepoCorp%20Survey\Cons\odc_sbs_nv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RESEARCH\DepoCorp%20Survey\Cons\odc_sbs_DC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RESEARCH\DepoCorp%20Survey\Cons\odc_sbs_jn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RESEARCH\DepoCorp%20Survey\Cons\ODC_SBS_FB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RESEARCH\DepoCorp%20Survey\Details\ODC\BNK_SBS_JL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RESEARCH\DepoCorp%20Survey\Details\ODC\BNK_SBS_ag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 val="Change in Liabilities"/>
      <sheetName val="Change in Assets"/>
      <sheetName val="summary Table"/>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62"/>
  <sheetViews>
    <sheetView showGridLines="0" tabSelected="1" zoomScaleNormal="100" workbookViewId="0">
      <pane xSplit="2" ySplit="3" topLeftCell="C4" activePane="bottomRight" state="frozen"/>
      <selection pane="topRight" activeCell="C1" sqref="C1"/>
      <selection pane="bottomLeft" activeCell="A4" sqref="A4"/>
      <selection pane="bottomRight" activeCell="A28" sqref="A28"/>
    </sheetView>
  </sheetViews>
  <sheetFormatPr defaultRowHeight="15"/>
  <cols>
    <col min="1" max="1" width="71.5703125" style="2998" customWidth="1"/>
    <col min="2" max="2" width="16" style="2998" customWidth="1"/>
    <col min="3" max="3" width="11.7109375" style="2998" customWidth="1"/>
    <col min="4" max="11" width="10.42578125" style="2999" bestFit="1" customWidth="1"/>
    <col min="12" max="13" width="11.42578125" style="2999" bestFit="1" customWidth="1"/>
    <col min="14" max="14" width="10.7109375" style="2999" customWidth="1"/>
    <col min="15" max="15" width="10.140625" style="2999" bestFit="1" customWidth="1"/>
    <col min="16" max="55" width="9.140625" style="2999"/>
    <col min="56" max="16384" width="9.140625" style="2998"/>
  </cols>
  <sheetData>
    <row r="1" spans="1:16" ht="18" customHeight="1">
      <c r="A1" s="2997" t="s">
        <v>4439</v>
      </c>
      <c r="E1" s="3000"/>
      <c r="F1" s="3000"/>
      <c r="G1" s="3000"/>
      <c r="H1" s="3000"/>
      <c r="I1" s="3000"/>
      <c r="J1" s="3000"/>
      <c r="K1" s="3000"/>
      <c r="L1" s="3000"/>
      <c r="M1" s="3000"/>
      <c r="N1" s="3001"/>
      <c r="O1" s="3001"/>
      <c r="P1" s="3001"/>
    </row>
    <row r="2" spans="1:16" ht="13.5" customHeight="1" thickBot="1"/>
    <row r="3" spans="1:16" ht="28.5" customHeight="1" thickBot="1">
      <c r="A3" s="3002"/>
      <c r="B3" s="3003" t="s">
        <v>78</v>
      </c>
      <c r="C3" s="3004" t="s">
        <v>4440</v>
      </c>
      <c r="D3" s="3004">
        <v>2005</v>
      </c>
      <c r="E3" s="3003">
        <v>2006</v>
      </c>
      <c r="F3" s="3004">
        <v>2007</v>
      </c>
      <c r="G3" s="3004">
        <v>2008</v>
      </c>
      <c r="H3" s="3004">
        <v>2009</v>
      </c>
      <c r="I3" s="3003">
        <v>2010</v>
      </c>
      <c r="J3" s="3005">
        <v>2011</v>
      </c>
      <c r="K3" s="3005">
        <v>2012</v>
      </c>
      <c r="L3" s="3005">
        <v>2013</v>
      </c>
      <c r="M3" s="3006">
        <v>2014</v>
      </c>
      <c r="N3" s="3006">
        <v>2015</v>
      </c>
    </row>
    <row r="4" spans="1:16" ht="18" customHeight="1">
      <c r="A4" s="3007" t="s">
        <v>4441</v>
      </c>
      <c r="B4" s="3008" t="s">
        <v>4442</v>
      </c>
      <c r="C4" s="3009"/>
      <c r="D4" s="3010" t="s">
        <v>4443</v>
      </c>
      <c r="E4" s="3011" t="s">
        <v>4444</v>
      </c>
      <c r="F4" s="3012" t="s">
        <v>4445</v>
      </c>
      <c r="G4" s="3012" t="s">
        <v>4446</v>
      </c>
      <c r="H4" s="3013" t="s">
        <v>4447</v>
      </c>
      <c r="I4" s="3013" t="s">
        <v>4448</v>
      </c>
      <c r="J4" s="3013" t="s">
        <v>4449</v>
      </c>
      <c r="K4" s="3014" t="s">
        <v>4450</v>
      </c>
      <c r="L4" s="3014" t="s">
        <v>4451</v>
      </c>
      <c r="M4" s="3015" t="s">
        <v>4452</v>
      </c>
      <c r="N4" s="3015" t="s">
        <v>4453</v>
      </c>
    </row>
    <row r="5" spans="1:16" ht="18" customHeight="1">
      <c r="A5" s="3007" t="s">
        <v>4454</v>
      </c>
      <c r="B5" s="3016" t="s">
        <v>4455</v>
      </c>
      <c r="C5" s="3017"/>
      <c r="D5" s="3012">
        <v>761063</v>
      </c>
      <c r="E5" s="3018">
        <v>788276</v>
      </c>
      <c r="F5" s="3012">
        <v>906971</v>
      </c>
      <c r="G5" s="3012">
        <v>930456</v>
      </c>
      <c r="H5" s="3019">
        <v>871356</v>
      </c>
      <c r="I5" s="3019">
        <v>934827</v>
      </c>
      <c r="J5" s="3020" t="s">
        <v>4456</v>
      </c>
      <c r="K5" s="3021" t="s">
        <v>4457</v>
      </c>
      <c r="L5" s="3021" t="s">
        <v>4458</v>
      </c>
      <c r="M5" s="3022" t="s">
        <v>4459</v>
      </c>
      <c r="N5" s="3023" t="s">
        <v>4460</v>
      </c>
    </row>
    <row r="6" spans="1:16" ht="18">
      <c r="A6" s="3007" t="s">
        <v>4461</v>
      </c>
      <c r="B6" s="3016" t="s">
        <v>4455</v>
      </c>
      <c r="C6" s="3017" t="s">
        <v>49</v>
      </c>
      <c r="D6" s="3012">
        <v>25704</v>
      </c>
      <c r="E6" s="3018">
        <v>31942</v>
      </c>
      <c r="F6" s="3012">
        <v>40687</v>
      </c>
      <c r="G6" s="3012">
        <v>41213</v>
      </c>
      <c r="H6" s="3012">
        <v>35693</v>
      </c>
      <c r="I6" s="3012">
        <v>39457</v>
      </c>
      <c r="J6" s="3024" t="s">
        <v>4462</v>
      </c>
      <c r="K6" s="3025" t="s">
        <v>4463</v>
      </c>
      <c r="L6" s="3025" t="s">
        <v>4464</v>
      </c>
      <c r="M6" s="3026" t="s">
        <v>4465</v>
      </c>
      <c r="N6" s="3023" t="s">
        <v>4466</v>
      </c>
    </row>
    <row r="7" spans="1:16" ht="18.75">
      <c r="A7" s="3007" t="s">
        <v>4467</v>
      </c>
      <c r="B7" s="3027" t="s">
        <v>4455</v>
      </c>
      <c r="C7" s="3028" t="s">
        <v>3057</v>
      </c>
      <c r="D7" s="3029">
        <v>2.7</v>
      </c>
      <c r="E7" s="3030">
        <v>5.6</v>
      </c>
      <c r="F7" s="3029">
        <v>5.7</v>
      </c>
      <c r="G7" s="3029">
        <v>5.5</v>
      </c>
      <c r="H7" s="3029">
        <v>3.1</v>
      </c>
      <c r="I7" s="3029">
        <v>4.2</v>
      </c>
      <c r="J7" s="3029">
        <v>3.6</v>
      </c>
      <c r="K7" s="3031">
        <v>3.4</v>
      </c>
      <c r="L7" s="3032" t="s">
        <v>4468</v>
      </c>
      <c r="M7" s="3033" t="s">
        <v>4469</v>
      </c>
      <c r="N7" s="3023" t="s">
        <v>4470</v>
      </c>
    </row>
    <row r="8" spans="1:16" ht="18" customHeight="1">
      <c r="A8" s="3007" t="s">
        <v>4471</v>
      </c>
      <c r="B8" s="3027" t="s">
        <v>4455</v>
      </c>
      <c r="C8" s="3028" t="s">
        <v>49</v>
      </c>
      <c r="D8" s="3034">
        <v>191393</v>
      </c>
      <c r="E8" s="3035">
        <v>213444</v>
      </c>
      <c r="F8" s="3034">
        <v>243998</v>
      </c>
      <c r="G8" s="3036">
        <v>274316</v>
      </c>
      <c r="H8" s="3034">
        <v>282354</v>
      </c>
      <c r="I8" s="3034">
        <v>299170</v>
      </c>
      <c r="J8" s="3036" t="s">
        <v>4472</v>
      </c>
      <c r="K8" s="3037">
        <v>343813</v>
      </c>
      <c r="L8" s="3038" t="s">
        <v>4473</v>
      </c>
      <c r="M8" s="3026" t="s">
        <v>4474</v>
      </c>
      <c r="N8" s="3026" t="s">
        <v>4475</v>
      </c>
    </row>
    <row r="9" spans="1:16" ht="18" customHeight="1">
      <c r="A9" s="3007" t="s">
        <v>4476</v>
      </c>
      <c r="B9" s="3027" t="s">
        <v>4455</v>
      </c>
      <c r="C9" s="3028" t="s">
        <v>49</v>
      </c>
      <c r="D9" s="3034">
        <v>190214</v>
      </c>
      <c r="E9" s="3035">
        <v>214216</v>
      </c>
      <c r="F9" s="3034">
        <v>249577</v>
      </c>
      <c r="G9" s="3034">
        <v>276389</v>
      </c>
      <c r="H9" s="3034">
        <v>281021</v>
      </c>
      <c r="I9" s="3034">
        <v>302772</v>
      </c>
      <c r="J9" s="3039" t="s">
        <v>4477</v>
      </c>
      <c r="K9" s="3037" t="s">
        <v>4478</v>
      </c>
      <c r="L9" s="3038" t="s">
        <v>4479</v>
      </c>
      <c r="M9" s="3026" t="s">
        <v>4480</v>
      </c>
      <c r="N9" s="3026" t="s">
        <v>4481</v>
      </c>
    </row>
    <row r="10" spans="1:16" ht="18" customHeight="1">
      <c r="A10" s="3007" t="s">
        <v>4482</v>
      </c>
      <c r="B10" s="3027" t="s">
        <v>4483</v>
      </c>
      <c r="C10" s="3028" t="s">
        <v>2162</v>
      </c>
      <c r="D10" s="3034">
        <v>152961</v>
      </c>
      <c r="E10" s="3035">
        <v>173200</v>
      </c>
      <c r="F10" s="3034">
        <v>200968</v>
      </c>
      <c r="G10" s="3034">
        <v>221861</v>
      </c>
      <c r="H10" s="3034">
        <v>225012</v>
      </c>
      <c r="I10" s="3034">
        <v>241946</v>
      </c>
      <c r="J10" s="3036" t="s">
        <v>4484</v>
      </c>
      <c r="K10" s="3037" t="s">
        <v>4485</v>
      </c>
      <c r="L10" s="3038" t="s">
        <v>4486</v>
      </c>
      <c r="M10" s="3026" t="s">
        <v>4487</v>
      </c>
      <c r="N10" s="3026" t="s">
        <v>4488</v>
      </c>
    </row>
    <row r="11" spans="1:16" ht="18" customHeight="1">
      <c r="A11" s="3007" t="s">
        <v>4489</v>
      </c>
      <c r="B11" s="3016" t="s">
        <v>4490</v>
      </c>
      <c r="C11" s="3017" t="s">
        <v>3057</v>
      </c>
      <c r="D11" s="3040">
        <v>5.6</v>
      </c>
      <c r="E11" s="3041">
        <v>5.0999999999999996</v>
      </c>
      <c r="F11" s="3042">
        <v>10.7</v>
      </c>
      <c r="G11" s="3042">
        <v>8.8000000000000007</v>
      </c>
      <c r="H11" s="3042">
        <v>6.9</v>
      </c>
      <c r="I11" s="3042">
        <v>1.7</v>
      </c>
      <c r="J11" s="3042">
        <v>5.0999999999999996</v>
      </c>
      <c r="K11" s="3043">
        <v>5.0999999999999996</v>
      </c>
      <c r="L11" s="3044">
        <v>3.6</v>
      </c>
      <c r="M11" s="3045">
        <v>4</v>
      </c>
      <c r="N11" s="3033">
        <v>1.7</v>
      </c>
    </row>
    <row r="12" spans="1:16" ht="18" customHeight="1">
      <c r="A12" s="3007" t="s">
        <v>4491</v>
      </c>
      <c r="B12" s="3016" t="s">
        <v>4483</v>
      </c>
      <c r="C12" s="3017" t="s">
        <v>3057</v>
      </c>
      <c r="D12" s="3040">
        <v>4.9000000000000004</v>
      </c>
      <c r="E12" s="3043">
        <v>8.9</v>
      </c>
      <c r="F12" s="3042">
        <v>8.8000000000000007</v>
      </c>
      <c r="G12" s="3042">
        <v>9.6999999999999993</v>
      </c>
      <c r="H12" s="3042">
        <v>2.5</v>
      </c>
      <c r="I12" s="3042">
        <v>2.9</v>
      </c>
      <c r="J12" s="3042">
        <v>6.5</v>
      </c>
      <c r="K12" s="3043">
        <v>3.9</v>
      </c>
      <c r="L12" s="3046">
        <v>3.5</v>
      </c>
      <c r="M12" s="3047">
        <v>3.2</v>
      </c>
      <c r="N12" s="3047" t="s">
        <v>4453</v>
      </c>
    </row>
    <row r="13" spans="1:16" ht="18" customHeight="1">
      <c r="A13" s="3007" t="s">
        <v>4492</v>
      </c>
      <c r="B13" s="3027" t="s">
        <v>4483</v>
      </c>
      <c r="C13" s="3028" t="s">
        <v>3057</v>
      </c>
      <c r="D13" s="3029">
        <v>9.6</v>
      </c>
      <c r="E13" s="3030">
        <v>9</v>
      </c>
      <c r="F13" s="3029">
        <v>8.5</v>
      </c>
      <c r="G13" s="3029">
        <v>7.2</v>
      </c>
      <c r="H13" s="3029">
        <v>7.3</v>
      </c>
      <c r="I13" s="3029">
        <v>7.6</v>
      </c>
      <c r="J13" s="3029">
        <v>7.8</v>
      </c>
      <c r="K13" s="3031">
        <v>8</v>
      </c>
      <c r="L13" s="3038" t="s">
        <v>4493</v>
      </c>
      <c r="M13" s="3026" t="s">
        <v>4494</v>
      </c>
      <c r="N13" s="3023" t="s">
        <v>4495</v>
      </c>
    </row>
    <row r="14" spans="1:16" ht="18" customHeight="1">
      <c r="A14" s="3007" t="s">
        <v>4496</v>
      </c>
      <c r="B14" s="3016" t="s">
        <v>4490</v>
      </c>
      <c r="C14" s="3017" t="s">
        <v>49</v>
      </c>
      <c r="D14" s="3048" t="s">
        <v>4497</v>
      </c>
      <c r="E14" s="3049" t="s">
        <v>4498</v>
      </c>
      <c r="F14" s="3048" t="s">
        <v>4499</v>
      </c>
      <c r="G14" s="3048" t="s">
        <v>4500</v>
      </c>
      <c r="H14" s="3048" t="s">
        <v>4501</v>
      </c>
      <c r="I14" s="3048" t="s">
        <v>4502</v>
      </c>
      <c r="J14" s="3050" t="s">
        <v>4503</v>
      </c>
      <c r="K14" s="3051" t="s">
        <v>4504</v>
      </c>
      <c r="L14" s="3051" t="s">
        <v>4505</v>
      </c>
      <c r="M14" s="3052" t="s">
        <v>4506</v>
      </c>
      <c r="N14" s="3052" t="s">
        <v>4453</v>
      </c>
    </row>
    <row r="15" spans="1:16" ht="18" customHeight="1">
      <c r="A15" s="3007" t="s">
        <v>4507</v>
      </c>
      <c r="B15" s="3016" t="s">
        <v>4483</v>
      </c>
      <c r="C15" s="3017" t="s">
        <v>49</v>
      </c>
      <c r="D15" s="3048" t="s">
        <v>4508</v>
      </c>
      <c r="E15" s="3049" t="s">
        <v>4509</v>
      </c>
      <c r="F15" s="3024" t="s">
        <v>4510</v>
      </c>
      <c r="G15" s="3053">
        <v>-27633</v>
      </c>
      <c r="H15" s="3024">
        <v>-20836</v>
      </c>
      <c r="I15" s="3024" t="s">
        <v>4511</v>
      </c>
      <c r="J15" s="3053" t="s">
        <v>4512</v>
      </c>
      <c r="K15" s="3054" t="s">
        <v>4513</v>
      </c>
      <c r="L15" s="3051" t="s">
        <v>4514</v>
      </c>
      <c r="M15" s="3052" t="s">
        <v>4515</v>
      </c>
      <c r="N15" s="3052" t="s">
        <v>4453</v>
      </c>
    </row>
    <row r="16" spans="1:16" ht="18" customHeight="1">
      <c r="A16" s="3007" t="s">
        <v>4516</v>
      </c>
      <c r="B16" s="3016" t="s">
        <v>4490</v>
      </c>
      <c r="C16" s="3017" t="s">
        <v>49</v>
      </c>
      <c r="D16" s="3048" t="s">
        <v>4517</v>
      </c>
      <c r="E16" s="3049" t="s">
        <v>4518</v>
      </c>
      <c r="F16" s="3055">
        <v>6603</v>
      </c>
      <c r="G16" s="3055">
        <v>9110</v>
      </c>
      <c r="H16" s="3055">
        <v>2484</v>
      </c>
      <c r="I16" s="3056" t="s">
        <v>4519</v>
      </c>
      <c r="J16" s="3056" t="s">
        <v>4520</v>
      </c>
      <c r="K16" s="3057" t="s">
        <v>4521</v>
      </c>
      <c r="L16" s="3057" t="s">
        <v>4522</v>
      </c>
      <c r="M16" s="3052" t="s">
        <v>4523</v>
      </c>
      <c r="N16" s="3052" t="s">
        <v>4453</v>
      </c>
    </row>
    <row r="17" spans="1:15" ht="18" customHeight="1">
      <c r="A17" s="3058" t="s">
        <v>4524</v>
      </c>
      <c r="B17" s="3016" t="s">
        <v>4483</v>
      </c>
      <c r="C17" s="3017" t="s">
        <v>49</v>
      </c>
      <c r="D17" s="3048" t="s">
        <v>4525</v>
      </c>
      <c r="E17" s="3059">
        <v>-4573</v>
      </c>
      <c r="F17" s="3055">
        <v>13880</v>
      </c>
      <c r="G17" s="3055">
        <v>4624</v>
      </c>
      <c r="H17" s="3055">
        <v>12103</v>
      </c>
      <c r="I17" s="3056" t="s">
        <v>4526</v>
      </c>
      <c r="J17" s="3056" t="s">
        <v>4527</v>
      </c>
      <c r="K17" s="3057" t="s">
        <v>4528</v>
      </c>
      <c r="L17" s="3057" t="s">
        <v>4529</v>
      </c>
      <c r="M17" s="3060">
        <v>23019</v>
      </c>
      <c r="N17" s="3060" t="s">
        <v>4453</v>
      </c>
    </row>
    <row r="18" spans="1:15" ht="18" customHeight="1">
      <c r="A18" s="3058" t="s">
        <v>4530</v>
      </c>
      <c r="B18" s="3016" t="s">
        <v>4531</v>
      </c>
      <c r="C18" s="3017" t="s">
        <v>49</v>
      </c>
      <c r="D18" s="3061">
        <v>43715</v>
      </c>
      <c r="E18" s="3062">
        <v>42997</v>
      </c>
      <c r="F18" s="3063">
        <v>53091</v>
      </c>
      <c r="G18" s="3063">
        <v>57360</v>
      </c>
      <c r="H18" s="3063">
        <v>63938</v>
      </c>
      <c r="I18" s="3061">
        <v>70085</v>
      </c>
      <c r="J18" s="3061">
        <v>81507</v>
      </c>
      <c r="K18" s="3064">
        <v>86671</v>
      </c>
      <c r="L18" s="3064">
        <v>105040</v>
      </c>
      <c r="M18" s="3065">
        <v>121424</v>
      </c>
      <c r="N18" s="3065">
        <v>139915</v>
      </c>
      <c r="O18" s="3066"/>
    </row>
    <row r="19" spans="1:15" ht="18" customHeight="1">
      <c r="A19" s="3058" t="s">
        <v>4532</v>
      </c>
      <c r="B19" s="3016" t="s">
        <v>4455</v>
      </c>
      <c r="C19" s="3017" t="s">
        <v>49</v>
      </c>
      <c r="D19" s="3059">
        <v>93282</v>
      </c>
      <c r="E19" s="3059">
        <v>115502</v>
      </c>
      <c r="F19" s="3012">
        <v>121037</v>
      </c>
      <c r="G19" s="3012">
        <v>132165</v>
      </c>
      <c r="H19" s="3019">
        <v>118444</v>
      </c>
      <c r="I19" s="3020" t="s">
        <v>4533</v>
      </c>
      <c r="J19" s="3020" t="s">
        <v>4534</v>
      </c>
      <c r="K19" s="3067" t="s">
        <v>4535</v>
      </c>
      <c r="L19" s="3067" t="s">
        <v>4536</v>
      </c>
      <c r="M19" s="3022" t="s">
        <v>4537</v>
      </c>
      <c r="N19" s="3023" t="s">
        <v>4538</v>
      </c>
    </row>
    <row r="20" spans="1:15" ht="18" customHeight="1">
      <c r="A20" s="3058" t="s">
        <v>4539</v>
      </c>
      <c r="B20" s="3027" t="s">
        <v>4455</v>
      </c>
      <c r="C20" s="3028" t="s">
        <v>49</v>
      </c>
      <c r="D20" s="3037">
        <v>63219</v>
      </c>
      <c r="E20" s="3037">
        <v>74037</v>
      </c>
      <c r="F20" s="3034">
        <v>69708</v>
      </c>
      <c r="G20" s="3034">
        <v>67970</v>
      </c>
      <c r="H20" s="3068">
        <v>61681</v>
      </c>
      <c r="I20" s="3069" t="s">
        <v>4540</v>
      </c>
      <c r="J20" s="3069" t="s">
        <v>4541</v>
      </c>
      <c r="K20" s="3067" t="s">
        <v>4542</v>
      </c>
      <c r="L20" s="3067" t="s">
        <v>4543</v>
      </c>
      <c r="M20" s="3022" t="s">
        <v>4544</v>
      </c>
      <c r="N20" s="3023" t="s">
        <v>4545</v>
      </c>
    </row>
    <row r="21" spans="1:15" ht="18" customHeight="1">
      <c r="A21" s="3058" t="s">
        <v>4546</v>
      </c>
      <c r="B21" s="3027" t="s">
        <v>4547</v>
      </c>
      <c r="C21" s="3028" t="s">
        <v>3057</v>
      </c>
      <c r="D21" s="3029">
        <v>-5</v>
      </c>
      <c r="E21" s="3070" t="s">
        <v>4548</v>
      </c>
      <c r="F21" s="3071" t="s">
        <v>4549</v>
      </c>
      <c r="G21" s="3071" t="s">
        <v>4550</v>
      </c>
      <c r="H21" s="3071" t="s">
        <v>4551</v>
      </c>
      <c r="I21" s="3071" t="s">
        <v>4552</v>
      </c>
      <c r="J21" s="3071" t="s">
        <v>4553</v>
      </c>
      <c r="K21" s="3070" t="s">
        <v>4554</v>
      </c>
      <c r="L21" s="3067" t="s">
        <v>4555</v>
      </c>
      <c r="M21" s="3022" t="s">
        <v>4556</v>
      </c>
      <c r="N21" s="3022" t="s">
        <v>4453</v>
      </c>
    </row>
    <row r="22" spans="1:15" ht="18" customHeight="1">
      <c r="A22" s="3058" t="s">
        <v>4557</v>
      </c>
      <c r="B22" s="3016" t="s">
        <v>4558</v>
      </c>
      <c r="C22" s="3017" t="s">
        <v>49</v>
      </c>
      <c r="D22" s="3012">
        <v>9906</v>
      </c>
      <c r="E22" s="3059">
        <v>9255</v>
      </c>
      <c r="F22" s="3012">
        <v>14207</v>
      </c>
      <c r="G22" s="3024">
        <v>13152</v>
      </c>
      <c r="H22" s="3012">
        <v>21617</v>
      </c>
      <c r="I22" s="3012">
        <v>26791</v>
      </c>
      <c r="J22" s="3012">
        <v>31351</v>
      </c>
      <c r="K22" s="3059">
        <v>35947</v>
      </c>
      <c r="L22" s="3021" t="s">
        <v>4559</v>
      </c>
      <c r="M22" s="3023" t="s">
        <v>4560</v>
      </c>
      <c r="N22" s="3022" t="s">
        <v>4453</v>
      </c>
    </row>
    <row r="23" spans="1:15" ht="18" customHeight="1">
      <c r="A23" s="3058" t="s">
        <v>4561</v>
      </c>
      <c r="B23" s="3016" t="s">
        <v>4558</v>
      </c>
      <c r="C23" s="3017" t="s">
        <v>3057</v>
      </c>
      <c r="D23" s="3040">
        <v>5.3456872733552068</v>
      </c>
      <c r="E23" s="3043">
        <v>4.5955769173477394</v>
      </c>
      <c r="F23" s="3042">
        <v>6.2463946535349981</v>
      </c>
      <c r="G23" s="3042">
        <v>5.0550590948400114</v>
      </c>
      <c r="H23" s="3042">
        <v>7.6560192383293257</v>
      </c>
      <c r="I23" s="3042">
        <v>8.9550792021953995</v>
      </c>
      <c r="J23" s="3042">
        <v>9.7058914584687788</v>
      </c>
      <c r="K23" s="3043">
        <v>10.5</v>
      </c>
      <c r="L23" s="3046">
        <v>12.877770132267329</v>
      </c>
      <c r="M23" s="3047">
        <v>13.289058848742902</v>
      </c>
      <c r="N23" s="3072" t="s">
        <v>4453</v>
      </c>
    </row>
    <row r="24" spans="1:15" ht="18" customHeight="1">
      <c r="A24" s="3058" t="s">
        <v>4562</v>
      </c>
      <c r="B24" s="3016" t="s">
        <v>4558</v>
      </c>
      <c r="C24" s="3017" t="s">
        <v>49</v>
      </c>
      <c r="D24" s="3012">
        <v>96584</v>
      </c>
      <c r="E24" s="3012">
        <v>104829</v>
      </c>
      <c r="F24" s="3012">
        <v>108668</v>
      </c>
      <c r="G24" s="3012">
        <v>109836</v>
      </c>
      <c r="H24" s="3012">
        <v>125644</v>
      </c>
      <c r="I24" s="3012">
        <v>128557</v>
      </c>
      <c r="J24" s="3012">
        <v>137219</v>
      </c>
      <c r="K24" s="3012">
        <v>140806</v>
      </c>
      <c r="L24" s="3012" t="s">
        <v>4563</v>
      </c>
      <c r="M24" s="3023" t="s">
        <v>4564</v>
      </c>
      <c r="N24" s="3022" t="s">
        <v>4453</v>
      </c>
    </row>
    <row r="25" spans="1:15" ht="18" customHeight="1">
      <c r="A25" s="3058" t="s">
        <v>4565</v>
      </c>
      <c r="B25" s="3016" t="s">
        <v>4558</v>
      </c>
      <c r="C25" s="3017" t="s">
        <v>3057</v>
      </c>
      <c r="D25" s="3040">
        <v>52.119452598860306</v>
      </c>
      <c r="E25" s="3040">
        <v>52.050467234034102</v>
      </c>
      <c r="F25" s="3040">
        <v>47.778930706999645</v>
      </c>
      <c r="G25" s="3040">
        <v>42.216162198520223</v>
      </c>
      <c r="H25" s="3040">
        <v>44.498907396060957</v>
      </c>
      <c r="I25" s="3040">
        <v>42.9710767420639</v>
      </c>
      <c r="J25" s="3040">
        <v>42.481347326708153</v>
      </c>
      <c r="K25" s="3040">
        <v>41</v>
      </c>
      <c r="L25" s="3040">
        <v>41</v>
      </c>
      <c r="M25" s="3073">
        <v>42.8</v>
      </c>
      <c r="N25" s="3074" t="s">
        <v>4453</v>
      </c>
    </row>
    <row r="26" spans="1:15" ht="18" customHeight="1">
      <c r="A26" s="3058" t="s">
        <v>4566</v>
      </c>
      <c r="B26" s="3075" t="s">
        <v>4531</v>
      </c>
      <c r="C26" s="3017" t="s">
        <v>49</v>
      </c>
      <c r="D26" s="3034">
        <v>105066</v>
      </c>
      <c r="E26" s="3034">
        <v>119471</v>
      </c>
      <c r="F26" s="3034">
        <v>131381</v>
      </c>
      <c r="G26" s="3034">
        <v>155847</v>
      </c>
      <c r="H26" s="3034">
        <v>182681</v>
      </c>
      <c r="I26" s="3034">
        <v>197817</v>
      </c>
      <c r="J26" s="3034">
        <v>216575.2</v>
      </c>
      <c r="K26" s="3034">
        <v>239760.3</v>
      </c>
      <c r="L26" s="3034">
        <v>258853</v>
      </c>
      <c r="M26" s="3076">
        <v>268044.96930909937</v>
      </c>
      <c r="N26" s="3076">
        <v>275266.0622954446</v>
      </c>
    </row>
    <row r="27" spans="1:15" ht="18" customHeight="1">
      <c r="A27" s="3058" t="s">
        <v>4567</v>
      </c>
      <c r="B27" s="3075" t="s">
        <v>4490</v>
      </c>
      <c r="C27" s="3017" t="s">
        <v>3057</v>
      </c>
      <c r="D27" s="3029">
        <v>12.8</v>
      </c>
      <c r="E27" s="3029">
        <v>13.7</v>
      </c>
      <c r="F27" s="3029">
        <v>10</v>
      </c>
      <c r="G27" s="3029">
        <v>18.600000000000001</v>
      </c>
      <c r="H27" s="3029">
        <v>17.2</v>
      </c>
      <c r="I27" s="3029">
        <v>8.3000000000000007</v>
      </c>
      <c r="J27" s="3029">
        <v>9.5</v>
      </c>
      <c r="K27" s="3029">
        <v>10.7</v>
      </c>
      <c r="L27" s="3029">
        <v>8</v>
      </c>
      <c r="M27" s="3077">
        <v>3.5510383534667818</v>
      </c>
      <c r="N27" s="3077">
        <v>2.7</v>
      </c>
    </row>
    <row r="28" spans="1:15" ht="18" customHeight="1">
      <c r="A28" s="3058" t="s">
        <v>4568</v>
      </c>
      <c r="B28" s="3075" t="s">
        <v>4531</v>
      </c>
      <c r="C28" s="3017" t="s">
        <v>49</v>
      </c>
      <c r="D28" s="3034">
        <v>9649</v>
      </c>
      <c r="E28" s="3034">
        <v>10432</v>
      </c>
      <c r="F28" s="3034">
        <v>11597</v>
      </c>
      <c r="G28" s="3034">
        <v>12746</v>
      </c>
      <c r="H28" s="3034">
        <v>14683</v>
      </c>
      <c r="I28" s="3034">
        <v>15905</v>
      </c>
      <c r="J28" s="3034">
        <v>17517</v>
      </c>
      <c r="K28" s="3034">
        <v>19014</v>
      </c>
      <c r="L28" s="3034">
        <v>20523</v>
      </c>
      <c r="M28" s="3078">
        <v>21684.992832060678</v>
      </c>
      <c r="N28" s="3078">
        <v>24017.50101763201</v>
      </c>
    </row>
    <row r="29" spans="1:15" ht="18" customHeight="1">
      <c r="A29" s="3058" t="s">
        <v>4569</v>
      </c>
      <c r="B29" s="3075" t="s">
        <v>4531</v>
      </c>
      <c r="C29" s="3017" t="s">
        <v>49</v>
      </c>
      <c r="D29" s="3034">
        <v>121212</v>
      </c>
      <c r="E29" s="3034">
        <v>135159</v>
      </c>
      <c r="F29" s="3034">
        <v>147474</v>
      </c>
      <c r="G29" s="3034">
        <v>174329.61935208185</v>
      </c>
      <c r="H29" s="3034">
        <v>195724</v>
      </c>
      <c r="I29" s="3034">
        <v>215938</v>
      </c>
      <c r="J29" s="3034">
        <v>228885</v>
      </c>
      <c r="K29" s="3034">
        <v>248767</v>
      </c>
      <c r="L29" s="3034">
        <v>266664</v>
      </c>
      <c r="M29" s="3076">
        <v>292500</v>
      </c>
      <c r="N29" s="3076">
        <v>314537</v>
      </c>
      <c r="O29" s="3079"/>
    </row>
    <row r="30" spans="1:15" ht="18" customHeight="1">
      <c r="A30" s="3058" t="s">
        <v>4570</v>
      </c>
      <c r="B30" s="3075" t="s">
        <v>4531</v>
      </c>
      <c r="C30" s="3017" t="s">
        <v>49</v>
      </c>
      <c r="D30" s="3034">
        <v>185870</v>
      </c>
      <c r="E30" s="3034">
        <v>198415</v>
      </c>
      <c r="F30" s="3034">
        <v>215408</v>
      </c>
      <c r="G30" s="3034">
        <v>252007</v>
      </c>
      <c r="H30" s="3034">
        <v>283613</v>
      </c>
      <c r="I30" s="3034">
        <v>286853</v>
      </c>
      <c r="J30" s="3034">
        <v>306228</v>
      </c>
      <c r="K30" s="3034">
        <v>327851</v>
      </c>
      <c r="L30" s="3034">
        <v>351376</v>
      </c>
      <c r="M30" s="3076">
        <v>378456.25837457663</v>
      </c>
      <c r="N30" s="3076">
        <v>418402.1040415793</v>
      </c>
      <c r="O30" s="3079"/>
    </row>
    <row r="31" spans="1:15" ht="18" customHeight="1">
      <c r="A31" s="3058" t="s">
        <v>4571</v>
      </c>
      <c r="B31" s="3075" t="s">
        <v>4490</v>
      </c>
      <c r="C31" s="3017" t="s">
        <v>3057</v>
      </c>
      <c r="D31" s="3080">
        <v>13.6</v>
      </c>
      <c r="E31" s="3080">
        <v>6.7</v>
      </c>
      <c r="F31" s="3080">
        <v>8.6</v>
      </c>
      <c r="G31" s="3080">
        <v>17</v>
      </c>
      <c r="H31" s="3080">
        <v>12.5</v>
      </c>
      <c r="I31" s="3080">
        <v>1.1000000000000001</v>
      </c>
      <c r="J31" s="3080">
        <v>6.8</v>
      </c>
      <c r="K31" s="3080">
        <v>7.1</v>
      </c>
      <c r="L31" s="3080">
        <v>7.2</v>
      </c>
      <c r="M31" s="3077">
        <v>7.706917482860705</v>
      </c>
      <c r="N31" s="3077">
        <v>10.6</v>
      </c>
      <c r="O31" s="3079"/>
    </row>
    <row r="32" spans="1:15" ht="18.75">
      <c r="A32" s="3058" t="s">
        <v>4572</v>
      </c>
      <c r="B32" s="3075" t="s">
        <v>4531</v>
      </c>
      <c r="C32" s="3017" t="s">
        <v>49</v>
      </c>
      <c r="D32" s="3034">
        <v>128383</v>
      </c>
      <c r="E32" s="3034">
        <v>150061</v>
      </c>
      <c r="F32" s="3034">
        <v>168207</v>
      </c>
      <c r="G32" s="3034">
        <v>205532.56642720546</v>
      </c>
      <c r="H32" s="3034">
        <v>225439</v>
      </c>
      <c r="I32" s="3034">
        <v>267574</v>
      </c>
      <c r="J32" s="3034">
        <v>292124</v>
      </c>
      <c r="K32" s="3034">
        <v>339992</v>
      </c>
      <c r="L32" s="3034">
        <v>371452</v>
      </c>
      <c r="M32" s="3076">
        <v>391977.25670871098</v>
      </c>
      <c r="N32" s="3076">
        <v>414496.7706509392</v>
      </c>
    </row>
    <row r="33" spans="1:14" ht="18.75">
      <c r="A33" s="3058" t="s">
        <v>4573</v>
      </c>
      <c r="B33" s="3075" t="s">
        <v>4490</v>
      </c>
      <c r="C33" s="3017" t="s">
        <v>3057</v>
      </c>
      <c r="D33" s="3080">
        <v>10.7</v>
      </c>
      <c r="E33" s="3080">
        <v>16.899999999999999</v>
      </c>
      <c r="F33" s="3080">
        <v>12.1</v>
      </c>
      <c r="G33" s="3080">
        <v>22.2</v>
      </c>
      <c r="H33" s="3080">
        <v>9.6999999999999993</v>
      </c>
      <c r="I33" s="3080">
        <v>18.7</v>
      </c>
      <c r="J33" s="3080">
        <v>9.1999999999999993</v>
      </c>
      <c r="K33" s="3080">
        <v>16.399999999999999</v>
      </c>
      <c r="L33" s="3080">
        <v>9.3000000000000007</v>
      </c>
      <c r="M33" s="3081">
        <v>5.5256821093199067</v>
      </c>
      <c r="N33" s="3081">
        <v>5.7</v>
      </c>
    </row>
    <row r="34" spans="1:14" ht="3.75" customHeight="1" thickBot="1">
      <c r="A34" s="3082"/>
      <c r="B34" s="3083"/>
      <c r="C34" s="3084"/>
      <c r="D34" s="3085"/>
      <c r="E34" s="3085"/>
      <c r="F34" s="3085"/>
      <c r="G34" s="3085"/>
      <c r="H34" s="3085"/>
      <c r="I34" s="3085"/>
      <c r="J34" s="3085"/>
      <c r="K34" s="3086"/>
      <c r="L34" s="3086"/>
      <c r="M34" s="3087"/>
      <c r="N34" s="3087"/>
    </row>
    <row r="35" spans="1:14" ht="18">
      <c r="A35" s="3088" t="s">
        <v>4574</v>
      </c>
      <c r="C35" s="3089" t="s">
        <v>4575</v>
      </c>
      <c r="D35" s="3088"/>
      <c r="E35" s="3088"/>
      <c r="F35" s="3088"/>
      <c r="G35" s="3088"/>
      <c r="H35" s="3088"/>
      <c r="I35" s="3088"/>
    </row>
    <row r="36" spans="1:14" ht="18">
      <c r="A36" s="3088" t="s">
        <v>4576</v>
      </c>
      <c r="C36" s="2998" t="s">
        <v>4577</v>
      </c>
      <c r="D36" s="2998"/>
      <c r="E36" s="2998"/>
      <c r="F36" s="2998"/>
      <c r="G36" s="2998"/>
      <c r="H36" s="2998"/>
      <c r="I36" s="2998"/>
      <c r="J36" s="3090"/>
      <c r="K36" s="3090"/>
      <c r="L36" s="3090"/>
    </row>
    <row r="37" spans="1:14" ht="18">
      <c r="A37" s="3091" t="s">
        <v>4578</v>
      </c>
      <c r="C37" s="3088"/>
      <c r="D37" s="3092"/>
      <c r="E37" s="3092"/>
      <c r="F37" s="3092"/>
      <c r="G37" s="3092"/>
      <c r="H37" s="3092"/>
      <c r="I37" s="3092"/>
    </row>
    <row r="38" spans="1:14" ht="18">
      <c r="A38" s="3091" t="s">
        <v>4579</v>
      </c>
      <c r="C38" s="3088"/>
      <c r="D38" s="3092"/>
      <c r="E38" s="3092"/>
      <c r="F38" s="3092"/>
      <c r="G38" s="3092"/>
      <c r="H38" s="3092"/>
      <c r="I38" s="3092"/>
    </row>
    <row r="39" spans="1:14" ht="18">
      <c r="A39" s="3091" t="s">
        <v>4580</v>
      </c>
      <c r="C39" s="3088"/>
      <c r="D39" s="2998"/>
    </row>
    <row r="40" spans="1:14" ht="18">
      <c r="A40" s="3091" t="s">
        <v>4581</v>
      </c>
      <c r="C40" s="3088"/>
      <c r="D40" s="2998"/>
    </row>
    <row r="41" spans="1:14" ht="29.25" customHeight="1">
      <c r="A41" s="3160" t="s">
        <v>4582</v>
      </c>
      <c r="B41" s="3160"/>
      <c r="C41" s="3160"/>
      <c r="D41" s="3160"/>
      <c r="E41" s="3160"/>
      <c r="F41" s="3160"/>
      <c r="G41" s="3160"/>
      <c r="H41" s="3160"/>
      <c r="I41" s="3160"/>
      <c r="J41" s="3160"/>
      <c r="K41" s="3160"/>
    </row>
    <row r="42" spans="1:14" s="3095" customFormat="1">
      <c r="A42" s="3093" t="s">
        <v>4583</v>
      </c>
      <c r="B42" s="3094"/>
      <c r="C42" s="3094"/>
      <c r="D42" s="3094"/>
      <c r="E42" s="3094"/>
      <c r="F42" s="3094"/>
      <c r="G42" s="3094"/>
      <c r="H42" s="3094"/>
      <c r="I42" s="3094"/>
      <c r="J42" s="3094"/>
      <c r="K42" s="3094"/>
      <c r="L42" s="2999"/>
      <c r="M42" s="2999"/>
    </row>
    <row r="43" spans="1:14">
      <c r="A43" s="3096" t="s">
        <v>4584</v>
      </c>
      <c r="B43" s="3097"/>
      <c r="C43" s="3097"/>
      <c r="D43" s="3094"/>
      <c r="E43" s="3094"/>
      <c r="F43" s="3094"/>
      <c r="G43" s="3094"/>
      <c r="H43" s="3094"/>
      <c r="I43" s="3094"/>
      <c r="J43" s="3094"/>
      <c r="K43" s="3094"/>
    </row>
    <row r="44" spans="1:14" ht="18">
      <c r="A44" s="3098" t="s">
        <v>4585</v>
      </c>
      <c r="B44" s="3091"/>
      <c r="C44" s="3098" t="s">
        <v>4586</v>
      </c>
      <c r="D44" s="3091"/>
      <c r="E44" s="3091"/>
      <c r="F44" s="3091"/>
      <c r="G44" s="3091"/>
      <c r="H44" s="3091"/>
      <c r="I44" s="3091"/>
      <c r="J44" s="3091"/>
      <c r="K44" s="3091"/>
      <c r="L44" s="3091"/>
      <c r="M44" s="3091"/>
    </row>
    <row r="45" spans="1:14" ht="18">
      <c r="A45" s="3089" t="s">
        <v>4587</v>
      </c>
      <c r="B45" s="3088"/>
      <c r="D45" s="2998"/>
    </row>
    <row r="46" spans="1:14">
      <c r="A46" s="3089" t="s">
        <v>4588</v>
      </c>
      <c r="B46" s="3089"/>
      <c r="D46" s="2998"/>
    </row>
    <row r="47" spans="1:14" ht="18">
      <c r="A47" s="3089"/>
      <c r="B47" s="3088"/>
      <c r="D47" s="2998"/>
    </row>
    <row r="48" spans="1:14">
      <c r="A48" s="3099"/>
    </row>
    <row r="49" spans="1:1">
      <c r="A49" s="3099"/>
    </row>
    <row r="50" spans="1:1">
      <c r="A50" s="3099"/>
    </row>
    <row r="51" spans="1:1">
      <c r="A51" s="3099"/>
    </row>
    <row r="52" spans="1:1">
      <c r="A52" s="3099"/>
    </row>
    <row r="53" spans="1:1">
      <c r="A53" s="3099"/>
    </row>
    <row r="54" spans="1:1">
      <c r="A54" s="3099"/>
    </row>
    <row r="55" spans="1:1">
      <c r="A55" s="3099"/>
    </row>
    <row r="56" spans="1:1">
      <c r="A56" s="3099"/>
    </row>
    <row r="57" spans="1:1">
      <c r="A57" s="3099"/>
    </row>
    <row r="58" spans="1:1">
      <c r="A58" s="3099"/>
    </row>
    <row r="59" spans="1:1">
      <c r="A59" s="3099"/>
    </row>
    <row r="60" spans="1:1">
      <c r="A60" s="3099"/>
    </row>
    <row r="61" spans="1:1">
      <c r="A61" s="3099"/>
    </row>
    <row r="62" spans="1:1">
      <c r="A62" s="3099"/>
    </row>
  </sheetData>
  <mergeCells count="1">
    <mergeCell ref="A41:K41"/>
  </mergeCells>
  <printOptions horizontalCentered="1" verticalCentered="1"/>
  <pageMargins left="0" right="0" top="0" bottom="0" header="0" footer="0"/>
  <pageSetup paperSize="9" scale="62"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S133"/>
  <sheetViews>
    <sheetView zoomScaleNormal="100" workbookViewId="0">
      <pane xSplit="105" ySplit="4" topLeftCell="DB7" activePane="bottomRight" state="frozen"/>
      <selection pane="topRight" activeCell="DB1" sqref="DB1"/>
      <selection pane="bottomLeft" activeCell="A5" sqref="A5"/>
      <selection pane="bottomRight" activeCell="EA28" sqref="EA28"/>
    </sheetView>
  </sheetViews>
  <sheetFormatPr defaultRowHeight="15"/>
  <cols>
    <col min="1" max="1" width="5.85546875" style="894" customWidth="1"/>
    <col min="2" max="2" width="57.28515625" style="894" customWidth="1"/>
    <col min="3" max="26" width="8.140625" style="894" hidden="1" customWidth="1"/>
    <col min="27" max="27" width="8.28515625" style="894" hidden="1" customWidth="1"/>
    <col min="28" max="43" width="8.140625" style="894" hidden="1" customWidth="1"/>
    <col min="44" max="44" width="8" style="894" hidden="1" customWidth="1"/>
    <col min="45" max="53" width="8.140625" style="894" hidden="1" customWidth="1"/>
    <col min="54" max="54" width="8.28515625" style="894" hidden="1" customWidth="1"/>
    <col min="55" max="58" width="8.140625" style="894" hidden="1" customWidth="1"/>
    <col min="59" max="60" width="8" style="894" hidden="1" customWidth="1"/>
    <col min="61" max="62" width="7.85546875" style="894" hidden="1" customWidth="1"/>
    <col min="63" max="65" width="10.7109375" style="894" hidden="1" customWidth="1"/>
    <col min="66" max="66" width="10.42578125" style="894" hidden="1" customWidth="1"/>
    <col min="67" max="96" width="10.7109375" style="894" hidden="1" customWidth="1"/>
    <col min="97" max="110" width="14.28515625" style="894" hidden="1" customWidth="1"/>
    <col min="111" max="123" width="14.28515625" style="894" customWidth="1"/>
    <col min="124" max="266" width="9.140625" style="894"/>
    <col min="267" max="267" width="5.85546875" style="894" customWidth="1"/>
    <col min="268" max="268" width="55.42578125" style="894" bestFit="1" customWidth="1"/>
    <col min="269" max="361" width="0" style="894" hidden="1" customWidth="1"/>
    <col min="362" max="372" width="10.7109375" style="894" customWidth="1"/>
    <col min="373" max="522" width="9.140625" style="894"/>
    <col min="523" max="523" width="5.85546875" style="894" customWidth="1"/>
    <col min="524" max="524" width="55.42578125" style="894" bestFit="1" customWidth="1"/>
    <col min="525" max="617" width="0" style="894" hidden="1" customWidth="1"/>
    <col min="618" max="628" width="10.7109375" style="894" customWidth="1"/>
    <col min="629" max="778" width="9.140625" style="894"/>
    <col min="779" max="779" width="5.85546875" style="894" customWidth="1"/>
    <col min="780" max="780" width="55.42578125" style="894" bestFit="1" customWidth="1"/>
    <col min="781" max="873" width="0" style="894" hidden="1" customWidth="1"/>
    <col min="874" max="884" width="10.7109375" style="894" customWidth="1"/>
    <col min="885" max="1034" width="9.140625" style="894"/>
    <col min="1035" max="1035" width="5.85546875" style="894" customWidth="1"/>
    <col min="1036" max="1036" width="55.42578125" style="894" bestFit="1" customWidth="1"/>
    <col min="1037" max="1129" width="0" style="894" hidden="1" customWidth="1"/>
    <col min="1130" max="1140" width="10.7109375" style="894" customWidth="1"/>
    <col min="1141" max="1290" width="9.140625" style="894"/>
    <col min="1291" max="1291" width="5.85546875" style="894" customWidth="1"/>
    <col min="1292" max="1292" width="55.42578125" style="894" bestFit="1" customWidth="1"/>
    <col min="1293" max="1385" width="0" style="894" hidden="1" customWidth="1"/>
    <col min="1386" max="1396" width="10.7109375" style="894" customWidth="1"/>
    <col min="1397" max="1546" width="9.140625" style="894"/>
    <col min="1547" max="1547" width="5.85546875" style="894" customWidth="1"/>
    <col min="1548" max="1548" width="55.42578125" style="894" bestFit="1" customWidth="1"/>
    <col min="1549" max="1641" width="0" style="894" hidden="1" customWidth="1"/>
    <col min="1642" max="1652" width="10.7109375" style="894" customWidth="1"/>
    <col min="1653" max="1802" width="9.140625" style="894"/>
    <col min="1803" max="1803" width="5.85546875" style="894" customWidth="1"/>
    <col min="1804" max="1804" width="55.42578125" style="894" bestFit="1" customWidth="1"/>
    <col min="1805" max="1897" width="0" style="894" hidden="1" customWidth="1"/>
    <col min="1898" max="1908" width="10.7109375" style="894" customWidth="1"/>
    <col min="1909" max="2058" width="9.140625" style="894"/>
    <col min="2059" max="2059" width="5.85546875" style="894" customWidth="1"/>
    <col min="2060" max="2060" width="55.42578125" style="894" bestFit="1" customWidth="1"/>
    <col min="2061" max="2153" width="0" style="894" hidden="1" customWidth="1"/>
    <col min="2154" max="2164" width="10.7109375" style="894" customWidth="1"/>
    <col min="2165" max="2314" width="9.140625" style="894"/>
    <col min="2315" max="2315" width="5.85546875" style="894" customWidth="1"/>
    <col min="2316" max="2316" width="55.42578125" style="894" bestFit="1" customWidth="1"/>
    <col min="2317" max="2409" width="0" style="894" hidden="1" customWidth="1"/>
    <col min="2410" max="2420" width="10.7109375" style="894" customWidth="1"/>
    <col min="2421" max="2570" width="9.140625" style="894"/>
    <col min="2571" max="2571" width="5.85546875" style="894" customWidth="1"/>
    <col min="2572" max="2572" width="55.42578125" style="894" bestFit="1" customWidth="1"/>
    <col min="2573" max="2665" width="0" style="894" hidden="1" customWidth="1"/>
    <col min="2666" max="2676" width="10.7109375" style="894" customWidth="1"/>
    <col min="2677" max="2826" width="9.140625" style="894"/>
    <col min="2827" max="2827" width="5.85546875" style="894" customWidth="1"/>
    <col min="2828" max="2828" width="55.42578125" style="894" bestFit="1" customWidth="1"/>
    <col min="2829" max="2921" width="0" style="894" hidden="1" customWidth="1"/>
    <col min="2922" max="2932" width="10.7109375" style="894" customWidth="1"/>
    <col min="2933" max="3082" width="9.140625" style="894"/>
    <col min="3083" max="3083" width="5.85546875" style="894" customWidth="1"/>
    <col min="3084" max="3084" width="55.42578125" style="894" bestFit="1" customWidth="1"/>
    <col min="3085" max="3177" width="0" style="894" hidden="1" customWidth="1"/>
    <col min="3178" max="3188" width="10.7109375" style="894" customWidth="1"/>
    <col min="3189" max="3338" width="9.140625" style="894"/>
    <col min="3339" max="3339" width="5.85546875" style="894" customWidth="1"/>
    <col min="3340" max="3340" width="55.42578125" style="894" bestFit="1" customWidth="1"/>
    <col min="3341" max="3433" width="0" style="894" hidden="1" customWidth="1"/>
    <col min="3434" max="3444" width="10.7109375" style="894" customWidth="1"/>
    <col min="3445" max="3594" width="9.140625" style="894"/>
    <col min="3595" max="3595" width="5.85546875" style="894" customWidth="1"/>
    <col min="3596" max="3596" width="55.42578125" style="894" bestFit="1" customWidth="1"/>
    <col min="3597" max="3689" width="0" style="894" hidden="1" customWidth="1"/>
    <col min="3690" max="3700" width="10.7109375" style="894" customWidth="1"/>
    <col min="3701" max="3850" width="9.140625" style="894"/>
    <col min="3851" max="3851" width="5.85546875" style="894" customWidth="1"/>
    <col min="3852" max="3852" width="55.42578125" style="894" bestFit="1" customWidth="1"/>
    <col min="3853" max="3945" width="0" style="894" hidden="1" customWidth="1"/>
    <col min="3946" max="3956" width="10.7109375" style="894" customWidth="1"/>
    <col min="3957" max="4106" width="9.140625" style="894"/>
    <col min="4107" max="4107" width="5.85546875" style="894" customWidth="1"/>
    <col min="4108" max="4108" width="55.42578125" style="894" bestFit="1" customWidth="1"/>
    <col min="4109" max="4201" width="0" style="894" hidden="1" customWidth="1"/>
    <col min="4202" max="4212" width="10.7109375" style="894" customWidth="1"/>
    <col min="4213" max="4362" width="9.140625" style="894"/>
    <col min="4363" max="4363" width="5.85546875" style="894" customWidth="1"/>
    <col min="4364" max="4364" width="55.42578125" style="894" bestFit="1" customWidth="1"/>
    <col min="4365" max="4457" width="0" style="894" hidden="1" customWidth="1"/>
    <col min="4458" max="4468" width="10.7109375" style="894" customWidth="1"/>
    <col min="4469" max="4618" width="9.140625" style="894"/>
    <col min="4619" max="4619" width="5.85546875" style="894" customWidth="1"/>
    <col min="4620" max="4620" width="55.42578125" style="894" bestFit="1" customWidth="1"/>
    <col min="4621" max="4713" width="0" style="894" hidden="1" customWidth="1"/>
    <col min="4714" max="4724" width="10.7109375" style="894" customWidth="1"/>
    <col min="4725" max="4874" width="9.140625" style="894"/>
    <col min="4875" max="4875" width="5.85546875" style="894" customWidth="1"/>
    <col min="4876" max="4876" width="55.42578125" style="894" bestFit="1" customWidth="1"/>
    <col min="4877" max="4969" width="0" style="894" hidden="1" customWidth="1"/>
    <col min="4970" max="4980" width="10.7109375" style="894" customWidth="1"/>
    <col min="4981" max="5130" width="9.140625" style="894"/>
    <col min="5131" max="5131" width="5.85546875" style="894" customWidth="1"/>
    <col min="5132" max="5132" width="55.42578125" style="894" bestFit="1" customWidth="1"/>
    <col min="5133" max="5225" width="0" style="894" hidden="1" customWidth="1"/>
    <col min="5226" max="5236" width="10.7109375" style="894" customWidth="1"/>
    <col min="5237" max="5386" width="9.140625" style="894"/>
    <col min="5387" max="5387" width="5.85546875" style="894" customWidth="1"/>
    <col min="5388" max="5388" width="55.42578125" style="894" bestFit="1" customWidth="1"/>
    <col min="5389" max="5481" width="0" style="894" hidden="1" customWidth="1"/>
    <col min="5482" max="5492" width="10.7109375" style="894" customWidth="1"/>
    <col min="5493" max="5642" width="9.140625" style="894"/>
    <col min="5643" max="5643" width="5.85546875" style="894" customWidth="1"/>
    <col min="5644" max="5644" width="55.42578125" style="894" bestFit="1" customWidth="1"/>
    <col min="5645" max="5737" width="0" style="894" hidden="1" customWidth="1"/>
    <col min="5738" max="5748" width="10.7109375" style="894" customWidth="1"/>
    <col min="5749" max="5898" width="9.140625" style="894"/>
    <col min="5899" max="5899" width="5.85546875" style="894" customWidth="1"/>
    <col min="5900" max="5900" width="55.42578125" style="894" bestFit="1" customWidth="1"/>
    <col min="5901" max="5993" width="0" style="894" hidden="1" customWidth="1"/>
    <col min="5994" max="6004" width="10.7109375" style="894" customWidth="1"/>
    <col min="6005" max="6154" width="9.140625" style="894"/>
    <col min="6155" max="6155" width="5.85546875" style="894" customWidth="1"/>
    <col min="6156" max="6156" width="55.42578125" style="894" bestFit="1" customWidth="1"/>
    <col min="6157" max="6249" width="0" style="894" hidden="1" customWidth="1"/>
    <col min="6250" max="6260" width="10.7109375" style="894" customWidth="1"/>
    <col min="6261" max="6410" width="9.140625" style="894"/>
    <col min="6411" max="6411" width="5.85546875" style="894" customWidth="1"/>
    <col min="6412" max="6412" width="55.42578125" style="894" bestFit="1" customWidth="1"/>
    <col min="6413" max="6505" width="0" style="894" hidden="1" customWidth="1"/>
    <col min="6506" max="6516" width="10.7109375" style="894" customWidth="1"/>
    <col min="6517" max="6666" width="9.140625" style="894"/>
    <col min="6667" max="6667" width="5.85546875" style="894" customWidth="1"/>
    <col min="6668" max="6668" width="55.42578125" style="894" bestFit="1" customWidth="1"/>
    <col min="6669" max="6761" width="0" style="894" hidden="1" customWidth="1"/>
    <col min="6762" max="6772" width="10.7109375" style="894" customWidth="1"/>
    <col min="6773" max="6922" width="9.140625" style="894"/>
    <col min="6923" max="6923" width="5.85546875" style="894" customWidth="1"/>
    <col min="6924" max="6924" width="55.42578125" style="894" bestFit="1" customWidth="1"/>
    <col min="6925" max="7017" width="0" style="894" hidden="1" customWidth="1"/>
    <col min="7018" max="7028" width="10.7109375" style="894" customWidth="1"/>
    <col min="7029" max="7178" width="9.140625" style="894"/>
    <col min="7179" max="7179" width="5.85546875" style="894" customWidth="1"/>
    <col min="7180" max="7180" width="55.42578125" style="894" bestFit="1" customWidth="1"/>
    <col min="7181" max="7273" width="0" style="894" hidden="1" customWidth="1"/>
    <col min="7274" max="7284" width="10.7109375" style="894" customWidth="1"/>
    <col min="7285" max="7434" width="9.140625" style="894"/>
    <col min="7435" max="7435" width="5.85546875" style="894" customWidth="1"/>
    <col min="7436" max="7436" width="55.42578125" style="894" bestFit="1" customWidth="1"/>
    <col min="7437" max="7529" width="0" style="894" hidden="1" customWidth="1"/>
    <col min="7530" max="7540" width="10.7109375" style="894" customWidth="1"/>
    <col min="7541" max="7690" width="9.140625" style="894"/>
    <col min="7691" max="7691" width="5.85546875" style="894" customWidth="1"/>
    <col min="7692" max="7692" width="55.42578125" style="894" bestFit="1" customWidth="1"/>
    <col min="7693" max="7785" width="0" style="894" hidden="1" customWidth="1"/>
    <col min="7786" max="7796" width="10.7109375" style="894" customWidth="1"/>
    <col min="7797" max="7946" width="9.140625" style="894"/>
    <col min="7947" max="7947" width="5.85546875" style="894" customWidth="1"/>
    <col min="7948" max="7948" width="55.42578125" style="894" bestFit="1" customWidth="1"/>
    <col min="7949" max="8041" width="0" style="894" hidden="1" customWidth="1"/>
    <col min="8042" max="8052" width="10.7109375" style="894" customWidth="1"/>
    <col min="8053" max="8202" width="9.140625" style="894"/>
    <col min="8203" max="8203" width="5.85546875" style="894" customWidth="1"/>
    <col min="8204" max="8204" width="55.42578125" style="894" bestFit="1" customWidth="1"/>
    <col min="8205" max="8297" width="0" style="894" hidden="1" customWidth="1"/>
    <col min="8298" max="8308" width="10.7109375" style="894" customWidth="1"/>
    <col min="8309" max="8458" width="9.140625" style="894"/>
    <col min="8459" max="8459" width="5.85546875" style="894" customWidth="1"/>
    <col min="8460" max="8460" width="55.42578125" style="894" bestFit="1" customWidth="1"/>
    <col min="8461" max="8553" width="0" style="894" hidden="1" customWidth="1"/>
    <col min="8554" max="8564" width="10.7109375" style="894" customWidth="1"/>
    <col min="8565" max="8714" width="9.140625" style="894"/>
    <col min="8715" max="8715" width="5.85546875" style="894" customWidth="1"/>
    <col min="8716" max="8716" width="55.42578125" style="894" bestFit="1" customWidth="1"/>
    <col min="8717" max="8809" width="0" style="894" hidden="1" customWidth="1"/>
    <col min="8810" max="8820" width="10.7109375" style="894" customWidth="1"/>
    <col min="8821" max="8970" width="9.140625" style="894"/>
    <col min="8971" max="8971" width="5.85546875" style="894" customWidth="1"/>
    <col min="8972" max="8972" width="55.42578125" style="894" bestFit="1" customWidth="1"/>
    <col min="8973" max="9065" width="0" style="894" hidden="1" customWidth="1"/>
    <col min="9066" max="9076" width="10.7109375" style="894" customWidth="1"/>
    <col min="9077" max="9226" width="9.140625" style="894"/>
    <col min="9227" max="9227" width="5.85546875" style="894" customWidth="1"/>
    <col min="9228" max="9228" width="55.42578125" style="894" bestFit="1" customWidth="1"/>
    <col min="9229" max="9321" width="0" style="894" hidden="1" customWidth="1"/>
    <col min="9322" max="9332" width="10.7109375" style="894" customWidth="1"/>
    <col min="9333" max="9482" width="9.140625" style="894"/>
    <col min="9483" max="9483" width="5.85546875" style="894" customWidth="1"/>
    <col min="9484" max="9484" width="55.42578125" style="894" bestFit="1" customWidth="1"/>
    <col min="9485" max="9577" width="0" style="894" hidden="1" customWidth="1"/>
    <col min="9578" max="9588" width="10.7109375" style="894" customWidth="1"/>
    <col min="9589" max="9738" width="9.140625" style="894"/>
    <col min="9739" max="9739" width="5.85546875" style="894" customWidth="1"/>
    <col min="9740" max="9740" width="55.42578125" style="894" bestFit="1" customWidth="1"/>
    <col min="9741" max="9833" width="0" style="894" hidden="1" customWidth="1"/>
    <col min="9834" max="9844" width="10.7109375" style="894" customWidth="1"/>
    <col min="9845" max="9994" width="9.140625" style="894"/>
    <col min="9995" max="9995" width="5.85546875" style="894" customWidth="1"/>
    <col min="9996" max="9996" width="55.42578125" style="894" bestFit="1" customWidth="1"/>
    <col min="9997" max="10089" width="0" style="894" hidden="1" customWidth="1"/>
    <col min="10090" max="10100" width="10.7109375" style="894" customWidth="1"/>
    <col min="10101" max="10250" width="9.140625" style="894"/>
    <col min="10251" max="10251" width="5.85546875" style="894" customWidth="1"/>
    <col min="10252" max="10252" width="55.42578125" style="894" bestFit="1" customWidth="1"/>
    <col min="10253" max="10345" width="0" style="894" hidden="1" customWidth="1"/>
    <col min="10346" max="10356" width="10.7109375" style="894" customWidth="1"/>
    <col min="10357" max="10506" width="9.140625" style="894"/>
    <col min="10507" max="10507" width="5.85546875" style="894" customWidth="1"/>
    <col min="10508" max="10508" width="55.42578125" style="894" bestFit="1" customWidth="1"/>
    <col min="10509" max="10601" width="0" style="894" hidden="1" customWidth="1"/>
    <col min="10602" max="10612" width="10.7109375" style="894" customWidth="1"/>
    <col min="10613" max="10762" width="9.140625" style="894"/>
    <col min="10763" max="10763" width="5.85546875" style="894" customWidth="1"/>
    <col min="10764" max="10764" width="55.42578125" style="894" bestFit="1" customWidth="1"/>
    <col min="10765" max="10857" width="0" style="894" hidden="1" customWidth="1"/>
    <col min="10858" max="10868" width="10.7109375" style="894" customWidth="1"/>
    <col min="10869" max="11018" width="9.140625" style="894"/>
    <col min="11019" max="11019" width="5.85546875" style="894" customWidth="1"/>
    <col min="11020" max="11020" width="55.42578125" style="894" bestFit="1" customWidth="1"/>
    <col min="11021" max="11113" width="0" style="894" hidden="1" customWidth="1"/>
    <col min="11114" max="11124" width="10.7109375" style="894" customWidth="1"/>
    <col min="11125" max="11274" width="9.140625" style="894"/>
    <col min="11275" max="11275" width="5.85546875" style="894" customWidth="1"/>
    <col min="11276" max="11276" width="55.42578125" style="894" bestFit="1" customWidth="1"/>
    <col min="11277" max="11369" width="0" style="894" hidden="1" customWidth="1"/>
    <col min="11370" max="11380" width="10.7109375" style="894" customWidth="1"/>
    <col min="11381" max="11530" width="9.140625" style="894"/>
    <col min="11531" max="11531" width="5.85546875" style="894" customWidth="1"/>
    <col min="11532" max="11532" width="55.42578125" style="894" bestFit="1" customWidth="1"/>
    <col min="11533" max="11625" width="0" style="894" hidden="1" customWidth="1"/>
    <col min="11626" max="11636" width="10.7109375" style="894" customWidth="1"/>
    <col min="11637" max="11786" width="9.140625" style="894"/>
    <col min="11787" max="11787" width="5.85546875" style="894" customWidth="1"/>
    <col min="11788" max="11788" width="55.42578125" style="894" bestFit="1" customWidth="1"/>
    <col min="11789" max="11881" width="0" style="894" hidden="1" customWidth="1"/>
    <col min="11882" max="11892" width="10.7109375" style="894" customWidth="1"/>
    <col min="11893" max="12042" width="9.140625" style="894"/>
    <col min="12043" max="12043" width="5.85546875" style="894" customWidth="1"/>
    <col min="12044" max="12044" width="55.42578125" style="894" bestFit="1" customWidth="1"/>
    <col min="12045" max="12137" width="0" style="894" hidden="1" customWidth="1"/>
    <col min="12138" max="12148" width="10.7109375" style="894" customWidth="1"/>
    <col min="12149" max="12298" width="9.140625" style="894"/>
    <col min="12299" max="12299" width="5.85546875" style="894" customWidth="1"/>
    <col min="12300" max="12300" width="55.42578125" style="894" bestFit="1" customWidth="1"/>
    <col min="12301" max="12393" width="0" style="894" hidden="1" customWidth="1"/>
    <col min="12394" max="12404" width="10.7109375" style="894" customWidth="1"/>
    <col min="12405" max="12554" width="9.140625" style="894"/>
    <col min="12555" max="12555" width="5.85546875" style="894" customWidth="1"/>
    <col min="12556" max="12556" width="55.42578125" style="894" bestFit="1" customWidth="1"/>
    <col min="12557" max="12649" width="0" style="894" hidden="1" customWidth="1"/>
    <col min="12650" max="12660" width="10.7109375" style="894" customWidth="1"/>
    <col min="12661" max="12810" width="9.140625" style="894"/>
    <col min="12811" max="12811" width="5.85546875" style="894" customWidth="1"/>
    <col min="12812" max="12812" width="55.42578125" style="894" bestFit="1" customWidth="1"/>
    <col min="12813" max="12905" width="0" style="894" hidden="1" customWidth="1"/>
    <col min="12906" max="12916" width="10.7109375" style="894" customWidth="1"/>
    <col min="12917" max="13066" width="9.140625" style="894"/>
    <col min="13067" max="13067" width="5.85546875" style="894" customWidth="1"/>
    <col min="13068" max="13068" width="55.42578125" style="894" bestFit="1" customWidth="1"/>
    <col min="13069" max="13161" width="0" style="894" hidden="1" customWidth="1"/>
    <col min="13162" max="13172" width="10.7109375" style="894" customWidth="1"/>
    <col min="13173" max="13322" width="9.140625" style="894"/>
    <col min="13323" max="13323" width="5.85546875" style="894" customWidth="1"/>
    <col min="13324" max="13324" width="55.42578125" style="894" bestFit="1" customWidth="1"/>
    <col min="13325" max="13417" width="0" style="894" hidden="1" customWidth="1"/>
    <col min="13418" max="13428" width="10.7109375" style="894" customWidth="1"/>
    <col min="13429" max="13578" width="9.140625" style="894"/>
    <col min="13579" max="13579" width="5.85546875" style="894" customWidth="1"/>
    <col min="13580" max="13580" width="55.42578125" style="894" bestFit="1" customWidth="1"/>
    <col min="13581" max="13673" width="0" style="894" hidden="1" customWidth="1"/>
    <col min="13674" max="13684" width="10.7109375" style="894" customWidth="1"/>
    <col min="13685" max="13834" width="9.140625" style="894"/>
    <col min="13835" max="13835" width="5.85546875" style="894" customWidth="1"/>
    <col min="13836" max="13836" width="55.42578125" style="894" bestFit="1" customWidth="1"/>
    <col min="13837" max="13929" width="0" style="894" hidden="1" customWidth="1"/>
    <col min="13930" max="13940" width="10.7109375" style="894" customWidth="1"/>
    <col min="13941" max="14090" width="9.140625" style="894"/>
    <col min="14091" max="14091" width="5.85546875" style="894" customWidth="1"/>
    <col min="14092" max="14092" width="55.42578125" style="894" bestFit="1" customWidth="1"/>
    <col min="14093" max="14185" width="0" style="894" hidden="1" customWidth="1"/>
    <col min="14186" max="14196" width="10.7109375" style="894" customWidth="1"/>
    <col min="14197" max="14346" width="9.140625" style="894"/>
    <col min="14347" max="14347" width="5.85546875" style="894" customWidth="1"/>
    <col min="14348" max="14348" width="55.42578125" style="894" bestFit="1" customWidth="1"/>
    <col min="14349" max="14441" width="0" style="894" hidden="1" customWidth="1"/>
    <col min="14442" max="14452" width="10.7109375" style="894" customWidth="1"/>
    <col min="14453" max="14602" width="9.140625" style="894"/>
    <col min="14603" max="14603" width="5.85546875" style="894" customWidth="1"/>
    <col min="14604" max="14604" width="55.42578125" style="894" bestFit="1" customWidth="1"/>
    <col min="14605" max="14697" width="0" style="894" hidden="1" customWidth="1"/>
    <col min="14698" max="14708" width="10.7109375" style="894" customWidth="1"/>
    <col min="14709" max="14858" width="9.140625" style="894"/>
    <col min="14859" max="14859" width="5.85546875" style="894" customWidth="1"/>
    <col min="14860" max="14860" width="55.42578125" style="894" bestFit="1" customWidth="1"/>
    <col min="14861" max="14953" width="0" style="894" hidden="1" customWidth="1"/>
    <col min="14954" max="14964" width="10.7109375" style="894" customWidth="1"/>
    <col min="14965" max="15114" width="9.140625" style="894"/>
    <col min="15115" max="15115" width="5.85546875" style="894" customWidth="1"/>
    <col min="15116" max="15116" width="55.42578125" style="894" bestFit="1" customWidth="1"/>
    <col min="15117" max="15209" width="0" style="894" hidden="1" customWidth="1"/>
    <col min="15210" max="15220" width="10.7109375" style="894" customWidth="1"/>
    <col min="15221" max="15370" width="9.140625" style="894"/>
    <col min="15371" max="15371" width="5.85546875" style="894" customWidth="1"/>
    <col min="15372" max="15372" width="55.42578125" style="894" bestFit="1" customWidth="1"/>
    <col min="15373" max="15465" width="0" style="894" hidden="1" customWidth="1"/>
    <col min="15466" max="15476" width="10.7109375" style="894" customWidth="1"/>
    <col min="15477" max="15626" width="9.140625" style="894"/>
    <col min="15627" max="15627" width="5.85546875" style="894" customWidth="1"/>
    <col min="15628" max="15628" width="55.42578125" style="894" bestFit="1" customWidth="1"/>
    <col min="15629" max="15721" width="0" style="894" hidden="1" customWidth="1"/>
    <col min="15722" max="15732" width="10.7109375" style="894" customWidth="1"/>
    <col min="15733" max="15882" width="9.140625" style="894"/>
    <col min="15883" max="15883" width="5.85546875" style="894" customWidth="1"/>
    <col min="15884" max="15884" width="55.42578125" style="894" bestFit="1" customWidth="1"/>
    <col min="15885" max="15977" width="0" style="894" hidden="1" customWidth="1"/>
    <col min="15978" max="15988" width="10.7109375" style="894" customWidth="1"/>
    <col min="15989" max="16138" width="9.140625" style="894"/>
    <col min="16139" max="16139" width="5.85546875" style="894" customWidth="1"/>
    <col min="16140" max="16140" width="55.42578125" style="894" bestFit="1" customWidth="1"/>
    <col min="16141" max="16233" width="0" style="894" hidden="1" customWidth="1"/>
    <col min="16234" max="16244" width="10.7109375" style="894" customWidth="1"/>
    <col min="16245" max="16384" width="9.140625" style="894"/>
  </cols>
  <sheetData>
    <row r="1" spans="1:123" ht="18.75">
      <c r="A1" s="834" t="s">
        <v>2554</v>
      </c>
      <c r="B1" s="835"/>
      <c r="C1" s="945"/>
      <c r="D1" s="836"/>
      <c r="E1" s="836"/>
      <c r="F1" s="836"/>
      <c r="G1" s="836"/>
      <c r="H1" s="836"/>
      <c r="I1" s="836"/>
      <c r="J1" s="836"/>
      <c r="K1" s="836"/>
      <c r="L1" s="836"/>
      <c r="M1" s="836"/>
      <c r="N1" s="836"/>
      <c r="O1" s="836"/>
      <c r="P1" s="836"/>
      <c r="Q1" s="836"/>
      <c r="R1" s="836"/>
      <c r="S1" s="836"/>
      <c r="T1" s="836"/>
      <c r="U1" s="836"/>
      <c r="V1" s="836"/>
      <c r="W1" s="836"/>
      <c r="X1" s="836"/>
      <c r="Y1" s="836"/>
      <c r="Z1" s="836"/>
      <c r="AA1" s="836"/>
      <c r="AB1" s="836"/>
      <c r="AC1" s="836"/>
      <c r="AD1" s="946"/>
      <c r="AE1" s="946"/>
      <c r="AF1" s="946"/>
      <c r="AG1" s="946"/>
      <c r="AH1" s="946"/>
      <c r="AI1" s="946"/>
      <c r="AJ1" s="946"/>
      <c r="AK1" s="946"/>
      <c r="AL1" s="946"/>
      <c r="AM1" s="946"/>
      <c r="AN1" s="946"/>
      <c r="AO1" s="946"/>
      <c r="AP1" s="946"/>
      <c r="AQ1" s="946"/>
      <c r="AR1" s="946"/>
      <c r="AS1" s="946"/>
      <c r="AT1" s="946"/>
      <c r="AU1" s="946"/>
      <c r="AV1" s="946"/>
      <c r="AW1" s="946"/>
      <c r="AX1" s="946"/>
      <c r="AY1" s="946"/>
      <c r="AZ1" s="946"/>
      <c r="BA1" s="946"/>
      <c r="BB1" s="946"/>
      <c r="BC1" s="946"/>
      <c r="BD1" s="946"/>
      <c r="BE1" s="946"/>
      <c r="BF1" s="946"/>
      <c r="BG1" s="946"/>
      <c r="BH1" s="946"/>
      <c r="BI1" s="946"/>
      <c r="BJ1" s="946"/>
      <c r="BK1" s="946"/>
      <c r="BL1" s="946"/>
      <c r="BM1" s="946"/>
      <c r="BN1" s="946"/>
      <c r="BO1" s="946"/>
      <c r="BP1" s="946"/>
      <c r="BQ1" s="946"/>
      <c r="BR1" s="946"/>
      <c r="BS1" s="946"/>
      <c r="BT1" s="946"/>
      <c r="BU1" s="946"/>
      <c r="BV1" s="946"/>
      <c r="BW1" s="946"/>
      <c r="BX1" s="946"/>
      <c r="BY1" s="946"/>
      <c r="BZ1" s="946"/>
      <c r="CA1" s="946"/>
      <c r="CB1" s="946"/>
      <c r="CC1" s="946"/>
      <c r="CD1" s="946"/>
      <c r="CE1" s="946"/>
      <c r="CF1" s="946"/>
      <c r="CG1" s="946"/>
      <c r="CH1" s="946"/>
      <c r="CI1" s="946"/>
      <c r="CJ1" s="946"/>
      <c r="CK1" s="946"/>
      <c r="CL1" s="946"/>
      <c r="CM1" s="946"/>
      <c r="CN1" s="946"/>
      <c r="CO1" s="946"/>
      <c r="CP1" s="946"/>
      <c r="CQ1" s="946"/>
      <c r="CR1" s="946"/>
      <c r="CS1" s="946"/>
      <c r="CT1" s="946"/>
      <c r="CU1" s="946"/>
      <c r="CV1" s="946"/>
      <c r="CW1" s="946"/>
      <c r="CX1" s="946"/>
    </row>
    <row r="2" spans="1:123" hidden="1">
      <c r="A2" s="895"/>
      <c r="B2" s="896"/>
      <c r="C2" s="897"/>
      <c r="D2" s="541"/>
      <c r="E2" s="541"/>
      <c r="F2" s="541"/>
      <c r="G2" s="541"/>
      <c r="H2" s="541"/>
      <c r="I2" s="541"/>
      <c r="J2" s="541"/>
      <c r="K2" s="541"/>
      <c r="L2" s="541"/>
      <c r="M2" s="541"/>
      <c r="N2" s="541"/>
      <c r="O2" s="541"/>
      <c r="P2" s="541"/>
      <c r="Q2" s="541"/>
      <c r="R2" s="541"/>
      <c r="S2" s="541"/>
      <c r="T2" s="541"/>
      <c r="U2" s="541"/>
      <c r="V2" s="541"/>
      <c r="W2" s="541"/>
      <c r="X2" s="541"/>
      <c r="Y2" s="541"/>
      <c r="Z2" s="541"/>
      <c r="AA2" s="541"/>
      <c r="AB2" s="541"/>
      <c r="AC2" s="541"/>
    </row>
    <row r="3" spans="1:123" ht="15.75" thickBot="1">
      <c r="A3" s="837"/>
      <c r="B3" s="837"/>
      <c r="C3" s="541"/>
      <c r="D3" s="541"/>
      <c r="E3" s="541"/>
      <c r="F3" s="541"/>
      <c r="G3" s="541"/>
      <c r="H3" s="541"/>
      <c r="I3" s="541"/>
      <c r="J3" s="541"/>
      <c r="K3" s="541"/>
      <c r="L3" s="541"/>
      <c r="M3" s="541"/>
      <c r="N3" s="541"/>
      <c r="O3" s="541"/>
      <c r="P3" s="541"/>
      <c r="Q3" s="541"/>
      <c r="R3" s="541"/>
      <c r="S3" s="541"/>
      <c r="T3" s="541"/>
      <c r="V3" s="541"/>
      <c r="W3" s="541"/>
      <c r="X3" s="541"/>
      <c r="Y3" s="541"/>
      <c r="Z3" s="541"/>
      <c r="AA3" s="541"/>
      <c r="AB3" s="541"/>
      <c r="AC3" s="541"/>
      <c r="AG3" s="629"/>
      <c r="AN3" s="3164"/>
      <c r="AO3" s="3164"/>
      <c r="AQ3" s="3164"/>
      <c r="AR3" s="3164"/>
      <c r="AS3" s="3164"/>
      <c r="AT3" s="3164"/>
      <c r="AU3" s="3164"/>
      <c r="AV3" s="3164"/>
      <c r="AZ3" s="3164"/>
      <c r="BA3" s="3164"/>
      <c r="BB3" s="3164"/>
      <c r="BC3" s="3164"/>
      <c r="BI3" s="3164"/>
      <c r="BJ3" s="3164"/>
      <c r="BM3" s="773"/>
      <c r="BN3" s="773"/>
      <c r="BO3" s="773"/>
      <c r="BP3" s="3164"/>
      <c r="BQ3" s="3164"/>
      <c r="BR3" s="773"/>
      <c r="BV3" s="947"/>
      <c r="BW3" s="948"/>
      <c r="BX3" s="948"/>
      <c r="BY3" s="948"/>
      <c r="BZ3" s="948"/>
      <c r="CA3" s="948"/>
      <c r="CB3" s="948"/>
      <c r="CC3" s="948"/>
      <c r="CD3" s="948"/>
      <c r="CE3" s="948"/>
      <c r="CF3" s="948"/>
      <c r="CG3" s="948"/>
      <c r="CH3" s="948"/>
      <c r="CI3" s="948"/>
      <c r="CJ3" s="948"/>
      <c r="CK3" s="948"/>
      <c r="CL3" s="948"/>
      <c r="CM3" s="948"/>
      <c r="CN3" s="948"/>
      <c r="CO3" s="948"/>
      <c r="CP3" s="948"/>
      <c r="CQ3" s="948"/>
      <c r="CR3" s="948"/>
      <c r="CS3" s="948"/>
      <c r="CT3" s="948"/>
      <c r="CU3" s="948"/>
      <c r="CV3" s="948"/>
      <c r="CW3" s="948"/>
      <c r="CY3" s="948"/>
      <c r="CZ3" s="948"/>
      <c r="DA3" s="948"/>
      <c r="DE3" s="949"/>
      <c r="DF3" s="949"/>
      <c r="DG3" s="949"/>
      <c r="DH3" s="949"/>
      <c r="DI3" s="949"/>
      <c r="DJ3" s="949"/>
      <c r="DK3" s="949"/>
      <c r="DL3" s="949"/>
      <c r="DM3" s="949"/>
      <c r="DN3" s="949"/>
      <c r="DO3" s="949"/>
      <c r="DP3" s="949"/>
      <c r="DQ3" s="949"/>
      <c r="DR3" s="949"/>
      <c r="DS3" s="949" t="s">
        <v>49</v>
      </c>
    </row>
    <row r="4" spans="1:123" ht="25.5" customHeight="1" thickTop="1" thickBot="1">
      <c r="A4" s="839" t="s">
        <v>2488</v>
      </c>
      <c r="B4" s="840" t="s">
        <v>2489</v>
      </c>
      <c r="C4" s="843">
        <v>38504</v>
      </c>
      <c r="D4" s="843">
        <v>38534</v>
      </c>
      <c r="E4" s="843">
        <v>38565</v>
      </c>
      <c r="F4" s="901">
        <v>38596</v>
      </c>
      <c r="G4" s="843">
        <v>38626</v>
      </c>
      <c r="H4" s="902">
        <v>38657</v>
      </c>
      <c r="I4" s="843">
        <v>38687</v>
      </c>
      <c r="J4" s="843">
        <v>38718</v>
      </c>
      <c r="K4" s="843">
        <v>38749</v>
      </c>
      <c r="L4" s="843">
        <v>38777</v>
      </c>
      <c r="M4" s="901">
        <v>38808</v>
      </c>
      <c r="N4" s="843">
        <v>38838</v>
      </c>
      <c r="O4" s="843">
        <v>38869</v>
      </c>
      <c r="P4" s="843">
        <v>38899</v>
      </c>
      <c r="Q4" s="843">
        <v>38930</v>
      </c>
      <c r="R4" s="843">
        <v>38961</v>
      </c>
      <c r="S4" s="843">
        <v>38991</v>
      </c>
      <c r="T4" s="843">
        <v>39022</v>
      </c>
      <c r="U4" s="843">
        <v>39052</v>
      </c>
      <c r="V4" s="843">
        <v>39083</v>
      </c>
      <c r="W4" s="843">
        <v>39114</v>
      </c>
      <c r="X4" s="843">
        <v>39142</v>
      </c>
      <c r="Y4" s="843">
        <v>39173</v>
      </c>
      <c r="Z4" s="843">
        <v>39203</v>
      </c>
      <c r="AA4" s="843">
        <v>39234</v>
      </c>
      <c r="AB4" s="843">
        <v>39264</v>
      </c>
      <c r="AC4" s="843">
        <v>39295</v>
      </c>
      <c r="AD4" s="902">
        <v>39326</v>
      </c>
      <c r="AE4" s="843">
        <v>39356</v>
      </c>
      <c r="AF4" s="843">
        <v>39387</v>
      </c>
      <c r="AG4" s="843">
        <v>39417</v>
      </c>
      <c r="AH4" s="843">
        <v>39448</v>
      </c>
      <c r="AI4" s="843">
        <v>39479</v>
      </c>
      <c r="AJ4" s="843">
        <v>39508</v>
      </c>
      <c r="AK4" s="843">
        <v>39539</v>
      </c>
      <c r="AL4" s="843">
        <v>39569</v>
      </c>
      <c r="AM4" s="843">
        <v>39600</v>
      </c>
      <c r="AN4" s="843">
        <v>39630</v>
      </c>
      <c r="AO4" s="902">
        <v>39661</v>
      </c>
      <c r="AP4" s="843">
        <v>39692</v>
      </c>
      <c r="AQ4" s="843">
        <v>39722</v>
      </c>
      <c r="AR4" s="843">
        <v>39753</v>
      </c>
      <c r="AS4" s="843">
        <v>39783</v>
      </c>
      <c r="AT4" s="843">
        <v>39814</v>
      </c>
      <c r="AU4" s="843">
        <v>39845</v>
      </c>
      <c r="AV4" s="843">
        <v>39873</v>
      </c>
      <c r="AW4" s="843">
        <v>39904</v>
      </c>
      <c r="AX4" s="843">
        <v>39934</v>
      </c>
      <c r="AY4" s="843">
        <v>39965</v>
      </c>
      <c r="AZ4" s="843">
        <v>39995</v>
      </c>
      <c r="BA4" s="843">
        <v>40026</v>
      </c>
      <c r="BB4" s="843">
        <v>40057</v>
      </c>
      <c r="BC4" s="843">
        <v>40087</v>
      </c>
      <c r="BD4" s="843">
        <v>40118</v>
      </c>
      <c r="BE4" s="843">
        <v>40148</v>
      </c>
      <c r="BF4" s="843">
        <v>40179</v>
      </c>
      <c r="BG4" s="843">
        <v>40210</v>
      </c>
      <c r="BH4" s="843">
        <v>40238</v>
      </c>
      <c r="BI4" s="843">
        <v>40269</v>
      </c>
      <c r="BJ4" s="843">
        <v>40299</v>
      </c>
      <c r="BK4" s="843">
        <v>40330</v>
      </c>
      <c r="BL4" s="843">
        <v>40360</v>
      </c>
      <c r="BM4" s="843">
        <v>40391</v>
      </c>
      <c r="BN4" s="843">
        <v>40422</v>
      </c>
      <c r="BO4" s="843">
        <v>40452</v>
      </c>
      <c r="BP4" s="843">
        <v>40483</v>
      </c>
      <c r="BQ4" s="843">
        <v>40513</v>
      </c>
      <c r="BR4" s="843">
        <v>40544</v>
      </c>
      <c r="BS4" s="843">
        <v>40575</v>
      </c>
      <c r="BT4" s="843">
        <v>40603</v>
      </c>
      <c r="BU4" s="843">
        <v>40634</v>
      </c>
      <c r="BV4" s="843">
        <v>40664</v>
      </c>
      <c r="BW4" s="843">
        <v>40695</v>
      </c>
      <c r="BX4" s="843">
        <v>40725</v>
      </c>
      <c r="BY4" s="843">
        <v>40756</v>
      </c>
      <c r="BZ4" s="843">
        <v>40787</v>
      </c>
      <c r="CA4" s="843">
        <v>40817</v>
      </c>
      <c r="CB4" s="843">
        <v>40848</v>
      </c>
      <c r="CC4" s="843">
        <v>40878</v>
      </c>
      <c r="CD4" s="843">
        <v>40909</v>
      </c>
      <c r="CE4" s="843">
        <v>40940</v>
      </c>
      <c r="CF4" s="843">
        <v>40969</v>
      </c>
      <c r="CG4" s="843">
        <v>41000</v>
      </c>
      <c r="CH4" s="843">
        <v>41030</v>
      </c>
      <c r="CI4" s="843">
        <v>41061</v>
      </c>
      <c r="CJ4" s="843">
        <v>41091</v>
      </c>
      <c r="CK4" s="843">
        <v>41122</v>
      </c>
      <c r="CL4" s="843">
        <v>41153</v>
      </c>
      <c r="CM4" s="843">
        <v>41183</v>
      </c>
      <c r="CN4" s="843">
        <v>41214</v>
      </c>
      <c r="CO4" s="843">
        <v>41244</v>
      </c>
      <c r="CP4" s="843">
        <v>41275</v>
      </c>
      <c r="CQ4" s="843">
        <v>41306</v>
      </c>
      <c r="CR4" s="843">
        <v>41334</v>
      </c>
      <c r="CS4" s="843">
        <v>41365</v>
      </c>
      <c r="CT4" s="843">
        <v>41395</v>
      </c>
      <c r="CU4" s="843">
        <v>41426</v>
      </c>
      <c r="CV4" s="843">
        <v>41456</v>
      </c>
      <c r="CW4" s="843">
        <v>41487</v>
      </c>
      <c r="CX4" s="843">
        <v>41518</v>
      </c>
      <c r="CY4" s="843">
        <v>41548</v>
      </c>
      <c r="CZ4" s="843">
        <v>41579</v>
      </c>
      <c r="DA4" s="843">
        <v>41609</v>
      </c>
      <c r="DB4" s="843">
        <v>41640</v>
      </c>
      <c r="DC4" s="841">
        <v>41671</v>
      </c>
      <c r="DD4" s="841">
        <v>41699</v>
      </c>
      <c r="DE4" s="841">
        <v>41730</v>
      </c>
      <c r="DF4" s="841">
        <v>41760</v>
      </c>
      <c r="DG4" s="841">
        <v>41791</v>
      </c>
      <c r="DH4" s="841">
        <v>41821</v>
      </c>
      <c r="DI4" s="841">
        <v>41852</v>
      </c>
      <c r="DJ4" s="841">
        <v>41883</v>
      </c>
      <c r="DK4" s="841">
        <v>41913</v>
      </c>
      <c r="DL4" s="841">
        <v>41944</v>
      </c>
      <c r="DM4" s="841">
        <v>41974</v>
      </c>
      <c r="DN4" s="841">
        <v>42005</v>
      </c>
      <c r="DO4" s="841">
        <v>42036</v>
      </c>
      <c r="DP4" s="841">
        <v>42064</v>
      </c>
      <c r="DQ4" s="841">
        <v>42095</v>
      </c>
      <c r="DR4" s="841">
        <v>42125</v>
      </c>
      <c r="DS4" s="841">
        <v>42156</v>
      </c>
    </row>
    <row r="5" spans="1:123" ht="15.75" thickTop="1">
      <c r="A5" s="950"/>
      <c r="B5" s="951"/>
      <c r="C5" s="952"/>
      <c r="D5" s="952"/>
      <c r="E5" s="952"/>
      <c r="F5" s="807"/>
      <c r="G5" s="952"/>
      <c r="H5" s="953"/>
      <c r="I5" s="952"/>
      <c r="J5" s="952"/>
      <c r="K5" s="952"/>
      <c r="L5" s="952"/>
      <c r="M5" s="807"/>
      <c r="N5" s="952"/>
      <c r="O5" s="952"/>
      <c r="P5" s="952"/>
      <c r="Q5" s="952"/>
      <c r="R5" s="952"/>
      <c r="S5" s="952"/>
      <c r="T5" s="952"/>
      <c r="U5" s="952"/>
      <c r="V5" s="952"/>
      <c r="W5" s="952"/>
      <c r="X5" s="952"/>
      <c r="Y5" s="952"/>
      <c r="Z5" s="952"/>
      <c r="AA5" s="952"/>
      <c r="AB5" s="952"/>
      <c r="AC5" s="952"/>
      <c r="AD5" s="953"/>
      <c r="AE5" s="952"/>
      <c r="AF5" s="952"/>
      <c r="AG5" s="952"/>
      <c r="AH5" s="952"/>
      <c r="AI5" s="952"/>
      <c r="AJ5" s="952"/>
      <c r="AK5" s="952"/>
      <c r="AL5" s="952"/>
      <c r="AM5" s="952"/>
      <c r="AN5" s="952"/>
      <c r="AO5" s="953"/>
      <c r="AP5" s="954"/>
      <c r="AQ5" s="954"/>
      <c r="AR5" s="952"/>
      <c r="AS5" s="952"/>
      <c r="AT5" s="952"/>
      <c r="AU5" s="952"/>
      <c r="AV5" s="952"/>
      <c r="AW5" s="952"/>
      <c r="AX5" s="952"/>
      <c r="AY5" s="952"/>
      <c r="AZ5" s="952"/>
      <c r="BA5" s="952"/>
      <c r="BB5" s="955"/>
      <c r="BC5" s="955"/>
      <c r="BD5" s="955"/>
      <c r="BE5" s="955"/>
      <c r="BF5" s="955"/>
      <c r="BG5" s="955"/>
      <c r="BH5" s="955"/>
      <c r="BI5" s="955"/>
      <c r="BJ5" s="955"/>
      <c r="BK5" s="955"/>
      <c r="BL5" s="955"/>
      <c r="BM5" s="955"/>
      <c r="BN5" s="955"/>
      <c r="BO5" s="955"/>
      <c r="BP5" s="955"/>
      <c r="BQ5" s="955"/>
      <c r="BR5" s="955"/>
      <c r="BS5" s="955"/>
      <c r="BT5" s="955"/>
      <c r="BU5" s="955"/>
      <c r="BV5" s="955"/>
      <c r="BW5" s="955"/>
      <c r="BX5" s="955"/>
      <c r="BY5" s="955"/>
      <c r="BZ5" s="955"/>
      <c r="CA5" s="955"/>
      <c r="CB5" s="955"/>
      <c r="CC5" s="955"/>
      <c r="CD5" s="955"/>
      <c r="CE5" s="955"/>
      <c r="CF5" s="955"/>
      <c r="CG5" s="955"/>
      <c r="CH5" s="955"/>
      <c r="CI5" s="955"/>
      <c r="CJ5" s="955"/>
      <c r="CK5" s="955"/>
      <c r="CL5" s="955"/>
      <c r="CM5" s="955"/>
      <c r="CN5" s="955"/>
      <c r="CO5" s="955"/>
      <c r="CP5" s="955"/>
      <c r="CQ5" s="955"/>
      <c r="CR5" s="955"/>
      <c r="CS5" s="955"/>
      <c r="CT5" s="955"/>
      <c r="CU5" s="955"/>
      <c r="CV5" s="955"/>
      <c r="CW5" s="955"/>
      <c r="CX5" s="955"/>
      <c r="CY5" s="955"/>
      <c r="CZ5" s="955"/>
      <c r="DA5" s="955"/>
      <c r="DB5" s="955"/>
      <c r="DC5" s="956"/>
      <c r="DD5" s="956"/>
      <c r="DE5" s="956"/>
      <c r="DF5" s="956"/>
      <c r="DG5" s="956"/>
      <c r="DH5" s="956"/>
      <c r="DI5" s="956"/>
      <c r="DJ5" s="956"/>
      <c r="DK5" s="956"/>
      <c r="DL5" s="956"/>
      <c r="DM5" s="956"/>
      <c r="DN5" s="956"/>
      <c r="DO5" s="956"/>
      <c r="DP5" s="956"/>
      <c r="DQ5" s="956"/>
      <c r="DR5" s="956"/>
      <c r="DS5" s="956"/>
    </row>
    <row r="6" spans="1:123" ht="17.45" customHeight="1">
      <c r="A6" s="853" t="s">
        <v>2490</v>
      </c>
      <c r="B6" s="854" t="s">
        <v>2491</v>
      </c>
      <c r="C6" s="909">
        <v>0</v>
      </c>
      <c r="D6" s="909">
        <v>0</v>
      </c>
      <c r="E6" s="909">
        <v>0</v>
      </c>
      <c r="F6" s="910">
        <v>0</v>
      </c>
      <c r="G6" s="909">
        <v>0</v>
      </c>
      <c r="H6" s="911">
        <v>0</v>
      </c>
      <c r="I6" s="909">
        <v>0</v>
      </c>
      <c r="J6" s="909">
        <v>0</v>
      </c>
      <c r="K6" s="909">
        <v>0</v>
      </c>
      <c r="L6" s="909">
        <v>0</v>
      </c>
      <c r="M6" s="910">
        <v>0</v>
      </c>
      <c r="N6" s="909">
        <v>0</v>
      </c>
      <c r="O6" s="909">
        <v>0</v>
      </c>
      <c r="P6" s="909">
        <v>0</v>
      </c>
      <c r="Q6" s="909">
        <v>0</v>
      </c>
      <c r="R6" s="909">
        <v>0</v>
      </c>
      <c r="S6" s="909">
        <v>0</v>
      </c>
      <c r="T6" s="909">
        <v>0</v>
      </c>
      <c r="U6" s="909">
        <v>0</v>
      </c>
      <c r="V6" s="909">
        <v>0</v>
      </c>
      <c r="W6" s="909">
        <v>0</v>
      </c>
      <c r="X6" s="909">
        <v>0</v>
      </c>
      <c r="Y6" s="909">
        <v>0</v>
      </c>
      <c r="Z6" s="909">
        <v>0</v>
      </c>
      <c r="AA6" s="909">
        <v>0</v>
      </c>
      <c r="AB6" s="909">
        <v>0</v>
      </c>
      <c r="AC6" s="909">
        <v>0</v>
      </c>
      <c r="AD6" s="911">
        <v>0</v>
      </c>
      <c r="AE6" s="909">
        <v>0</v>
      </c>
      <c r="AF6" s="909">
        <v>0</v>
      </c>
      <c r="AG6" s="909">
        <v>0</v>
      </c>
      <c r="AH6" s="909">
        <v>0</v>
      </c>
      <c r="AI6" s="909">
        <v>0</v>
      </c>
      <c r="AJ6" s="909">
        <v>0</v>
      </c>
      <c r="AK6" s="909">
        <v>0</v>
      </c>
      <c r="AL6" s="909">
        <v>0</v>
      </c>
      <c r="AM6" s="909">
        <v>0</v>
      </c>
      <c r="AN6" s="909">
        <v>0</v>
      </c>
      <c r="AO6" s="911">
        <v>0</v>
      </c>
      <c r="AP6" s="909">
        <v>0</v>
      </c>
      <c r="AQ6" s="909">
        <v>0</v>
      </c>
      <c r="AR6" s="909">
        <v>0</v>
      </c>
      <c r="AS6" s="909">
        <v>0</v>
      </c>
      <c r="AT6" s="909">
        <v>0</v>
      </c>
      <c r="AU6" s="909">
        <v>0</v>
      </c>
      <c r="AV6" s="909">
        <v>0</v>
      </c>
      <c r="AW6" s="909">
        <v>0</v>
      </c>
      <c r="AX6" s="909">
        <v>0</v>
      </c>
      <c r="AY6" s="909">
        <v>0</v>
      </c>
      <c r="AZ6" s="909">
        <v>0</v>
      </c>
      <c r="BA6" s="909">
        <v>0</v>
      </c>
      <c r="BB6" s="909">
        <v>0</v>
      </c>
      <c r="BC6" s="909">
        <v>0</v>
      </c>
      <c r="BD6" s="909">
        <v>0</v>
      </c>
      <c r="BE6" s="909">
        <v>0</v>
      </c>
      <c r="BF6" s="909">
        <v>0</v>
      </c>
      <c r="BG6" s="909">
        <v>0</v>
      </c>
      <c r="BH6" s="909">
        <v>0</v>
      </c>
      <c r="BI6" s="909">
        <v>0</v>
      </c>
      <c r="BJ6" s="909">
        <v>0</v>
      </c>
      <c r="BK6" s="909">
        <v>0</v>
      </c>
      <c r="BL6" s="909">
        <v>0</v>
      </c>
      <c r="BM6" s="909">
        <v>0</v>
      </c>
      <c r="BN6" s="909">
        <v>0</v>
      </c>
      <c r="BO6" s="909">
        <v>0</v>
      </c>
      <c r="BP6" s="909">
        <v>0</v>
      </c>
      <c r="BQ6" s="909">
        <v>0</v>
      </c>
      <c r="BR6" s="909">
        <v>0</v>
      </c>
      <c r="BS6" s="909">
        <v>0</v>
      </c>
      <c r="BT6" s="909">
        <v>0</v>
      </c>
      <c r="BU6" s="909">
        <v>0</v>
      </c>
      <c r="BV6" s="909">
        <v>0</v>
      </c>
      <c r="BW6" s="909">
        <v>0</v>
      </c>
      <c r="BX6" s="909">
        <v>0</v>
      </c>
      <c r="BY6" s="909">
        <v>0</v>
      </c>
      <c r="BZ6" s="909">
        <v>0</v>
      </c>
      <c r="CA6" s="909">
        <v>0</v>
      </c>
      <c r="CB6" s="909">
        <v>0</v>
      </c>
      <c r="CC6" s="909">
        <v>0</v>
      </c>
      <c r="CD6" s="909">
        <v>0</v>
      </c>
      <c r="CE6" s="909">
        <v>0</v>
      </c>
      <c r="CF6" s="909">
        <v>0</v>
      </c>
      <c r="CG6" s="909">
        <v>0</v>
      </c>
      <c r="CH6" s="909">
        <v>0</v>
      </c>
      <c r="CI6" s="909">
        <v>0</v>
      </c>
      <c r="CJ6" s="909">
        <v>0</v>
      </c>
      <c r="CK6" s="909">
        <v>0</v>
      </c>
      <c r="CL6" s="909">
        <v>0</v>
      </c>
      <c r="CM6" s="909">
        <v>0</v>
      </c>
      <c r="CN6" s="909">
        <v>0</v>
      </c>
      <c r="CO6" s="909">
        <v>0</v>
      </c>
      <c r="CP6" s="909">
        <v>0</v>
      </c>
      <c r="CQ6" s="909">
        <v>0</v>
      </c>
      <c r="CR6" s="909">
        <v>0</v>
      </c>
      <c r="CS6" s="909">
        <v>0</v>
      </c>
      <c r="CT6" s="909">
        <v>0</v>
      </c>
      <c r="CU6" s="909">
        <v>0</v>
      </c>
      <c r="CV6" s="909">
        <v>0</v>
      </c>
      <c r="CW6" s="909">
        <v>0</v>
      </c>
      <c r="CX6" s="909">
        <v>0</v>
      </c>
      <c r="CY6" s="909">
        <v>0</v>
      </c>
      <c r="CZ6" s="909">
        <v>0</v>
      </c>
      <c r="DA6" s="909">
        <v>0</v>
      </c>
      <c r="DB6" s="909">
        <v>0</v>
      </c>
      <c r="DC6" s="855">
        <v>0</v>
      </c>
      <c r="DD6" s="855">
        <v>0</v>
      </c>
      <c r="DE6" s="855">
        <v>0</v>
      </c>
      <c r="DF6" s="855">
        <v>0</v>
      </c>
      <c r="DG6" s="855">
        <v>0</v>
      </c>
      <c r="DH6" s="855">
        <v>0</v>
      </c>
      <c r="DI6" s="855">
        <v>0</v>
      </c>
      <c r="DJ6" s="855">
        <v>0</v>
      </c>
      <c r="DK6" s="855">
        <v>0</v>
      </c>
      <c r="DL6" s="855">
        <v>0</v>
      </c>
      <c r="DM6" s="855">
        <v>0</v>
      </c>
      <c r="DN6" s="855">
        <v>0</v>
      </c>
      <c r="DO6" s="855">
        <v>0</v>
      </c>
      <c r="DP6" s="855">
        <v>0</v>
      </c>
      <c r="DQ6" s="855">
        <v>0</v>
      </c>
      <c r="DR6" s="855">
        <v>0</v>
      </c>
      <c r="DS6" s="855">
        <v>0</v>
      </c>
    </row>
    <row r="7" spans="1:123" ht="17.45" customHeight="1">
      <c r="A7" s="857"/>
      <c r="B7" s="858"/>
      <c r="C7" s="913"/>
      <c r="D7" s="913"/>
      <c r="E7" s="913"/>
      <c r="F7" s="914"/>
      <c r="G7" s="913"/>
      <c r="H7" s="915"/>
      <c r="I7" s="913"/>
      <c r="J7" s="913"/>
      <c r="K7" s="913"/>
      <c r="L7" s="913"/>
      <c r="M7" s="914"/>
      <c r="N7" s="913"/>
      <c r="O7" s="913"/>
      <c r="P7" s="913"/>
      <c r="Q7" s="913"/>
      <c r="R7" s="913"/>
      <c r="S7" s="913"/>
      <c r="T7" s="913"/>
      <c r="U7" s="913"/>
      <c r="V7" s="913"/>
      <c r="W7" s="913"/>
      <c r="X7" s="913"/>
      <c r="Y7" s="913"/>
      <c r="Z7" s="913"/>
      <c r="AA7" s="913"/>
      <c r="AB7" s="913"/>
      <c r="AC7" s="913"/>
      <c r="AD7" s="915"/>
      <c r="AE7" s="913"/>
      <c r="AF7" s="913"/>
      <c r="AG7" s="913"/>
      <c r="AH7" s="913"/>
      <c r="AI7" s="913"/>
      <c r="AJ7" s="913"/>
      <c r="AK7" s="913"/>
      <c r="AL7" s="913"/>
      <c r="AM7" s="913"/>
      <c r="AN7" s="913"/>
      <c r="AO7" s="915"/>
      <c r="AP7" s="913"/>
      <c r="AQ7" s="913"/>
      <c r="AR7" s="913"/>
      <c r="AS7" s="913"/>
      <c r="AT7" s="913"/>
      <c r="AU7" s="913"/>
      <c r="AV7" s="913"/>
      <c r="AW7" s="913"/>
      <c r="AX7" s="913"/>
      <c r="AY7" s="913"/>
      <c r="AZ7" s="913"/>
      <c r="BA7" s="913"/>
      <c r="BB7" s="913"/>
      <c r="BC7" s="913"/>
      <c r="BD7" s="913"/>
      <c r="BE7" s="913"/>
      <c r="BF7" s="913"/>
      <c r="BG7" s="913"/>
      <c r="BH7" s="913"/>
      <c r="BI7" s="913"/>
      <c r="BJ7" s="913"/>
      <c r="BK7" s="913"/>
      <c r="BL7" s="913"/>
      <c r="BM7" s="913"/>
      <c r="BN7" s="913"/>
      <c r="BO7" s="913"/>
      <c r="BP7" s="913"/>
      <c r="BQ7" s="913"/>
      <c r="BR7" s="913"/>
      <c r="BS7" s="913"/>
      <c r="BT7" s="913"/>
      <c r="BU7" s="913"/>
      <c r="BV7" s="913"/>
      <c r="BW7" s="913"/>
      <c r="BX7" s="913"/>
      <c r="BY7" s="913"/>
      <c r="BZ7" s="913"/>
      <c r="CA7" s="913"/>
      <c r="CB7" s="913"/>
      <c r="CC7" s="913"/>
      <c r="CD7" s="913"/>
      <c r="CE7" s="913"/>
      <c r="CF7" s="913"/>
      <c r="CG7" s="913"/>
      <c r="CH7" s="913"/>
      <c r="CI7" s="913"/>
      <c r="CJ7" s="913"/>
      <c r="CK7" s="913"/>
      <c r="CL7" s="913"/>
      <c r="CM7" s="913"/>
      <c r="CN7" s="913"/>
      <c r="CO7" s="913"/>
      <c r="CP7" s="913"/>
      <c r="CQ7" s="913"/>
      <c r="CR7" s="913"/>
      <c r="CS7" s="913"/>
      <c r="CT7" s="913"/>
      <c r="CU7" s="913"/>
      <c r="CV7" s="913"/>
      <c r="CW7" s="913"/>
      <c r="CX7" s="913"/>
      <c r="CY7" s="913"/>
      <c r="CZ7" s="913"/>
      <c r="DA7" s="913"/>
      <c r="DB7" s="913"/>
      <c r="DC7" s="859"/>
      <c r="DD7" s="859"/>
      <c r="DE7" s="859"/>
      <c r="DF7" s="859"/>
      <c r="DG7" s="859"/>
      <c r="DH7" s="859"/>
      <c r="DI7" s="859"/>
      <c r="DJ7" s="859"/>
      <c r="DK7" s="859"/>
      <c r="DL7" s="859"/>
      <c r="DM7" s="859"/>
      <c r="DN7" s="859"/>
      <c r="DO7" s="859"/>
      <c r="DP7" s="859"/>
      <c r="DQ7" s="859"/>
      <c r="DR7" s="859"/>
      <c r="DS7" s="859"/>
    </row>
    <row r="8" spans="1:123" ht="17.45" customHeight="1">
      <c r="A8" s="853" t="s">
        <v>2492</v>
      </c>
      <c r="B8" s="854" t="s">
        <v>2493</v>
      </c>
      <c r="C8" s="909">
        <v>1207.5941332191794</v>
      </c>
      <c r="D8" s="909">
        <v>1169.3140098843271</v>
      </c>
      <c r="E8" s="909">
        <v>992.91258254432705</v>
      </c>
      <c r="F8" s="910">
        <v>1198.609898054327</v>
      </c>
      <c r="G8" s="909">
        <v>1644.2891013443273</v>
      </c>
      <c r="H8" s="911">
        <v>1734.824023805671</v>
      </c>
      <c r="I8" s="909">
        <v>1834.5720484756712</v>
      </c>
      <c r="J8" s="909">
        <v>1961.88872173246</v>
      </c>
      <c r="K8" s="909">
        <v>2341.3958519126513</v>
      </c>
      <c r="L8" s="909">
        <v>2128.8771590397255</v>
      </c>
      <c r="M8" s="910">
        <v>2105.2880649290082</v>
      </c>
      <c r="N8" s="909">
        <v>2054.0058321224997</v>
      </c>
      <c r="O8" s="909">
        <v>2234.3593438034395</v>
      </c>
      <c r="P8" s="909">
        <v>2207.0196231888999</v>
      </c>
      <c r="Q8" s="909">
        <v>2178.5085163901749</v>
      </c>
      <c r="R8" s="909">
        <v>2028.3305845411151</v>
      </c>
      <c r="S8" s="909">
        <v>2143.4420798757255</v>
      </c>
      <c r="T8" s="909">
        <v>2071.4782679852269</v>
      </c>
      <c r="U8" s="909">
        <v>2070.5044693114196</v>
      </c>
      <c r="V8" s="909">
        <v>2116.932351689426</v>
      </c>
      <c r="W8" s="909">
        <v>2025.9462067436184</v>
      </c>
      <c r="X8" s="909">
        <v>2220.6206529704268</v>
      </c>
      <c r="Y8" s="909">
        <v>2165.4956665696654</v>
      </c>
      <c r="Z8" s="909">
        <v>2168.2080023572453</v>
      </c>
      <c r="AA8" s="909">
        <v>2315.7004667044071</v>
      </c>
      <c r="AB8" s="909">
        <v>2451.9068899611289</v>
      </c>
      <c r="AC8" s="909">
        <v>2908.8353703098255</v>
      </c>
      <c r="AD8" s="911">
        <v>2851.4056544009604</v>
      </c>
      <c r="AE8" s="909">
        <v>2799.5777638437412</v>
      </c>
      <c r="AF8" s="909">
        <v>3075.457067543789</v>
      </c>
      <c r="AG8" s="909">
        <v>3404.4025624615028</v>
      </c>
      <c r="AH8" s="909">
        <v>4140.4894746187583</v>
      </c>
      <c r="AI8" s="909">
        <v>4143.1476186510372</v>
      </c>
      <c r="AJ8" s="909">
        <v>4992.5430241069389</v>
      </c>
      <c r="AK8" s="909">
        <v>4662.0759049025146</v>
      </c>
      <c r="AL8" s="909">
        <v>4645.2477973798577</v>
      </c>
      <c r="AM8" s="909">
        <v>4763.067357440872</v>
      </c>
      <c r="AN8" s="909">
        <v>5078.0112470027007</v>
      </c>
      <c r="AO8" s="911">
        <v>5097.4471863669023</v>
      </c>
      <c r="AP8" s="909">
        <v>4744.6221060068447</v>
      </c>
      <c r="AQ8" s="909">
        <v>4572.8296630475006</v>
      </c>
      <c r="AR8" s="909">
        <v>4409.0259711448789</v>
      </c>
      <c r="AS8" s="909">
        <v>4346.3346976313705</v>
      </c>
      <c r="AT8" s="909">
        <v>4221.6819360652316</v>
      </c>
      <c r="AU8" s="909">
        <v>4114.911983316937</v>
      </c>
      <c r="AV8" s="909">
        <v>4526.0890101948889</v>
      </c>
      <c r="AW8" s="909">
        <v>4739.5692683599991</v>
      </c>
      <c r="AX8" s="909">
        <v>4933.8751206899997</v>
      </c>
      <c r="AY8" s="909">
        <v>5148.3490968012047</v>
      </c>
      <c r="AZ8" s="909">
        <v>5925.9618539430003</v>
      </c>
      <c r="BA8" s="909">
        <v>6603.2744083842153</v>
      </c>
      <c r="BB8" s="909">
        <v>6371.8904146083787</v>
      </c>
      <c r="BC8" s="909">
        <v>6510.9091048880691</v>
      </c>
      <c r="BD8" s="909">
        <v>6441.2311635090273</v>
      </c>
      <c r="BE8" s="909">
        <v>6414.364242695</v>
      </c>
      <c r="BF8" s="909">
        <v>6277.95380572667</v>
      </c>
      <c r="BG8" s="909">
        <v>6538.7854937177653</v>
      </c>
      <c r="BH8" s="909">
        <v>6695.2168719289721</v>
      </c>
      <c r="BI8" s="909">
        <v>6964.7055060365892</v>
      </c>
      <c r="BJ8" s="909">
        <v>7160.9680286951134</v>
      </c>
      <c r="BK8" s="909">
        <v>7159.2679581132779</v>
      </c>
      <c r="BL8" s="909">
        <v>6743.1424956017418</v>
      </c>
      <c r="BM8" s="909">
        <v>6669.584891773141</v>
      </c>
      <c r="BN8" s="909">
        <v>6868.7494596974011</v>
      </c>
      <c r="BO8" s="909">
        <v>6674.5396071422092</v>
      </c>
      <c r="BP8" s="909">
        <v>6504.2656434804157</v>
      </c>
      <c r="BQ8" s="909">
        <v>6306.4675671872719</v>
      </c>
      <c r="BR8" s="909">
        <v>6865.8521646270055</v>
      </c>
      <c r="BS8" s="909">
        <v>6982.4244499202923</v>
      </c>
      <c r="BT8" s="909">
        <v>7014.2318001042349</v>
      </c>
      <c r="BU8" s="909">
        <v>6730.9543862314986</v>
      </c>
      <c r="BV8" s="909">
        <v>7131.5675773788207</v>
      </c>
      <c r="BW8" s="909">
        <v>7755.6404121184996</v>
      </c>
      <c r="BX8" s="909">
        <v>7475.3726773763146</v>
      </c>
      <c r="BY8" s="909">
        <v>7694.6521771541284</v>
      </c>
      <c r="BZ8" s="909">
        <v>7899.4116672389991</v>
      </c>
      <c r="CA8" s="909">
        <v>7450.2529309299989</v>
      </c>
      <c r="CB8" s="909">
        <v>7450.9943186599994</v>
      </c>
      <c r="CC8" s="909">
        <v>7486.398109669999</v>
      </c>
      <c r="CD8" s="909">
        <v>7545.9346201299995</v>
      </c>
      <c r="CE8" s="909">
        <v>7572.0952121888358</v>
      </c>
      <c r="CF8" s="909">
        <v>7859.0611242675595</v>
      </c>
      <c r="CG8" s="909">
        <v>7834.6147919393825</v>
      </c>
      <c r="CH8" s="909">
        <v>7374.5078700393842</v>
      </c>
      <c r="CI8" s="909">
        <v>7309.1368180799991</v>
      </c>
      <c r="CJ8" s="909">
        <v>7493.8330639744245</v>
      </c>
      <c r="CK8" s="909">
        <v>7716.931297341006</v>
      </c>
      <c r="CL8" s="909">
        <v>7973.9142444551371</v>
      </c>
      <c r="CM8" s="909">
        <v>8370.4267425410071</v>
      </c>
      <c r="CN8" s="909">
        <v>8220.5994920110061</v>
      </c>
      <c r="CO8" s="909">
        <v>8604.0737390434715</v>
      </c>
      <c r="CP8" s="909">
        <v>9103.2459471044313</v>
      </c>
      <c r="CQ8" s="909">
        <v>9195.5997455210054</v>
      </c>
      <c r="CR8" s="909">
        <v>9112.9738819810063</v>
      </c>
      <c r="CS8" s="909">
        <v>8315.2625640110073</v>
      </c>
      <c r="CT8" s="909">
        <v>8066.1691370311037</v>
      </c>
      <c r="CU8" s="909">
        <v>8292.7330295571701</v>
      </c>
      <c r="CV8" s="909">
        <v>7962.9407559723322</v>
      </c>
      <c r="CW8" s="909">
        <v>8020.4558036602666</v>
      </c>
      <c r="CX8" s="909">
        <v>8541.6909174208977</v>
      </c>
      <c r="CY8" s="909">
        <v>8389.2294163678489</v>
      </c>
      <c r="CZ8" s="909">
        <v>8174.7015492568971</v>
      </c>
      <c r="DA8" s="909">
        <v>8276.1752153927027</v>
      </c>
      <c r="DB8" s="909">
        <v>7913.5198818192794</v>
      </c>
      <c r="DC8" s="855">
        <v>8097.1224328508706</v>
      </c>
      <c r="DD8" s="855">
        <v>8385.299775664349</v>
      </c>
      <c r="DE8" s="855">
        <v>8638.9039429218847</v>
      </c>
      <c r="DF8" s="855">
        <v>8664.565280335275</v>
      </c>
      <c r="DG8" s="855">
        <v>9199.1563773563339</v>
      </c>
      <c r="DH8" s="855">
        <v>8801.7055890570482</v>
      </c>
      <c r="DI8" s="855">
        <v>8478.505363557224</v>
      </c>
      <c r="DJ8" s="855">
        <v>9499.0023978047848</v>
      </c>
      <c r="DK8" s="855">
        <v>9479.2820477519308</v>
      </c>
      <c r="DL8" s="855">
        <v>9598.7574111365593</v>
      </c>
      <c r="DM8" s="855">
        <v>9760.3080720006001</v>
      </c>
      <c r="DN8" s="855">
        <v>9608.6998233446011</v>
      </c>
      <c r="DO8" s="855">
        <v>9457.8114874836683</v>
      </c>
      <c r="DP8" s="855">
        <v>9787.5771501346899</v>
      </c>
      <c r="DQ8" s="855">
        <v>9395.8257310084045</v>
      </c>
      <c r="DR8" s="855">
        <v>8688.2610685416767</v>
      </c>
      <c r="DS8" s="855">
        <v>8917.8520770170908</v>
      </c>
    </row>
    <row r="9" spans="1:123" ht="17.45" customHeight="1">
      <c r="A9" s="857" t="s">
        <v>2494</v>
      </c>
      <c r="B9" s="858" t="s">
        <v>2362</v>
      </c>
      <c r="C9" s="878">
        <v>0.136798</v>
      </c>
      <c r="D9" s="878">
        <v>0.13377839999999999</v>
      </c>
      <c r="E9" s="878">
        <v>0.1290866</v>
      </c>
      <c r="F9" s="917">
        <v>0.14135320000000001</v>
      </c>
      <c r="G9" s="878">
        <v>0.14374520000000002</v>
      </c>
      <c r="H9" s="918">
        <v>0.14154120000000001</v>
      </c>
      <c r="I9" s="878">
        <v>0.13423236</v>
      </c>
      <c r="J9" s="878">
        <v>0.13775066</v>
      </c>
      <c r="K9" s="878">
        <v>0.13323370000000001</v>
      </c>
      <c r="L9" s="878">
        <v>0.13779868000000001</v>
      </c>
      <c r="M9" s="917">
        <v>0.13608776</v>
      </c>
      <c r="N9" s="878">
        <v>0.13424576000000002</v>
      </c>
      <c r="O9" s="878">
        <v>0.14117195999999999</v>
      </c>
      <c r="P9" s="878">
        <v>0.13529314000000001</v>
      </c>
      <c r="Q9" s="878">
        <v>0.13767499999999999</v>
      </c>
      <c r="R9" s="878">
        <v>0.13331179999999998</v>
      </c>
      <c r="S9" s="878">
        <v>0.13081680000000001</v>
      </c>
      <c r="T9" s="878">
        <v>0.16068175000000001</v>
      </c>
      <c r="U9" s="878">
        <v>0.13693776000000002</v>
      </c>
      <c r="V9" s="878">
        <v>0.13876416999999999</v>
      </c>
      <c r="W9" s="878">
        <v>0.13994671</v>
      </c>
      <c r="X9" s="878">
        <v>0.14068666999999999</v>
      </c>
      <c r="Y9" s="878">
        <v>0.14070187000000001</v>
      </c>
      <c r="Z9" s="878">
        <v>0.13231327000000001</v>
      </c>
      <c r="AA9" s="878">
        <v>0.13099569</v>
      </c>
      <c r="AB9" s="878">
        <v>0.13989024999999999</v>
      </c>
      <c r="AC9" s="878">
        <v>0.14362048000000002</v>
      </c>
      <c r="AD9" s="918">
        <v>0.13761479999999998</v>
      </c>
      <c r="AE9" s="878">
        <v>0.13965229999999998</v>
      </c>
      <c r="AF9" s="878">
        <v>0.13140895000000002</v>
      </c>
      <c r="AG9" s="878">
        <v>0.13067265</v>
      </c>
      <c r="AH9" s="878">
        <v>0.12752050000000001</v>
      </c>
      <c r="AI9" s="878">
        <v>0.12940771000000001</v>
      </c>
      <c r="AJ9" s="878">
        <v>0.13104557999999999</v>
      </c>
      <c r="AK9" s="878">
        <v>0.13242966999999997</v>
      </c>
      <c r="AL9" s="878">
        <v>0.13351503000000001</v>
      </c>
      <c r="AM9" s="878">
        <v>0.13456847</v>
      </c>
      <c r="AN9" s="878">
        <v>0.24863014999999999</v>
      </c>
      <c r="AO9" s="918">
        <v>0.60041800000000001</v>
      </c>
      <c r="AP9" s="878">
        <v>0.18663107000000001</v>
      </c>
      <c r="AQ9" s="878">
        <v>1.2458031899999999</v>
      </c>
      <c r="AR9" s="878">
        <v>7.9225805500000002</v>
      </c>
      <c r="AS9" s="878">
        <v>4.3852080000000004</v>
      </c>
      <c r="AT9" s="878">
        <v>1.92856217</v>
      </c>
      <c r="AU9" s="878">
        <v>0.58993375999999997</v>
      </c>
      <c r="AV9" s="878">
        <v>0.99077411000000004</v>
      </c>
      <c r="AW9" s="878">
        <v>0.64135385999999994</v>
      </c>
      <c r="AX9" s="878">
        <v>0.82659742999999997</v>
      </c>
      <c r="AY9" s="878">
        <v>0.74386967999999998</v>
      </c>
      <c r="AZ9" s="878">
        <v>4.2991701200000003</v>
      </c>
      <c r="BA9" s="878">
        <v>0.53958837000000004</v>
      </c>
      <c r="BB9" s="878">
        <v>0.44831434000000003</v>
      </c>
      <c r="BC9" s="878">
        <v>0.43327086999999997</v>
      </c>
      <c r="BD9" s="878">
        <v>0.49215487000000002</v>
      </c>
      <c r="BE9" s="878">
        <v>0.44504549999999998</v>
      </c>
      <c r="BF9" s="878">
        <v>0.45835286999999997</v>
      </c>
      <c r="BG9" s="878">
        <v>0.47558250000000002</v>
      </c>
      <c r="BH9" s="878">
        <v>0.51804998000000002</v>
      </c>
      <c r="BI9" s="878">
        <v>0.48696898</v>
      </c>
      <c r="BJ9" s="878">
        <v>0.53973290000000007</v>
      </c>
      <c r="BK9" s="878">
        <v>0.47216130000000001</v>
      </c>
      <c r="BL9" s="878">
        <v>0.48760900000000001</v>
      </c>
      <c r="BM9" s="878">
        <v>0.46953503999999996</v>
      </c>
      <c r="BN9" s="878">
        <v>0.51091067999999995</v>
      </c>
      <c r="BO9" s="878">
        <v>0.48699755</v>
      </c>
      <c r="BP9" s="878">
        <v>0.47057603000000003</v>
      </c>
      <c r="BQ9" s="878">
        <v>0.49740463000000001</v>
      </c>
      <c r="BR9" s="878">
        <v>0.48092333000000004</v>
      </c>
      <c r="BS9" s="878">
        <v>0.53937548000000002</v>
      </c>
      <c r="BT9" s="878">
        <v>0.52450744999999999</v>
      </c>
      <c r="BU9" s="878">
        <v>0.52026499000000004</v>
      </c>
      <c r="BV9" s="878">
        <v>0.47035330000000003</v>
      </c>
      <c r="BW9" s="878">
        <v>0.55148105000000003</v>
      </c>
      <c r="BX9" s="878">
        <v>0.53301871999999995</v>
      </c>
      <c r="BY9" s="878">
        <v>0.59360968999999997</v>
      </c>
      <c r="BZ9" s="878">
        <v>0.60386452000000002</v>
      </c>
      <c r="CA9" s="878">
        <v>0.62539370999999999</v>
      </c>
      <c r="CB9" s="878">
        <v>0.58118192999999996</v>
      </c>
      <c r="CC9" s="878">
        <v>0.66350315000000004</v>
      </c>
      <c r="CD9" s="878">
        <v>0.62708301</v>
      </c>
      <c r="CE9" s="878">
        <v>0.68965433000000009</v>
      </c>
      <c r="CF9" s="878">
        <v>0.61038177000000005</v>
      </c>
      <c r="CG9" s="878">
        <v>0.64981306000000005</v>
      </c>
      <c r="CH9" s="878">
        <v>0.67600545000000001</v>
      </c>
      <c r="CI9" s="878">
        <v>0.74728974000000004</v>
      </c>
      <c r="CJ9" s="878">
        <v>0.67823204000000004</v>
      </c>
      <c r="CK9" s="878">
        <v>0.78455043999999996</v>
      </c>
      <c r="CL9" s="878">
        <v>0.74912519</v>
      </c>
      <c r="CM9" s="878">
        <v>0.75282227000000002</v>
      </c>
      <c r="CN9" s="878">
        <v>0.81664368999999992</v>
      </c>
      <c r="CO9" s="878">
        <v>0.91252921999999992</v>
      </c>
      <c r="CP9" s="878">
        <v>0.85935381999999993</v>
      </c>
      <c r="CQ9" s="878">
        <v>0.83725646999999992</v>
      </c>
      <c r="CR9" s="878">
        <v>0.77935228000000001</v>
      </c>
      <c r="CS9" s="878">
        <v>0.78700070999999994</v>
      </c>
      <c r="CT9" s="878">
        <v>0.80291180000000006</v>
      </c>
      <c r="CU9" s="878">
        <v>0.76096269999999999</v>
      </c>
      <c r="CV9" s="878">
        <v>0.94520529000000009</v>
      </c>
      <c r="CW9" s="878">
        <v>0.87856173999999998</v>
      </c>
      <c r="CX9" s="878">
        <v>0.78481054000000006</v>
      </c>
      <c r="CY9" s="878">
        <v>0.80464106000000002</v>
      </c>
      <c r="CZ9" s="878">
        <v>0.72384230000000005</v>
      </c>
      <c r="DA9" s="878">
        <v>0.87234237999999997</v>
      </c>
      <c r="DB9" s="878">
        <v>0.88549264999999988</v>
      </c>
      <c r="DC9" s="860">
        <v>1.01794235</v>
      </c>
      <c r="DD9" s="860">
        <v>0.79105698000000013</v>
      </c>
      <c r="DE9" s="860">
        <v>1.02546918</v>
      </c>
      <c r="DF9" s="860">
        <v>0.82872807000000004</v>
      </c>
      <c r="DG9" s="860">
        <v>0.85107277999999997</v>
      </c>
      <c r="DH9" s="860">
        <v>0.85891731999999998</v>
      </c>
      <c r="DI9" s="860">
        <v>0.86252665000000006</v>
      </c>
      <c r="DJ9" s="860">
        <v>0.81834479999999998</v>
      </c>
      <c r="DK9" s="860">
        <v>0.87430700999999988</v>
      </c>
      <c r="DL9" s="860">
        <v>1.1479108499999999</v>
      </c>
      <c r="DM9" s="860">
        <v>0.88450478999999993</v>
      </c>
      <c r="DN9" s="860">
        <v>1.14829213</v>
      </c>
      <c r="DO9" s="860">
        <v>0.94218608999999998</v>
      </c>
      <c r="DP9" s="860">
        <v>1.1747516299999998</v>
      </c>
      <c r="DQ9" s="860">
        <v>1.0967426499999999</v>
      </c>
      <c r="DR9" s="860">
        <v>0.95672462999999985</v>
      </c>
      <c r="DS9" s="860">
        <v>1.0984298499999998</v>
      </c>
    </row>
    <row r="10" spans="1:123" ht="17.45" customHeight="1">
      <c r="A10" s="857" t="s">
        <v>2496</v>
      </c>
      <c r="B10" s="858" t="s">
        <v>2547</v>
      </c>
      <c r="C10" s="878">
        <v>602.5831153691795</v>
      </c>
      <c r="D10" s="878">
        <v>535.44971606432716</v>
      </c>
      <c r="E10" s="878">
        <v>335.88269305432709</v>
      </c>
      <c r="F10" s="917">
        <v>377.39918996432709</v>
      </c>
      <c r="G10" s="878">
        <v>756.21661557432708</v>
      </c>
      <c r="H10" s="918">
        <v>799.78411217567088</v>
      </c>
      <c r="I10" s="878">
        <v>952.44549318567101</v>
      </c>
      <c r="J10" s="878">
        <v>849.03084875245986</v>
      </c>
      <c r="K10" s="878">
        <v>1041.2642462425736</v>
      </c>
      <c r="L10" s="878">
        <v>535.11257146725177</v>
      </c>
      <c r="M10" s="917">
        <v>373.29821518025176</v>
      </c>
      <c r="N10" s="878">
        <v>319.35145348025173</v>
      </c>
      <c r="O10" s="878">
        <v>381.37694892093668</v>
      </c>
      <c r="P10" s="878">
        <v>326.26637740093673</v>
      </c>
      <c r="Q10" s="878">
        <v>324.81329154118612</v>
      </c>
      <c r="R10" s="878">
        <v>171.73779741118611</v>
      </c>
      <c r="S10" s="878">
        <v>251.64649767493668</v>
      </c>
      <c r="T10" s="878">
        <v>149.7201244811861</v>
      </c>
      <c r="U10" s="878">
        <v>237.45449411593665</v>
      </c>
      <c r="V10" s="878">
        <v>400.38913668999999</v>
      </c>
      <c r="W10" s="878">
        <v>262.19748087000005</v>
      </c>
      <c r="X10" s="878">
        <v>305.01808734118606</v>
      </c>
      <c r="Y10" s="878">
        <v>282.89005056893666</v>
      </c>
      <c r="Z10" s="878">
        <v>288.47058529675058</v>
      </c>
      <c r="AA10" s="878">
        <v>341.93267334899997</v>
      </c>
      <c r="AB10" s="878">
        <v>395.38881842675056</v>
      </c>
      <c r="AC10" s="878">
        <v>630.78627846675056</v>
      </c>
      <c r="AD10" s="918">
        <v>521.60702317598611</v>
      </c>
      <c r="AE10" s="878">
        <v>286.57811782876701</v>
      </c>
      <c r="AF10" s="878">
        <v>416.10564258684917</v>
      </c>
      <c r="AG10" s="878">
        <v>616.30119900684917</v>
      </c>
      <c r="AH10" s="878">
        <v>927.75296842584908</v>
      </c>
      <c r="AI10" s="878">
        <v>1008.6797707300957</v>
      </c>
      <c r="AJ10" s="878">
        <v>1342.4605875583961</v>
      </c>
      <c r="AK10" s="878">
        <v>1018.6712297208943</v>
      </c>
      <c r="AL10" s="878">
        <v>1090.0411010983962</v>
      </c>
      <c r="AM10" s="878">
        <v>1015.3031527793963</v>
      </c>
      <c r="AN10" s="878">
        <v>1088.1355009148565</v>
      </c>
      <c r="AO10" s="918">
        <v>994.7121213074015</v>
      </c>
      <c r="AP10" s="878">
        <v>798.0093193790002</v>
      </c>
      <c r="AQ10" s="878">
        <v>644.94183145</v>
      </c>
      <c r="AR10" s="878">
        <v>439.66720171000003</v>
      </c>
      <c r="AS10" s="878">
        <v>515.69360505299994</v>
      </c>
      <c r="AT10" s="878">
        <v>395.27437466199996</v>
      </c>
      <c r="AU10" s="878">
        <v>359.40538953679999</v>
      </c>
      <c r="AV10" s="878">
        <v>576.62277908000021</v>
      </c>
      <c r="AW10" s="878">
        <v>1450.5630528299998</v>
      </c>
      <c r="AX10" s="878">
        <v>858.51732602999994</v>
      </c>
      <c r="AY10" s="878">
        <v>933.79281333000006</v>
      </c>
      <c r="AZ10" s="878">
        <v>807.57585788300003</v>
      </c>
      <c r="BA10" s="878">
        <v>1418.3349737829999</v>
      </c>
      <c r="BB10" s="878">
        <v>1141.3919988129999</v>
      </c>
      <c r="BC10" s="878">
        <v>1102.8045247129999</v>
      </c>
      <c r="BD10" s="878">
        <v>993.61120435299983</v>
      </c>
      <c r="BE10" s="878">
        <v>987.94501984199985</v>
      </c>
      <c r="BF10" s="878">
        <v>831.29559185199969</v>
      </c>
      <c r="BG10" s="878">
        <v>580.16398265199973</v>
      </c>
      <c r="BH10" s="878">
        <v>855.04543547199944</v>
      </c>
      <c r="BI10" s="878">
        <v>981.78352783199932</v>
      </c>
      <c r="BJ10" s="878">
        <v>956.74111568064814</v>
      </c>
      <c r="BK10" s="878">
        <v>1317.4926197586478</v>
      </c>
      <c r="BL10" s="878">
        <v>867.96021520864792</v>
      </c>
      <c r="BM10" s="878">
        <v>991.64572975864769</v>
      </c>
      <c r="BN10" s="878">
        <v>1091.7730966156478</v>
      </c>
      <c r="BO10" s="878">
        <v>1011.8523868956479</v>
      </c>
      <c r="BP10" s="878">
        <v>1069.1402223798464</v>
      </c>
      <c r="BQ10" s="878">
        <v>734.35416765564764</v>
      </c>
      <c r="BR10" s="878">
        <v>973.38263891894189</v>
      </c>
      <c r="BS10" s="878">
        <v>889.81715641894198</v>
      </c>
      <c r="BT10" s="878">
        <v>800.93572807081671</v>
      </c>
      <c r="BU10" s="878">
        <v>697.51102734794199</v>
      </c>
      <c r="BV10" s="878">
        <v>672.42356670526476</v>
      </c>
      <c r="BW10" s="878">
        <v>1152.4903325779412</v>
      </c>
      <c r="BX10" s="878">
        <v>767.06861123794124</v>
      </c>
      <c r="BY10" s="878">
        <v>1014.261118427941</v>
      </c>
      <c r="BZ10" s="878">
        <v>1242.413149969</v>
      </c>
      <c r="CA10" s="878">
        <v>742.18282027999999</v>
      </c>
      <c r="CB10" s="878">
        <v>707.13198963000002</v>
      </c>
      <c r="CC10" s="878">
        <v>1035.2208082100001</v>
      </c>
      <c r="CD10" s="878">
        <v>844.28711847999989</v>
      </c>
      <c r="CE10" s="878">
        <v>715.69862252500002</v>
      </c>
      <c r="CF10" s="878">
        <v>825.14680075499996</v>
      </c>
      <c r="CG10" s="878">
        <v>794.53933980500005</v>
      </c>
      <c r="CH10" s="878">
        <v>769.00867489500024</v>
      </c>
      <c r="CI10" s="878">
        <v>823.08528254999999</v>
      </c>
      <c r="CJ10" s="878">
        <v>778.43748957100001</v>
      </c>
      <c r="CK10" s="878">
        <v>737.05626528100595</v>
      </c>
      <c r="CL10" s="878">
        <v>883.49283740100611</v>
      </c>
      <c r="CM10" s="878">
        <v>991.45785896100608</v>
      </c>
      <c r="CN10" s="878">
        <v>1029.787382989454</v>
      </c>
      <c r="CO10" s="878">
        <v>1285.3095852010063</v>
      </c>
      <c r="CP10" s="878">
        <v>1513.5141562410058</v>
      </c>
      <c r="CQ10" s="878">
        <v>1558.534078711006</v>
      </c>
      <c r="CR10" s="878">
        <v>1518.960896271006</v>
      </c>
      <c r="CS10" s="878">
        <v>1052.0363982410061</v>
      </c>
      <c r="CT10" s="878">
        <v>787.25113021050595</v>
      </c>
      <c r="CU10" s="878">
        <v>917.90866650470616</v>
      </c>
      <c r="CV10" s="878">
        <v>688.6812006289091</v>
      </c>
      <c r="CW10" s="878">
        <v>557.02667668953097</v>
      </c>
      <c r="CX10" s="878">
        <v>791.16557072089813</v>
      </c>
      <c r="CY10" s="878">
        <v>577.73171626784801</v>
      </c>
      <c r="CZ10" s="878">
        <v>578.46317282689802</v>
      </c>
      <c r="DA10" s="878">
        <v>845.53811679270416</v>
      </c>
      <c r="DB10" s="878">
        <v>636.39701468270403</v>
      </c>
      <c r="DC10" s="860">
        <v>655.47778804229597</v>
      </c>
      <c r="DD10" s="860">
        <v>671.65114382229592</v>
      </c>
      <c r="DE10" s="860">
        <v>674.88759530229618</v>
      </c>
      <c r="DF10" s="860">
        <v>733.55883586455514</v>
      </c>
      <c r="DG10" s="860">
        <v>967.84140610825114</v>
      </c>
      <c r="DH10" s="860">
        <v>742.93604614005096</v>
      </c>
      <c r="DI10" s="860">
        <v>470.939257474751</v>
      </c>
      <c r="DJ10" s="860">
        <v>1256.445613204751</v>
      </c>
      <c r="DK10" s="860">
        <v>965.65666468475092</v>
      </c>
      <c r="DL10" s="860">
        <v>915.15604085875111</v>
      </c>
      <c r="DM10" s="860">
        <v>1159.4644090337511</v>
      </c>
      <c r="DN10" s="860">
        <v>1113.5885229184371</v>
      </c>
      <c r="DO10" s="860">
        <v>1138.8654935781881</v>
      </c>
      <c r="DP10" s="860">
        <v>1472.4762970583877</v>
      </c>
      <c r="DQ10" s="860">
        <v>1048.3309391283879</v>
      </c>
      <c r="DR10" s="860">
        <v>1208.0267428783882</v>
      </c>
      <c r="DS10" s="860">
        <v>1612.9464406816121</v>
      </c>
    </row>
    <row r="11" spans="1:123" ht="17.45" customHeight="1">
      <c r="A11" s="857" t="s">
        <v>2498</v>
      </c>
      <c r="B11" s="858" t="s">
        <v>2555</v>
      </c>
      <c r="C11" s="878">
        <v>147.85975862999999</v>
      </c>
      <c r="D11" s="878">
        <v>118.27296021000001</v>
      </c>
      <c r="E11" s="878">
        <v>126.05374291</v>
      </c>
      <c r="F11" s="917">
        <v>139.43077625000001</v>
      </c>
      <c r="G11" s="878">
        <v>143.7236029</v>
      </c>
      <c r="H11" s="918">
        <v>181.86861393000001</v>
      </c>
      <c r="I11" s="878">
        <v>128.33290374000001</v>
      </c>
      <c r="J11" s="878">
        <v>276.87750923000004</v>
      </c>
      <c r="K11" s="878">
        <v>212.91996096999998</v>
      </c>
      <c r="L11" s="878">
        <v>171.96835718</v>
      </c>
      <c r="M11" s="917">
        <v>177.63391278</v>
      </c>
      <c r="N11" s="878">
        <v>207.78508337000002</v>
      </c>
      <c r="O11" s="878">
        <v>299.85714434999994</v>
      </c>
      <c r="P11" s="878">
        <v>335.55330135999975</v>
      </c>
      <c r="Q11" s="878">
        <v>286.32163782999976</v>
      </c>
      <c r="R11" s="878">
        <v>288.94357381999976</v>
      </c>
      <c r="S11" s="878">
        <v>357.29351283999978</v>
      </c>
      <c r="T11" s="878">
        <v>311.58080574999974</v>
      </c>
      <c r="U11" s="878">
        <v>155.68019319999985</v>
      </c>
      <c r="V11" s="878">
        <v>247.21087684</v>
      </c>
      <c r="W11" s="878">
        <v>283.97970787000003</v>
      </c>
      <c r="X11" s="878">
        <v>265.68570657949982</v>
      </c>
      <c r="Y11" s="878">
        <v>261.37781761949987</v>
      </c>
      <c r="Z11" s="878">
        <v>281.88948801549981</v>
      </c>
      <c r="AA11" s="878">
        <v>337.89291353549987</v>
      </c>
      <c r="AB11" s="878">
        <v>267.28963810549988</v>
      </c>
      <c r="AC11" s="878">
        <v>296.66929348549985</v>
      </c>
      <c r="AD11" s="918">
        <v>288.96005666549991</v>
      </c>
      <c r="AE11" s="878">
        <v>360.49034149549988</v>
      </c>
      <c r="AF11" s="878">
        <v>431.71562858549981</v>
      </c>
      <c r="AG11" s="878">
        <v>382.28732294749989</v>
      </c>
      <c r="AH11" s="878">
        <v>781.44031197749996</v>
      </c>
      <c r="AI11" s="878">
        <v>774.52023403549981</v>
      </c>
      <c r="AJ11" s="878">
        <v>1107.1689004554999</v>
      </c>
      <c r="AK11" s="878">
        <v>856.28326820749976</v>
      </c>
      <c r="AL11" s="878">
        <v>760.49558163949985</v>
      </c>
      <c r="AM11" s="878">
        <v>901.8402582294998</v>
      </c>
      <c r="AN11" s="878">
        <v>792.74774708949997</v>
      </c>
      <c r="AO11" s="918">
        <v>817.3962234695</v>
      </c>
      <c r="AP11" s="878">
        <v>575.8489090700001</v>
      </c>
      <c r="AQ11" s="878">
        <v>564.10851364999996</v>
      </c>
      <c r="AR11" s="878">
        <v>718.90112993000002</v>
      </c>
      <c r="AS11" s="878">
        <v>582.67890176000003</v>
      </c>
      <c r="AT11" s="878">
        <v>612.37702178999996</v>
      </c>
      <c r="AU11" s="878">
        <v>226.77217009999998</v>
      </c>
      <c r="AV11" s="878">
        <v>280.36112960000003</v>
      </c>
      <c r="AW11" s="878">
        <v>247.67850559999999</v>
      </c>
      <c r="AX11" s="878">
        <v>182.18343411000001</v>
      </c>
      <c r="AY11" s="878">
        <v>400.89687820120446</v>
      </c>
      <c r="AZ11" s="878">
        <v>470.99189879999994</v>
      </c>
      <c r="BA11" s="878">
        <v>528.57329583000001</v>
      </c>
      <c r="BB11" s="878">
        <v>432.51449483000005</v>
      </c>
      <c r="BC11" s="878">
        <v>549.22732209999992</v>
      </c>
      <c r="BD11" s="878">
        <v>428.13262670000006</v>
      </c>
      <c r="BE11" s="878">
        <v>317.42161484299999</v>
      </c>
      <c r="BF11" s="878">
        <v>310.18084548299998</v>
      </c>
      <c r="BG11" s="878">
        <v>582.88419610299991</v>
      </c>
      <c r="BH11" s="878">
        <v>635.25021299299999</v>
      </c>
      <c r="BI11" s="878">
        <v>687.69342827600008</v>
      </c>
      <c r="BJ11" s="878">
        <v>814.12875540775235</v>
      </c>
      <c r="BK11" s="878">
        <v>334.47204617599999</v>
      </c>
      <c r="BL11" s="878">
        <v>340.78409806775238</v>
      </c>
      <c r="BM11" s="878">
        <v>457.40605834599995</v>
      </c>
      <c r="BN11" s="878">
        <v>523.21195728599992</v>
      </c>
      <c r="BO11" s="878">
        <v>606.38622986299993</v>
      </c>
      <c r="BP11" s="878">
        <v>362.84371618299997</v>
      </c>
      <c r="BQ11" s="878">
        <v>384.54459495299994</v>
      </c>
      <c r="BR11" s="878">
        <v>518.77405243299995</v>
      </c>
      <c r="BS11" s="878">
        <v>595.65707920299997</v>
      </c>
      <c r="BT11" s="878">
        <v>710.61603026</v>
      </c>
      <c r="BU11" s="878">
        <v>750.00098806999995</v>
      </c>
      <c r="BV11" s="878">
        <v>881.12443212000005</v>
      </c>
      <c r="BW11" s="878">
        <v>704.36448890999998</v>
      </c>
      <c r="BX11" s="878">
        <v>741.86453553000001</v>
      </c>
      <c r="BY11" s="878">
        <v>838.03370045278677</v>
      </c>
      <c r="BZ11" s="878">
        <v>785.75288425999997</v>
      </c>
      <c r="CA11" s="878">
        <v>739.52244490999999</v>
      </c>
      <c r="CB11" s="878">
        <v>681.90087348999998</v>
      </c>
      <c r="CC11" s="878">
        <v>606.79243150000013</v>
      </c>
      <c r="CD11" s="878">
        <v>670.90542106999999</v>
      </c>
      <c r="CE11" s="878">
        <v>611.94721517999994</v>
      </c>
      <c r="CF11" s="878">
        <v>737.10745859000008</v>
      </c>
      <c r="CG11" s="878">
        <v>904.27344923999999</v>
      </c>
      <c r="CH11" s="878">
        <v>435.92119885</v>
      </c>
      <c r="CI11" s="878">
        <v>396.46943016000006</v>
      </c>
      <c r="CJ11" s="878">
        <v>342.44433203000006</v>
      </c>
      <c r="CK11" s="878">
        <v>407.73355939000004</v>
      </c>
      <c r="CL11" s="878">
        <v>410.49309282000007</v>
      </c>
      <c r="CM11" s="878">
        <v>477.16841971000002</v>
      </c>
      <c r="CN11" s="878">
        <v>384.15260738155212</v>
      </c>
      <c r="CO11" s="878">
        <v>417.18328244000008</v>
      </c>
      <c r="CP11" s="878">
        <v>298.00961064000006</v>
      </c>
      <c r="CQ11" s="878">
        <v>404.05215901000008</v>
      </c>
      <c r="CR11" s="878">
        <v>414.27833944000008</v>
      </c>
      <c r="CS11" s="878">
        <v>431.66331083000011</v>
      </c>
      <c r="CT11" s="878">
        <v>379.13339237000002</v>
      </c>
      <c r="CU11" s="878">
        <v>342.83035370000005</v>
      </c>
      <c r="CV11" s="878">
        <v>454.85196814000005</v>
      </c>
      <c r="CW11" s="878">
        <v>574.78603601999998</v>
      </c>
      <c r="CX11" s="878">
        <v>516.06497110999999</v>
      </c>
      <c r="CY11" s="878">
        <v>551.11659469000006</v>
      </c>
      <c r="CZ11" s="878">
        <v>384.52716314000003</v>
      </c>
      <c r="DA11" s="878">
        <v>467.79181010000002</v>
      </c>
      <c r="DB11" s="878">
        <v>351.56968322</v>
      </c>
      <c r="DC11" s="860">
        <v>405.54849143000001</v>
      </c>
      <c r="DD11" s="860">
        <v>418.39600915999995</v>
      </c>
      <c r="DE11" s="860">
        <v>625.87053139</v>
      </c>
      <c r="DF11" s="860">
        <v>406.72300498373261</v>
      </c>
      <c r="DG11" s="860">
        <v>371.41950620999995</v>
      </c>
      <c r="DH11" s="860">
        <v>379.92483817000004</v>
      </c>
      <c r="DI11" s="860">
        <v>337.57482494999999</v>
      </c>
      <c r="DJ11" s="860">
        <v>386.16410673000001</v>
      </c>
      <c r="DK11" s="860">
        <v>390.16332543999999</v>
      </c>
      <c r="DL11" s="860">
        <v>467.43305558000003</v>
      </c>
      <c r="DM11" s="860">
        <v>382.25167830999999</v>
      </c>
      <c r="DN11" s="860">
        <v>430.89867773999998</v>
      </c>
      <c r="DO11" s="860">
        <v>466.32167580000004</v>
      </c>
      <c r="DP11" s="860">
        <v>539.22572155</v>
      </c>
      <c r="DQ11" s="860">
        <v>660.16542309810006</v>
      </c>
      <c r="DR11" s="860">
        <v>785.46575278</v>
      </c>
      <c r="DS11" s="860">
        <v>615.50210756999991</v>
      </c>
    </row>
    <row r="12" spans="1:123" ht="17.45" customHeight="1">
      <c r="A12" s="857" t="s">
        <v>2500</v>
      </c>
      <c r="B12" s="858" t="s">
        <v>2556</v>
      </c>
      <c r="C12" s="878">
        <v>457.01446121999999</v>
      </c>
      <c r="D12" s="878">
        <v>515.45755521000001</v>
      </c>
      <c r="E12" s="878">
        <v>530.84705997999993</v>
      </c>
      <c r="F12" s="917">
        <v>681.63857863999999</v>
      </c>
      <c r="G12" s="878">
        <v>744.20513767</v>
      </c>
      <c r="H12" s="918">
        <v>753.02975649999996</v>
      </c>
      <c r="I12" s="878">
        <v>753.65941918999999</v>
      </c>
      <c r="J12" s="878">
        <v>835.84261308999987</v>
      </c>
      <c r="K12" s="878">
        <v>1087.0784110000779</v>
      </c>
      <c r="L12" s="878">
        <v>1421.6584317124737</v>
      </c>
      <c r="M12" s="917">
        <v>1554.2198492087562</v>
      </c>
      <c r="N12" s="878">
        <v>1526.7350495122478</v>
      </c>
      <c r="O12" s="878">
        <v>1552.9840785725028</v>
      </c>
      <c r="P12" s="878">
        <v>1545.0646512879634</v>
      </c>
      <c r="Q12" s="878">
        <v>1567.2359120189892</v>
      </c>
      <c r="R12" s="878">
        <v>1567.5159015099291</v>
      </c>
      <c r="S12" s="878">
        <v>1534.3712525607889</v>
      </c>
      <c r="T12" s="878">
        <v>1610.0166560040411</v>
      </c>
      <c r="U12" s="878">
        <v>1677.2328442354831</v>
      </c>
      <c r="V12" s="878">
        <v>1469.1935739894261</v>
      </c>
      <c r="W12" s="878">
        <v>1479.6290712936184</v>
      </c>
      <c r="X12" s="878">
        <v>1649.7761723797412</v>
      </c>
      <c r="Y12" s="878">
        <v>1621.087096511229</v>
      </c>
      <c r="Z12" s="878">
        <v>1597.7156157749948</v>
      </c>
      <c r="AA12" s="878">
        <v>1635.7438841299072</v>
      </c>
      <c r="AB12" s="878">
        <v>1789.0885431788784</v>
      </c>
      <c r="AC12" s="878">
        <v>1981.2361778775753</v>
      </c>
      <c r="AD12" s="918">
        <v>2040.7009597594742</v>
      </c>
      <c r="AE12" s="878">
        <v>2152.3696522194741</v>
      </c>
      <c r="AF12" s="878">
        <v>2227.5043874214402</v>
      </c>
      <c r="AG12" s="878">
        <v>2405.6833678571538</v>
      </c>
      <c r="AH12" s="878">
        <v>2431.1686737154096</v>
      </c>
      <c r="AI12" s="878">
        <v>2359.8182061754419</v>
      </c>
      <c r="AJ12" s="878">
        <v>2542.7824905130428</v>
      </c>
      <c r="AK12" s="878">
        <v>2786.98897730412</v>
      </c>
      <c r="AL12" s="878">
        <v>2794.5775996119623</v>
      </c>
      <c r="AM12" s="878">
        <v>2845.7893779619762</v>
      </c>
      <c r="AN12" s="878">
        <v>3196.8793688483443</v>
      </c>
      <c r="AO12" s="918">
        <v>3284.7384235900004</v>
      </c>
      <c r="AP12" s="878">
        <v>3370.5772464878446</v>
      </c>
      <c r="AQ12" s="878">
        <v>3362.5335147575006</v>
      </c>
      <c r="AR12" s="878">
        <v>3242.5350589548789</v>
      </c>
      <c r="AS12" s="878">
        <v>3243.5769828183707</v>
      </c>
      <c r="AT12" s="878">
        <v>3212.101977443232</v>
      </c>
      <c r="AU12" s="878">
        <v>3528.1444899201374</v>
      </c>
      <c r="AV12" s="878">
        <v>3668.1143274048891</v>
      </c>
      <c r="AW12" s="878">
        <v>3040.6863560699999</v>
      </c>
      <c r="AX12" s="878">
        <v>3892.3477631199999</v>
      </c>
      <c r="AY12" s="878">
        <v>3812.9155355900002</v>
      </c>
      <c r="AZ12" s="878">
        <v>4643.0949271400004</v>
      </c>
      <c r="BA12" s="878">
        <v>4655.8265504012152</v>
      </c>
      <c r="BB12" s="878">
        <v>4797.5356066253789</v>
      </c>
      <c r="BC12" s="878">
        <v>4858.4439872050689</v>
      </c>
      <c r="BD12" s="878">
        <v>5018.9951775860272</v>
      </c>
      <c r="BE12" s="878">
        <v>5108.5525625099999</v>
      </c>
      <c r="BF12" s="878">
        <v>5136.0190155216706</v>
      </c>
      <c r="BG12" s="878">
        <v>5375.2617324627663</v>
      </c>
      <c r="BH12" s="878">
        <v>5204.4031734839728</v>
      </c>
      <c r="BI12" s="878">
        <v>5294.7415809485901</v>
      </c>
      <c r="BJ12" s="878">
        <v>5389.5584247067127</v>
      </c>
      <c r="BK12" s="878">
        <v>5506.8311308786306</v>
      </c>
      <c r="BL12" s="878">
        <v>5533.9105733253418</v>
      </c>
      <c r="BM12" s="878">
        <v>5220.0635686284932</v>
      </c>
      <c r="BN12" s="878">
        <v>5253.2534951157531</v>
      </c>
      <c r="BO12" s="878">
        <v>5055.8139928335613</v>
      </c>
      <c r="BP12" s="878">
        <v>5071.8111288875698</v>
      </c>
      <c r="BQ12" s="878">
        <v>5187.0713999486243</v>
      </c>
      <c r="BR12" s="878">
        <v>5373.2145499450635</v>
      </c>
      <c r="BS12" s="878">
        <v>5496.4108388183504</v>
      </c>
      <c r="BT12" s="878">
        <v>5502.1555343234186</v>
      </c>
      <c r="BU12" s="878">
        <v>5282.9221058235562</v>
      </c>
      <c r="BV12" s="878">
        <v>5577.549225253556</v>
      </c>
      <c r="BW12" s="878">
        <v>5898.2341095805587</v>
      </c>
      <c r="BX12" s="878">
        <v>5965.9065118883736</v>
      </c>
      <c r="BY12" s="878">
        <v>5841.7637485834011</v>
      </c>
      <c r="BZ12" s="878">
        <v>5870.6417684899998</v>
      </c>
      <c r="CA12" s="878">
        <v>5967.9222720299986</v>
      </c>
      <c r="CB12" s="878">
        <v>6061.3802736099997</v>
      </c>
      <c r="CC12" s="878">
        <v>5843.7213668099994</v>
      </c>
      <c r="CD12" s="878">
        <v>6030.11499757</v>
      </c>
      <c r="CE12" s="878">
        <v>6243.7597201538356</v>
      </c>
      <c r="CF12" s="878">
        <v>6296.1964831525593</v>
      </c>
      <c r="CG12" s="878">
        <v>6135.1521898343826</v>
      </c>
      <c r="CH12" s="878">
        <v>6168.9019908443834</v>
      </c>
      <c r="CI12" s="878">
        <v>6088.834815629999</v>
      </c>
      <c r="CJ12" s="878">
        <v>6372.2730103334243</v>
      </c>
      <c r="CK12" s="878">
        <v>6571.3569222300002</v>
      </c>
      <c r="CL12" s="878">
        <v>6679.1791890441309</v>
      </c>
      <c r="CM12" s="878">
        <v>6901.047641600001</v>
      </c>
      <c r="CN12" s="878">
        <v>6805.8428579500005</v>
      </c>
      <c r="CO12" s="878">
        <v>6900.6683421824655</v>
      </c>
      <c r="CP12" s="878">
        <v>7290.8628264034251</v>
      </c>
      <c r="CQ12" s="878">
        <v>7232.17625133</v>
      </c>
      <c r="CR12" s="878">
        <v>7178.9552939900004</v>
      </c>
      <c r="CS12" s="878">
        <v>6830.7758542300007</v>
      </c>
      <c r="CT12" s="878">
        <v>6898.981702650598</v>
      </c>
      <c r="CU12" s="878">
        <v>7031.2330466524645</v>
      </c>
      <c r="CV12" s="878">
        <v>6818.4623819134231</v>
      </c>
      <c r="CW12" s="878">
        <v>6887.7645292107354</v>
      </c>
      <c r="CX12" s="878">
        <v>7233.675565049999</v>
      </c>
      <c r="CY12" s="878">
        <v>7259.5764643500006</v>
      </c>
      <c r="CZ12" s="878">
        <v>7210.9873709899994</v>
      </c>
      <c r="DA12" s="878">
        <v>6961.9729461199986</v>
      </c>
      <c r="DB12" s="878">
        <v>6924.6676912665753</v>
      </c>
      <c r="DC12" s="860">
        <v>7035.0782110285745</v>
      </c>
      <c r="DD12" s="860">
        <v>7294.461565702054</v>
      </c>
      <c r="DE12" s="860">
        <v>7337.1203470495884</v>
      </c>
      <c r="DF12" s="860">
        <v>7523.4547114169864</v>
      </c>
      <c r="DG12" s="860">
        <v>7859.0443922580826</v>
      </c>
      <c r="DH12" s="860">
        <v>7677.9857874269974</v>
      </c>
      <c r="DI12" s="860">
        <v>7669.1287544824727</v>
      </c>
      <c r="DJ12" s="860">
        <v>7855.5743330700334</v>
      </c>
      <c r="DK12" s="860">
        <v>8122.5877506171801</v>
      </c>
      <c r="DL12" s="860">
        <v>8215.0204038478078</v>
      </c>
      <c r="DM12" s="860">
        <v>8217.7074798668491</v>
      </c>
      <c r="DN12" s="860">
        <v>8063.0643305561644</v>
      </c>
      <c r="DO12" s="860">
        <v>7851.6821320154795</v>
      </c>
      <c r="DP12" s="860">
        <v>7774.7003798963015</v>
      </c>
      <c r="DQ12" s="860">
        <v>7686.2326261319176</v>
      </c>
      <c r="DR12" s="860">
        <v>6693.8118482532882</v>
      </c>
      <c r="DS12" s="860">
        <v>6688.305098915479</v>
      </c>
    </row>
    <row r="13" spans="1:123" ht="17.45" customHeight="1">
      <c r="A13" s="857"/>
      <c r="B13" s="858"/>
      <c r="C13" s="913"/>
      <c r="D13" s="913"/>
      <c r="E13" s="913"/>
      <c r="F13" s="914"/>
      <c r="G13" s="913"/>
      <c r="H13" s="915"/>
      <c r="I13" s="913"/>
      <c r="J13" s="913"/>
      <c r="K13" s="913"/>
      <c r="L13" s="913"/>
      <c r="M13" s="914"/>
      <c r="N13" s="913"/>
      <c r="O13" s="913"/>
      <c r="P13" s="913"/>
      <c r="Q13" s="913"/>
      <c r="R13" s="913"/>
      <c r="S13" s="913"/>
      <c r="T13" s="913"/>
      <c r="U13" s="913"/>
      <c r="V13" s="913"/>
      <c r="W13" s="913"/>
      <c r="X13" s="913"/>
      <c r="Y13" s="913"/>
      <c r="Z13" s="913"/>
      <c r="AA13" s="913"/>
      <c r="AB13" s="913"/>
      <c r="AC13" s="913"/>
      <c r="AD13" s="915"/>
      <c r="AE13" s="913"/>
      <c r="AF13" s="913"/>
      <c r="AG13" s="913"/>
      <c r="AH13" s="913"/>
      <c r="AI13" s="913"/>
      <c r="AJ13" s="913"/>
      <c r="AK13" s="913"/>
      <c r="AL13" s="913"/>
      <c r="AM13" s="913"/>
      <c r="AN13" s="913"/>
      <c r="AO13" s="915"/>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859"/>
      <c r="DD13" s="859"/>
      <c r="DE13" s="859"/>
      <c r="DF13" s="859"/>
      <c r="DG13" s="859"/>
      <c r="DH13" s="859"/>
      <c r="DI13" s="859"/>
      <c r="DJ13" s="859"/>
      <c r="DK13" s="859"/>
      <c r="DL13" s="859"/>
      <c r="DM13" s="859"/>
      <c r="DN13" s="859"/>
      <c r="DO13" s="859"/>
      <c r="DP13" s="859"/>
      <c r="DQ13" s="859"/>
      <c r="DR13" s="859"/>
      <c r="DS13" s="859"/>
    </row>
    <row r="14" spans="1:123" ht="17.45" customHeight="1">
      <c r="A14" s="853" t="s">
        <v>2502</v>
      </c>
      <c r="B14" s="854" t="s">
        <v>2503</v>
      </c>
      <c r="C14" s="909">
        <v>3141.7412288734417</v>
      </c>
      <c r="D14" s="909">
        <v>3158.4869030572645</v>
      </c>
      <c r="E14" s="909">
        <v>3198.7408681926768</v>
      </c>
      <c r="F14" s="910">
        <v>3019.9938490326763</v>
      </c>
      <c r="G14" s="909">
        <v>2826.5538611226757</v>
      </c>
      <c r="H14" s="911">
        <v>2799.7486643388174</v>
      </c>
      <c r="I14" s="909">
        <v>2749.5444257012132</v>
      </c>
      <c r="J14" s="909">
        <v>2575.7187005012133</v>
      </c>
      <c r="K14" s="909">
        <v>2041.4957546528001</v>
      </c>
      <c r="L14" s="909">
        <v>2094.8271464709474</v>
      </c>
      <c r="M14" s="910">
        <v>2225.6804032560376</v>
      </c>
      <c r="N14" s="909">
        <v>2350.3789442984998</v>
      </c>
      <c r="O14" s="909">
        <v>2221.7086997548354</v>
      </c>
      <c r="P14" s="909">
        <v>2225.8757117201462</v>
      </c>
      <c r="Q14" s="909">
        <v>2301.1639691281403</v>
      </c>
      <c r="R14" s="909">
        <v>2346.7748384911879</v>
      </c>
      <c r="S14" s="909">
        <v>2244.0625431743097</v>
      </c>
      <c r="T14" s="909">
        <v>2131.419913247481</v>
      </c>
      <c r="U14" s="909">
        <v>2143.713592826371</v>
      </c>
      <c r="V14" s="909">
        <v>2186.1390085502549</v>
      </c>
      <c r="W14" s="909">
        <v>2301.9831274509706</v>
      </c>
      <c r="X14" s="909">
        <v>2321.86058746246</v>
      </c>
      <c r="Y14" s="909">
        <v>2471.76681323808</v>
      </c>
      <c r="Z14" s="909">
        <v>2536.299899499299</v>
      </c>
      <c r="AA14" s="909">
        <v>2516.8508154133183</v>
      </c>
      <c r="AB14" s="909">
        <v>2427.2330756263427</v>
      </c>
      <c r="AC14" s="909">
        <v>2270.0078690333789</v>
      </c>
      <c r="AD14" s="911">
        <v>2365.1709751035214</v>
      </c>
      <c r="AE14" s="909">
        <v>2334.9689097226233</v>
      </c>
      <c r="AF14" s="909">
        <v>2310.6937722622688</v>
      </c>
      <c r="AG14" s="909">
        <v>2139.971821948056</v>
      </c>
      <c r="AH14" s="909">
        <v>1976.2289690552557</v>
      </c>
      <c r="AI14" s="909">
        <v>1965.6124717309676</v>
      </c>
      <c r="AJ14" s="909">
        <v>1745.7364813708782</v>
      </c>
      <c r="AK14" s="909">
        <v>1616.5023866291365</v>
      </c>
      <c r="AL14" s="909">
        <v>1637.1462251732382</v>
      </c>
      <c r="AM14" s="909">
        <v>1628.8841910976505</v>
      </c>
      <c r="AN14" s="909">
        <v>1658.2967303723017</v>
      </c>
      <c r="AO14" s="911">
        <v>1692.3171174499998</v>
      </c>
      <c r="AP14" s="909">
        <v>1994.5838696299363</v>
      </c>
      <c r="AQ14" s="909">
        <v>2017.4659075461332</v>
      </c>
      <c r="AR14" s="909">
        <v>2038.9810114042459</v>
      </c>
      <c r="AS14" s="909">
        <v>1744.6942894492549</v>
      </c>
      <c r="AT14" s="909">
        <v>1836.0300834528859</v>
      </c>
      <c r="AU14" s="909">
        <v>1890.04722036</v>
      </c>
      <c r="AV14" s="909">
        <v>1805.6448480298918</v>
      </c>
      <c r="AW14" s="909">
        <v>1777.091374311319</v>
      </c>
      <c r="AX14" s="909">
        <v>1748.1520837916485</v>
      </c>
      <c r="AY14" s="909">
        <v>1648.7069554700001</v>
      </c>
      <c r="AZ14" s="909">
        <v>1597.3564816750697</v>
      </c>
      <c r="BA14" s="909">
        <v>1602.2370017178173</v>
      </c>
      <c r="BB14" s="909">
        <v>1616.0677548951646</v>
      </c>
      <c r="BC14" s="909">
        <v>1589.4390290758242</v>
      </c>
      <c r="BD14" s="909">
        <v>1593.1882786071428</v>
      </c>
      <c r="BE14" s="909">
        <v>1544.1289795604396</v>
      </c>
      <c r="BF14" s="909">
        <v>1534.7776348191451</v>
      </c>
      <c r="BG14" s="909">
        <v>1550.6753865483333</v>
      </c>
      <c r="BH14" s="909">
        <v>1388.9837204238659</v>
      </c>
      <c r="BI14" s="909">
        <v>1382.9648998331868</v>
      </c>
      <c r="BJ14" s="909">
        <v>1357.56706467546</v>
      </c>
      <c r="BK14" s="909">
        <v>1311.6844934912328</v>
      </c>
      <c r="BL14" s="909">
        <v>1309.3671006326374</v>
      </c>
      <c r="BM14" s="909">
        <v>1306.9037394030634</v>
      </c>
      <c r="BN14" s="909">
        <v>1309.1511247393</v>
      </c>
      <c r="BO14" s="909">
        <v>1494.8586652332981</v>
      </c>
      <c r="BP14" s="909">
        <v>1717.6923635299593</v>
      </c>
      <c r="BQ14" s="909">
        <v>1706.6328342610359</v>
      </c>
      <c r="BR14" s="909">
        <v>1428.1947687079648</v>
      </c>
      <c r="BS14" s="909">
        <v>1422.240900619875</v>
      </c>
      <c r="BT14" s="909">
        <v>1424.9215065481003</v>
      </c>
      <c r="BU14" s="909">
        <v>1689.8318971611109</v>
      </c>
      <c r="BV14" s="909">
        <v>1536.3879081813907</v>
      </c>
      <c r="BW14" s="909">
        <v>1497.3001113685109</v>
      </c>
      <c r="BX14" s="909">
        <v>1496.2893116786543</v>
      </c>
      <c r="BY14" s="909">
        <v>1497.8713312785776</v>
      </c>
      <c r="BZ14" s="909">
        <v>1492.2001580841759</v>
      </c>
      <c r="CA14" s="909">
        <v>1491.1442447524175</v>
      </c>
      <c r="CB14" s="909">
        <v>1494.0817110507694</v>
      </c>
      <c r="CC14" s="909">
        <v>983.03197204417575</v>
      </c>
      <c r="CD14" s="909">
        <v>899.83751579747252</v>
      </c>
      <c r="CE14" s="909">
        <v>901.09174694087915</v>
      </c>
      <c r="CF14" s="909">
        <v>856.63633345417566</v>
      </c>
      <c r="CG14" s="909">
        <v>835.12837561252741</v>
      </c>
      <c r="CH14" s="909">
        <v>762.25248887582404</v>
      </c>
      <c r="CI14" s="909">
        <v>597.45794412999999</v>
      </c>
      <c r="CJ14" s="909">
        <v>577.03089347747255</v>
      </c>
      <c r="CK14" s="909">
        <v>576.93882955076924</v>
      </c>
      <c r="CL14" s="909">
        <v>544.39697262483514</v>
      </c>
      <c r="CM14" s="909">
        <v>320.38611489813184</v>
      </c>
      <c r="CN14" s="909">
        <v>322.69040618648353</v>
      </c>
      <c r="CO14" s="909">
        <v>270.52531707999998</v>
      </c>
      <c r="CP14" s="909">
        <v>346.89328178</v>
      </c>
      <c r="CQ14" s="909">
        <v>343.94443731000001</v>
      </c>
      <c r="CR14" s="909">
        <v>343.65978201000001</v>
      </c>
      <c r="CS14" s="909">
        <v>369.47067464999998</v>
      </c>
      <c r="CT14" s="909">
        <v>370.42300564999999</v>
      </c>
      <c r="CU14" s="909">
        <v>382.08043149000002</v>
      </c>
      <c r="CV14" s="909">
        <v>381.86276723000003</v>
      </c>
      <c r="CW14" s="909">
        <v>378.78838701000001</v>
      </c>
      <c r="CX14" s="909">
        <v>382.15068615999996</v>
      </c>
      <c r="CY14" s="909">
        <v>352.98757789000001</v>
      </c>
      <c r="CZ14" s="909">
        <v>293.83717693</v>
      </c>
      <c r="DA14" s="909">
        <v>255.40701999999999</v>
      </c>
      <c r="DB14" s="909">
        <v>254.450526</v>
      </c>
      <c r="DC14" s="855">
        <v>150.57144</v>
      </c>
      <c r="DD14" s="855">
        <v>148.98216400000001</v>
      </c>
      <c r="DE14" s="855">
        <v>150.072889</v>
      </c>
      <c r="DF14" s="855">
        <v>151.163613</v>
      </c>
      <c r="DG14" s="855">
        <v>152.25433799999999</v>
      </c>
      <c r="DH14" s="855">
        <v>150.57006127142859</v>
      </c>
      <c r="DI14" s="855">
        <v>150.83178580714289</v>
      </c>
      <c r="DJ14" s="855">
        <v>149.24251034285712</v>
      </c>
      <c r="DK14" s="855">
        <v>150.33323487857143</v>
      </c>
      <c r="DL14" s="855">
        <v>151.423959</v>
      </c>
      <c r="DM14" s="855">
        <v>152.51468399999999</v>
      </c>
      <c r="DN14" s="855">
        <v>150.83040800000001</v>
      </c>
      <c r="DO14" s="855">
        <v>151.09213299999999</v>
      </c>
      <c r="DP14" s="855">
        <v>149.502858</v>
      </c>
      <c r="DQ14" s="855">
        <v>150.593582</v>
      </c>
      <c r="DR14" s="855">
        <v>151.68430699999999</v>
      </c>
      <c r="DS14" s="855">
        <v>152.77503100000001</v>
      </c>
    </row>
    <row r="15" spans="1:123" ht="17.45" customHeight="1">
      <c r="A15" s="857"/>
      <c r="B15" s="858"/>
      <c r="C15" s="913"/>
      <c r="D15" s="913"/>
      <c r="E15" s="913"/>
      <c r="F15" s="914"/>
      <c r="G15" s="913"/>
      <c r="H15" s="915"/>
      <c r="I15" s="913"/>
      <c r="J15" s="913"/>
      <c r="K15" s="913"/>
      <c r="L15" s="913"/>
      <c r="M15" s="914"/>
      <c r="N15" s="913"/>
      <c r="O15" s="913"/>
      <c r="P15" s="913"/>
      <c r="Q15" s="913"/>
      <c r="R15" s="913"/>
      <c r="S15" s="913"/>
      <c r="T15" s="913"/>
      <c r="U15" s="913"/>
      <c r="V15" s="913"/>
      <c r="W15" s="913"/>
      <c r="X15" s="913"/>
      <c r="Y15" s="913"/>
      <c r="Z15" s="913"/>
      <c r="AA15" s="913"/>
      <c r="AB15" s="913"/>
      <c r="AC15" s="913"/>
      <c r="AD15" s="915"/>
      <c r="AE15" s="913"/>
      <c r="AF15" s="913"/>
      <c r="AG15" s="913"/>
      <c r="AH15" s="913"/>
      <c r="AI15" s="913"/>
      <c r="AJ15" s="913"/>
      <c r="AK15" s="913"/>
      <c r="AL15" s="913"/>
      <c r="AM15" s="913"/>
      <c r="AN15" s="913"/>
      <c r="AO15" s="915"/>
      <c r="AP15" s="913"/>
      <c r="AQ15" s="913"/>
      <c r="AR15" s="913"/>
      <c r="AS15" s="913"/>
      <c r="AT15" s="913"/>
      <c r="AU15" s="913"/>
      <c r="AV15" s="913"/>
      <c r="AW15" s="913"/>
      <c r="AX15" s="913"/>
      <c r="AY15" s="913"/>
      <c r="AZ15" s="913"/>
      <c r="BA15" s="913"/>
      <c r="BB15" s="913"/>
      <c r="BC15" s="913"/>
      <c r="BD15" s="913"/>
      <c r="BE15" s="913"/>
      <c r="BF15" s="913"/>
      <c r="BG15" s="913"/>
      <c r="BH15" s="913"/>
      <c r="BI15" s="913"/>
      <c r="BJ15" s="913"/>
      <c r="BK15" s="913"/>
      <c r="BL15" s="913"/>
      <c r="BM15" s="913"/>
      <c r="BN15" s="913"/>
      <c r="BO15" s="913"/>
      <c r="BP15" s="913"/>
      <c r="BQ15" s="913"/>
      <c r="BR15" s="913"/>
      <c r="BS15" s="913"/>
      <c r="BT15" s="913"/>
      <c r="BU15" s="913"/>
      <c r="BV15" s="913"/>
      <c r="BW15" s="913"/>
      <c r="BX15" s="913"/>
      <c r="BY15" s="913"/>
      <c r="BZ15" s="913"/>
      <c r="CA15" s="913"/>
      <c r="CB15" s="913"/>
      <c r="CC15" s="913"/>
      <c r="CD15" s="913"/>
      <c r="CE15" s="913"/>
      <c r="CF15" s="913"/>
      <c r="CG15" s="913"/>
      <c r="CH15" s="913"/>
      <c r="CI15" s="913"/>
      <c r="CJ15" s="913"/>
      <c r="CK15" s="913"/>
      <c r="CL15" s="913"/>
      <c r="CM15" s="913"/>
      <c r="CN15" s="913"/>
      <c r="CO15" s="913"/>
      <c r="CP15" s="913"/>
      <c r="CQ15" s="913"/>
      <c r="CR15" s="913"/>
      <c r="CS15" s="913"/>
      <c r="CT15" s="913"/>
      <c r="CU15" s="913"/>
      <c r="CV15" s="913"/>
      <c r="CW15" s="913"/>
      <c r="CX15" s="913"/>
      <c r="CY15" s="913"/>
      <c r="CZ15" s="913"/>
      <c r="DA15" s="913"/>
      <c r="DB15" s="913"/>
      <c r="DC15" s="859"/>
      <c r="DD15" s="859"/>
      <c r="DE15" s="859"/>
      <c r="DF15" s="859"/>
      <c r="DG15" s="859"/>
      <c r="DH15" s="859"/>
      <c r="DI15" s="859"/>
      <c r="DJ15" s="859"/>
      <c r="DK15" s="859"/>
      <c r="DL15" s="859"/>
      <c r="DM15" s="859"/>
      <c r="DN15" s="859"/>
      <c r="DO15" s="859"/>
      <c r="DP15" s="859"/>
      <c r="DQ15" s="859"/>
      <c r="DR15" s="859"/>
      <c r="DS15" s="859"/>
    </row>
    <row r="16" spans="1:123" ht="17.45" customHeight="1">
      <c r="A16" s="853" t="s">
        <v>2504</v>
      </c>
      <c r="B16" s="854" t="s">
        <v>2312</v>
      </c>
      <c r="C16" s="909">
        <v>19280.686609455002</v>
      </c>
      <c r="D16" s="909">
        <v>19682.263737385001</v>
      </c>
      <c r="E16" s="909">
        <v>20095.335074604998</v>
      </c>
      <c r="F16" s="910">
        <v>20441.747822915</v>
      </c>
      <c r="G16" s="909">
        <v>20780.148270494999</v>
      </c>
      <c r="H16" s="911">
        <v>21427.871552655</v>
      </c>
      <c r="I16" s="909">
        <v>21669.938592495004</v>
      </c>
      <c r="J16" s="909">
        <v>21829.047462724899</v>
      </c>
      <c r="K16" s="909">
        <v>22185.69245881835</v>
      </c>
      <c r="L16" s="909">
        <v>22558.82191060828</v>
      </c>
      <c r="M16" s="910">
        <v>22766.005455108334</v>
      </c>
      <c r="N16" s="909">
        <v>23074.362108668334</v>
      </c>
      <c r="O16" s="909">
        <v>23573.191331509999</v>
      </c>
      <c r="P16" s="909">
        <v>23838.098927788335</v>
      </c>
      <c r="Q16" s="909">
        <v>24177.23605715482</v>
      </c>
      <c r="R16" s="909">
        <v>24260.79051913966</v>
      </c>
      <c r="S16" s="909">
        <v>24437.149945565579</v>
      </c>
      <c r="T16" s="909">
        <v>24416.239853871451</v>
      </c>
      <c r="U16" s="909">
        <v>24775.490089183892</v>
      </c>
      <c r="V16" s="909">
        <v>24877.945276231261</v>
      </c>
      <c r="W16" s="909">
        <v>25120.538099127254</v>
      </c>
      <c r="X16" s="909">
        <v>25114.490238064249</v>
      </c>
      <c r="Y16" s="909">
        <v>25256.256243402084</v>
      </c>
      <c r="Z16" s="909">
        <v>25481.765030134087</v>
      </c>
      <c r="AA16" s="909">
        <v>25667.983855303781</v>
      </c>
      <c r="AB16" s="909">
        <v>25792.365500695756</v>
      </c>
      <c r="AC16" s="909">
        <v>26040.12614954347</v>
      </c>
      <c r="AD16" s="911">
        <v>25663.439008322261</v>
      </c>
      <c r="AE16" s="909">
        <v>25770.759532202264</v>
      </c>
      <c r="AF16" s="909">
        <v>25937.977353974002</v>
      </c>
      <c r="AG16" s="909">
        <v>26169.60233799852</v>
      </c>
      <c r="AH16" s="909">
        <v>26405.511088405387</v>
      </c>
      <c r="AI16" s="909">
        <v>26563.529757496541</v>
      </c>
      <c r="AJ16" s="909">
        <v>27228.746922904633</v>
      </c>
      <c r="AK16" s="909">
        <v>27167.981810980313</v>
      </c>
      <c r="AL16" s="909">
        <v>27368.44370091848</v>
      </c>
      <c r="AM16" s="909">
        <v>27554.190427132624</v>
      </c>
      <c r="AN16" s="909">
        <v>27922.958616314037</v>
      </c>
      <c r="AO16" s="911">
        <v>28976.56596627878</v>
      </c>
      <c r="AP16" s="909">
        <v>28536.239430975584</v>
      </c>
      <c r="AQ16" s="909">
        <v>30690.461290447347</v>
      </c>
      <c r="AR16" s="909">
        <v>31053.694298561571</v>
      </c>
      <c r="AS16" s="909">
        <v>31650.981623799351</v>
      </c>
      <c r="AT16" s="909">
        <v>31588.001687477969</v>
      </c>
      <c r="AU16" s="909">
        <v>31747.432400730002</v>
      </c>
      <c r="AV16" s="909">
        <v>31710.719602555924</v>
      </c>
      <c r="AW16" s="909">
        <v>31833.034198610003</v>
      </c>
      <c r="AX16" s="909">
        <v>31904.786749660001</v>
      </c>
      <c r="AY16" s="909">
        <v>31840.432635949997</v>
      </c>
      <c r="AZ16" s="909">
        <v>31938.005386186665</v>
      </c>
      <c r="BA16" s="909">
        <v>31970.764195243606</v>
      </c>
      <c r="BB16" s="909">
        <v>32229.28689672667</v>
      </c>
      <c r="BC16" s="909">
        <v>32917.23159522756</v>
      </c>
      <c r="BD16" s="909">
        <v>32957.186442291677</v>
      </c>
      <c r="BE16" s="909">
        <v>32142.775760440079</v>
      </c>
      <c r="BF16" s="909">
        <v>32238.896928697581</v>
      </c>
      <c r="BG16" s="909">
        <v>32141.241751251986</v>
      </c>
      <c r="BH16" s="909">
        <v>32310.131745688977</v>
      </c>
      <c r="BI16" s="909">
        <v>32446.340152611516</v>
      </c>
      <c r="BJ16" s="909">
        <v>32538.128343344084</v>
      </c>
      <c r="BK16" s="909">
        <v>30674.473151837272</v>
      </c>
      <c r="BL16" s="909">
        <v>31011.421933601414</v>
      </c>
      <c r="BM16" s="909">
        <v>31198.389450033043</v>
      </c>
      <c r="BN16" s="909">
        <v>31306.999086148087</v>
      </c>
      <c r="BO16" s="909">
        <v>31542.615906547366</v>
      </c>
      <c r="BP16" s="909">
        <v>31782.78837332538</v>
      </c>
      <c r="BQ16" s="909">
        <v>32132.173073309463</v>
      </c>
      <c r="BR16" s="909">
        <v>32422.938862338746</v>
      </c>
      <c r="BS16" s="909">
        <v>32558.177056714216</v>
      </c>
      <c r="BT16" s="909">
        <v>33466.647589161446</v>
      </c>
      <c r="BU16" s="909">
        <v>34115.828833809268</v>
      </c>
      <c r="BV16" s="909">
        <v>34487.366723820065</v>
      </c>
      <c r="BW16" s="909">
        <v>34728.556922494121</v>
      </c>
      <c r="BX16" s="909">
        <v>35027.178391814639</v>
      </c>
      <c r="BY16" s="909">
        <v>35226.666012681577</v>
      </c>
      <c r="BZ16" s="909">
        <v>35566.117407309997</v>
      </c>
      <c r="CA16" s="909">
        <v>36266.410718365492</v>
      </c>
      <c r="CB16" s="909">
        <v>36656.435974315507</v>
      </c>
      <c r="CC16" s="909">
        <v>36231.389484940497</v>
      </c>
      <c r="CD16" s="909">
        <v>36259.015244370501</v>
      </c>
      <c r="CE16" s="909">
        <v>36690.646576840503</v>
      </c>
      <c r="CF16" s="909">
        <v>36901.119479850502</v>
      </c>
      <c r="CG16" s="909">
        <v>37287.475629000495</v>
      </c>
      <c r="CH16" s="909">
        <v>35797.569851870496</v>
      </c>
      <c r="CI16" s="909">
        <v>36258.0757674345</v>
      </c>
      <c r="CJ16" s="909">
        <v>36665.628977974506</v>
      </c>
      <c r="CK16" s="909">
        <v>36902.350835028687</v>
      </c>
      <c r="CL16" s="909">
        <v>37232.396207974496</v>
      </c>
      <c r="CM16" s="909">
        <v>37573.278528558367</v>
      </c>
      <c r="CN16" s="909">
        <v>37873.332235133777</v>
      </c>
      <c r="CO16" s="909">
        <v>38393.795160858266</v>
      </c>
      <c r="CP16" s="909">
        <v>38456.460590937633</v>
      </c>
      <c r="CQ16" s="909">
        <v>40230.224848859463</v>
      </c>
      <c r="CR16" s="909">
        <v>40855.545771395591</v>
      </c>
      <c r="CS16" s="909">
        <v>41222.454580285594</v>
      </c>
      <c r="CT16" s="909">
        <v>41810.098423441894</v>
      </c>
      <c r="CU16" s="909">
        <v>42530.720588094489</v>
      </c>
      <c r="CV16" s="909">
        <v>42823.916854008188</v>
      </c>
      <c r="CW16" s="909">
        <v>43778.738088250575</v>
      </c>
      <c r="CX16" s="909">
        <v>44212.171640411209</v>
      </c>
      <c r="CY16" s="909">
        <v>44754.68898334961</v>
      </c>
      <c r="CZ16" s="909">
        <v>45354.600058453805</v>
      </c>
      <c r="DA16" s="909">
        <v>45911.101409883806</v>
      </c>
      <c r="DB16" s="909">
        <v>46092.867616790805</v>
      </c>
      <c r="DC16" s="855">
        <v>46407.16287974421</v>
      </c>
      <c r="DD16" s="855">
        <v>46893.642887624213</v>
      </c>
      <c r="DE16" s="855">
        <v>47231.245784361956</v>
      </c>
      <c r="DF16" s="855">
        <v>47774.257493931946</v>
      </c>
      <c r="DG16" s="855">
        <v>48299.801104958256</v>
      </c>
      <c r="DH16" s="855">
        <v>48831.623051423165</v>
      </c>
      <c r="DI16" s="855">
        <v>49398.941442213159</v>
      </c>
      <c r="DJ16" s="855">
        <v>49712.915051324846</v>
      </c>
      <c r="DK16" s="855">
        <v>50062.369881504856</v>
      </c>
      <c r="DL16" s="855">
        <v>50553.780137902759</v>
      </c>
      <c r="DM16" s="855">
        <v>50923.637094155958</v>
      </c>
      <c r="DN16" s="855">
        <v>50936.866253094246</v>
      </c>
      <c r="DO16" s="855">
        <v>51220.978017891874</v>
      </c>
      <c r="DP16" s="855">
        <v>51689.211443446569</v>
      </c>
      <c r="DQ16" s="855">
        <v>52281.806783266569</v>
      </c>
      <c r="DR16" s="855">
        <v>52745.10187621427</v>
      </c>
      <c r="DS16" s="855">
        <v>53067.288984176288</v>
      </c>
    </row>
    <row r="17" spans="1:123" ht="17.45" customHeight="1">
      <c r="A17" s="857"/>
      <c r="B17" s="858"/>
      <c r="C17" s="913"/>
      <c r="D17" s="913"/>
      <c r="E17" s="913"/>
      <c r="F17" s="914"/>
      <c r="G17" s="913"/>
      <c r="H17" s="915"/>
      <c r="I17" s="913"/>
      <c r="J17" s="913"/>
      <c r="K17" s="913"/>
      <c r="L17" s="913"/>
      <c r="M17" s="914"/>
      <c r="N17" s="913"/>
      <c r="O17" s="913"/>
      <c r="P17" s="913"/>
      <c r="Q17" s="913"/>
      <c r="R17" s="913"/>
      <c r="S17" s="913"/>
      <c r="T17" s="913"/>
      <c r="U17" s="913"/>
      <c r="V17" s="913"/>
      <c r="W17" s="913"/>
      <c r="X17" s="913"/>
      <c r="Y17" s="913"/>
      <c r="Z17" s="913"/>
      <c r="AA17" s="913"/>
      <c r="AB17" s="913"/>
      <c r="AC17" s="913"/>
      <c r="AD17" s="915"/>
      <c r="AE17" s="913"/>
      <c r="AF17" s="913"/>
      <c r="AG17" s="913"/>
      <c r="AH17" s="913"/>
      <c r="AI17" s="913"/>
      <c r="AJ17" s="913"/>
      <c r="AK17" s="913"/>
      <c r="AL17" s="913"/>
      <c r="AM17" s="913"/>
      <c r="AN17" s="913"/>
      <c r="AO17" s="915"/>
      <c r="AP17" s="913"/>
      <c r="AQ17" s="913"/>
      <c r="AR17" s="913"/>
      <c r="AS17" s="913"/>
      <c r="AT17" s="913"/>
      <c r="AU17" s="913"/>
      <c r="AV17" s="913"/>
      <c r="AW17" s="913"/>
      <c r="AX17" s="913"/>
      <c r="AY17" s="913"/>
      <c r="AZ17" s="913"/>
      <c r="BA17" s="913"/>
      <c r="BB17" s="913"/>
      <c r="BC17" s="913"/>
      <c r="BD17" s="913"/>
      <c r="BE17" s="913"/>
      <c r="BF17" s="913"/>
      <c r="BG17" s="913"/>
      <c r="BH17" s="913"/>
      <c r="BI17" s="913"/>
      <c r="BJ17" s="913"/>
      <c r="BK17" s="913"/>
      <c r="BL17" s="913"/>
      <c r="BM17" s="913"/>
      <c r="BN17" s="913"/>
      <c r="BO17" s="913"/>
      <c r="BP17" s="913"/>
      <c r="BQ17" s="913"/>
      <c r="BR17" s="913"/>
      <c r="BS17" s="913"/>
      <c r="BT17" s="913"/>
      <c r="BU17" s="913"/>
      <c r="BV17" s="913"/>
      <c r="BW17" s="913"/>
      <c r="BX17" s="913"/>
      <c r="BY17" s="913"/>
      <c r="BZ17" s="913"/>
      <c r="CA17" s="913"/>
      <c r="CB17" s="913"/>
      <c r="CC17" s="913"/>
      <c r="CD17" s="913"/>
      <c r="CE17" s="913"/>
      <c r="CF17" s="913"/>
      <c r="CG17" s="913"/>
      <c r="CH17" s="913"/>
      <c r="CI17" s="913"/>
      <c r="CJ17" s="913"/>
      <c r="CK17" s="913"/>
      <c r="CL17" s="913"/>
      <c r="CM17" s="913"/>
      <c r="CN17" s="913"/>
      <c r="CO17" s="913"/>
      <c r="CP17" s="913"/>
      <c r="CQ17" s="913"/>
      <c r="CR17" s="913"/>
      <c r="CS17" s="913"/>
      <c r="CT17" s="913"/>
      <c r="CU17" s="913"/>
      <c r="CV17" s="913"/>
      <c r="CW17" s="913"/>
      <c r="CX17" s="913"/>
      <c r="CY17" s="913"/>
      <c r="CZ17" s="913"/>
      <c r="DA17" s="913"/>
      <c r="DB17" s="913"/>
      <c r="DC17" s="859"/>
      <c r="DD17" s="859"/>
      <c r="DE17" s="859"/>
      <c r="DF17" s="859"/>
      <c r="DG17" s="859"/>
      <c r="DH17" s="859"/>
      <c r="DI17" s="859"/>
      <c r="DJ17" s="859"/>
      <c r="DK17" s="859"/>
      <c r="DL17" s="859"/>
      <c r="DM17" s="859"/>
      <c r="DN17" s="859"/>
      <c r="DO17" s="859"/>
      <c r="DP17" s="859"/>
      <c r="DQ17" s="859"/>
      <c r="DR17" s="859"/>
      <c r="DS17" s="859"/>
    </row>
    <row r="18" spans="1:123" ht="17.45" customHeight="1">
      <c r="A18" s="853" t="s">
        <v>2505</v>
      </c>
      <c r="B18" s="854" t="s">
        <v>2506</v>
      </c>
      <c r="C18" s="909">
        <v>249.33754500999999</v>
      </c>
      <c r="D18" s="909">
        <v>264.05557626000001</v>
      </c>
      <c r="E18" s="909">
        <v>282.63213625999998</v>
      </c>
      <c r="F18" s="910">
        <v>295.31597005999998</v>
      </c>
      <c r="G18" s="909">
        <v>268.50543526000001</v>
      </c>
      <c r="H18" s="911">
        <v>236.63516826</v>
      </c>
      <c r="I18" s="909">
        <v>219.25531925999999</v>
      </c>
      <c r="J18" s="909">
        <v>87.311757260000007</v>
      </c>
      <c r="K18" s="909">
        <v>115.57686126</v>
      </c>
      <c r="L18" s="909">
        <v>115.65866626</v>
      </c>
      <c r="M18" s="910">
        <v>115.72814726</v>
      </c>
      <c r="N18" s="909">
        <v>115.71674726000001</v>
      </c>
      <c r="O18" s="909">
        <v>98.185628260000001</v>
      </c>
      <c r="P18" s="909">
        <v>97.894697260000001</v>
      </c>
      <c r="Q18" s="909">
        <v>99.396492260000002</v>
      </c>
      <c r="R18" s="909">
        <v>99.915569260000012</v>
      </c>
      <c r="S18" s="909">
        <v>101.43657702103678</v>
      </c>
      <c r="T18" s="909">
        <v>103.10802426000001</v>
      </c>
      <c r="U18" s="909">
        <v>114.30672826</v>
      </c>
      <c r="V18" s="909">
        <v>114.7917113</v>
      </c>
      <c r="W18" s="909">
        <v>112.68156833157674</v>
      </c>
      <c r="X18" s="909">
        <v>116.20933165546708</v>
      </c>
      <c r="Y18" s="909">
        <v>115.14950657999999</v>
      </c>
      <c r="Z18" s="909">
        <v>114.80572158</v>
      </c>
      <c r="AA18" s="909">
        <v>116.01910428000001</v>
      </c>
      <c r="AB18" s="909">
        <v>117.12312128000001</v>
      </c>
      <c r="AC18" s="909">
        <v>118.72713528</v>
      </c>
      <c r="AD18" s="911">
        <v>119.80985028000001</v>
      </c>
      <c r="AE18" s="909">
        <v>122.54243328</v>
      </c>
      <c r="AF18" s="909">
        <v>149.63137528000001</v>
      </c>
      <c r="AG18" s="909">
        <v>161.49389927999999</v>
      </c>
      <c r="AH18" s="909">
        <v>160.12539828000001</v>
      </c>
      <c r="AI18" s="909">
        <v>144.78691628000001</v>
      </c>
      <c r="AJ18" s="909">
        <v>143.44226227999999</v>
      </c>
      <c r="AK18" s="909">
        <v>278.87764827999996</v>
      </c>
      <c r="AL18" s="909">
        <v>284.88362527999999</v>
      </c>
      <c r="AM18" s="909">
        <v>292.43977027999995</v>
      </c>
      <c r="AN18" s="909">
        <v>292.31112622964417</v>
      </c>
      <c r="AO18" s="911">
        <v>162.08623628000001</v>
      </c>
      <c r="AP18" s="909">
        <v>160.46530868000002</v>
      </c>
      <c r="AQ18" s="909">
        <v>160.37438928</v>
      </c>
      <c r="AR18" s="909">
        <v>158.96110628</v>
      </c>
      <c r="AS18" s="909">
        <v>170.63793128</v>
      </c>
      <c r="AT18" s="909">
        <v>200.33315328</v>
      </c>
      <c r="AU18" s="909">
        <v>196.35077527999999</v>
      </c>
      <c r="AV18" s="909">
        <v>199.52542027999999</v>
      </c>
      <c r="AW18" s="909">
        <v>201.61337728000001</v>
      </c>
      <c r="AX18" s="909">
        <v>203.72184128000001</v>
      </c>
      <c r="AY18" s="909">
        <v>195.21189828000001</v>
      </c>
      <c r="AZ18" s="909">
        <v>195.68911628000001</v>
      </c>
      <c r="BA18" s="909">
        <v>195.87071578000001</v>
      </c>
      <c r="BB18" s="909">
        <v>198.48957028000001</v>
      </c>
      <c r="BC18" s="909">
        <v>198.51568327999999</v>
      </c>
      <c r="BD18" s="909">
        <v>198.79167228</v>
      </c>
      <c r="BE18" s="909">
        <v>200.21129628</v>
      </c>
      <c r="BF18" s="909">
        <v>200.20880728</v>
      </c>
      <c r="BG18" s="909">
        <v>199.87773028000001</v>
      </c>
      <c r="BH18" s="909">
        <v>197.62053528000001</v>
      </c>
      <c r="BI18" s="909">
        <v>198.08945528000001</v>
      </c>
      <c r="BJ18" s="909">
        <v>197.67891327999999</v>
      </c>
      <c r="BK18" s="909">
        <v>186.66825628000001</v>
      </c>
      <c r="BL18" s="909">
        <v>186.62867428000001</v>
      </c>
      <c r="BM18" s="909">
        <v>186.76575928</v>
      </c>
      <c r="BN18" s="909">
        <v>157.23791027999999</v>
      </c>
      <c r="BO18" s="909">
        <v>160.66269428000001</v>
      </c>
      <c r="BP18" s="909">
        <v>160.59662028</v>
      </c>
      <c r="BQ18" s="909">
        <v>161.74217028000001</v>
      </c>
      <c r="BR18" s="909">
        <v>161.77023828</v>
      </c>
      <c r="BS18" s="909">
        <v>156.77844927999999</v>
      </c>
      <c r="BT18" s="909">
        <v>153.57595050788547</v>
      </c>
      <c r="BU18" s="909">
        <v>153.66006150788544</v>
      </c>
      <c r="BV18" s="909">
        <v>153.54583050788546</v>
      </c>
      <c r="BW18" s="909">
        <v>153.17732850788545</v>
      </c>
      <c r="BX18" s="909">
        <v>152.55508650788545</v>
      </c>
      <c r="BY18" s="909">
        <v>152.51616350788547</v>
      </c>
      <c r="BZ18" s="909">
        <v>151.20087450788546</v>
      </c>
      <c r="CA18" s="909">
        <v>152.45278150788545</v>
      </c>
      <c r="CB18" s="909">
        <v>152.02979650788546</v>
      </c>
      <c r="CC18" s="909">
        <v>142.46591828000001</v>
      </c>
      <c r="CD18" s="909">
        <v>143.37853128</v>
      </c>
      <c r="CE18" s="909">
        <v>147.06950028</v>
      </c>
      <c r="CF18" s="909">
        <v>129.44820827999999</v>
      </c>
      <c r="CG18" s="909">
        <v>129.41604328</v>
      </c>
      <c r="CH18" s="909">
        <v>29.07319</v>
      </c>
      <c r="CI18" s="909">
        <v>29.432873000000001</v>
      </c>
      <c r="CJ18" s="909">
        <v>29.306000999999998</v>
      </c>
      <c r="CK18" s="909">
        <v>29.147027999999999</v>
      </c>
      <c r="CL18" s="909">
        <v>29.707805</v>
      </c>
      <c r="CM18" s="909">
        <v>30.178381999999999</v>
      </c>
      <c r="CN18" s="909">
        <v>30.147749000000001</v>
      </c>
      <c r="CO18" s="909">
        <v>31.180561999999998</v>
      </c>
      <c r="CP18" s="909">
        <v>31.965938000000001</v>
      </c>
      <c r="CQ18" s="909">
        <v>32.355226000000002</v>
      </c>
      <c r="CR18" s="909">
        <v>33.077812000000002</v>
      </c>
      <c r="CS18" s="909">
        <v>32.854852000000001</v>
      </c>
      <c r="CT18" s="909">
        <v>33.050890000000003</v>
      </c>
      <c r="CU18" s="909">
        <v>32.887822</v>
      </c>
      <c r="CV18" s="909">
        <v>32.465772000000001</v>
      </c>
      <c r="CW18" s="909">
        <v>33.215324000000003</v>
      </c>
      <c r="CX18" s="909">
        <v>34.334909000000003</v>
      </c>
      <c r="CY18" s="909">
        <v>35.026667000000003</v>
      </c>
      <c r="CZ18" s="909">
        <v>35.356037000000001</v>
      </c>
      <c r="DA18" s="909">
        <v>35.864004000000001</v>
      </c>
      <c r="DB18" s="909">
        <v>35.611902999999998</v>
      </c>
      <c r="DC18" s="855">
        <v>36.130251000000001</v>
      </c>
      <c r="DD18" s="855">
        <v>35.901780000000002</v>
      </c>
      <c r="DE18" s="855">
        <v>36.136063</v>
      </c>
      <c r="DF18" s="855">
        <v>36.867193999999998</v>
      </c>
      <c r="DG18" s="855">
        <v>30.581300500000001</v>
      </c>
      <c r="DH18" s="855">
        <v>30.6401425</v>
      </c>
      <c r="DI18" s="855">
        <v>30.6648505</v>
      </c>
      <c r="DJ18" s="855">
        <v>30.842667500000001</v>
      </c>
      <c r="DK18" s="855">
        <v>31.344297999999998</v>
      </c>
      <c r="DL18" s="855">
        <v>31.077601999999999</v>
      </c>
      <c r="DM18" s="855">
        <v>31.508797000000001</v>
      </c>
      <c r="DN18" s="855">
        <v>31.684699999999999</v>
      </c>
      <c r="DO18" s="855">
        <v>32.096375000000002</v>
      </c>
      <c r="DP18" s="855">
        <v>33.674729999999997</v>
      </c>
      <c r="DQ18" s="855">
        <v>34.300924999999999</v>
      </c>
      <c r="DR18" s="855">
        <v>35.149085999999997</v>
      </c>
      <c r="DS18" s="855">
        <v>33.355187000000001</v>
      </c>
    </row>
    <row r="19" spans="1:123" ht="17.45" customHeight="1">
      <c r="A19" s="857"/>
      <c r="B19" s="862"/>
      <c r="C19" s="913"/>
      <c r="D19" s="913"/>
      <c r="E19" s="913"/>
      <c r="F19" s="914"/>
      <c r="G19" s="913"/>
      <c r="H19" s="915"/>
      <c r="I19" s="913"/>
      <c r="J19" s="913"/>
      <c r="K19" s="913"/>
      <c r="L19" s="913"/>
      <c r="M19" s="914"/>
      <c r="N19" s="913"/>
      <c r="O19" s="913"/>
      <c r="P19" s="913"/>
      <c r="Q19" s="913"/>
      <c r="R19" s="913"/>
      <c r="S19" s="913"/>
      <c r="T19" s="913"/>
      <c r="U19" s="913"/>
      <c r="V19" s="913"/>
      <c r="W19" s="913"/>
      <c r="X19" s="913"/>
      <c r="Y19" s="913"/>
      <c r="Z19" s="913"/>
      <c r="AA19" s="913"/>
      <c r="AB19" s="913"/>
      <c r="AC19" s="913"/>
      <c r="AD19" s="915"/>
      <c r="AE19" s="913"/>
      <c r="AF19" s="913"/>
      <c r="AG19" s="913"/>
      <c r="AH19" s="913"/>
      <c r="AI19" s="913"/>
      <c r="AJ19" s="913"/>
      <c r="AK19" s="913"/>
      <c r="AL19" s="913"/>
      <c r="AM19" s="913"/>
      <c r="AN19" s="913"/>
      <c r="AO19" s="915"/>
      <c r="AP19" s="913"/>
      <c r="AQ19" s="913"/>
      <c r="AR19" s="913"/>
      <c r="AS19" s="913"/>
      <c r="AT19" s="913"/>
      <c r="AU19" s="913"/>
      <c r="AV19" s="913"/>
      <c r="AW19" s="913"/>
      <c r="AX19" s="913"/>
      <c r="AY19" s="913"/>
      <c r="AZ19" s="913"/>
      <c r="BA19" s="913"/>
      <c r="BB19" s="913"/>
      <c r="BC19" s="913"/>
      <c r="BD19" s="913"/>
      <c r="BE19" s="913"/>
      <c r="BF19" s="913"/>
      <c r="BG19" s="913"/>
      <c r="BH19" s="913"/>
      <c r="BI19" s="913"/>
      <c r="BJ19" s="913"/>
      <c r="BK19" s="913"/>
      <c r="BL19" s="913"/>
      <c r="BM19" s="913"/>
      <c r="BN19" s="913"/>
      <c r="BO19" s="913"/>
      <c r="BP19" s="913"/>
      <c r="BQ19" s="913"/>
      <c r="BR19" s="913"/>
      <c r="BS19" s="913"/>
      <c r="BT19" s="913"/>
      <c r="BU19" s="913"/>
      <c r="BV19" s="913"/>
      <c r="BW19" s="913"/>
      <c r="BX19" s="913"/>
      <c r="BY19" s="913"/>
      <c r="BZ19" s="913"/>
      <c r="CA19" s="913"/>
      <c r="CB19" s="913"/>
      <c r="CC19" s="913"/>
      <c r="CD19" s="913"/>
      <c r="CE19" s="913"/>
      <c r="CF19" s="913"/>
      <c r="CG19" s="913"/>
      <c r="CH19" s="913"/>
      <c r="CI19" s="913"/>
      <c r="CJ19" s="913"/>
      <c r="CK19" s="913"/>
      <c r="CL19" s="913"/>
      <c r="CM19" s="913"/>
      <c r="CN19" s="913"/>
      <c r="CO19" s="913"/>
      <c r="CP19" s="913"/>
      <c r="CQ19" s="913"/>
      <c r="CR19" s="913"/>
      <c r="CS19" s="913"/>
      <c r="CT19" s="913"/>
      <c r="CU19" s="913"/>
      <c r="CV19" s="913"/>
      <c r="CW19" s="913"/>
      <c r="CX19" s="913"/>
      <c r="CY19" s="913"/>
      <c r="CZ19" s="913"/>
      <c r="DA19" s="913"/>
      <c r="DB19" s="913"/>
      <c r="DC19" s="859"/>
      <c r="DD19" s="859"/>
      <c r="DE19" s="859"/>
      <c r="DF19" s="859"/>
      <c r="DG19" s="859"/>
      <c r="DH19" s="859"/>
      <c r="DI19" s="859"/>
      <c r="DJ19" s="859"/>
      <c r="DK19" s="859"/>
      <c r="DL19" s="859"/>
      <c r="DM19" s="859"/>
      <c r="DN19" s="859"/>
      <c r="DO19" s="859"/>
      <c r="DP19" s="859"/>
      <c r="DQ19" s="859"/>
      <c r="DR19" s="859"/>
      <c r="DS19" s="859"/>
    </row>
    <row r="20" spans="1:123" ht="17.45" customHeight="1">
      <c r="A20" s="853" t="s">
        <v>2507</v>
      </c>
      <c r="B20" s="854" t="s">
        <v>2508</v>
      </c>
      <c r="C20" s="909">
        <v>0</v>
      </c>
      <c r="D20" s="909">
        <v>0</v>
      </c>
      <c r="E20" s="909">
        <v>0</v>
      </c>
      <c r="F20" s="910">
        <v>0</v>
      </c>
      <c r="G20" s="909">
        <v>0</v>
      </c>
      <c r="H20" s="911">
        <v>0</v>
      </c>
      <c r="I20" s="909">
        <v>0</v>
      </c>
      <c r="J20" s="909">
        <v>0</v>
      </c>
      <c r="K20" s="909">
        <v>0</v>
      </c>
      <c r="L20" s="909">
        <v>0</v>
      </c>
      <c r="M20" s="910">
        <v>0</v>
      </c>
      <c r="N20" s="909">
        <v>0</v>
      </c>
      <c r="O20" s="909">
        <v>0</v>
      </c>
      <c r="P20" s="909">
        <v>0</v>
      </c>
      <c r="Q20" s="909">
        <v>0</v>
      </c>
      <c r="R20" s="909">
        <v>0</v>
      </c>
      <c r="S20" s="909">
        <v>0</v>
      </c>
      <c r="T20" s="909">
        <v>0</v>
      </c>
      <c r="U20" s="909">
        <v>0</v>
      </c>
      <c r="V20" s="909">
        <v>0</v>
      </c>
      <c r="W20" s="909">
        <v>0</v>
      </c>
      <c r="X20" s="909">
        <v>0</v>
      </c>
      <c r="Y20" s="909">
        <v>0</v>
      </c>
      <c r="Z20" s="909">
        <v>0</v>
      </c>
      <c r="AA20" s="909">
        <v>0</v>
      </c>
      <c r="AB20" s="909">
        <v>0</v>
      </c>
      <c r="AC20" s="909">
        <v>0</v>
      </c>
      <c r="AD20" s="911">
        <v>0</v>
      </c>
      <c r="AE20" s="909">
        <v>0</v>
      </c>
      <c r="AF20" s="909">
        <v>0</v>
      </c>
      <c r="AG20" s="909">
        <v>0</v>
      </c>
      <c r="AH20" s="909">
        <v>0</v>
      </c>
      <c r="AI20" s="909">
        <v>0</v>
      </c>
      <c r="AJ20" s="909">
        <v>0</v>
      </c>
      <c r="AK20" s="909">
        <v>0</v>
      </c>
      <c r="AL20" s="909">
        <v>0</v>
      </c>
      <c r="AM20" s="909">
        <v>0</v>
      </c>
      <c r="AN20" s="909">
        <v>0</v>
      </c>
      <c r="AO20" s="911">
        <v>0</v>
      </c>
      <c r="AP20" s="909">
        <v>0</v>
      </c>
      <c r="AQ20" s="909">
        <v>0</v>
      </c>
      <c r="AR20" s="909">
        <v>0</v>
      </c>
      <c r="AS20" s="909">
        <v>0</v>
      </c>
      <c r="AT20" s="909">
        <v>0</v>
      </c>
      <c r="AU20" s="909">
        <v>0</v>
      </c>
      <c r="AV20" s="909">
        <v>0</v>
      </c>
      <c r="AW20" s="909">
        <v>0</v>
      </c>
      <c r="AX20" s="909">
        <v>0</v>
      </c>
      <c r="AY20" s="909">
        <v>0</v>
      </c>
      <c r="AZ20" s="909">
        <v>0</v>
      </c>
      <c r="BA20" s="909">
        <v>0</v>
      </c>
      <c r="BB20" s="909">
        <v>0</v>
      </c>
      <c r="BC20" s="909">
        <v>0</v>
      </c>
      <c r="BD20" s="909">
        <v>0</v>
      </c>
      <c r="BE20" s="909">
        <v>0</v>
      </c>
      <c r="BF20" s="909">
        <v>0</v>
      </c>
      <c r="BG20" s="909">
        <v>0</v>
      </c>
      <c r="BH20" s="909">
        <v>0</v>
      </c>
      <c r="BI20" s="909">
        <v>0</v>
      </c>
      <c r="BJ20" s="909">
        <v>0</v>
      </c>
      <c r="BK20" s="909">
        <v>0</v>
      </c>
      <c r="BL20" s="909">
        <v>0</v>
      </c>
      <c r="BM20" s="909">
        <v>0</v>
      </c>
      <c r="BN20" s="909">
        <v>0</v>
      </c>
      <c r="BO20" s="909">
        <v>0</v>
      </c>
      <c r="BP20" s="909">
        <v>0</v>
      </c>
      <c r="BQ20" s="909">
        <v>0</v>
      </c>
      <c r="BR20" s="909">
        <v>0</v>
      </c>
      <c r="BS20" s="909">
        <v>0</v>
      </c>
      <c r="BT20" s="909">
        <v>0</v>
      </c>
      <c r="BU20" s="909">
        <v>0</v>
      </c>
      <c r="BV20" s="909">
        <v>0</v>
      </c>
      <c r="BW20" s="909">
        <v>0</v>
      </c>
      <c r="BX20" s="909">
        <v>0</v>
      </c>
      <c r="BY20" s="909">
        <v>0</v>
      </c>
      <c r="BZ20" s="909">
        <v>0</v>
      </c>
      <c r="CA20" s="909">
        <v>0</v>
      </c>
      <c r="CB20" s="909">
        <v>0</v>
      </c>
      <c r="CC20" s="909">
        <v>0</v>
      </c>
      <c r="CD20" s="909">
        <v>0</v>
      </c>
      <c r="CE20" s="909">
        <v>0</v>
      </c>
      <c r="CF20" s="909">
        <v>0</v>
      </c>
      <c r="CG20" s="909">
        <v>0</v>
      </c>
      <c r="CH20" s="909">
        <v>0</v>
      </c>
      <c r="CI20" s="909">
        <v>0</v>
      </c>
      <c r="CJ20" s="909">
        <v>0</v>
      </c>
      <c r="CK20" s="909">
        <v>0</v>
      </c>
      <c r="CL20" s="909">
        <v>0</v>
      </c>
      <c r="CM20" s="909">
        <v>0</v>
      </c>
      <c r="CN20" s="909">
        <v>0</v>
      </c>
      <c r="CO20" s="909">
        <v>0</v>
      </c>
      <c r="CP20" s="909">
        <v>0</v>
      </c>
      <c r="CQ20" s="909">
        <v>0</v>
      </c>
      <c r="CR20" s="909">
        <v>0</v>
      </c>
      <c r="CS20" s="909">
        <v>0</v>
      </c>
      <c r="CT20" s="909">
        <v>0</v>
      </c>
      <c r="CU20" s="909">
        <v>0</v>
      </c>
      <c r="CV20" s="909">
        <v>0</v>
      </c>
      <c r="CW20" s="909">
        <v>0</v>
      </c>
      <c r="CX20" s="909">
        <v>0</v>
      </c>
      <c r="CY20" s="909">
        <v>0</v>
      </c>
      <c r="CZ20" s="909">
        <v>0</v>
      </c>
      <c r="DA20" s="909">
        <v>0</v>
      </c>
      <c r="DB20" s="909">
        <v>0</v>
      </c>
      <c r="DC20" s="855">
        <v>0</v>
      </c>
      <c r="DD20" s="855">
        <v>0</v>
      </c>
      <c r="DE20" s="855">
        <v>0</v>
      </c>
      <c r="DF20" s="855">
        <v>0</v>
      </c>
      <c r="DG20" s="855">
        <v>0</v>
      </c>
      <c r="DH20" s="855">
        <v>0</v>
      </c>
      <c r="DI20" s="855">
        <v>0</v>
      </c>
      <c r="DJ20" s="855">
        <v>0</v>
      </c>
      <c r="DK20" s="855">
        <v>0</v>
      </c>
      <c r="DL20" s="855">
        <v>0</v>
      </c>
      <c r="DM20" s="855">
        <v>0</v>
      </c>
      <c r="DN20" s="855">
        <v>0</v>
      </c>
      <c r="DO20" s="855">
        <v>0</v>
      </c>
      <c r="DP20" s="855">
        <v>0</v>
      </c>
      <c r="DQ20" s="855">
        <v>0</v>
      </c>
      <c r="DR20" s="855">
        <v>0</v>
      </c>
      <c r="DS20" s="855">
        <v>0</v>
      </c>
    </row>
    <row r="21" spans="1:123" ht="17.45" customHeight="1">
      <c r="A21" s="857"/>
      <c r="B21" s="858"/>
      <c r="C21" s="913"/>
      <c r="D21" s="913"/>
      <c r="E21" s="913"/>
      <c r="F21" s="914"/>
      <c r="G21" s="913"/>
      <c r="H21" s="915"/>
      <c r="I21" s="913"/>
      <c r="J21" s="913"/>
      <c r="K21" s="913"/>
      <c r="L21" s="913"/>
      <c r="M21" s="914"/>
      <c r="N21" s="913"/>
      <c r="O21" s="913"/>
      <c r="P21" s="913"/>
      <c r="Q21" s="913"/>
      <c r="R21" s="913"/>
      <c r="S21" s="913"/>
      <c r="T21" s="913"/>
      <c r="U21" s="913"/>
      <c r="V21" s="913"/>
      <c r="W21" s="913"/>
      <c r="X21" s="913"/>
      <c r="Y21" s="913"/>
      <c r="Z21" s="913"/>
      <c r="AA21" s="913"/>
      <c r="AB21" s="913"/>
      <c r="AC21" s="913"/>
      <c r="AD21" s="915"/>
      <c r="AE21" s="913"/>
      <c r="AF21" s="913"/>
      <c r="AG21" s="913"/>
      <c r="AH21" s="913"/>
      <c r="AI21" s="913"/>
      <c r="AJ21" s="913"/>
      <c r="AK21" s="913"/>
      <c r="AL21" s="913"/>
      <c r="AM21" s="913"/>
      <c r="AN21" s="913"/>
      <c r="AO21" s="915"/>
      <c r="AP21" s="913"/>
      <c r="AQ21" s="913"/>
      <c r="AR21" s="913"/>
      <c r="AS21" s="913"/>
      <c r="AT21" s="913"/>
      <c r="AU21" s="913"/>
      <c r="AV21" s="913"/>
      <c r="AW21" s="913"/>
      <c r="AX21" s="913"/>
      <c r="AY21" s="913"/>
      <c r="AZ21" s="913"/>
      <c r="BA21" s="913"/>
      <c r="BB21" s="913"/>
      <c r="BC21" s="913"/>
      <c r="BD21" s="913"/>
      <c r="BE21" s="913"/>
      <c r="BF21" s="913"/>
      <c r="BG21" s="913"/>
      <c r="BH21" s="913"/>
      <c r="BI21" s="913"/>
      <c r="BJ21" s="913"/>
      <c r="BK21" s="913"/>
      <c r="BL21" s="913"/>
      <c r="BM21" s="913"/>
      <c r="BN21" s="913"/>
      <c r="BO21" s="913"/>
      <c r="BP21" s="913"/>
      <c r="BQ21" s="913"/>
      <c r="BR21" s="913"/>
      <c r="BS21" s="913"/>
      <c r="BT21" s="913"/>
      <c r="BU21" s="913"/>
      <c r="BV21" s="913"/>
      <c r="BW21" s="913"/>
      <c r="BX21" s="913"/>
      <c r="BY21" s="913"/>
      <c r="BZ21" s="913"/>
      <c r="CA21" s="913"/>
      <c r="CB21" s="913"/>
      <c r="CC21" s="913"/>
      <c r="CD21" s="913"/>
      <c r="CE21" s="913"/>
      <c r="CF21" s="913"/>
      <c r="CG21" s="913"/>
      <c r="CH21" s="913"/>
      <c r="CI21" s="913"/>
      <c r="CJ21" s="913"/>
      <c r="CK21" s="913"/>
      <c r="CL21" s="913"/>
      <c r="CM21" s="913"/>
      <c r="CN21" s="913"/>
      <c r="CO21" s="913"/>
      <c r="CP21" s="913"/>
      <c r="CQ21" s="913"/>
      <c r="CR21" s="913"/>
      <c r="CS21" s="913"/>
      <c r="CT21" s="913"/>
      <c r="CU21" s="913"/>
      <c r="CV21" s="913"/>
      <c r="CW21" s="913"/>
      <c r="CX21" s="913"/>
      <c r="CY21" s="913"/>
      <c r="CZ21" s="913"/>
      <c r="DA21" s="913"/>
      <c r="DB21" s="913"/>
      <c r="DC21" s="859"/>
      <c r="DD21" s="859"/>
      <c r="DE21" s="859"/>
      <c r="DF21" s="859"/>
      <c r="DG21" s="859"/>
      <c r="DH21" s="859"/>
      <c r="DI21" s="859"/>
      <c r="DJ21" s="859"/>
      <c r="DK21" s="859"/>
      <c r="DL21" s="859"/>
      <c r="DM21" s="859"/>
      <c r="DN21" s="859"/>
      <c r="DO21" s="859"/>
      <c r="DP21" s="859"/>
      <c r="DQ21" s="859"/>
      <c r="DR21" s="859"/>
      <c r="DS21" s="859"/>
    </row>
    <row r="22" spans="1:123" ht="17.45" customHeight="1">
      <c r="A22" s="853" t="s">
        <v>2509</v>
      </c>
      <c r="B22" s="854" t="s">
        <v>2510</v>
      </c>
      <c r="C22" s="909">
        <v>0</v>
      </c>
      <c r="D22" s="909">
        <v>0</v>
      </c>
      <c r="E22" s="909">
        <v>0</v>
      </c>
      <c r="F22" s="910">
        <v>0</v>
      </c>
      <c r="G22" s="909">
        <v>0</v>
      </c>
      <c r="H22" s="911">
        <v>0</v>
      </c>
      <c r="I22" s="909">
        <v>0</v>
      </c>
      <c r="J22" s="909">
        <v>0</v>
      </c>
      <c r="K22" s="909">
        <v>0</v>
      </c>
      <c r="L22" s="909">
        <v>0</v>
      </c>
      <c r="M22" s="910">
        <v>0</v>
      </c>
      <c r="N22" s="909">
        <v>0</v>
      </c>
      <c r="O22" s="909">
        <v>0</v>
      </c>
      <c r="P22" s="909">
        <v>0</v>
      </c>
      <c r="Q22" s="909">
        <v>0</v>
      </c>
      <c r="R22" s="909">
        <v>0</v>
      </c>
      <c r="S22" s="909">
        <v>0</v>
      </c>
      <c r="T22" s="909">
        <v>0</v>
      </c>
      <c r="U22" s="909">
        <v>0</v>
      </c>
      <c r="V22" s="909">
        <v>0</v>
      </c>
      <c r="W22" s="909">
        <v>0</v>
      </c>
      <c r="X22" s="909">
        <v>0</v>
      </c>
      <c r="Y22" s="909">
        <v>0</v>
      </c>
      <c r="Z22" s="909">
        <v>0</v>
      </c>
      <c r="AA22" s="909">
        <v>0</v>
      </c>
      <c r="AB22" s="909">
        <v>0</v>
      </c>
      <c r="AC22" s="909">
        <v>0</v>
      </c>
      <c r="AD22" s="911">
        <v>0</v>
      </c>
      <c r="AE22" s="909">
        <v>0</v>
      </c>
      <c r="AF22" s="909">
        <v>0</v>
      </c>
      <c r="AG22" s="909">
        <v>0</v>
      </c>
      <c r="AH22" s="909">
        <v>0</v>
      </c>
      <c r="AI22" s="909">
        <v>0</v>
      </c>
      <c r="AJ22" s="909">
        <v>0</v>
      </c>
      <c r="AK22" s="909">
        <v>0</v>
      </c>
      <c r="AL22" s="909">
        <v>0</v>
      </c>
      <c r="AM22" s="909">
        <v>0</v>
      </c>
      <c r="AN22" s="909">
        <v>0</v>
      </c>
      <c r="AO22" s="911">
        <v>0</v>
      </c>
      <c r="AP22" s="909">
        <v>0</v>
      </c>
      <c r="AQ22" s="909">
        <v>0</v>
      </c>
      <c r="AR22" s="909">
        <v>0</v>
      </c>
      <c r="AS22" s="909">
        <v>0</v>
      </c>
      <c r="AT22" s="909">
        <v>0</v>
      </c>
      <c r="AU22" s="909">
        <v>0</v>
      </c>
      <c r="AV22" s="909">
        <v>0</v>
      </c>
      <c r="AW22" s="909">
        <v>0</v>
      </c>
      <c r="AX22" s="909">
        <v>0</v>
      </c>
      <c r="AY22" s="909">
        <v>0</v>
      </c>
      <c r="AZ22" s="909">
        <v>0</v>
      </c>
      <c r="BA22" s="909">
        <v>0</v>
      </c>
      <c r="BB22" s="909">
        <v>0</v>
      </c>
      <c r="BC22" s="909">
        <v>0</v>
      </c>
      <c r="BD22" s="909">
        <v>0</v>
      </c>
      <c r="BE22" s="909">
        <v>0</v>
      </c>
      <c r="BF22" s="909">
        <v>0</v>
      </c>
      <c r="BG22" s="909">
        <v>0</v>
      </c>
      <c r="BH22" s="909">
        <v>0</v>
      </c>
      <c r="BI22" s="909">
        <v>0</v>
      </c>
      <c r="BJ22" s="909">
        <v>0</v>
      </c>
      <c r="BK22" s="909">
        <v>0</v>
      </c>
      <c r="BL22" s="909">
        <v>0</v>
      </c>
      <c r="BM22" s="909">
        <v>0</v>
      </c>
      <c r="BN22" s="909">
        <v>0</v>
      </c>
      <c r="BO22" s="909">
        <v>0</v>
      </c>
      <c r="BP22" s="909">
        <v>0</v>
      </c>
      <c r="BQ22" s="909">
        <v>0</v>
      </c>
      <c r="BR22" s="909">
        <v>0</v>
      </c>
      <c r="BS22" s="909">
        <v>0</v>
      </c>
      <c r="BT22" s="909">
        <v>0</v>
      </c>
      <c r="BU22" s="909">
        <v>0</v>
      </c>
      <c r="BV22" s="909">
        <v>0</v>
      </c>
      <c r="BW22" s="909">
        <v>0</v>
      </c>
      <c r="BX22" s="909">
        <v>0</v>
      </c>
      <c r="BY22" s="909">
        <v>0</v>
      </c>
      <c r="BZ22" s="909">
        <v>0</v>
      </c>
      <c r="CA22" s="909">
        <v>0</v>
      </c>
      <c r="CB22" s="909">
        <v>0</v>
      </c>
      <c r="CC22" s="909">
        <v>0</v>
      </c>
      <c r="CD22" s="909">
        <v>0</v>
      </c>
      <c r="CE22" s="909">
        <v>0</v>
      </c>
      <c r="CF22" s="909">
        <v>0</v>
      </c>
      <c r="CG22" s="909">
        <v>0</v>
      </c>
      <c r="CH22" s="909">
        <v>0</v>
      </c>
      <c r="CI22" s="909">
        <v>0</v>
      </c>
      <c r="CJ22" s="909">
        <v>0</v>
      </c>
      <c r="CK22" s="909">
        <v>0</v>
      </c>
      <c r="CL22" s="909">
        <v>0</v>
      </c>
      <c r="CM22" s="909">
        <v>0</v>
      </c>
      <c r="CN22" s="909">
        <v>0</v>
      </c>
      <c r="CO22" s="909">
        <v>0</v>
      </c>
      <c r="CP22" s="909">
        <v>0</v>
      </c>
      <c r="CQ22" s="909">
        <v>0</v>
      </c>
      <c r="CR22" s="909">
        <v>0</v>
      </c>
      <c r="CS22" s="909">
        <v>0</v>
      </c>
      <c r="CT22" s="909">
        <v>0</v>
      </c>
      <c r="CU22" s="909">
        <v>0</v>
      </c>
      <c r="CV22" s="909">
        <v>0</v>
      </c>
      <c r="CW22" s="909">
        <v>0</v>
      </c>
      <c r="CX22" s="909">
        <v>0</v>
      </c>
      <c r="CY22" s="909">
        <v>0</v>
      </c>
      <c r="CZ22" s="909">
        <v>0</v>
      </c>
      <c r="DA22" s="909">
        <v>0</v>
      </c>
      <c r="DB22" s="909">
        <v>0</v>
      </c>
      <c r="DC22" s="855">
        <v>0</v>
      </c>
      <c r="DD22" s="855">
        <v>0</v>
      </c>
      <c r="DE22" s="855">
        <v>0</v>
      </c>
      <c r="DF22" s="855">
        <v>0</v>
      </c>
      <c r="DG22" s="855">
        <v>0</v>
      </c>
      <c r="DH22" s="855">
        <v>0</v>
      </c>
      <c r="DI22" s="855">
        <v>0</v>
      </c>
      <c r="DJ22" s="855">
        <v>0</v>
      </c>
      <c r="DK22" s="855">
        <v>0</v>
      </c>
      <c r="DL22" s="855">
        <v>0</v>
      </c>
      <c r="DM22" s="855">
        <v>0</v>
      </c>
      <c r="DN22" s="855">
        <v>0</v>
      </c>
      <c r="DO22" s="855">
        <v>0</v>
      </c>
      <c r="DP22" s="855">
        <v>0</v>
      </c>
      <c r="DQ22" s="855">
        <v>0</v>
      </c>
      <c r="DR22" s="855">
        <v>0</v>
      </c>
      <c r="DS22" s="855">
        <v>0</v>
      </c>
    </row>
    <row r="23" spans="1:123" ht="17.45" customHeight="1">
      <c r="A23" s="857"/>
      <c r="B23" s="858"/>
      <c r="C23" s="913"/>
      <c r="D23" s="913"/>
      <c r="E23" s="913"/>
      <c r="F23" s="914"/>
      <c r="G23" s="913"/>
      <c r="H23" s="915"/>
      <c r="I23" s="913"/>
      <c r="J23" s="913"/>
      <c r="K23" s="913"/>
      <c r="L23" s="913"/>
      <c r="M23" s="914"/>
      <c r="N23" s="913"/>
      <c r="O23" s="913"/>
      <c r="P23" s="913"/>
      <c r="Q23" s="913"/>
      <c r="R23" s="913"/>
      <c r="S23" s="913"/>
      <c r="T23" s="913"/>
      <c r="U23" s="913"/>
      <c r="V23" s="913"/>
      <c r="W23" s="913"/>
      <c r="X23" s="913"/>
      <c r="Y23" s="913"/>
      <c r="Z23" s="913"/>
      <c r="AA23" s="913"/>
      <c r="AB23" s="913"/>
      <c r="AC23" s="913"/>
      <c r="AD23" s="915"/>
      <c r="AE23" s="913"/>
      <c r="AF23" s="913"/>
      <c r="AG23" s="913"/>
      <c r="AH23" s="913"/>
      <c r="AI23" s="913"/>
      <c r="AJ23" s="913"/>
      <c r="AK23" s="913"/>
      <c r="AL23" s="913"/>
      <c r="AM23" s="913"/>
      <c r="AN23" s="913"/>
      <c r="AO23" s="915"/>
      <c r="AP23" s="913"/>
      <c r="AQ23" s="913"/>
      <c r="AR23" s="913"/>
      <c r="AS23" s="913"/>
      <c r="AT23" s="913"/>
      <c r="AU23" s="913"/>
      <c r="AV23" s="913"/>
      <c r="AW23" s="913"/>
      <c r="AX23" s="913"/>
      <c r="AY23" s="913"/>
      <c r="AZ23" s="913"/>
      <c r="BA23" s="913"/>
      <c r="BB23" s="913"/>
      <c r="BC23" s="913"/>
      <c r="BD23" s="913"/>
      <c r="BE23" s="913"/>
      <c r="BF23" s="913"/>
      <c r="BG23" s="913"/>
      <c r="BH23" s="913"/>
      <c r="BI23" s="913"/>
      <c r="BJ23" s="913"/>
      <c r="BK23" s="913"/>
      <c r="BL23" s="913"/>
      <c r="BM23" s="913"/>
      <c r="BN23" s="913"/>
      <c r="BO23" s="913"/>
      <c r="BP23" s="913"/>
      <c r="BQ23" s="913"/>
      <c r="BR23" s="913"/>
      <c r="BS23" s="913"/>
      <c r="BT23" s="913"/>
      <c r="BU23" s="913"/>
      <c r="BV23" s="913"/>
      <c r="BW23" s="913"/>
      <c r="BX23" s="913"/>
      <c r="BY23" s="913"/>
      <c r="BZ23" s="913"/>
      <c r="CA23" s="913"/>
      <c r="CB23" s="913"/>
      <c r="CC23" s="913"/>
      <c r="CD23" s="913"/>
      <c r="CE23" s="913"/>
      <c r="CF23" s="913"/>
      <c r="CG23" s="913"/>
      <c r="CH23" s="913"/>
      <c r="CI23" s="913"/>
      <c r="CJ23" s="913"/>
      <c r="CK23" s="913"/>
      <c r="CL23" s="913"/>
      <c r="CM23" s="913"/>
      <c r="CN23" s="913"/>
      <c r="CO23" s="913"/>
      <c r="CP23" s="913"/>
      <c r="CQ23" s="913"/>
      <c r="CR23" s="913"/>
      <c r="CS23" s="913"/>
      <c r="CT23" s="913"/>
      <c r="CU23" s="913"/>
      <c r="CV23" s="913"/>
      <c r="CW23" s="913"/>
      <c r="CX23" s="913"/>
      <c r="CY23" s="913"/>
      <c r="CZ23" s="913"/>
      <c r="DA23" s="913"/>
      <c r="DB23" s="913"/>
      <c r="DC23" s="859"/>
      <c r="DD23" s="859"/>
      <c r="DE23" s="859"/>
      <c r="DF23" s="859"/>
      <c r="DG23" s="859"/>
      <c r="DH23" s="859"/>
      <c r="DI23" s="859"/>
      <c r="DJ23" s="859"/>
      <c r="DK23" s="859"/>
      <c r="DL23" s="859"/>
      <c r="DM23" s="859"/>
      <c r="DN23" s="859"/>
      <c r="DO23" s="859"/>
      <c r="DP23" s="859"/>
      <c r="DQ23" s="859"/>
      <c r="DR23" s="859"/>
      <c r="DS23" s="859"/>
    </row>
    <row r="24" spans="1:123" ht="17.45" customHeight="1">
      <c r="A24" s="853" t="s">
        <v>2511</v>
      </c>
      <c r="B24" s="854" t="s">
        <v>2512</v>
      </c>
      <c r="C24" s="909">
        <v>796.45017094000002</v>
      </c>
      <c r="D24" s="909">
        <v>979.60223954999992</v>
      </c>
      <c r="E24" s="909">
        <v>997.21485293000012</v>
      </c>
      <c r="F24" s="910">
        <v>1040.0917218500001</v>
      </c>
      <c r="G24" s="909">
        <v>1037.1268500700003</v>
      </c>
      <c r="H24" s="911">
        <v>851.31036162612952</v>
      </c>
      <c r="I24" s="909">
        <v>684.74970462039494</v>
      </c>
      <c r="J24" s="909">
        <v>834.82869019000009</v>
      </c>
      <c r="K24" s="909">
        <v>825.47678508000001</v>
      </c>
      <c r="L24" s="909">
        <v>786.37434413999995</v>
      </c>
      <c r="M24" s="910">
        <v>816.18042160999994</v>
      </c>
      <c r="N24" s="909">
        <v>748.20225219000008</v>
      </c>
      <c r="O24" s="909">
        <v>691.23186471999998</v>
      </c>
      <c r="P24" s="909">
        <v>734.29449133999992</v>
      </c>
      <c r="Q24" s="909">
        <v>693.50511310351249</v>
      </c>
      <c r="R24" s="909">
        <v>734.63536805998967</v>
      </c>
      <c r="S24" s="909">
        <v>634.9800554031475</v>
      </c>
      <c r="T24" s="909">
        <v>720.25609540999994</v>
      </c>
      <c r="U24" s="909">
        <v>777.06029805181356</v>
      </c>
      <c r="V24" s="909">
        <v>767.7393184078735</v>
      </c>
      <c r="W24" s="909">
        <v>772.07908175103421</v>
      </c>
      <c r="X24" s="909">
        <v>856.20225807838733</v>
      </c>
      <c r="Y24" s="909">
        <v>925.02108482320375</v>
      </c>
      <c r="Z24" s="909">
        <v>892.02379216481938</v>
      </c>
      <c r="AA24" s="909">
        <v>927.1397270835663</v>
      </c>
      <c r="AB24" s="909">
        <v>1036.5313028243825</v>
      </c>
      <c r="AC24" s="909">
        <v>1068.8092082708285</v>
      </c>
      <c r="AD24" s="911">
        <v>1279.551493030277</v>
      </c>
      <c r="AE24" s="909">
        <v>1286.691945000277</v>
      </c>
      <c r="AF24" s="909">
        <v>1230.7113013721319</v>
      </c>
      <c r="AG24" s="909">
        <v>1381.7642724575787</v>
      </c>
      <c r="AH24" s="909">
        <v>1393.0794404117642</v>
      </c>
      <c r="AI24" s="909">
        <v>1423.5031556360602</v>
      </c>
      <c r="AJ24" s="909">
        <v>1181.9338197842546</v>
      </c>
      <c r="AK24" s="909">
        <v>1261.424219451611</v>
      </c>
      <c r="AL24" s="909">
        <v>1179.1348022560735</v>
      </c>
      <c r="AM24" s="909">
        <v>1397.2041944211985</v>
      </c>
      <c r="AN24" s="909">
        <v>1382.5741406239601</v>
      </c>
      <c r="AO24" s="911">
        <v>1387.7046340845739</v>
      </c>
      <c r="AP24" s="909">
        <v>2160.671940274106</v>
      </c>
      <c r="AQ24" s="909">
        <v>2128.7386232803319</v>
      </c>
      <c r="AR24" s="909">
        <v>2086.6556444546864</v>
      </c>
      <c r="AS24" s="909">
        <v>1850.8103068426046</v>
      </c>
      <c r="AT24" s="909">
        <v>1953.2600513717628</v>
      </c>
      <c r="AU24" s="909">
        <v>1990.3129869679904</v>
      </c>
      <c r="AV24" s="909">
        <v>1906.8970532572232</v>
      </c>
      <c r="AW24" s="909">
        <v>2011.2033058009724</v>
      </c>
      <c r="AX24" s="909">
        <v>2175.8463446300002</v>
      </c>
      <c r="AY24" s="909">
        <v>1997.4325572499999</v>
      </c>
      <c r="AZ24" s="909">
        <v>2100.8721968333334</v>
      </c>
      <c r="BA24" s="909">
        <v>2284.5153966385801</v>
      </c>
      <c r="BB24" s="909">
        <v>2280.0041008364469</v>
      </c>
      <c r="BC24" s="909">
        <v>1715.6539560495194</v>
      </c>
      <c r="BD24" s="909">
        <v>1855.0126362557824</v>
      </c>
      <c r="BE24" s="909">
        <v>2012.4117108127623</v>
      </c>
      <c r="BF24" s="909">
        <v>1977.3696567283503</v>
      </c>
      <c r="BG24" s="909">
        <v>2019.6368099713454</v>
      </c>
      <c r="BH24" s="909">
        <v>1980.2170409746971</v>
      </c>
      <c r="BI24" s="909">
        <v>2024.92274571247</v>
      </c>
      <c r="BJ24" s="909">
        <v>2062.3232602187622</v>
      </c>
      <c r="BK24" s="909">
        <v>1928.8736858257407</v>
      </c>
      <c r="BL24" s="909">
        <v>1896.327042390162</v>
      </c>
      <c r="BM24" s="909">
        <v>1873.0985046410417</v>
      </c>
      <c r="BN24" s="909">
        <v>2021.7389907063207</v>
      </c>
      <c r="BO24" s="909">
        <v>2046.9895553013121</v>
      </c>
      <c r="BP24" s="909">
        <v>2141.7473167060466</v>
      </c>
      <c r="BQ24" s="909">
        <v>2091.3122061056529</v>
      </c>
      <c r="BR24" s="909">
        <v>1850.2173850255388</v>
      </c>
      <c r="BS24" s="909">
        <v>1973.6947827536092</v>
      </c>
      <c r="BT24" s="909">
        <v>1660.2013850518927</v>
      </c>
      <c r="BU24" s="909">
        <v>1749.3678259069081</v>
      </c>
      <c r="BV24" s="909">
        <v>1699.8519465643112</v>
      </c>
      <c r="BW24" s="909">
        <v>1576.6767759677052</v>
      </c>
      <c r="BX24" s="909">
        <v>1601.9137615094533</v>
      </c>
      <c r="BY24" s="909">
        <v>1571.8714865879758</v>
      </c>
      <c r="BZ24" s="909">
        <v>1575.9284538835002</v>
      </c>
      <c r="CA24" s="909">
        <v>1653.0016384955002</v>
      </c>
      <c r="CB24" s="909">
        <v>1656.2085299939999</v>
      </c>
      <c r="CC24" s="909">
        <v>1582.1377434999999</v>
      </c>
      <c r="CD24" s="909">
        <v>1633.1906272199999</v>
      </c>
      <c r="CE24" s="909">
        <v>1627.1667092961643</v>
      </c>
      <c r="CF24" s="909">
        <v>1858.2166388756166</v>
      </c>
      <c r="CG24" s="909">
        <v>1813.5019208456163</v>
      </c>
      <c r="CH24" s="909">
        <v>1038.1824123056165</v>
      </c>
      <c r="CI24" s="909">
        <v>1209.2406902499999</v>
      </c>
      <c r="CJ24" s="909">
        <v>1103.7259265200003</v>
      </c>
      <c r="CK24" s="909">
        <v>1164.51618261</v>
      </c>
      <c r="CL24" s="909">
        <v>1205.99803557</v>
      </c>
      <c r="CM24" s="909">
        <v>1189.1800216900001</v>
      </c>
      <c r="CN24" s="909">
        <v>1304.2535200900002</v>
      </c>
      <c r="CO24" s="909">
        <v>1443.5806009375342</v>
      </c>
      <c r="CP24" s="909">
        <v>1241.0286417765753</v>
      </c>
      <c r="CQ24" s="909">
        <v>1140.64547971</v>
      </c>
      <c r="CR24" s="909">
        <v>1306.2146795900001</v>
      </c>
      <c r="CS24" s="909">
        <v>1353.2887174699997</v>
      </c>
      <c r="CT24" s="909">
        <v>1365.13883278</v>
      </c>
      <c r="CU24" s="909">
        <v>1440.4637070875342</v>
      </c>
      <c r="CV24" s="909">
        <v>1389.6069717765754</v>
      </c>
      <c r="CW24" s="909">
        <v>1472.8845017099998</v>
      </c>
      <c r="CX24" s="909">
        <v>1244.9441663399998</v>
      </c>
      <c r="CY24" s="909">
        <v>1387.78332901</v>
      </c>
      <c r="CZ24" s="909">
        <v>1412.97049021</v>
      </c>
      <c r="DA24" s="909">
        <v>1599.0416995099999</v>
      </c>
      <c r="DB24" s="909">
        <v>1373.6181660034247</v>
      </c>
      <c r="DC24" s="855">
        <v>1367.4705816014248</v>
      </c>
      <c r="DD24" s="855">
        <v>1320.4646063879452</v>
      </c>
      <c r="DE24" s="855">
        <v>1480.2132683904108</v>
      </c>
      <c r="DF24" s="855">
        <v>1428.2344244930139</v>
      </c>
      <c r="DG24" s="855">
        <v>1376.8976037119176</v>
      </c>
      <c r="DH24" s="855">
        <v>1414.2095592515643</v>
      </c>
      <c r="DI24" s="855">
        <v>1610.1936594377028</v>
      </c>
      <c r="DJ24" s="855">
        <v>1451.6148618058958</v>
      </c>
      <c r="DK24" s="855">
        <v>1617.1391638934417</v>
      </c>
      <c r="DL24" s="855">
        <v>1653.5111843821919</v>
      </c>
      <c r="DM24" s="855">
        <v>1961.9657673531508</v>
      </c>
      <c r="DN24" s="855">
        <v>1894.6533350238356</v>
      </c>
      <c r="DO24" s="855">
        <v>1699.6603194045208</v>
      </c>
      <c r="DP24" s="855">
        <v>1660.1134926336988</v>
      </c>
      <c r="DQ24" s="855">
        <v>1700.7376829480822</v>
      </c>
      <c r="DR24" s="855">
        <v>1720.416857196712</v>
      </c>
      <c r="DS24" s="855">
        <v>1600.8578537345206</v>
      </c>
    </row>
    <row r="25" spans="1:123" ht="17.45" customHeight="1">
      <c r="A25" s="857"/>
      <c r="B25" s="858"/>
      <c r="C25" s="913"/>
      <c r="D25" s="913"/>
      <c r="E25" s="913"/>
      <c r="F25" s="914"/>
      <c r="G25" s="913"/>
      <c r="H25" s="915"/>
      <c r="I25" s="913"/>
      <c r="J25" s="913"/>
      <c r="K25" s="913"/>
      <c r="L25" s="913"/>
      <c r="M25" s="914"/>
      <c r="N25" s="913"/>
      <c r="O25" s="913"/>
      <c r="P25" s="913"/>
      <c r="Q25" s="913"/>
      <c r="R25" s="913"/>
      <c r="S25" s="913"/>
      <c r="T25" s="913"/>
      <c r="U25" s="913"/>
      <c r="V25" s="913"/>
      <c r="W25" s="913"/>
      <c r="X25" s="913"/>
      <c r="Y25" s="913"/>
      <c r="Z25" s="913"/>
      <c r="AA25" s="913"/>
      <c r="AB25" s="913"/>
      <c r="AC25" s="913"/>
      <c r="AD25" s="915"/>
      <c r="AE25" s="913"/>
      <c r="AF25" s="913"/>
      <c r="AG25" s="913"/>
      <c r="AH25" s="913"/>
      <c r="AI25" s="913"/>
      <c r="AJ25" s="913"/>
      <c r="AK25" s="913"/>
      <c r="AL25" s="913"/>
      <c r="AM25" s="913"/>
      <c r="AN25" s="913"/>
      <c r="AO25" s="915"/>
      <c r="AP25" s="913"/>
      <c r="AQ25" s="913"/>
      <c r="AR25" s="913"/>
      <c r="AS25" s="913"/>
      <c r="AT25" s="913"/>
      <c r="AU25" s="913"/>
      <c r="AV25" s="913"/>
      <c r="AW25" s="913"/>
      <c r="AX25" s="913"/>
      <c r="AY25" s="913"/>
      <c r="AZ25" s="913"/>
      <c r="BA25" s="913"/>
      <c r="BB25" s="913"/>
      <c r="BC25" s="913"/>
      <c r="BD25" s="913"/>
      <c r="BE25" s="913"/>
      <c r="BF25" s="913"/>
      <c r="BG25" s="913"/>
      <c r="BH25" s="913"/>
      <c r="BI25" s="913"/>
      <c r="BJ25" s="913"/>
      <c r="BK25" s="913"/>
      <c r="BL25" s="913"/>
      <c r="BM25" s="913"/>
      <c r="BN25" s="913"/>
      <c r="BO25" s="913"/>
      <c r="BP25" s="913"/>
      <c r="BQ25" s="913"/>
      <c r="BR25" s="913"/>
      <c r="BS25" s="913"/>
      <c r="BT25" s="913"/>
      <c r="BU25" s="913"/>
      <c r="BV25" s="913"/>
      <c r="BW25" s="913"/>
      <c r="BX25" s="913"/>
      <c r="BY25" s="913"/>
      <c r="BZ25" s="913"/>
      <c r="CA25" s="913"/>
      <c r="CB25" s="913"/>
      <c r="CC25" s="913"/>
      <c r="CD25" s="913"/>
      <c r="CE25" s="913"/>
      <c r="CF25" s="913"/>
      <c r="CG25" s="913"/>
      <c r="CH25" s="913"/>
      <c r="CI25" s="913"/>
      <c r="CJ25" s="913"/>
      <c r="CK25" s="913"/>
      <c r="CL25" s="913"/>
      <c r="CM25" s="913"/>
      <c r="CN25" s="913"/>
      <c r="CO25" s="913"/>
      <c r="CP25" s="913"/>
      <c r="CQ25" s="913"/>
      <c r="CR25" s="913"/>
      <c r="CS25" s="913"/>
      <c r="CT25" s="913"/>
      <c r="CU25" s="913"/>
      <c r="CV25" s="913"/>
      <c r="CW25" s="913"/>
      <c r="CX25" s="913"/>
      <c r="CY25" s="913"/>
      <c r="CZ25" s="913"/>
      <c r="DA25" s="913"/>
      <c r="DB25" s="913"/>
      <c r="DC25" s="859"/>
      <c r="DD25" s="859"/>
      <c r="DE25" s="859"/>
      <c r="DF25" s="859"/>
      <c r="DG25" s="859"/>
      <c r="DH25" s="859"/>
      <c r="DI25" s="859"/>
      <c r="DJ25" s="859"/>
      <c r="DK25" s="859"/>
      <c r="DL25" s="859"/>
      <c r="DM25" s="859"/>
      <c r="DN25" s="859"/>
      <c r="DO25" s="859"/>
      <c r="DP25" s="859"/>
      <c r="DQ25" s="859"/>
      <c r="DR25" s="859"/>
      <c r="DS25" s="859"/>
    </row>
    <row r="26" spans="1:123" ht="17.45" customHeight="1">
      <c r="A26" s="853" t="s">
        <v>2513</v>
      </c>
      <c r="B26" s="854" t="s">
        <v>2514</v>
      </c>
      <c r="C26" s="909">
        <v>798.66176589000008</v>
      </c>
      <c r="D26" s="909">
        <v>818.34143132999998</v>
      </c>
      <c r="E26" s="909">
        <v>848.50894108</v>
      </c>
      <c r="F26" s="910">
        <v>860.65597262000006</v>
      </c>
      <c r="G26" s="909">
        <v>938.34058129999994</v>
      </c>
      <c r="H26" s="911">
        <v>905.55076182000016</v>
      </c>
      <c r="I26" s="909">
        <v>1036.3015116499998</v>
      </c>
      <c r="J26" s="909">
        <v>1048.0975827416664</v>
      </c>
      <c r="K26" s="909">
        <v>1053.7272173733331</v>
      </c>
      <c r="L26" s="909">
        <v>1055.8021501362084</v>
      </c>
      <c r="M26" s="910">
        <v>1067.4697196761667</v>
      </c>
      <c r="N26" s="909">
        <v>1080.6473663107499</v>
      </c>
      <c r="O26" s="909">
        <v>1085.7434252170001</v>
      </c>
      <c r="P26" s="909">
        <v>1089.240368233</v>
      </c>
      <c r="Q26" s="909">
        <v>1084.7053925769999</v>
      </c>
      <c r="R26" s="909">
        <v>1174.859283947</v>
      </c>
      <c r="S26" s="909">
        <v>1162.0716037369998</v>
      </c>
      <c r="T26" s="909">
        <v>1140.1834163269998</v>
      </c>
      <c r="U26" s="909">
        <v>1144.9760381469998</v>
      </c>
      <c r="V26" s="909">
        <v>1141.42018381</v>
      </c>
      <c r="W26" s="909">
        <v>1103.5606694299997</v>
      </c>
      <c r="X26" s="909">
        <v>1136.844533967</v>
      </c>
      <c r="Y26" s="909">
        <v>1172.2972192870002</v>
      </c>
      <c r="Z26" s="909">
        <v>1188.103346397</v>
      </c>
      <c r="AA26" s="909">
        <v>1206.9947149098193</v>
      </c>
      <c r="AB26" s="909">
        <v>1202.9055809078752</v>
      </c>
      <c r="AC26" s="909">
        <v>1190.7798150578751</v>
      </c>
      <c r="AD26" s="911">
        <v>1200.2358515878748</v>
      </c>
      <c r="AE26" s="909">
        <v>1213.6941418578751</v>
      </c>
      <c r="AF26" s="909">
        <v>1240.7815538555972</v>
      </c>
      <c r="AG26" s="909">
        <v>1273.9334446088862</v>
      </c>
      <c r="AH26" s="909">
        <v>1301.9613797762777</v>
      </c>
      <c r="AI26" s="909">
        <v>1305.7342663722363</v>
      </c>
      <c r="AJ26" s="909">
        <v>1319.3778603422361</v>
      </c>
      <c r="AK26" s="909">
        <v>1450.174192102236</v>
      </c>
      <c r="AL26" s="909">
        <v>1464.5845102111111</v>
      </c>
      <c r="AM26" s="909">
        <v>1506.7209418017806</v>
      </c>
      <c r="AN26" s="909">
        <v>1509.6718067533195</v>
      </c>
      <c r="AO26" s="911">
        <v>1640.9017202633195</v>
      </c>
      <c r="AP26" s="909">
        <v>1649.8358558927016</v>
      </c>
      <c r="AQ26" s="909">
        <v>1723.713901850921</v>
      </c>
      <c r="AR26" s="909">
        <v>1741.9454046300002</v>
      </c>
      <c r="AS26" s="909">
        <v>1794.5815746000001</v>
      </c>
      <c r="AT26" s="909">
        <v>1784.1996902719227</v>
      </c>
      <c r="AU26" s="909">
        <v>1785.3555368525717</v>
      </c>
      <c r="AV26" s="909">
        <v>1781.6669637746033</v>
      </c>
      <c r="AW26" s="909">
        <v>1832.3927418669684</v>
      </c>
      <c r="AX26" s="909">
        <v>1871.5281054031452</v>
      </c>
      <c r="AY26" s="909">
        <v>1897.6633507960003</v>
      </c>
      <c r="AZ26" s="909">
        <v>1898.7623180645771</v>
      </c>
      <c r="BA26" s="909">
        <v>1909.6142821245771</v>
      </c>
      <c r="BB26" s="909">
        <v>1904.3829170375905</v>
      </c>
      <c r="BC26" s="909">
        <v>1917.9099131275907</v>
      </c>
      <c r="BD26" s="909">
        <v>1919.3687765999998</v>
      </c>
      <c r="BE26" s="909">
        <v>1952.0619545875902</v>
      </c>
      <c r="BF26" s="909">
        <v>1983.9051913003402</v>
      </c>
      <c r="BG26" s="909">
        <v>1966.4163795162663</v>
      </c>
      <c r="BH26" s="909">
        <v>1980.6122895101566</v>
      </c>
      <c r="BI26" s="909">
        <v>1992.0316740371129</v>
      </c>
      <c r="BJ26" s="909">
        <v>1996.2550555074667</v>
      </c>
      <c r="BK26" s="909">
        <v>1974.8197009899436</v>
      </c>
      <c r="BL26" s="909">
        <v>1950.6063891357385</v>
      </c>
      <c r="BM26" s="909">
        <v>1969.0324636723647</v>
      </c>
      <c r="BN26" s="909">
        <v>1997.9577251192154</v>
      </c>
      <c r="BO26" s="909">
        <v>2055.290083288412</v>
      </c>
      <c r="BP26" s="909">
        <v>2074.0863088608066</v>
      </c>
      <c r="BQ26" s="909">
        <v>2099.4644555128061</v>
      </c>
      <c r="BR26" s="909">
        <v>2087.6034940725144</v>
      </c>
      <c r="BS26" s="909">
        <v>2066.9715168600928</v>
      </c>
      <c r="BT26" s="909">
        <v>2063.4325214531573</v>
      </c>
      <c r="BU26" s="909">
        <v>2062.0316981324549</v>
      </c>
      <c r="BV26" s="909">
        <v>2065.3701036383559</v>
      </c>
      <c r="BW26" s="909">
        <v>2182.6521295998391</v>
      </c>
      <c r="BX26" s="909">
        <v>2189.5169024008255</v>
      </c>
      <c r="BY26" s="909">
        <v>2227.5481400218114</v>
      </c>
      <c r="BZ26" s="909">
        <v>2231.2371392199998</v>
      </c>
      <c r="CA26" s="909">
        <v>2242.4848014200002</v>
      </c>
      <c r="CB26" s="909">
        <v>2249.43403339</v>
      </c>
      <c r="CC26" s="909">
        <v>2272.7679836099996</v>
      </c>
      <c r="CD26" s="909">
        <v>2280.0012530800004</v>
      </c>
      <c r="CE26" s="909">
        <v>2284.6163190300008</v>
      </c>
      <c r="CF26" s="909">
        <v>2301.0100345199999</v>
      </c>
      <c r="CG26" s="909">
        <v>2317.0255643800001</v>
      </c>
      <c r="CH26" s="909">
        <v>1911.3204848600001</v>
      </c>
      <c r="CI26" s="909">
        <v>2006.4480427121584</v>
      </c>
      <c r="CJ26" s="909">
        <v>2005.6679920654644</v>
      </c>
      <c r="CK26" s="909">
        <v>1998.7753723499998</v>
      </c>
      <c r="CL26" s="909">
        <v>1985.30133669</v>
      </c>
      <c r="CM26" s="909">
        <v>2003.7474086399998</v>
      </c>
      <c r="CN26" s="909">
        <v>2032.0428959299998</v>
      </c>
      <c r="CO26" s="909">
        <v>2109.2131669999999</v>
      </c>
      <c r="CP26" s="909">
        <v>2255.0842994899999</v>
      </c>
      <c r="CQ26" s="909">
        <v>2254.2136780599994</v>
      </c>
      <c r="CR26" s="909">
        <v>2233.9605649200003</v>
      </c>
      <c r="CS26" s="909">
        <v>2229.0419342399996</v>
      </c>
      <c r="CT26" s="909">
        <v>2243.3304933700001</v>
      </c>
      <c r="CU26" s="909">
        <v>2280.3957223700004</v>
      </c>
      <c r="CV26" s="909">
        <v>2279.7930738883251</v>
      </c>
      <c r="CW26" s="909">
        <v>2259.5736859600001</v>
      </c>
      <c r="CX26" s="909">
        <v>2378.5082998700004</v>
      </c>
      <c r="CY26" s="909">
        <v>2406.9258892999997</v>
      </c>
      <c r="CZ26" s="909">
        <v>2407.1115420900001</v>
      </c>
      <c r="DA26" s="909">
        <v>2394.9404436099999</v>
      </c>
      <c r="DB26" s="909">
        <v>2391.2720558800002</v>
      </c>
      <c r="DC26" s="855">
        <v>2381.1049207200003</v>
      </c>
      <c r="DD26" s="855">
        <v>2404.6822640600003</v>
      </c>
      <c r="DE26" s="855">
        <v>2385.6135435100005</v>
      </c>
      <c r="DF26" s="855">
        <v>2418.2009233199997</v>
      </c>
      <c r="DG26" s="855">
        <v>2437.6288255700001</v>
      </c>
      <c r="DH26" s="855">
        <v>2442.9604541907925</v>
      </c>
      <c r="DI26" s="855">
        <v>2512.6072024941454</v>
      </c>
      <c r="DJ26" s="855">
        <v>2563.318891846387</v>
      </c>
      <c r="DK26" s="855">
        <v>2686.7822467855849</v>
      </c>
      <c r="DL26" s="855">
        <v>2709.3509235700008</v>
      </c>
      <c r="DM26" s="855">
        <v>2745.6431118700007</v>
      </c>
      <c r="DN26" s="855">
        <v>2707.3926445100001</v>
      </c>
      <c r="DO26" s="855">
        <v>2684.6933345200005</v>
      </c>
      <c r="DP26" s="855">
        <v>2552.7954756300014</v>
      </c>
      <c r="DQ26" s="855">
        <v>2620.0096020200017</v>
      </c>
      <c r="DR26" s="855">
        <v>2587.2624502900026</v>
      </c>
      <c r="DS26" s="855">
        <v>2629.0234326896011</v>
      </c>
    </row>
    <row r="27" spans="1:123" ht="17.45" customHeight="1">
      <c r="A27" s="857"/>
      <c r="B27" s="858"/>
      <c r="C27" s="878"/>
      <c r="D27" s="878"/>
      <c r="E27" s="878"/>
      <c r="F27" s="917"/>
      <c r="G27" s="878"/>
      <c r="H27" s="918"/>
      <c r="I27" s="878"/>
      <c r="J27" s="878"/>
      <c r="K27" s="878"/>
      <c r="L27" s="878"/>
      <c r="M27" s="917"/>
      <c r="N27" s="878"/>
      <c r="O27" s="878"/>
      <c r="P27" s="878"/>
      <c r="Q27" s="878"/>
      <c r="R27" s="878"/>
      <c r="S27" s="878"/>
      <c r="T27" s="878"/>
      <c r="U27" s="878"/>
      <c r="V27" s="878"/>
      <c r="W27" s="878"/>
      <c r="X27" s="878"/>
      <c r="Y27" s="878"/>
      <c r="Z27" s="878"/>
      <c r="AA27" s="878"/>
      <c r="AB27" s="878"/>
      <c r="AC27" s="878"/>
      <c r="AD27" s="918"/>
      <c r="AE27" s="878"/>
      <c r="AF27" s="878"/>
      <c r="AG27" s="878"/>
      <c r="AH27" s="878"/>
      <c r="AI27" s="878"/>
      <c r="AJ27" s="878"/>
      <c r="AK27" s="878"/>
      <c r="AL27" s="878"/>
      <c r="AM27" s="878"/>
      <c r="AN27" s="878"/>
      <c r="AO27" s="918"/>
      <c r="AP27" s="878"/>
      <c r="AQ27" s="878"/>
      <c r="AR27" s="878"/>
      <c r="AS27" s="878"/>
      <c r="AT27" s="878"/>
      <c r="AU27" s="878"/>
      <c r="AV27" s="878"/>
      <c r="AW27" s="878"/>
      <c r="AX27" s="878"/>
      <c r="AY27" s="878"/>
      <c r="AZ27" s="878"/>
      <c r="BA27" s="878"/>
      <c r="BB27" s="878"/>
      <c r="BC27" s="878"/>
      <c r="BD27" s="878"/>
      <c r="BE27" s="878"/>
      <c r="BF27" s="878"/>
      <c r="BG27" s="878"/>
      <c r="BH27" s="878"/>
      <c r="BI27" s="878"/>
      <c r="BJ27" s="878"/>
      <c r="BK27" s="878"/>
      <c r="BL27" s="878"/>
      <c r="BM27" s="878"/>
      <c r="BN27" s="878"/>
      <c r="BO27" s="878"/>
      <c r="BP27" s="878"/>
      <c r="BQ27" s="878"/>
      <c r="BR27" s="878"/>
      <c r="BS27" s="878"/>
      <c r="BT27" s="878"/>
      <c r="BU27" s="878"/>
      <c r="BV27" s="878"/>
      <c r="BW27" s="878"/>
      <c r="BX27" s="878"/>
      <c r="BY27" s="878"/>
      <c r="BZ27" s="878"/>
      <c r="CA27" s="878"/>
      <c r="CB27" s="878"/>
      <c r="CC27" s="878"/>
      <c r="CD27" s="878"/>
      <c r="CE27" s="878"/>
      <c r="CF27" s="878"/>
      <c r="CG27" s="878"/>
      <c r="CH27" s="878"/>
      <c r="CI27" s="878"/>
      <c r="CJ27" s="878"/>
      <c r="CK27" s="878"/>
      <c r="CL27" s="878"/>
      <c r="CM27" s="878"/>
      <c r="CN27" s="878"/>
      <c r="CO27" s="878"/>
      <c r="CP27" s="878"/>
      <c r="CQ27" s="878"/>
      <c r="CR27" s="878"/>
      <c r="CS27" s="878"/>
      <c r="CT27" s="878"/>
      <c r="CU27" s="878"/>
      <c r="CV27" s="878"/>
      <c r="CW27" s="878"/>
      <c r="CX27" s="878"/>
      <c r="CY27" s="878"/>
      <c r="CZ27" s="878"/>
      <c r="DA27" s="878"/>
      <c r="DB27" s="878"/>
      <c r="DC27" s="860"/>
      <c r="DD27" s="860"/>
      <c r="DE27" s="860"/>
      <c r="DF27" s="860"/>
      <c r="DG27" s="860"/>
      <c r="DH27" s="860"/>
      <c r="DI27" s="860"/>
      <c r="DJ27" s="860"/>
      <c r="DK27" s="860"/>
      <c r="DL27" s="860"/>
      <c r="DM27" s="860"/>
      <c r="DN27" s="860"/>
      <c r="DO27" s="860"/>
      <c r="DP27" s="860"/>
      <c r="DQ27" s="860"/>
      <c r="DR27" s="860"/>
      <c r="DS27" s="860"/>
    </row>
    <row r="28" spans="1:123" ht="17.25" customHeight="1">
      <c r="A28" s="853"/>
      <c r="B28" s="854" t="s">
        <v>2515</v>
      </c>
      <c r="C28" s="909">
        <v>25474.471453387621</v>
      </c>
      <c r="D28" s="909">
        <v>26072.063897466593</v>
      </c>
      <c r="E28" s="909">
        <v>26415.344455611998</v>
      </c>
      <c r="F28" s="910">
        <v>26856.415234532004</v>
      </c>
      <c r="G28" s="909">
        <v>27494.964099592002</v>
      </c>
      <c r="H28" s="911">
        <v>27955.940532505614</v>
      </c>
      <c r="I28" s="909">
        <v>28194.36160220228</v>
      </c>
      <c r="J28" s="909">
        <v>28336.892915150238</v>
      </c>
      <c r="K28" s="909">
        <v>28563.364929097137</v>
      </c>
      <c r="L28" s="909">
        <v>28740.361376655161</v>
      </c>
      <c r="M28" s="910">
        <v>29096.352211839545</v>
      </c>
      <c r="N28" s="909">
        <v>29423.313250850086</v>
      </c>
      <c r="O28" s="909">
        <v>29904.42029326527</v>
      </c>
      <c r="P28" s="909">
        <v>30192.423819530377</v>
      </c>
      <c r="Q28" s="909">
        <v>30534.515540613647</v>
      </c>
      <c r="R28" s="909">
        <v>30645.306163438952</v>
      </c>
      <c r="S28" s="909">
        <v>30723.142804776799</v>
      </c>
      <c r="T28" s="909">
        <v>30582.685571101159</v>
      </c>
      <c r="U28" s="909">
        <v>31026.051215780495</v>
      </c>
      <c r="V28" s="909">
        <v>31204.967849988818</v>
      </c>
      <c r="W28" s="909">
        <v>31436.788752834454</v>
      </c>
      <c r="X28" s="909">
        <v>31766.227602197992</v>
      </c>
      <c r="Y28" s="909">
        <v>32105.986533900035</v>
      </c>
      <c r="Z28" s="909">
        <v>32381.205792132452</v>
      </c>
      <c r="AA28" s="909">
        <v>32750.688683694891</v>
      </c>
      <c r="AB28" s="909">
        <v>33028.065471295486</v>
      </c>
      <c r="AC28" s="909">
        <v>33597.285547495383</v>
      </c>
      <c r="AD28" s="911">
        <v>33479.612832724895</v>
      </c>
      <c r="AE28" s="909">
        <v>33528.234725906776</v>
      </c>
      <c r="AF28" s="909">
        <v>33945.252424287792</v>
      </c>
      <c r="AG28" s="909">
        <v>34531.168338754542</v>
      </c>
      <c r="AH28" s="909">
        <v>35377.395750547446</v>
      </c>
      <c r="AI28" s="909">
        <v>35546.314186166848</v>
      </c>
      <c r="AJ28" s="909">
        <v>36611.78037078894</v>
      </c>
      <c r="AK28" s="909">
        <v>36437.036162345808</v>
      </c>
      <c r="AL28" s="909">
        <v>36579.440661218759</v>
      </c>
      <c r="AM28" s="909">
        <v>37142.506882174122</v>
      </c>
      <c r="AN28" s="909">
        <v>37843.823667295968</v>
      </c>
      <c r="AO28" s="911">
        <v>38957.022860723584</v>
      </c>
      <c r="AP28" s="909">
        <v>39246.418511459175</v>
      </c>
      <c r="AQ28" s="909">
        <v>41293.583775452229</v>
      </c>
      <c r="AR28" s="909">
        <v>41489.26343647539</v>
      </c>
      <c r="AS28" s="909">
        <v>41558.040423602579</v>
      </c>
      <c r="AT28" s="909">
        <v>41583.506601919777</v>
      </c>
      <c r="AU28" s="909">
        <v>41724.410903507502</v>
      </c>
      <c r="AV28" s="909">
        <v>41930.542898092528</v>
      </c>
      <c r="AW28" s="909">
        <v>42394.904266229263</v>
      </c>
      <c r="AX28" s="909">
        <v>42837.91024545479</v>
      </c>
      <c r="AY28" s="909">
        <v>42727.796494547205</v>
      </c>
      <c r="AZ28" s="909">
        <v>43656.647352982647</v>
      </c>
      <c r="BA28" s="909">
        <v>44566.275999888792</v>
      </c>
      <c r="BB28" s="909">
        <v>44600.121654384253</v>
      </c>
      <c r="BC28" s="909">
        <v>44849.659281648565</v>
      </c>
      <c r="BD28" s="909">
        <v>44964.778969543637</v>
      </c>
      <c r="BE28" s="909">
        <v>44265.953944375869</v>
      </c>
      <c r="BF28" s="909">
        <v>44213.112024552087</v>
      </c>
      <c r="BG28" s="909">
        <v>44416.633551285697</v>
      </c>
      <c r="BH28" s="909">
        <v>44552.782203806673</v>
      </c>
      <c r="BI28" s="909">
        <v>45009.054433510879</v>
      </c>
      <c r="BJ28" s="909">
        <v>45312.920665720885</v>
      </c>
      <c r="BK28" s="909">
        <v>43235.787246537468</v>
      </c>
      <c r="BL28" s="909">
        <v>43097.493635641695</v>
      </c>
      <c r="BM28" s="909">
        <v>43203.774808802656</v>
      </c>
      <c r="BN28" s="909">
        <v>43661.834296690322</v>
      </c>
      <c r="BO28" s="909">
        <v>43974.956511792596</v>
      </c>
      <c r="BP28" s="909">
        <v>44381.176626182605</v>
      </c>
      <c r="BQ28" s="909">
        <v>44497.792306656222</v>
      </c>
      <c r="BR28" s="909">
        <v>44816.576913051773</v>
      </c>
      <c r="BS28" s="909">
        <v>45160.287156148086</v>
      </c>
      <c r="BT28" s="909">
        <v>45783.010752826711</v>
      </c>
      <c r="BU28" s="909">
        <v>46501.674702749129</v>
      </c>
      <c r="BV28" s="909">
        <v>47074.090090090831</v>
      </c>
      <c r="BW28" s="909">
        <v>47894.003680056565</v>
      </c>
      <c r="BX28" s="909">
        <v>47942.826131287773</v>
      </c>
      <c r="BY28" s="909">
        <v>48371.125311231954</v>
      </c>
      <c r="BZ28" s="909">
        <v>48916.095700244558</v>
      </c>
      <c r="CA28" s="909">
        <v>49255.747115471298</v>
      </c>
      <c r="CB28" s="909">
        <v>49659.184363918161</v>
      </c>
      <c r="CC28" s="909">
        <v>48698.191212044672</v>
      </c>
      <c r="CD28" s="909">
        <v>48761.357791877977</v>
      </c>
      <c r="CE28" s="909">
        <v>49222.686064576381</v>
      </c>
      <c r="CF28" s="909">
        <v>49905.491819247851</v>
      </c>
      <c r="CG28" s="909">
        <v>50217.162325058016</v>
      </c>
      <c r="CH28" s="909">
        <v>46912.906297951318</v>
      </c>
      <c r="CI28" s="909">
        <v>47409.792135606658</v>
      </c>
      <c r="CJ28" s="909">
        <v>47875.192855011861</v>
      </c>
      <c r="CK28" s="909">
        <v>48388.659544880466</v>
      </c>
      <c r="CL28" s="909">
        <v>48971.714602314467</v>
      </c>
      <c r="CM28" s="909">
        <v>49487.1971983275</v>
      </c>
      <c r="CN28" s="909">
        <v>49783.066298351274</v>
      </c>
      <c r="CO28" s="909">
        <v>50852.368546919279</v>
      </c>
      <c r="CP28" s="909">
        <v>51434.678699088639</v>
      </c>
      <c r="CQ28" s="909">
        <v>53196.983415460469</v>
      </c>
      <c r="CR28" s="909">
        <v>53885.432491896601</v>
      </c>
      <c r="CS28" s="909">
        <v>53522.373322656596</v>
      </c>
      <c r="CT28" s="909">
        <v>53888.210782272996</v>
      </c>
      <c r="CU28" s="909">
        <v>54959.281300599185</v>
      </c>
      <c r="CV28" s="909">
        <v>54870.586194875425</v>
      </c>
      <c r="CW28" s="909">
        <v>55943.655790590841</v>
      </c>
      <c r="CX28" s="909">
        <v>56793.800619202106</v>
      </c>
      <c r="CY28" s="909">
        <v>57326.641862917459</v>
      </c>
      <c r="CZ28" s="909">
        <v>57678.5768539407</v>
      </c>
      <c r="DA28" s="909">
        <v>58472.529792396519</v>
      </c>
      <c r="DB28" s="909">
        <v>58061.34014949351</v>
      </c>
      <c r="DC28" s="855">
        <v>58439.562505916503</v>
      </c>
      <c r="DD28" s="855">
        <v>59188.973477736508</v>
      </c>
      <c r="DE28" s="855">
        <v>59922.185491184253</v>
      </c>
      <c r="DF28" s="855">
        <v>60473.288929080234</v>
      </c>
      <c r="DG28" s="855">
        <v>61496.319550096516</v>
      </c>
      <c r="DH28" s="855">
        <v>61671.708857693993</v>
      </c>
      <c r="DI28" s="855">
        <v>62181.744304009371</v>
      </c>
      <c r="DJ28" s="855">
        <v>63406.936380624771</v>
      </c>
      <c r="DK28" s="855">
        <v>64027.250872814395</v>
      </c>
      <c r="DL28" s="855">
        <v>64697.901217991515</v>
      </c>
      <c r="DM28" s="855">
        <v>65575.577526379711</v>
      </c>
      <c r="DN28" s="855">
        <v>65330.127163972684</v>
      </c>
      <c r="DO28" s="855">
        <v>65246.331667300066</v>
      </c>
      <c r="DP28" s="855">
        <v>65872.875149844956</v>
      </c>
      <c r="DQ28" s="855">
        <v>66183.274306243067</v>
      </c>
      <c r="DR28" s="855">
        <v>65927.875645242661</v>
      </c>
      <c r="DS28" s="855">
        <v>66401.152565617507</v>
      </c>
    </row>
    <row r="29" spans="1:123" ht="16.5" thickBot="1">
      <c r="A29" s="863"/>
      <c r="B29" s="864"/>
      <c r="C29" s="920"/>
      <c r="D29" s="920"/>
      <c r="E29" s="920"/>
      <c r="F29" s="921"/>
      <c r="G29" s="920"/>
      <c r="H29" s="922"/>
      <c r="I29" s="920"/>
      <c r="J29" s="920"/>
      <c r="K29" s="920"/>
      <c r="L29" s="920"/>
      <c r="M29" s="921"/>
      <c r="N29" s="920"/>
      <c r="O29" s="920"/>
      <c r="P29" s="920"/>
      <c r="Q29" s="920"/>
      <c r="R29" s="920"/>
      <c r="S29" s="920"/>
      <c r="T29" s="920"/>
      <c r="U29" s="920"/>
      <c r="V29" s="920"/>
      <c r="W29" s="920"/>
      <c r="X29" s="920"/>
      <c r="Y29" s="920"/>
      <c r="Z29" s="920"/>
      <c r="AA29" s="920"/>
      <c r="AB29" s="920"/>
      <c r="AC29" s="920"/>
      <c r="AD29" s="922"/>
      <c r="AE29" s="920"/>
      <c r="AF29" s="920"/>
      <c r="AG29" s="920"/>
      <c r="AH29" s="920"/>
      <c r="AI29" s="920"/>
      <c r="AJ29" s="920"/>
      <c r="AK29" s="920"/>
      <c r="AL29" s="920"/>
      <c r="AM29" s="920"/>
      <c r="AN29" s="920"/>
      <c r="AO29" s="922"/>
      <c r="AP29" s="920"/>
      <c r="AQ29" s="920"/>
      <c r="AR29" s="920"/>
      <c r="AS29" s="920"/>
      <c r="AT29" s="920"/>
      <c r="AU29" s="920"/>
      <c r="AV29" s="920"/>
      <c r="AW29" s="920"/>
      <c r="AX29" s="920"/>
      <c r="AY29" s="920"/>
      <c r="AZ29" s="920"/>
      <c r="BA29" s="920"/>
      <c r="BB29" s="920"/>
      <c r="BC29" s="920"/>
      <c r="BD29" s="920"/>
      <c r="BE29" s="920"/>
      <c r="BF29" s="920"/>
      <c r="BG29" s="920"/>
      <c r="BH29" s="920"/>
      <c r="BI29" s="920"/>
      <c r="BJ29" s="920"/>
      <c r="BK29" s="920"/>
      <c r="BL29" s="920"/>
      <c r="BM29" s="920"/>
      <c r="BN29" s="920"/>
      <c r="BO29" s="920"/>
      <c r="BP29" s="920"/>
      <c r="BQ29" s="920"/>
      <c r="BR29" s="920"/>
      <c r="BS29" s="920"/>
      <c r="BT29" s="920"/>
      <c r="BU29" s="920"/>
      <c r="BV29" s="920"/>
      <c r="BW29" s="920"/>
      <c r="BX29" s="920"/>
      <c r="BY29" s="920"/>
      <c r="BZ29" s="920"/>
      <c r="CA29" s="920"/>
      <c r="CB29" s="920"/>
      <c r="CC29" s="920"/>
      <c r="CD29" s="920"/>
      <c r="CE29" s="920"/>
      <c r="CF29" s="920"/>
      <c r="CG29" s="920"/>
      <c r="CH29" s="920"/>
      <c r="CI29" s="920"/>
      <c r="CJ29" s="920"/>
      <c r="CK29" s="920"/>
      <c r="CL29" s="920"/>
      <c r="CM29" s="920"/>
      <c r="CN29" s="920"/>
      <c r="CO29" s="920"/>
      <c r="CP29" s="920"/>
      <c r="CQ29" s="920"/>
      <c r="CR29" s="920"/>
      <c r="CS29" s="920"/>
      <c r="CT29" s="920"/>
      <c r="CU29" s="920"/>
      <c r="CV29" s="920"/>
      <c r="CW29" s="920"/>
      <c r="CX29" s="920"/>
      <c r="CY29" s="920"/>
      <c r="CZ29" s="920"/>
      <c r="DA29" s="920"/>
      <c r="DB29" s="920"/>
      <c r="DC29" s="924"/>
      <c r="DD29" s="924"/>
      <c r="DE29" s="924"/>
      <c r="DF29" s="924"/>
      <c r="DG29" s="924"/>
      <c r="DH29" s="924"/>
      <c r="DI29" s="924"/>
      <c r="DJ29" s="924"/>
      <c r="DK29" s="924"/>
      <c r="DL29" s="924"/>
      <c r="DM29" s="924"/>
      <c r="DN29" s="924"/>
      <c r="DO29" s="924"/>
      <c r="DP29" s="924"/>
      <c r="DQ29" s="924"/>
      <c r="DR29" s="924"/>
      <c r="DS29" s="924"/>
    </row>
    <row r="30" spans="1:123" s="541" customFormat="1" ht="16.5" hidden="1" thickTop="1">
      <c r="A30" s="925"/>
      <c r="B30" s="925"/>
      <c r="C30" s="926"/>
      <c r="D30" s="926"/>
      <c r="E30" s="926"/>
      <c r="F30" s="926"/>
      <c r="G30" s="926"/>
      <c r="H30" s="927"/>
      <c r="I30" s="926"/>
      <c r="J30" s="926"/>
      <c r="K30" s="926"/>
      <c r="L30" s="926"/>
      <c r="M30" s="926"/>
      <c r="N30" s="926"/>
      <c r="O30" s="926"/>
      <c r="P30" s="926"/>
      <c r="Q30" s="926"/>
      <c r="R30" s="926"/>
      <c r="S30" s="926"/>
      <c r="T30" s="926"/>
      <c r="U30" s="926"/>
      <c r="V30" s="926"/>
      <c r="W30" s="926"/>
      <c r="X30" s="926"/>
      <c r="Y30" s="926"/>
      <c r="Z30" s="926"/>
      <c r="AA30" s="926"/>
      <c r="AB30" s="926"/>
      <c r="AC30" s="926"/>
      <c r="AD30" s="926"/>
      <c r="AE30" s="926"/>
      <c r="AF30" s="926"/>
      <c r="AG30" s="926"/>
      <c r="AH30" s="926"/>
      <c r="AI30" s="926"/>
      <c r="AJ30" s="926"/>
      <c r="AK30" s="926"/>
      <c r="AL30" s="926"/>
      <c r="AM30" s="926"/>
      <c r="AN30" s="926"/>
      <c r="AO30" s="927"/>
      <c r="AP30" s="926"/>
      <c r="AQ30" s="926"/>
      <c r="AR30" s="926"/>
      <c r="AS30" s="926"/>
      <c r="AT30" s="926"/>
      <c r="AU30" s="926"/>
      <c r="AV30" s="926"/>
      <c r="AW30" s="926"/>
      <c r="AX30" s="926"/>
      <c r="AY30" s="926"/>
      <c r="AZ30" s="926"/>
      <c r="BA30" s="926"/>
      <c r="BB30" s="926"/>
      <c r="BC30" s="926"/>
      <c r="BD30" s="926"/>
      <c r="BE30" s="926"/>
      <c r="BF30" s="926"/>
      <c r="BG30" s="926"/>
      <c r="BH30" s="926"/>
      <c r="BI30" s="926"/>
      <c r="BJ30" s="926"/>
      <c r="BK30" s="926"/>
      <c r="BL30" s="926"/>
      <c r="BM30" s="926"/>
      <c r="BN30" s="926"/>
      <c r="BO30" s="926"/>
      <c r="BP30" s="926"/>
      <c r="BQ30" s="926"/>
      <c r="BR30" s="926"/>
      <c r="BS30" s="926"/>
      <c r="BT30" s="926"/>
      <c r="BU30" s="926"/>
      <c r="BV30" s="926"/>
      <c r="BW30" s="926"/>
      <c r="BX30" s="926"/>
      <c r="BY30" s="926"/>
      <c r="BZ30" s="926"/>
      <c r="CA30" s="926"/>
      <c r="CB30" s="926"/>
      <c r="CC30" s="926"/>
      <c r="CD30" s="926"/>
      <c r="CE30" s="926"/>
      <c r="CF30" s="926"/>
      <c r="CG30" s="926"/>
      <c r="CH30" s="926"/>
      <c r="CI30" s="926"/>
      <c r="CJ30" s="926"/>
      <c r="CK30" s="926"/>
      <c r="CL30" s="926"/>
      <c r="CM30" s="926"/>
      <c r="CN30" s="926"/>
      <c r="CO30" s="926"/>
      <c r="CP30" s="926"/>
      <c r="CQ30" s="926"/>
      <c r="CR30" s="926"/>
      <c r="CS30" s="926"/>
      <c r="CT30" s="926"/>
      <c r="CU30" s="926"/>
      <c r="CV30" s="926"/>
      <c r="CW30" s="926"/>
      <c r="CX30" s="926"/>
      <c r="CY30" s="926"/>
      <c r="CZ30" s="926"/>
      <c r="DA30" s="926"/>
      <c r="DB30" s="926"/>
      <c r="DC30" s="957"/>
      <c r="DD30" s="957"/>
      <c r="DE30" s="957"/>
      <c r="DF30" s="957"/>
      <c r="DG30" s="957"/>
      <c r="DH30" s="957"/>
      <c r="DI30" s="957"/>
      <c r="DJ30" s="957"/>
      <c r="DK30" s="957"/>
      <c r="DL30" s="957"/>
      <c r="DM30" s="957"/>
      <c r="DN30" s="957"/>
      <c r="DO30" s="957"/>
      <c r="DP30" s="957"/>
      <c r="DQ30" s="957"/>
      <c r="DR30" s="957"/>
      <c r="DS30" s="957"/>
    </row>
    <row r="31" spans="1:123" s="541" customFormat="1" ht="16.5" thickTop="1">
      <c r="A31" s="926"/>
      <c r="B31" s="926"/>
      <c r="C31" s="926"/>
      <c r="D31" s="926"/>
      <c r="E31" s="926"/>
      <c r="F31" s="926"/>
      <c r="G31" s="926"/>
      <c r="H31" s="928"/>
      <c r="I31" s="926"/>
      <c r="J31" s="926"/>
      <c r="K31" s="926"/>
      <c r="L31" s="926"/>
      <c r="M31" s="926"/>
      <c r="N31" s="926"/>
      <c r="O31" s="926"/>
      <c r="P31" s="926"/>
      <c r="Q31" s="926"/>
      <c r="R31" s="926"/>
      <c r="S31" s="926"/>
      <c r="T31" s="926"/>
      <c r="U31" s="926"/>
      <c r="V31" s="926"/>
      <c r="W31" s="926"/>
      <c r="X31" s="926"/>
      <c r="Y31" s="926"/>
      <c r="Z31" s="926"/>
      <c r="AA31" s="926"/>
      <c r="AB31" s="926"/>
      <c r="AC31" s="926"/>
      <c r="AD31" s="926"/>
      <c r="AE31" s="926"/>
      <c r="AF31" s="926"/>
      <c r="AG31" s="926"/>
      <c r="AH31" s="926"/>
      <c r="AI31" s="926"/>
      <c r="AJ31" s="926"/>
      <c r="AK31" s="926"/>
      <c r="AL31" s="926"/>
      <c r="AM31" s="926"/>
      <c r="AN31" s="926"/>
      <c r="AO31" s="927"/>
      <c r="AP31" s="926"/>
      <c r="AQ31" s="926"/>
      <c r="AR31" s="926"/>
      <c r="AS31" s="926"/>
      <c r="AT31" s="926"/>
      <c r="AU31" s="926"/>
      <c r="AV31" s="926"/>
      <c r="AW31" s="926"/>
      <c r="AX31" s="926"/>
      <c r="AY31" s="926"/>
      <c r="AZ31" s="926"/>
      <c r="BA31" s="926"/>
      <c r="BB31" s="926"/>
      <c r="BC31" s="926"/>
      <c r="BD31" s="926"/>
      <c r="BE31" s="926"/>
      <c r="BF31" s="926"/>
      <c r="BG31" s="926"/>
      <c r="BH31" s="926"/>
      <c r="BI31" s="926"/>
      <c r="BJ31" s="926"/>
      <c r="BK31" s="926"/>
      <c r="BL31" s="926"/>
      <c r="BM31" s="926"/>
      <c r="BN31" s="926"/>
      <c r="BO31" s="926"/>
      <c r="BP31" s="926"/>
      <c r="BQ31" s="926"/>
      <c r="BR31" s="926"/>
      <c r="BS31" s="926"/>
      <c r="BT31" s="926"/>
      <c r="BU31" s="926"/>
      <c r="BV31" s="926"/>
      <c r="BW31" s="926"/>
      <c r="BX31" s="926"/>
      <c r="BY31" s="926"/>
      <c r="BZ31" s="926"/>
      <c r="CA31" s="926"/>
      <c r="CB31" s="926"/>
      <c r="CC31" s="926"/>
      <c r="CD31" s="926"/>
      <c r="CE31" s="926"/>
      <c r="CF31" s="926"/>
      <c r="CG31" s="926"/>
      <c r="CH31" s="926"/>
      <c r="CI31" s="926"/>
      <c r="CJ31" s="926"/>
      <c r="CK31" s="926"/>
      <c r="CL31" s="926"/>
      <c r="CM31" s="926"/>
      <c r="CN31" s="926"/>
      <c r="CO31" s="926"/>
      <c r="CP31" s="926"/>
      <c r="CQ31" s="926"/>
      <c r="CR31" s="926"/>
      <c r="CS31" s="926"/>
      <c r="CT31" s="926"/>
      <c r="CU31" s="926"/>
      <c r="CV31" s="926"/>
      <c r="CW31" s="926"/>
      <c r="CX31" s="926"/>
      <c r="CY31" s="926"/>
      <c r="CZ31" s="926"/>
      <c r="DA31" s="926"/>
      <c r="DB31" s="926"/>
      <c r="DC31" s="957"/>
      <c r="DD31" s="957"/>
      <c r="DE31" s="957"/>
      <c r="DF31" s="957"/>
      <c r="DG31" s="957"/>
      <c r="DH31" s="957"/>
      <c r="DI31" s="957"/>
      <c r="DJ31" s="957"/>
      <c r="DK31" s="957"/>
      <c r="DL31" s="957"/>
      <c r="DM31" s="957"/>
      <c r="DN31" s="957"/>
      <c r="DO31" s="957"/>
      <c r="DP31" s="957"/>
      <c r="DQ31" s="957"/>
      <c r="DR31" s="957"/>
      <c r="DS31" s="957"/>
    </row>
    <row r="32" spans="1:123" s="541" customFormat="1" ht="16.5" thickBot="1">
      <c r="A32" s="929"/>
      <c r="B32" s="929"/>
      <c r="C32" s="929"/>
      <c r="D32" s="929"/>
      <c r="E32" s="929"/>
      <c r="F32" s="929"/>
      <c r="G32" s="929"/>
      <c r="H32" s="930"/>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9"/>
      <c r="AO32" s="958"/>
      <c r="AP32" s="929"/>
      <c r="AQ32" s="929"/>
      <c r="AR32" s="929"/>
      <c r="AS32" s="929"/>
      <c r="AT32" s="929"/>
      <c r="AU32" s="929"/>
      <c r="AV32" s="929"/>
      <c r="AW32" s="929"/>
      <c r="AX32" s="929"/>
      <c r="AY32" s="929"/>
      <c r="AZ32" s="929"/>
      <c r="BA32" s="929"/>
      <c r="BB32" s="929"/>
      <c r="BC32" s="929"/>
      <c r="BD32" s="929"/>
      <c r="BE32" s="929"/>
      <c r="BF32" s="929"/>
      <c r="BG32" s="929"/>
      <c r="BH32" s="929"/>
      <c r="BI32" s="929"/>
      <c r="BJ32" s="929"/>
      <c r="BK32" s="929"/>
      <c r="BL32" s="929"/>
      <c r="BM32" s="929"/>
      <c r="BN32" s="929"/>
      <c r="BO32" s="929"/>
      <c r="BP32" s="929"/>
      <c r="BQ32" s="929"/>
      <c r="BR32" s="929"/>
      <c r="BS32" s="929"/>
      <c r="BT32" s="929"/>
      <c r="BU32" s="929"/>
      <c r="BV32" s="929"/>
      <c r="BW32" s="929"/>
      <c r="BX32" s="929"/>
      <c r="BY32" s="929"/>
      <c r="BZ32" s="929"/>
      <c r="CA32" s="929"/>
      <c r="CB32" s="929"/>
      <c r="CC32" s="929"/>
      <c r="CD32" s="929"/>
      <c r="CE32" s="929"/>
      <c r="CF32" s="929"/>
      <c r="CG32" s="929"/>
      <c r="CH32" s="929"/>
      <c r="CI32" s="929"/>
      <c r="CJ32" s="929"/>
      <c r="CK32" s="929"/>
      <c r="CL32" s="929"/>
      <c r="CM32" s="929"/>
      <c r="CN32" s="929"/>
      <c r="CO32" s="929"/>
      <c r="CP32" s="929"/>
      <c r="CQ32" s="929"/>
      <c r="CR32" s="929"/>
      <c r="CS32" s="929"/>
      <c r="CT32" s="929"/>
      <c r="CU32" s="929"/>
      <c r="CV32" s="929"/>
      <c r="CW32" s="929"/>
      <c r="CX32" s="929"/>
      <c r="CY32" s="929"/>
      <c r="CZ32" s="929"/>
      <c r="DA32" s="929"/>
      <c r="DB32" s="929"/>
      <c r="DC32" s="957"/>
      <c r="DD32" s="957"/>
      <c r="DE32" s="957"/>
      <c r="DF32" s="957"/>
      <c r="DG32" s="957"/>
      <c r="DH32" s="957"/>
      <c r="DI32" s="957"/>
      <c r="DJ32" s="957"/>
      <c r="DK32" s="957"/>
      <c r="DL32" s="957"/>
      <c r="DM32" s="957"/>
      <c r="DN32" s="957"/>
      <c r="DO32" s="957"/>
      <c r="DP32" s="957"/>
      <c r="DQ32" s="957"/>
      <c r="DR32" s="957"/>
      <c r="DS32" s="957"/>
    </row>
    <row r="33" spans="1:123" ht="25.5" customHeight="1" thickTop="1" thickBot="1">
      <c r="A33" s="839" t="s">
        <v>2488</v>
      </c>
      <c r="B33" s="840" t="s">
        <v>2516</v>
      </c>
      <c r="C33" s="873">
        <v>38504</v>
      </c>
      <c r="D33" s="873">
        <v>38534</v>
      </c>
      <c r="E33" s="873">
        <v>38565</v>
      </c>
      <c r="F33" s="932">
        <v>38596</v>
      </c>
      <c r="G33" s="873">
        <v>38626</v>
      </c>
      <c r="H33" s="933">
        <v>38657</v>
      </c>
      <c r="I33" s="873">
        <v>38687</v>
      </c>
      <c r="J33" s="873">
        <v>38718</v>
      </c>
      <c r="K33" s="873">
        <v>38749</v>
      </c>
      <c r="L33" s="873">
        <v>38777</v>
      </c>
      <c r="M33" s="932">
        <v>38808</v>
      </c>
      <c r="N33" s="873">
        <v>38838</v>
      </c>
      <c r="O33" s="873">
        <v>38869</v>
      </c>
      <c r="P33" s="873">
        <v>38899</v>
      </c>
      <c r="Q33" s="873">
        <v>38930</v>
      </c>
      <c r="R33" s="873">
        <v>38961</v>
      </c>
      <c r="S33" s="873">
        <v>38991</v>
      </c>
      <c r="T33" s="873">
        <v>39022</v>
      </c>
      <c r="U33" s="873">
        <v>39052</v>
      </c>
      <c r="V33" s="873">
        <v>39083</v>
      </c>
      <c r="W33" s="873">
        <v>39114</v>
      </c>
      <c r="X33" s="873">
        <v>39142</v>
      </c>
      <c r="Y33" s="873">
        <v>39173</v>
      </c>
      <c r="Z33" s="873">
        <v>39203</v>
      </c>
      <c r="AA33" s="873">
        <v>39234</v>
      </c>
      <c r="AB33" s="873">
        <v>39264</v>
      </c>
      <c r="AC33" s="873">
        <v>39295</v>
      </c>
      <c r="AD33" s="933">
        <v>39326</v>
      </c>
      <c r="AE33" s="873">
        <v>39356</v>
      </c>
      <c r="AF33" s="873">
        <v>39387</v>
      </c>
      <c r="AG33" s="873">
        <v>39417</v>
      </c>
      <c r="AH33" s="873">
        <v>39448</v>
      </c>
      <c r="AI33" s="873">
        <v>39479</v>
      </c>
      <c r="AJ33" s="873">
        <v>39508</v>
      </c>
      <c r="AK33" s="873">
        <v>39539</v>
      </c>
      <c r="AL33" s="873">
        <v>39569</v>
      </c>
      <c r="AM33" s="873">
        <f t="shared" ref="AM33:CT33" si="0">AM4</f>
        <v>39600</v>
      </c>
      <c r="AN33" s="873">
        <f t="shared" si="0"/>
        <v>39630</v>
      </c>
      <c r="AO33" s="933">
        <f t="shared" si="0"/>
        <v>39661</v>
      </c>
      <c r="AP33" s="873">
        <f t="shared" si="0"/>
        <v>39692</v>
      </c>
      <c r="AQ33" s="873">
        <f t="shared" si="0"/>
        <v>39722</v>
      </c>
      <c r="AR33" s="873">
        <f t="shared" si="0"/>
        <v>39753</v>
      </c>
      <c r="AS33" s="873">
        <f t="shared" si="0"/>
        <v>39783</v>
      </c>
      <c r="AT33" s="873">
        <f t="shared" si="0"/>
        <v>39814</v>
      </c>
      <c r="AU33" s="873">
        <f t="shared" si="0"/>
        <v>39845</v>
      </c>
      <c r="AV33" s="873">
        <f t="shared" si="0"/>
        <v>39873</v>
      </c>
      <c r="AW33" s="873">
        <f t="shared" si="0"/>
        <v>39904</v>
      </c>
      <c r="AX33" s="873">
        <f t="shared" si="0"/>
        <v>39934</v>
      </c>
      <c r="AY33" s="873">
        <f t="shared" si="0"/>
        <v>39965</v>
      </c>
      <c r="AZ33" s="873">
        <f t="shared" si="0"/>
        <v>39995</v>
      </c>
      <c r="BA33" s="873">
        <f t="shared" si="0"/>
        <v>40026</v>
      </c>
      <c r="BB33" s="873">
        <f t="shared" si="0"/>
        <v>40057</v>
      </c>
      <c r="BC33" s="873">
        <f t="shared" si="0"/>
        <v>40087</v>
      </c>
      <c r="BD33" s="873">
        <f t="shared" si="0"/>
        <v>40118</v>
      </c>
      <c r="BE33" s="873">
        <f t="shared" si="0"/>
        <v>40148</v>
      </c>
      <c r="BF33" s="873">
        <f t="shared" si="0"/>
        <v>40179</v>
      </c>
      <c r="BG33" s="873">
        <f t="shared" si="0"/>
        <v>40210</v>
      </c>
      <c r="BH33" s="873">
        <f t="shared" si="0"/>
        <v>40238</v>
      </c>
      <c r="BI33" s="873">
        <f t="shared" si="0"/>
        <v>40269</v>
      </c>
      <c r="BJ33" s="873">
        <f t="shared" si="0"/>
        <v>40299</v>
      </c>
      <c r="BK33" s="873">
        <f t="shared" si="0"/>
        <v>40330</v>
      </c>
      <c r="BL33" s="873">
        <f t="shared" si="0"/>
        <v>40360</v>
      </c>
      <c r="BM33" s="873">
        <f t="shared" si="0"/>
        <v>40391</v>
      </c>
      <c r="BN33" s="873">
        <f t="shared" si="0"/>
        <v>40422</v>
      </c>
      <c r="BO33" s="873">
        <f t="shared" si="0"/>
        <v>40452</v>
      </c>
      <c r="BP33" s="873">
        <f t="shared" si="0"/>
        <v>40483</v>
      </c>
      <c r="BQ33" s="873">
        <f t="shared" si="0"/>
        <v>40513</v>
      </c>
      <c r="BR33" s="873">
        <f t="shared" si="0"/>
        <v>40544</v>
      </c>
      <c r="BS33" s="873">
        <f t="shared" si="0"/>
        <v>40575</v>
      </c>
      <c r="BT33" s="873">
        <f t="shared" si="0"/>
        <v>40603</v>
      </c>
      <c r="BU33" s="873">
        <f t="shared" si="0"/>
        <v>40634</v>
      </c>
      <c r="BV33" s="873">
        <f t="shared" si="0"/>
        <v>40664</v>
      </c>
      <c r="BW33" s="873">
        <f t="shared" si="0"/>
        <v>40695</v>
      </c>
      <c r="BX33" s="873">
        <f t="shared" si="0"/>
        <v>40725</v>
      </c>
      <c r="BY33" s="873">
        <f t="shared" si="0"/>
        <v>40756</v>
      </c>
      <c r="BZ33" s="873">
        <f t="shared" si="0"/>
        <v>40787</v>
      </c>
      <c r="CA33" s="873">
        <f t="shared" si="0"/>
        <v>40817</v>
      </c>
      <c r="CB33" s="873">
        <f t="shared" si="0"/>
        <v>40848</v>
      </c>
      <c r="CC33" s="873">
        <f t="shared" si="0"/>
        <v>40878</v>
      </c>
      <c r="CD33" s="873">
        <f t="shared" si="0"/>
        <v>40909</v>
      </c>
      <c r="CE33" s="873">
        <f t="shared" si="0"/>
        <v>40940</v>
      </c>
      <c r="CF33" s="873">
        <f t="shared" si="0"/>
        <v>40969</v>
      </c>
      <c r="CG33" s="873">
        <f t="shared" si="0"/>
        <v>41000</v>
      </c>
      <c r="CH33" s="873">
        <f t="shared" si="0"/>
        <v>41030</v>
      </c>
      <c r="CI33" s="873">
        <f t="shared" si="0"/>
        <v>41061</v>
      </c>
      <c r="CJ33" s="873">
        <f t="shared" si="0"/>
        <v>41091</v>
      </c>
      <c r="CK33" s="873">
        <f t="shared" si="0"/>
        <v>41122</v>
      </c>
      <c r="CL33" s="873">
        <f t="shared" si="0"/>
        <v>41153</v>
      </c>
      <c r="CM33" s="873">
        <f t="shared" si="0"/>
        <v>41183</v>
      </c>
      <c r="CN33" s="873">
        <f t="shared" si="0"/>
        <v>41214</v>
      </c>
      <c r="CO33" s="873">
        <f t="shared" si="0"/>
        <v>41244</v>
      </c>
      <c r="CP33" s="873">
        <f t="shared" si="0"/>
        <v>41275</v>
      </c>
      <c r="CQ33" s="873">
        <f t="shared" si="0"/>
        <v>41306</v>
      </c>
      <c r="CR33" s="873">
        <f t="shared" si="0"/>
        <v>41334</v>
      </c>
      <c r="CS33" s="843">
        <f t="shared" si="0"/>
        <v>41365</v>
      </c>
      <c r="CT33" s="843">
        <f t="shared" si="0"/>
        <v>41395</v>
      </c>
      <c r="CU33" s="843">
        <f>CU4</f>
        <v>41426</v>
      </c>
      <c r="CV33" s="843">
        <f>CV4</f>
        <v>41456</v>
      </c>
      <c r="CW33" s="843">
        <f>CW4</f>
        <v>41487</v>
      </c>
      <c r="CX33" s="843">
        <v>41518</v>
      </c>
      <c r="CY33" s="843">
        <f>CY4</f>
        <v>41548</v>
      </c>
      <c r="CZ33" s="843">
        <f>CZ4</f>
        <v>41579</v>
      </c>
      <c r="DA33" s="843">
        <f>DA4</f>
        <v>41609</v>
      </c>
      <c r="DB33" s="843">
        <f>DB4</f>
        <v>41640</v>
      </c>
      <c r="DC33" s="841">
        <v>41671</v>
      </c>
      <c r="DD33" s="841">
        <v>41699</v>
      </c>
      <c r="DE33" s="841">
        <v>41730</v>
      </c>
      <c r="DF33" s="841">
        <v>41760</v>
      </c>
      <c r="DG33" s="841">
        <v>41791</v>
      </c>
      <c r="DH33" s="841">
        <v>41821</v>
      </c>
      <c r="DI33" s="841">
        <v>41852</v>
      </c>
      <c r="DJ33" s="841">
        <f>DJ4</f>
        <v>41883</v>
      </c>
      <c r="DK33" s="841">
        <v>41913</v>
      </c>
      <c r="DL33" s="841">
        <v>41944</v>
      </c>
      <c r="DM33" s="841">
        <v>41974</v>
      </c>
      <c r="DN33" s="841">
        <v>42005</v>
      </c>
      <c r="DO33" s="841">
        <v>42036</v>
      </c>
      <c r="DP33" s="841">
        <v>42064</v>
      </c>
      <c r="DQ33" s="841">
        <v>42095</v>
      </c>
      <c r="DR33" s="841">
        <v>42125</v>
      </c>
      <c r="DS33" s="841">
        <v>42156</v>
      </c>
    </row>
    <row r="34" spans="1:123" ht="17.25" customHeight="1" thickTop="1">
      <c r="A34" s="857"/>
      <c r="B34" s="876"/>
      <c r="C34" s="878"/>
      <c r="D34" s="878"/>
      <c r="E34" s="878"/>
      <c r="F34" s="917"/>
      <c r="G34" s="878"/>
      <c r="H34" s="918"/>
      <c r="I34" s="878"/>
      <c r="J34" s="878"/>
      <c r="K34" s="878"/>
      <c r="L34" s="878"/>
      <c r="M34" s="917"/>
      <c r="N34" s="878"/>
      <c r="O34" s="878"/>
      <c r="P34" s="878"/>
      <c r="Q34" s="878"/>
      <c r="R34" s="878"/>
      <c r="S34" s="878"/>
      <c r="T34" s="878"/>
      <c r="U34" s="878"/>
      <c r="V34" s="878"/>
      <c r="W34" s="878"/>
      <c r="X34" s="878"/>
      <c r="Y34" s="878"/>
      <c r="Z34" s="878"/>
      <c r="AA34" s="878"/>
      <c r="AB34" s="878"/>
      <c r="AC34" s="878"/>
      <c r="AD34" s="918"/>
      <c r="AE34" s="878"/>
      <c r="AF34" s="878"/>
      <c r="AG34" s="878"/>
      <c r="AH34" s="878"/>
      <c r="AI34" s="878"/>
      <c r="AJ34" s="878"/>
      <c r="AK34" s="878"/>
      <c r="AL34" s="878"/>
      <c r="AM34" s="878"/>
      <c r="AN34" s="878"/>
      <c r="AO34" s="918"/>
      <c r="AP34" s="878"/>
      <c r="AQ34" s="878"/>
      <c r="AR34" s="878"/>
      <c r="AS34" s="878"/>
      <c r="AT34" s="878"/>
      <c r="AU34" s="878"/>
      <c r="AV34" s="878"/>
      <c r="AW34" s="878"/>
      <c r="AX34" s="878"/>
      <c r="AY34" s="878"/>
      <c r="AZ34" s="878"/>
      <c r="BA34" s="878"/>
      <c r="BB34" s="878"/>
      <c r="BC34" s="878"/>
      <c r="BD34" s="878"/>
      <c r="BE34" s="878"/>
      <c r="BF34" s="878"/>
      <c r="BG34" s="878"/>
      <c r="BH34" s="878"/>
      <c r="BI34" s="878"/>
      <c r="BJ34" s="878"/>
      <c r="BK34" s="878"/>
      <c r="BL34" s="878"/>
      <c r="BM34" s="878"/>
      <c r="BN34" s="878"/>
      <c r="BO34" s="878"/>
      <c r="BP34" s="878"/>
      <c r="BQ34" s="878"/>
      <c r="BR34" s="878"/>
      <c r="BS34" s="878"/>
      <c r="BT34" s="878"/>
      <c r="BU34" s="878"/>
      <c r="BV34" s="878"/>
      <c r="BW34" s="878"/>
      <c r="BX34" s="878"/>
      <c r="BY34" s="878"/>
      <c r="BZ34" s="878"/>
      <c r="CA34" s="878"/>
      <c r="CB34" s="878"/>
      <c r="CC34" s="878"/>
      <c r="CD34" s="878"/>
      <c r="CE34" s="878"/>
      <c r="CF34" s="878"/>
      <c r="CG34" s="878"/>
      <c r="CH34" s="878"/>
      <c r="CI34" s="878"/>
      <c r="CJ34" s="878"/>
      <c r="CK34" s="878"/>
      <c r="CL34" s="878"/>
      <c r="CM34" s="878"/>
      <c r="CN34" s="878"/>
      <c r="CO34" s="878"/>
      <c r="CP34" s="878"/>
      <c r="CQ34" s="878"/>
      <c r="CR34" s="878"/>
      <c r="CS34" s="878"/>
      <c r="CT34" s="878"/>
      <c r="CU34" s="878"/>
      <c r="CV34" s="878"/>
      <c r="CW34" s="878"/>
      <c r="CX34" s="878"/>
      <c r="CY34" s="878"/>
      <c r="CZ34" s="878"/>
      <c r="DA34" s="878"/>
      <c r="DB34" s="878"/>
      <c r="DC34" s="860"/>
      <c r="DD34" s="860"/>
      <c r="DE34" s="860"/>
      <c r="DF34" s="860"/>
      <c r="DG34" s="860"/>
      <c r="DH34" s="860"/>
      <c r="DI34" s="860"/>
      <c r="DJ34" s="860"/>
      <c r="DK34" s="860"/>
      <c r="DL34" s="860"/>
      <c r="DM34" s="860"/>
      <c r="DN34" s="860"/>
      <c r="DO34" s="860"/>
      <c r="DP34" s="860"/>
      <c r="DQ34" s="860"/>
      <c r="DR34" s="860"/>
      <c r="DS34" s="860"/>
    </row>
    <row r="35" spans="1:123" ht="17.25" customHeight="1">
      <c r="A35" s="853" t="s">
        <v>2517</v>
      </c>
      <c r="B35" s="854" t="s">
        <v>2518</v>
      </c>
      <c r="C35" s="909">
        <v>0</v>
      </c>
      <c r="D35" s="909">
        <v>0</v>
      </c>
      <c r="E35" s="909">
        <v>0</v>
      </c>
      <c r="F35" s="910">
        <v>0</v>
      </c>
      <c r="G35" s="909">
        <v>0</v>
      </c>
      <c r="H35" s="911">
        <v>0</v>
      </c>
      <c r="I35" s="909">
        <v>0</v>
      </c>
      <c r="J35" s="909">
        <v>0</v>
      </c>
      <c r="K35" s="909">
        <v>0</v>
      </c>
      <c r="L35" s="909">
        <v>0</v>
      </c>
      <c r="M35" s="910">
        <v>0</v>
      </c>
      <c r="N35" s="909">
        <v>0</v>
      </c>
      <c r="O35" s="909">
        <v>0</v>
      </c>
      <c r="P35" s="909">
        <v>0</v>
      </c>
      <c r="Q35" s="909">
        <v>0</v>
      </c>
      <c r="R35" s="909">
        <v>0</v>
      </c>
      <c r="S35" s="909">
        <v>0</v>
      </c>
      <c r="T35" s="909">
        <v>0</v>
      </c>
      <c r="U35" s="909">
        <v>0</v>
      </c>
      <c r="V35" s="909">
        <v>0</v>
      </c>
      <c r="W35" s="909">
        <v>0</v>
      </c>
      <c r="X35" s="909">
        <v>0</v>
      </c>
      <c r="Y35" s="909">
        <v>0</v>
      </c>
      <c r="Z35" s="909">
        <v>0</v>
      </c>
      <c r="AA35" s="909">
        <v>0</v>
      </c>
      <c r="AB35" s="909">
        <v>0</v>
      </c>
      <c r="AC35" s="909">
        <v>0</v>
      </c>
      <c r="AD35" s="911">
        <v>0</v>
      </c>
      <c r="AE35" s="909">
        <v>0</v>
      </c>
      <c r="AF35" s="909">
        <v>0</v>
      </c>
      <c r="AG35" s="909">
        <v>0</v>
      </c>
      <c r="AH35" s="909">
        <v>0</v>
      </c>
      <c r="AI35" s="909">
        <v>0</v>
      </c>
      <c r="AJ35" s="909">
        <v>0</v>
      </c>
      <c r="AK35" s="909">
        <v>0</v>
      </c>
      <c r="AL35" s="909">
        <v>0</v>
      </c>
      <c r="AM35" s="909">
        <v>0</v>
      </c>
      <c r="AN35" s="909">
        <v>0</v>
      </c>
      <c r="AO35" s="911">
        <v>0</v>
      </c>
      <c r="AP35" s="909">
        <v>0</v>
      </c>
      <c r="AQ35" s="909">
        <v>0</v>
      </c>
      <c r="AR35" s="909">
        <v>0</v>
      </c>
      <c r="AS35" s="909">
        <v>0</v>
      </c>
      <c r="AT35" s="909">
        <v>0</v>
      </c>
      <c r="AU35" s="909">
        <v>0</v>
      </c>
      <c r="AV35" s="909">
        <v>0</v>
      </c>
      <c r="AW35" s="909">
        <v>0</v>
      </c>
      <c r="AX35" s="909">
        <v>0</v>
      </c>
      <c r="AY35" s="909">
        <v>0</v>
      </c>
      <c r="AZ35" s="909">
        <v>0</v>
      </c>
      <c r="BA35" s="909">
        <v>0</v>
      </c>
      <c r="BB35" s="909">
        <v>0</v>
      </c>
      <c r="BC35" s="909">
        <v>0</v>
      </c>
      <c r="BD35" s="909">
        <v>0</v>
      </c>
      <c r="BE35" s="909">
        <v>0</v>
      </c>
      <c r="BF35" s="909">
        <v>0</v>
      </c>
      <c r="BG35" s="909">
        <v>0</v>
      </c>
      <c r="BH35" s="909">
        <v>0</v>
      </c>
      <c r="BI35" s="909">
        <v>0</v>
      </c>
      <c r="BJ35" s="909">
        <v>0</v>
      </c>
      <c r="BK35" s="909">
        <v>0</v>
      </c>
      <c r="BL35" s="909">
        <v>0</v>
      </c>
      <c r="BM35" s="909">
        <v>0</v>
      </c>
      <c r="BN35" s="909">
        <v>0</v>
      </c>
      <c r="BO35" s="909">
        <v>0</v>
      </c>
      <c r="BP35" s="909">
        <v>0</v>
      </c>
      <c r="BQ35" s="909">
        <v>0</v>
      </c>
      <c r="BR35" s="909">
        <v>0</v>
      </c>
      <c r="BS35" s="909">
        <v>0</v>
      </c>
      <c r="BT35" s="909">
        <v>0</v>
      </c>
      <c r="BU35" s="909">
        <v>0</v>
      </c>
      <c r="BV35" s="909">
        <v>0</v>
      </c>
      <c r="BW35" s="909">
        <v>0</v>
      </c>
      <c r="BX35" s="909">
        <v>0</v>
      </c>
      <c r="BY35" s="909">
        <v>0</v>
      </c>
      <c r="BZ35" s="909">
        <v>0</v>
      </c>
      <c r="CA35" s="909">
        <v>0</v>
      </c>
      <c r="CB35" s="909">
        <v>0</v>
      </c>
      <c r="CC35" s="909">
        <v>0</v>
      </c>
      <c r="CD35" s="909">
        <v>0</v>
      </c>
      <c r="CE35" s="909">
        <v>0</v>
      </c>
      <c r="CF35" s="909">
        <v>0</v>
      </c>
      <c r="CG35" s="909">
        <v>0</v>
      </c>
      <c r="CH35" s="909">
        <v>0</v>
      </c>
      <c r="CI35" s="909">
        <v>0</v>
      </c>
      <c r="CJ35" s="909">
        <v>0</v>
      </c>
      <c r="CK35" s="909">
        <v>0</v>
      </c>
      <c r="CL35" s="909">
        <v>0</v>
      </c>
      <c r="CM35" s="909">
        <v>0</v>
      </c>
      <c r="CN35" s="909">
        <v>0</v>
      </c>
      <c r="CO35" s="909">
        <v>0</v>
      </c>
      <c r="CP35" s="909">
        <v>0</v>
      </c>
      <c r="CQ35" s="909">
        <v>0</v>
      </c>
      <c r="CR35" s="909">
        <v>0</v>
      </c>
      <c r="CS35" s="909">
        <v>0</v>
      </c>
      <c r="CT35" s="909">
        <v>0</v>
      </c>
      <c r="CU35" s="909">
        <v>0</v>
      </c>
      <c r="CV35" s="909">
        <v>0</v>
      </c>
      <c r="CW35" s="909">
        <v>0</v>
      </c>
      <c r="CX35" s="909">
        <v>0</v>
      </c>
      <c r="CY35" s="909">
        <v>0</v>
      </c>
      <c r="CZ35" s="909">
        <v>0</v>
      </c>
      <c r="DA35" s="909">
        <v>0</v>
      </c>
      <c r="DB35" s="909">
        <v>0</v>
      </c>
      <c r="DC35" s="855">
        <v>0</v>
      </c>
      <c r="DD35" s="855">
        <v>0</v>
      </c>
      <c r="DE35" s="855">
        <v>0</v>
      </c>
      <c r="DF35" s="855">
        <v>0</v>
      </c>
      <c r="DG35" s="855">
        <v>0</v>
      </c>
      <c r="DH35" s="855">
        <v>0</v>
      </c>
      <c r="DI35" s="855">
        <v>0</v>
      </c>
      <c r="DJ35" s="855">
        <v>0</v>
      </c>
      <c r="DK35" s="855">
        <v>0</v>
      </c>
      <c r="DL35" s="855">
        <v>0</v>
      </c>
      <c r="DM35" s="855">
        <v>0</v>
      </c>
      <c r="DN35" s="855">
        <v>0</v>
      </c>
      <c r="DO35" s="855">
        <v>0</v>
      </c>
      <c r="DP35" s="855">
        <v>0</v>
      </c>
      <c r="DQ35" s="855">
        <v>0</v>
      </c>
      <c r="DR35" s="855">
        <v>0</v>
      </c>
      <c r="DS35" s="855">
        <v>0</v>
      </c>
    </row>
    <row r="36" spans="1:123" ht="17.25" customHeight="1">
      <c r="A36" s="857"/>
      <c r="B36" s="858"/>
      <c r="C36" s="937"/>
      <c r="D36" s="937"/>
      <c r="E36" s="937"/>
      <c r="F36" s="938"/>
      <c r="G36" s="937"/>
      <c r="H36" s="939"/>
      <c r="I36" s="937"/>
      <c r="J36" s="937"/>
      <c r="K36" s="937"/>
      <c r="L36" s="937"/>
      <c r="M36" s="938"/>
      <c r="N36" s="937"/>
      <c r="O36" s="937"/>
      <c r="P36" s="937"/>
      <c r="Q36" s="937"/>
      <c r="R36" s="937"/>
      <c r="S36" s="937"/>
      <c r="T36" s="937"/>
      <c r="U36" s="937"/>
      <c r="V36" s="937"/>
      <c r="W36" s="937"/>
      <c r="X36" s="937"/>
      <c r="Y36" s="937"/>
      <c r="Z36" s="937"/>
      <c r="AA36" s="937"/>
      <c r="AB36" s="937"/>
      <c r="AC36" s="937"/>
      <c r="AD36" s="939"/>
      <c r="AE36" s="937"/>
      <c r="AF36" s="937"/>
      <c r="AG36" s="937"/>
      <c r="AH36" s="937"/>
      <c r="AI36" s="937"/>
      <c r="AJ36" s="937"/>
      <c r="AK36" s="937"/>
      <c r="AL36" s="937"/>
      <c r="AM36" s="937"/>
      <c r="AN36" s="937"/>
      <c r="AO36" s="939"/>
      <c r="AP36" s="937"/>
      <c r="AQ36" s="937"/>
      <c r="AR36" s="937"/>
      <c r="AS36" s="937"/>
      <c r="AT36" s="937"/>
      <c r="AU36" s="937"/>
      <c r="AV36" s="937"/>
      <c r="AW36" s="937"/>
      <c r="AX36" s="937"/>
      <c r="AY36" s="937"/>
      <c r="AZ36" s="937"/>
      <c r="BA36" s="937"/>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c r="CB36" s="937"/>
      <c r="CC36" s="937"/>
      <c r="CD36" s="937"/>
      <c r="CE36" s="937"/>
      <c r="CF36" s="937"/>
      <c r="CG36" s="937"/>
      <c r="CH36" s="937"/>
      <c r="CI36" s="937"/>
      <c r="CJ36" s="937"/>
      <c r="CK36" s="937"/>
      <c r="CL36" s="937"/>
      <c r="CM36" s="937"/>
      <c r="CN36" s="937"/>
      <c r="CO36" s="937"/>
      <c r="CP36" s="937"/>
      <c r="CQ36" s="937"/>
      <c r="CR36" s="937"/>
      <c r="CS36" s="937"/>
      <c r="CT36" s="937"/>
      <c r="CU36" s="937"/>
      <c r="CV36" s="937"/>
      <c r="CW36" s="937"/>
      <c r="CX36" s="937"/>
      <c r="CY36" s="937"/>
      <c r="CZ36" s="937"/>
      <c r="DA36" s="937"/>
      <c r="DB36" s="937"/>
      <c r="DC36" s="940"/>
      <c r="DD36" s="940"/>
      <c r="DE36" s="940"/>
      <c r="DF36" s="940"/>
      <c r="DG36" s="940"/>
      <c r="DH36" s="940"/>
      <c r="DI36" s="940"/>
      <c r="DJ36" s="940"/>
      <c r="DK36" s="940"/>
      <c r="DL36" s="940"/>
      <c r="DM36" s="940"/>
      <c r="DN36" s="940"/>
      <c r="DO36" s="940"/>
      <c r="DP36" s="940"/>
      <c r="DQ36" s="940"/>
      <c r="DR36" s="940"/>
      <c r="DS36" s="940"/>
    </row>
    <row r="37" spans="1:123" ht="17.25" customHeight="1">
      <c r="A37" s="853" t="s">
        <v>2519</v>
      </c>
      <c r="B37" s="854" t="s">
        <v>2520</v>
      </c>
      <c r="C37" s="909">
        <v>15799.149194481233</v>
      </c>
      <c r="D37" s="909">
        <v>16169.179850439999</v>
      </c>
      <c r="E37" s="909">
        <v>16470.980071780799</v>
      </c>
      <c r="F37" s="910">
        <v>16636.22470409</v>
      </c>
      <c r="G37" s="909">
        <v>17336.911325442426</v>
      </c>
      <c r="H37" s="911">
        <v>17621.08317719779</v>
      </c>
      <c r="I37" s="909">
        <v>17976.722737839998</v>
      </c>
      <c r="J37" s="909">
        <v>18157.790333569999</v>
      </c>
      <c r="K37" s="909">
        <v>18335.985190060004</v>
      </c>
      <c r="L37" s="909">
        <v>18549.640972419998</v>
      </c>
      <c r="M37" s="910">
        <v>18880.5665577</v>
      </c>
      <c r="N37" s="909">
        <v>19071.319829940003</v>
      </c>
      <c r="O37" s="909">
        <v>19297.275861840004</v>
      </c>
      <c r="P37" s="909">
        <v>19136.13135666</v>
      </c>
      <c r="Q37" s="909">
        <v>19083.714532799997</v>
      </c>
      <c r="R37" s="909">
        <v>19012.076992410002</v>
      </c>
      <c r="S37" s="909">
        <v>19070.259877590001</v>
      </c>
      <c r="T37" s="909">
        <v>18720.492429410002</v>
      </c>
      <c r="U37" s="909">
        <v>18897.772434309998</v>
      </c>
      <c r="V37" s="909">
        <v>18974.689284550001</v>
      </c>
      <c r="W37" s="909">
        <v>18875.298141160005</v>
      </c>
      <c r="X37" s="909">
        <v>19109.760161150003</v>
      </c>
      <c r="Y37" s="909">
        <v>19397.538455869995</v>
      </c>
      <c r="Z37" s="909">
        <v>19622.466289479995</v>
      </c>
      <c r="AA37" s="909">
        <v>19605.421284829998</v>
      </c>
      <c r="AB37" s="909">
        <v>19949.571433349996</v>
      </c>
      <c r="AC37" s="909">
        <v>20638.88987119</v>
      </c>
      <c r="AD37" s="911">
        <v>21100.987314209997</v>
      </c>
      <c r="AE37" s="909">
        <v>21179.326419770001</v>
      </c>
      <c r="AF37" s="909">
        <v>21646.820736129997</v>
      </c>
      <c r="AG37" s="909">
        <v>21997.084448519996</v>
      </c>
      <c r="AH37" s="909">
        <v>22688.649136959997</v>
      </c>
      <c r="AI37" s="909">
        <v>23144.079793360001</v>
      </c>
      <c r="AJ37" s="909">
        <v>23844.757203950001</v>
      </c>
      <c r="AK37" s="909">
        <v>24134.54750004</v>
      </c>
      <c r="AL37" s="909">
        <v>24094.181698996279</v>
      </c>
      <c r="AM37" s="909">
        <v>24201.054660370006</v>
      </c>
      <c r="AN37" s="909">
        <v>24365.110072246986</v>
      </c>
      <c r="AO37" s="911">
        <v>24634.230153650002</v>
      </c>
      <c r="AP37" s="909">
        <v>25287.988227423422</v>
      </c>
      <c r="AQ37" s="909">
        <v>25451.666864573563</v>
      </c>
      <c r="AR37" s="909">
        <v>25546.325413546438</v>
      </c>
      <c r="AS37" s="909">
        <v>25563.73240122644</v>
      </c>
      <c r="AT37" s="909">
        <v>26145.79971450644</v>
      </c>
      <c r="AU37" s="909">
        <v>26344.983763667358</v>
      </c>
      <c r="AV37" s="909">
        <v>26672.525094012803</v>
      </c>
      <c r="AW37" s="909">
        <v>26977.356744399996</v>
      </c>
      <c r="AX37" s="909">
        <v>26974.364925166959</v>
      </c>
      <c r="AY37" s="909">
        <v>26824.513714374112</v>
      </c>
      <c r="AZ37" s="909">
        <v>27398.278850339721</v>
      </c>
      <c r="BA37" s="909">
        <v>28129.365552115341</v>
      </c>
      <c r="BB37" s="909">
        <v>28352.395736190276</v>
      </c>
      <c r="BC37" s="909">
        <v>28532.668559512604</v>
      </c>
      <c r="BD37" s="909">
        <v>28470.215146898361</v>
      </c>
      <c r="BE37" s="909">
        <v>27629.527628826301</v>
      </c>
      <c r="BF37" s="909">
        <v>28023.493279000279</v>
      </c>
      <c r="BG37" s="909">
        <v>28195.26444483066</v>
      </c>
      <c r="BH37" s="909">
        <v>28131.045045772058</v>
      </c>
      <c r="BI37" s="909">
        <v>28630.365817431099</v>
      </c>
      <c r="BJ37" s="909">
        <v>29023.617727045261</v>
      </c>
      <c r="BK37" s="909">
        <v>27119.395050939998</v>
      </c>
      <c r="BL37" s="909">
        <v>27253.477460423252</v>
      </c>
      <c r="BM37" s="909">
        <v>27318.428225325686</v>
      </c>
      <c r="BN37" s="909">
        <v>27655.349700076469</v>
      </c>
      <c r="BO37" s="909">
        <v>27798.282589510545</v>
      </c>
      <c r="BP37" s="909">
        <v>28013.511867805624</v>
      </c>
      <c r="BQ37" s="909">
        <v>27734.163991005971</v>
      </c>
      <c r="BR37" s="909">
        <v>28118.068396404382</v>
      </c>
      <c r="BS37" s="909">
        <v>28493.457864095479</v>
      </c>
      <c r="BT37" s="909">
        <v>28669.465014519032</v>
      </c>
      <c r="BU37" s="909">
        <v>29204.886515387007</v>
      </c>
      <c r="BV37" s="909">
        <v>29736.414999691919</v>
      </c>
      <c r="BW37" s="909">
        <v>29923.454019163</v>
      </c>
      <c r="BX37" s="909">
        <v>30278.285729713709</v>
      </c>
      <c r="BY37" s="909">
        <v>30566.841783963864</v>
      </c>
      <c r="BZ37" s="909">
        <v>30695.496710676489</v>
      </c>
      <c r="CA37" s="909">
        <v>31251.36911350596</v>
      </c>
      <c r="CB37" s="909">
        <v>31547.546822615455</v>
      </c>
      <c r="CC37" s="909">
        <v>31343.913305010537</v>
      </c>
      <c r="CD37" s="909">
        <v>31704.459293510416</v>
      </c>
      <c r="CE37" s="909">
        <v>32092.06592451657</v>
      </c>
      <c r="CF37" s="909">
        <v>32865.138393912137</v>
      </c>
      <c r="CG37" s="909">
        <v>33111.096678597103</v>
      </c>
      <c r="CH37" s="909">
        <v>30665.521759812567</v>
      </c>
      <c r="CI37" s="909">
        <v>30330.845762194986</v>
      </c>
      <c r="CJ37" s="909">
        <v>31166.967891049753</v>
      </c>
      <c r="CK37" s="909">
        <v>31699.140142656495</v>
      </c>
      <c r="CL37" s="909">
        <v>32088.920303265593</v>
      </c>
      <c r="CM37" s="909">
        <v>32445.50560581663</v>
      </c>
      <c r="CN37" s="909">
        <v>32375.944620440227</v>
      </c>
      <c r="CO37" s="909">
        <v>32834.166035920804</v>
      </c>
      <c r="CP37" s="909">
        <v>33675.579012320646</v>
      </c>
      <c r="CQ37" s="909">
        <v>34097.504615011778</v>
      </c>
      <c r="CR37" s="909">
        <v>34756.433183906054</v>
      </c>
      <c r="CS37" s="909">
        <v>34443.636242859648</v>
      </c>
      <c r="CT37" s="909">
        <v>34759.41984395156</v>
      </c>
      <c r="CU37" s="909">
        <v>35335.886810203214</v>
      </c>
      <c r="CV37" s="909">
        <v>35251.577306225729</v>
      </c>
      <c r="CW37" s="909">
        <v>35675.347456142546</v>
      </c>
      <c r="CX37" s="909">
        <v>36152.183348764265</v>
      </c>
      <c r="CY37" s="909">
        <v>36470.473275948214</v>
      </c>
      <c r="CZ37" s="909">
        <v>36591.132997355278</v>
      </c>
      <c r="DA37" s="909">
        <v>36678.635610563666</v>
      </c>
      <c r="DB37" s="909">
        <v>36549.015655932468</v>
      </c>
      <c r="DC37" s="855">
        <v>36545.178328842492</v>
      </c>
      <c r="DD37" s="855">
        <v>37052.763291480776</v>
      </c>
      <c r="DE37" s="855">
        <v>37480.150531716623</v>
      </c>
      <c r="DF37" s="855">
        <v>37558.62155065449</v>
      </c>
      <c r="DG37" s="855">
        <v>38052.053750429244</v>
      </c>
      <c r="DH37" s="855">
        <v>38253.606426841237</v>
      </c>
      <c r="DI37" s="855">
        <v>38300.391679726556</v>
      </c>
      <c r="DJ37" s="855">
        <v>38949.897268580426</v>
      </c>
      <c r="DK37" s="855">
        <v>39368.827716009633</v>
      </c>
      <c r="DL37" s="855">
        <v>39604.999936164015</v>
      </c>
      <c r="DM37" s="855">
        <v>40080.990240553612</v>
      </c>
      <c r="DN37" s="855">
        <v>39955.765258568448</v>
      </c>
      <c r="DO37" s="855">
        <v>39964.160809286965</v>
      </c>
      <c r="DP37" s="855">
        <v>40309.118623245573</v>
      </c>
      <c r="DQ37" s="855">
        <v>40904.066348904351</v>
      </c>
      <c r="DR37" s="855">
        <v>40774.188642519162</v>
      </c>
      <c r="DS37" s="855">
        <v>40989.891607229802</v>
      </c>
    </row>
    <row r="38" spans="1:123" ht="17.25" customHeight="1">
      <c r="A38" s="857" t="s">
        <v>2521</v>
      </c>
      <c r="B38" s="858" t="s">
        <v>2522</v>
      </c>
      <c r="C38" s="878">
        <v>0</v>
      </c>
      <c r="D38" s="878">
        <v>0</v>
      </c>
      <c r="E38" s="878">
        <v>0</v>
      </c>
      <c r="F38" s="917">
        <v>0</v>
      </c>
      <c r="G38" s="878">
        <v>0</v>
      </c>
      <c r="H38" s="918">
        <v>0</v>
      </c>
      <c r="I38" s="878">
        <v>0</v>
      </c>
      <c r="J38" s="878">
        <v>0</v>
      </c>
      <c r="K38" s="878">
        <v>0</v>
      </c>
      <c r="L38" s="878">
        <v>0</v>
      </c>
      <c r="M38" s="917">
        <v>0</v>
      </c>
      <c r="N38" s="878">
        <v>0</v>
      </c>
      <c r="O38" s="878">
        <v>0</v>
      </c>
      <c r="P38" s="878">
        <v>0</v>
      </c>
      <c r="Q38" s="878">
        <v>0</v>
      </c>
      <c r="R38" s="878">
        <v>0</v>
      </c>
      <c r="S38" s="878">
        <v>0</v>
      </c>
      <c r="T38" s="878">
        <v>0</v>
      </c>
      <c r="U38" s="878">
        <v>0</v>
      </c>
      <c r="V38" s="878">
        <v>0</v>
      </c>
      <c r="W38" s="878">
        <v>0</v>
      </c>
      <c r="X38" s="878">
        <v>0</v>
      </c>
      <c r="Y38" s="878">
        <v>0</v>
      </c>
      <c r="Z38" s="878">
        <v>0</v>
      </c>
      <c r="AA38" s="878">
        <v>0</v>
      </c>
      <c r="AB38" s="878">
        <v>0</v>
      </c>
      <c r="AC38" s="878">
        <v>0</v>
      </c>
      <c r="AD38" s="918">
        <v>0</v>
      </c>
      <c r="AE38" s="878">
        <v>0</v>
      </c>
      <c r="AF38" s="878">
        <v>0</v>
      </c>
      <c r="AG38" s="878">
        <v>0</v>
      </c>
      <c r="AH38" s="878">
        <v>0</v>
      </c>
      <c r="AI38" s="878">
        <v>0</v>
      </c>
      <c r="AJ38" s="878">
        <v>0</v>
      </c>
      <c r="AK38" s="878">
        <v>0</v>
      </c>
      <c r="AL38" s="878">
        <v>0</v>
      </c>
      <c r="AM38" s="878">
        <v>0</v>
      </c>
      <c r="AN38" s="878">
        <v>0</v>
      </c>
      <c r="AO38" s="918">
        <v>0</v>
      </c>
      <c r="AP38" s="878">
        <v>0</v>
      </c>
      <c r="AQ38" s="878">
        <v>0</v>
      </c>
      <c r="AR38" s="878">
        <v>0</v>
      </c>
      <c r="AS38" s="878">
        <v>0</v>
      </c>
      <c r="AT38" s="878">
        <v>0</v>
      </c>
      <c r="AU38" s="878">
        <v>0</v>
      </c>
      <c r="AV38" s="878">
        <v>0</v>
      </c>
      <c r="AW38" s="878">
        <v>0</v>
      </c>
      <c r="AX38" s="878">
        <v>0</v>
      </c>
      <c r="AY38" s="878">
        <v>0</v>
      </c>
      <c r="AZ38" s="878">
        <v>0</v>
      </c>
      <c r="BA38" s="878">
        <v>0</v>
      </c>
      <c r="BB38" s="878">
        <v>0</v>
      </c>
      <c r="BC38" s="878">
        <v>0</v>
      </c>
      <c r="BD38" s="878">
        <v>0</v>
      </c>
      <c r="BE38" s="878">
        <v>0</v>
      </c>
      <c r="BF38" s="878">
        <v>0</v>
      </c>
      <c r="BG38" s="878">
        <v>0</v>
      </c>
      <c r="BH38" s="878">
        <v>0</v>
      </c>
      <c r="BI38" s="878">
        <v>0</v>
      </c>
      <c r="BJ38" s="878">
        <v>0</v>
      </c>
      <c r="BK38" s="878">
        <v>0</v>
      </c>
      <c r="BL38" s="878">
        <v>0</v>
      </c>
      <c r="BM38" s="878">
        <v>0</v>
      </c>
      <c r="BN38" s="878">
        <v>0</v>
      </c>
      <c r="BO38" s="878">
        <v>0</v>
      </c>
      <c r="BP38" s="878">
        <v>0</v>
      </c>
      <c r="BQ38" s="878">
        <v>0</v>
      </c>
      <c r="BR38" s="878">
        <v>0</v>
      </c>
      <c r="BS38" s="878">
        <v>0</v>
      </c>
      <c r="BT38" s="878">
        <v>0</v>
      </c>
      <c r="BU38" s="878">
        <v>0</v>
      </c>
      <c r="BV38" s="878">
        <v>0</v>
      </c>
      <c r="BW38" s="878">
        <v>0</v>
      </c>
      <c r="BX38" s="878">
        <v>0</v>
      </c>
      <c r="BY38" s="878">
        <v>0</v>
      </c>
      <c r="BZ38" s="878">
        <v>0</v>
      </c>
      <c r="CA38" s="878">
        <v>0</v>
      </c>
      <c r="CB38" s="878">
        <v>0</v>
      </c>
      <c r="CC38" s="878">
        <v>0</v>
      </c>
      <c r="CD38" s="878">
        <v>0</v>
      </c>
      <c r="CE38" s="878">
        <v>0</v>
      </c>
      <c r="CF38" s="878">
        <v>0</v>
      </c>
      <c r="CG38" s="878">
        <v>0</v>
      </c>
      <c r="CH38" s="878">
        <v>0</v>
      </c>
      <c r="CI38" s="878">
        <v>25.442443999999998</v>
      </c>
      <c r="CJ38" s="878">
        <v>0</v>
      </c>
      <c r="CK38" s="878">
        <v>0</v>
      </c>
      <c r="CL38" s="878">
        <v>0</v>
      </c>
      <c r="CM38" s="878">
        <v>0</v>
      </c>
      <c r="CN38" s="878">
        <v>0</v>
      </c>
      <c r="CO38" s="878">
        <v>0</v>
      </c>
      <c r="CP38" s="878">
        <v>0</v>
      </c>
      <c r="CQ38" s="878">
        <v>0</v>
      </c>
      <c r="CR38" s="878">
        <v>0</v>
      </c>
      <c r="CS38" s="878">
        <v>0</v>
      </c>
      <c r="CT38" s="878">
        <v>0</v>
      </c>
      <c r="CU38" s="878">
        <v>0</v>
      </c>
      <c r="CV38" s="878">
        <v>0</v>
      </c>
      <c r="CW38" s="878">
        <v>0</v>
      </c>
      <c r="CX38" s="878">
        <v>0</v>
      </c>
      <c r="CY38" s="878">
        <v>0</v>
      </c>
      <c r="CZ38" s="878">
        <v>0</v>
      </c>
      <c r="DA38" s="878">
        <v>0</v>
      </c>
      <c r="DB38" s="878">
        <v>0</v>
      </c>
      <c r="DC38" s="860">
        <v>0</v>
      </c>
      <c r="DD38" s="860">
        <v>0</v>
      </c>
      <c r="DE38" s="860">
        <v>0</v>
      </c>
      <c r="DF38" s="860">
        <v>0</v>
      </c>
      <c r="DG38" s="860">
        <v>0</v>
      </c>
      <c r="DH38" s="860">
        <v>0</v>
      </c>
      <c r="DI38" s="860">
        <v>0</v>
      </c>
      <c r="DJ38" s="860">
        <v>0</v>
      </c>
      <c r="DK38" s="860">
        <v>0</v>
      </c>
      <c r="DL38" s="860">
        <v>0</v>
      </c>
      <c r="DM38" s="860">
        <v>0</v>
      </c>
      <c r="DN38" s="860">
        <v>0</v>
      </c>
      <c r="DO38" s="860">
        <v>0</v>
      </c>
      <c r="DP38" s="860">
        <v>0</v>
      </c>
      <c r="DQ38" s="860">
        <v>0</v>
      </c>
      <c r="DR38" s="860">
        <v>0</v>
      </c>
      <c r="DS38" s="860">
        <v>0</v>
      </c>
    </row>
    <row r="39" spans="1:123" ht="17.25" customHeight="1">
      <c r="A39" s="857" t="s">
        <v>2523</v>
      </c>
      <c r="B39" s="858" t="s">
        <v>2524</v>
      </c>
      <c r="C39" s="878">
        <v>1056.237871</v>
      </c>
      <c r="D39" s="878">
        <v>1045.2836600000001</v>
      </c>
      <c r="E39" s="878">
        <v>1037.5757599999999</v>
      </c>
      <c r="F39" s="917">
        <v>1046.279935</v>
      </c>
      <c r="G39" s="878">
        <v>1066.9397759999999</v>
      </c>
      <c r="H39" s="918">
        <v>1067.2254459999999</v>
      </c>
      <c r="I39" s="878">
        <v>1077.0044459999999</v>
      </c>
      <c r="J39" s="878">
        <v>1080.5659430000001</v>
      </c>
      <c r="K39" s="878">
        <v>1086.0685539999999</v>
      </c>
      <c r="L39" s="878">
        <v>1051.344378</v>
      </c>
      <c r="M39" s="917">
        <v>1096.0337440000001</v>
      </c>
      <c r="N39" s="878">
        <v>1099.370502</v>
      </c>
      <c r="O39" s="878">
        <v>1108.70407</v>
      </c>
      <c r="P39" s="878">
        <v>1118.4946110000001</v>
      </c>
      <c r="Q39" s="878">
        <v>1106.0855670000001</v>
      </c>
      <c r="R39" s="878">
        <v>1101.062396</v>
      </c>
      <c r="S39" s="878">
        <v>1106.408987</v>
      </c>
      <c r="T39" s="878">
        <v>1124.7896040000001</v>
      </c>
      <c r="U39" s="878">
        <v>1129.6805569999999</v>
      </c>
      <c r="V39" s="878">
        <v>1161.2475649999999</v>
      </c>
      <c r="W39" s="878">
        <v>1155.363417</v>
      </c>
      <c r="X39" s="878">
        <v>1120.5326399999999</v>
      </c>
      <c r="Y39" s="878">
        <v>1112.9681869999999</v>
      </c>
      <c r="Z39" s="878">
        <v>1132.677878</v>
      </c>
      <c r="AA39" s="878">
        <v>1119.8491120000001</v>
      </c>
      <c r="AB39" s="878">
        <v>1128.4988470000001</v>
      </c>
      <c r="AC39" s="878">
        <v>1148.39096</v>
      </c>
      <c r="AD39" s="918">
        <v>1151.0812470000001</v>
      </c>
      <c r="AE39" s="878">
        <v>718.87731099999996</v>
      </c>
      <c r="AF39" s="878">
        <v>719.50127199999997</v>
      </c>
      <c r="AG39" s="878">
        <v>731.07004600000005</v>
      </c>
      <c r="AH39" s="878">
        <v>743.04621399999996</v>
      </c>
      <c r="AI39" s="878">
        <v>734.68812500000001</v>
      </c>
      <c r="AJ39" s="878">
        <v>743.68994399999997</v>
      </c>
      <c r="AK39" s="878">
        <v>730.23049600000002</v>
      </c>
      <c r="AL39" s="878">
        <v>744.61600199999998</v>
      </c>
      <c r="AM39" s="878">
        <v>761.51917400000002</v>
      </c>
      <c r="AN39" s="878">
        <v>767.09057600000006</v>
      </c>
      <c r="AO39" s="918">
        <v>766.42712400000005</v>
      </c>
      <c r="AP39" s="878">
        <v>1239.94310767</v>
      </c>
      <c r="AQ39" s="878">
        <v>1264.7914020000001</v>
      </c>
      <c r="AR39" s="878">
        <v>1274.3618821799998</v>
      </c>
      <c r="AS39" s="878">
        <v>1280.3042612500001</v>
      </c>
      <c r="AT39" s="878">
        <v>1306.7337675699998</v>
      </c>
      <c r="AU39" s="878">
        <v>1315.4817282500001</v>
      </c>
      <c r="AV39" s="878">
        <v>1319.3545815999998</v>
      </c>
      <c r="AW39" s="878">
        <v>1343.6667809600001</v>
      </c>
      <c r="AX39" s="878">
        <v>1342.82876171</v>
      </c>
      <c r="AY39" s="878">
        <v>1333.55312157</v>
      </c>
      <c r="AZ39" s="878">
        <v>1321.98492667</v>
      </c>
      <c r="BA39" s="878">
        <v>1319.2038304699997</v>
      </c>
      <c r="BB39" s="878">
        <v>1316.27753026</v>
      </c>
      <c r="BC39" s="878">
        <v>1336.1415414000001</v>
      </c>
      <c r="BD39" s="878">
        <v>1326.1321629700001</v>
      </c>
      <c r="BE39" s="878">
        <v>1325.2187798299999</v>
      </c>
      <c r="BF39" s="878">
        <v>1348.37139327</v>
      </c>
      <c r="BG39" s="878">
        <v>1358.8976903400001</v>
      </c>
      <c r="BH39" s="878">
        <v>1361.9308844500001</v>
      </c>
      <c r="BI39" s="878">
        <v>1361.8634456999998</v>
      </c>
      <c r="BJ39" s="878">
        <v>1370.59309803</v>
      </c>
      <c r="BK39" s="878">
        <v>1368.9030226</v>
      </c>
      <c r="BL39" s="878">
        <v>1377.67640314</v>
      </c>
      <c r="BM39" s="878">
        <v>1375.0246028900001</v>
      </c>
      <c r="BN39" s="878">
        <v>1392.0549100999999</v>
      </c>
      <c r="BO39" s="878">
        <v>1390.05763207</v>
      </c>
      <c r="BP39" s="878">
        <v>1393.6426739799999</v>
      </c>
      <c r="BQ39" s="878">
        <v>1390.7978904500001</v>
      </c>
      <c r="BR39" s="878">
        <v>1420.1508568899999</v>
      </c>
      <c r="BS39" s="878">
        <v>1406.46209548</v>
      </c>
      <c r="BT39" s="878">
        <v>1411.92561019</v>
      </c>
      <c r="BU39" s="878">
        <v>1441.8969315300001</v>
      </c>
      <c r="BV39" s="878">
        <v>1445.21796255</v>
      </c>
      <c r="BW39" s="878">
        <v>1438.9158322999999</v>
      </c>
      <c r="BX39" s="878">
        <v>1443.3061501599998</v>
      </c>
      <c r="BY39" s="878">
        <v>1450.0951263499999</v>
      </c>
      <c r="BZ39" s="878">
        <v>1417.7307113899999</v>
      </c>
      <c r="CA39" s="878">
        <v>1423.0068311500002</v>
      </c>
      <c r="CB39" s="878">
        <v>1420.0494755900002</v>
      </c>
      <c r="CC39" s="878">
        <v>1406.58910814</v>
      </c>
      <c r="CD39" s="878">
        <v>1433.9771584299999</v>
      </c>
      <c r="CE39" s="878">
        <v>1433.53684172</v>
      </c>
      <c r="CF39" s="878">
        <v>1425.6899541300002</v>
      </c>
      <c r="CG39" s="878">
        <v>1444.9201396299998</v>
      </c>
      <c r="CH39" s="878">
        <v>1445.02268033</v>
      </c>
      <c r="CI39" s="878">
        <v>1433.827867</v>
      </c>
      <c r="CJ39" s="878">
        <v>1444.8126629999999</v>
      </c>
      <c r="CK39" s="878">
        <v>1447.9274459999999</v>
      </c>
      <c r="CL39" s="878">
        <v>1423.7086429999999</v>
      </c>
      <c r="CM39" s="878">
        <v>1441.364472</v>
      </c>
      <c r="CN39" s="878">
        <v>1445.6515450899999</v>
      </c>
      <c r="CO39" s="878">
        <v>1432.0482320000001</v>
      </c>
      <c r="CP39" s="878">
        <v>1441.5702060000001</v>
      </c>
      <c r="CQ39" s="878">
        <v>1462.131445</v>
      </c>
      <c r="CR39" s="878">
        <v>1456.2139990000001</v>
      </c>
      <c r="CS39" s="878">
        <v>1466.2230400000001</v>
      </c>
      <c r="CT39" s="878">
        <v>1468.834036</v>
      </c>
      <c r="CU39" s="878">
        <v>1469.54766</v>
      </c>
      <c r="CV39" s="878">
        <v>1464.757014</v>
      </c>
      <c r="CW39" s="878">
        <v>1453.2769040000001</v>
      </c>
      <c r="CX39" s="878">
        <v>1433.9829420000001</v>
      </c>
      <c r="CY39" s="878">
        <v>1446.461695</v>
      </c>
      <c r="CZ39" s="878">
        <v>1431.3545360000001</v>
      </c>
      <c r="DA39" s="878">
        <v>1434.973129</v>
      </c>
      <c r="DB39" s="878">
        <v>1448.14832</v>
      </c>
      <c r="DC39" s="860">
        <v>1463.003573</v>
      </c>
      <c r="DD39" s="860">
        <v>1463.571326</v>
      </c>
      <c r="DE39" s="860">
        <v>1466.816681</v>
      </c>
      <c r="DF39" s="860">
        <v>1468.5239730000001</v>
      </c>
      <c r="DG39" s="860">
        <v>1481.9985790000001</v>
      </c>
      <c r="DH39" s="860">
        <v>1541.733348</v>
      </c>
      <c r="DI39" s="860">
        <v>1475.2976410000001</v>
      </c>
      <c r="DJ39" s="860">
        <v>1495.9835149999999</v>
      </c>
      <c r="DK39" s="860">
        <v>1500.517362</v>
      </c>
      <c r="DL39" s="860">
        <v>1499.1223319999999</v>
      </c>
      <c r="DM39" s="860">
        <v>1510.591831</v>
      </c>
      <c r="DN39" s="860">
        <v>1527.4086910000001</v>
      </c>
      <c r="DO39" s="860">
        <v>1535.026116</v>
      </c>
      <c r="DP39" s="860">
        <v>1565.9326490000001</v>
      </c>
      <c r="DQ39" s="860">
        <v>1578.5310703600001</v>
      </c>
      <c r="DR39" s="860">
        <v>1579.9144289999999</v>
      </c>
      <c r="DS39" s="860">
        <v>1592.7158926300001</v>
      </c>
    </row>
    <row r="40" spans="1:123" ht="17.25" customHeight="1">
      <c r="A40" s="857" t="s">
        <v>2525</v>
      </c>
      <c r="B40" s="858" t="s">
        <v>2526</v>
      </c>
      <c r="C40" s="878">
        <v>14742.911323481234</v>
      </c>
      <c r="D40" s="878">
        <v>15123.896190439998</v>
      </c>
      <c r="E40" s="878">
        <v>15433.4043117808</v>
      </c>
      <c r="F40" s="917">
        <v>15589.94476909</v>
      </c>
      <c r="G40" s="878">
        <v>16269.971549442425</v>
      </c>
      <c r="H40" s="918">
        <v>16553.85773119779</v>
      </c>
      <c r="I40" s="878">
        <v>16899.718291839999</v>
      </c>
      <c r="J40" s="878">
        <v>17077.224390569998</v>
      </c>
      <c r="K40" s="878">
        <v>17249.916636060003</v>
      </c>
      <c r="L40" s="878">
        <v>17498.296594419997</v>
      </c>
      <c r="M40" s="917">
        <v>17784.5328137</v>
      </c>
      <c r="N40" s="878">
        <v>17971.949327940001</v>
      </c>
      <c r="O40" s="878">
        <v>18188.571791840004</v>
      </c>
      <c r="P40" s="878">
        <v>18017.636745659998</v>
      </c>
      <c r="Q40" s="878">
        <v>17977.628965799999</v>
      </c>
      <c r="R40" s="878">
        <v>17911.014596410001</v>
      </c>
      <c r="S40" s="878">
        <v>17963.850890590002</v>
      </c>
      <c r="T40" s="878">
        <v>17595.702825410001</v>
      </c>
      <c r="U40" s="878">
        <v>17768.091877309998</v>
      </c>
      <c r="V40" s="878">
        <v>17813.441719549999</v>
      </c>
      <c r="W40" s="878">
        <v>17719.934724160004</v>
      </c>
      <c r="X40" s="878">
        <v>17989.227521150002</v>
      </c>
      <c r="Y40" s="878">
        <v>18284.570268869997</v>
      </c>
      <c r="Z40" s="878">
        <v>18489.788411479996</v>
      </c>
      <c r="AA40" s="878">
        <v>18485.572172829998</v>
      </c>
      <c r="AB40" s="878">
        <v>18821.072586349997</v>
      </c>
      <c r="AC40" s="878">
        <v>19490.498911189999</v>
      </c>
      <c r="AD40" s="918">
        <v>19949.906067209999</v>
      </c>
      <c r="AE40" s="878">
        <v>20460.449108770001</v>
      </c>
      <c r="AF40" s="878">
        <v>20927.319464129996</v>
      </c>
      <c r="AG40" s="878">
        <v>21266.014402519995</v>
      </c>
      <c r="AH40" s="878">
        <v>21945.602922959999</v>
      </c>
      <c r="AI40" s="878">
        <v>22409.39166836</v>
      </c>
      <c r="AJ40" s="878">
        <v>23101.067259949999</v>
      </c>
      <c r="AK40" s="878">
        <v>23404.31700404</v>
      </c>
      <c r="AL40" s="878">
        <v>23349.56569699628</v>
      </c>
      <c r="AM40" s="878">
        <v>23439.535486370005</v>
      </c>
      <c r="AN40" s="878">
        <v>23598.019496246987</v>
      </c>
      <c r="AO40" s="918">
        <v>23867.80302965</v>
      </c>
      <c r="AP40" s="878">
        <v>24048.045119753424</v>
      </c>
      <c r="AQ40" s="878">
        <v>24186.875462573564</v>
      </c>
      <c r="AR40" s="878">
        <v>24271.963531366437</v>
      </c>
      <c r="AS40" s="878">
        <v>24283.42813997644</v>
      </c>
      <c r="AT40" s="878">
        <v>24839.06594693644</v>
      </c>
      <c r="AU40" s="878">
        <v>25029.502035417358</v>
      </c>
      <c r="AV40" s="878">
        <v>25353.170512412802</v>
      </c>
      <c r="AW40" s="878">
        <v>25633.689963439996</v>
      </c>
      <c r="AX40" s="878">
        <v>25631.53616345696</v>
      </c>
      <c r="AY40" s="878">
        <v>25490.960592804113</v>
      </c>
      <c r="AZ40" s="878">
        <v>26076.29392366972</v>
      </c>
      <c r="BA40" s="878">
        <v>26810.161721645341</v>
      </c>
      <c r="BB40" s="878">
        <v>27036.118205930277</v>
      </c>
      <c r="BC40" s="878">
        <v>27196.527018112603</v>
      </c>
      <c r="BD40" s="878">
        <v>27144.082983928362</v>
      </c>
      <c r="BE40" s="878">
        <v>26304.308848996301</v>
      </c>
      <c r="BF40" s="878">
        <v>26675.121885730277</v>
      </c>
      <c r="BG40" s="878">
        <v>26836.36675449066</v>
      </c>
      <c r="BH40" s="878">
        <v>26769.114161322057</v>
      </c>
      <c r="BI40" s="878">
        <v>27268.502371731098</v>
      </c>
      <c r="BJ40" s="878">
        <v>27653.024629015261</v>
      </c>
      <c r="BK40" s="878">
        <v>25750.492028339999</v>
      </c>
      <c r="BL40" s="878">
        <v>25875.80105728325</v>
      </c>
      <c r="BM40" s="878">
        <v>25943.403622435686</v>
      </c>
      <c r="BN40" s="878">
        <v>26263.294789976469</v>
      </c>
      <c r="BO40" s="878">
        <v>26408.224957440547</v>
      </c>
      <c r="BP40" s="878">
        <v>26619.869193825623</v>
      </c>
      <c r="BQ40" s="878">
        <v>26343.36610055597</v>
      </c>
      <c r="BR40" s="878">
        <v>26697.917539514383</v>
      </c>
      <c r="BS40" s="878">
        <v>27086.995768615478</v>
      </c>
      <c r="BT40" s="878">
        <v>27257.539404329033</v>
      </c>
      <c r="BU40" s="878">
        <v>27762.989583857008</v>
      </c>
      <c r="BV40" s="878">
        <v>28291.197037141919</v>
      </c>
      <c r="BW40" s="878">
        <v>28484.538186862999</v>
      </c>
      <c r="BX40" s="878">
        <v>28834.97957955371</v>
      </c>
      <c r="BY40" s="878">
        <v>29116.746657613865</v>
      </c>
      <c r="BZ40" s="878">
        <v>29277.76599928649</v>
      </c>
      <c r="CA40" s="878">
        <v>29828.36228235596</v>
      </c>
      <c r="CB40" s="878">
        <v>30127.497347025455</v>
      </c>
      <c r="CC40" s="878">
        <v>29937.324196870537</v>
      </c>
      <c r="CD40" s="878">
        <v>30270.482135080416</v>
      </c>
      <c r="CE40" s="878">
        <v>30658.529082796569</v>
      </c>
      <c r="CF40" s="878">
        <v>31439.44843978214</v>
      </c>
      <c r="CG40" s="878">
        <v>31666.176538967102</v>
      </c>
      <c r="CH40" s="878">
        <v>29220.499079482568</v>
      </c>
      <c r="CI40" s="878">
        <v>28871.575451194985</v>
      </c>
      <c r="CJ40" s="878">
        <v>29722.155228049753</v>
      </c>
      <c r="CK40" s="878">
        <v>30251.212696656494</v>
      </c>
      <c r="CL40" s="878">
        <v>30665.211660265595</v>
      </c>
      <c r="CM40" s="878">
        <v>31004.141133816629</v>
      </c>
      <c r="CN40" s="878">
        <v>30930.293075350226</v>
      </c>
      <c r="CO40" s="878">
        <v>31402.117803920803</v>
      </c>
      <c r="CP40" s="878">
        <v>32234.008806320646</v>
      </c>
      <c r="CQ40" s="878">
        <v>32635.373170011779</v>
      </c>
      <c r="CR40" s="878">
        <v>33300.219184906055</v>
      </c>
      <c r="CS40" s="878">
        <v>32977.41320285965</v>
      </c>
      <c r="CT40" s="878">
        <v>33290.58580795156</v>
      </c>
      <c r="CU40" s="878">
        <v>33866.339150203217</v>
      </c>
      <c r="CV40" s="878">
        <v>33786.820292225726</v>
      </c>
      <c r="CW40" s="878">
        <v>34222.070552142548</v>
      </c>
      <c r="CX40" s="878">
        <v>34718.200406764263</v>
      </c>
      <c r="CY40" s="878">
        <v>35024.011580948216</v>
      </c>
      <c r="CZ40" s="878">
        <v>35159.778461355279</v>
      </c>
      <c r="DA40" s="878">
        <v>35243.662481563668</v>
      </c>
      <c r="DB40" s="878">
        <v>35100.867335932468</v>
      </c>
      <c r="DC40" s="860">
        <v>35082.17475584249</v>
      </c>
      <c r="DD40" s="860">
        <v>35589.191965480779</v>
      </c>
      <c r="DE40" s="860">
        <v>36013.333850716626</v>
      </c>
      <c r="DF40" s="860">
        <v>36090.097577654487</v>
      </c>
      <c r="DG40" s="860">
        <v>36570.055171429245</v>
      </c>
      <c r="DH40" s="860">
        <v>36711.873078841236</v>
      </c>
      <c r="DI40" s="860">
        <v>36825.094038726558</v>
      </c>
      <c r="DJ40" s="860">
        <v>37453.913753580426</v>
      </c>
      <c r="DK40" s="860">
        <v>37868.310354009634</v>
      </c>
      <c r="DL40" s="860">
        <v>38105.877604164016</v>
      </c>
      <c r="DM40" s="860">
        <v>38570.398409553614</v>
      </c>
      <c r="DN40" s="860">
        <v>38428.356567568451</v>
      </c>
      <c r="DO40" s="860">
        <v>38429.134693286964</v>
      </c>
      <c r="DP40" s="860">
        <v>38743.185974245571</v>
      </c>
      <c r="DQ40" s="860">
        <v>39325.535278544354</v>
      </c>
      <c r="DR40" s="860">
        <v>39194.274213519166</v>
      </c>
      <c r="DS40" s="860">
        <v>39397.175714599798</v>
      </c>
    </row>
    <row r="41" spans="1:123" ht="17.25" customHeight="1">
      <c r="A41" s="857"/>
      <c r="B41" s="858"/>
      <c r="C41" s="937"/>
      <c r="D41" s="937"/>
      <c r="E41" s="937"/>
      <c r="F41" s="938"/>
      <c r="G41" s="937"/>
      <c r="H41" s="939"/>
      <c r="I41" s="937"/>
      <c r="J41" s="937"/>
      <c r="K41" s="937"/>
      <c r="L41" s="937"/>
      <c r="M41" s="938"/>
      <c r="N41" s="937"/>
      <c r="O41" s="937"/>
      <c r="P41" s="937"/>
      <c r="Q41" s="937"/>
      <c r="R41" s="937"/>
      <c r="S41" s="937"/>
      <c r="T41" s="937"/>
      <c r="U41" s="937"/>
      <c r="V41" s="937"/>
      <c r="W41" s="937"/>
      <c r="X41" s="937"/>
      <c r="Y41" s="937"/>
      <c r="Z41" s="937"/>
      <c r="AA41" s="937"/>
      <c r="AB41" s="937"/>
      <c r="AC41" s="937"/>
      <c r="AD41" s="939"/>
      <c r="AE41" s="937"/>
      <c r="AF41" s="937"/>
      <c r="AG41" s="937"/>
      <c r="AH41" s="937"/>
      <c r="AI41" s="937"/>
      <c r="AJ41" s="937"/>
      <c r="AK41" s="937"/>
      <c r="AL41" s="937"/>
      <c r="AM41" s="937"/>
      <c r="AN41" s="937"/>
      <c r="AO41" s="939"/>
      <c r="AP41" s="937"/>
      <c r="AQ41" s="937"/>
      <c r="AR41" s="937"/>
      <c r="AS41" s="937"/>
      <c r="AT41" s="937"/>
      <c r="AU41" s="937"/>
      <c r="AV41" s="937"/>
      <c r="AW41" s="937"/>
      <c r="AX41" s="937"/>
      <c r="AY41" s="937"/>
      <c r="AZ41" s="937"/>
      <c r="BA41" s="937"/>
      <c r="BB41" s="937"/>
      <c r="BC41" s="937"/>
      <c r="BD41" s="937"/>
      <c r="BE41" s="937"/>
      <c r="BF41" s="937"/>
      <c r="BG41" s="937"/>
      <c r="BH41" s="937"/>
      <c r="BI41" s="937"/>
      <c r="BJ41" s="937"/>
      <c r="BK41" s="937"/>
      <c r="BL41" s="937"/>
      <c r="BM41" s="937"/>
      <c r="BN41" s="937"/>
      <c r="BO41" s="937"/>
      <c r="BP41" s="937"/>
      <c r="BQ41" s="937"/>
      <c r="BR41" s="937"/>
      <c r="BS41" s="937"/>
      <c r="BT41" s="937"/>
      <c r="BU41" s="937"/>
      <c r="BV41" s="937"/>
      <c r="BW41" s="937"/>
      <c r="BX41" s="937"/>
      <c r="BY41" s="937"/>
      <c r="BZ41" s="937"/>
      <c r="CA41" s="937"/>
      <c r="CB41" s="937"/>
      <c r="CC41" s="937"/>
      <c r="CD41" s="937"/>
      <c r="CE41" s="937"/>
      <c r="CF41" s="937"/>
      <c r="CG41" s="937"/>
      <c r="CH41" s="937"/>
      <c r="CI41" s="937"/>
      <c r="CJ41" s="937"/>
      <c r="CK41" s="937"/>
      <c r="CL41" s="937"/>
      <c r="CM41" s="937"/>
      <c r="CN41" s="937"/>
      <c r="CO41" s="937"/>
      <c r="CP41" s="937"/>
      <c r="CQ41" s="937"/>
      <c r="CR41" s="937"/>
      <c r="CS41" s="937"/>
      <c r="CT41" s="937"/>
      <c r="CU41" s="937"/>
      <c r="CV41" s="937"/>
      <c r="CW41" s="937"/>
      <c r="CX41" s="937"/>
      <c r="CY41" s="937"/>
      <c r="CZ41" s="937"/>
      <c r="DA41" s="937"/>
      <c r="DB41" s="937"/>
      <c r="DC41" s="940"/>
      <c r="DD41" s="940"/>
      <c r="DE41" s="940"/>
      <c r="DF41" s="940"/>
      <c r="DG41" s="940"/>
      <c r="DH41" s="940"/>
      <c r="DI41" s="940"/>
      <c r="DJ41" s="940"/>
      <c r="DK41" s="940"/>
      <c r="DL41" s="940"/>
      <c r="DM41" s="940"/>
      <c r="DN41" s="940"/>
      <c r="DO41" s="940"/>
      <c r="DP41" s="940"/>
      <c r="DQ41" s="940"/>
      <c r="DR41" s="940"/>
      <c r="DS41" s="940"/>
    </row>
    <row r="42" spans="1:123" ht="17.25" customHeight="1">
      <c r="A42" s="853" t="s">
        <v>2527</v>
      </c>
      <c r="B42" s="854" t="s">
        <v>2551</v>
      </c>
      <c r="C42" s="909">
        <v>726.30212647999997</v>
      </c>
      <c r="D42" s="909">
        <v>730.39840418000006</v>
      </c>
      <c r="E42" s="909">
        <v>618.43484755920008</v>
      </c>
      <c r="F42" s="910">
        <v>740.38654256999996</v>
      </c>
      <c r="G42" s="909">
        <v>646.78364239999996</v>
      </c>
      <c r="H42" s="911">
        <v>572.08562338000002</v>
      </c>
      <c r="I42" s="909">
        <v>550.23047771000006</v>
      </c>
      <c r="J42" s="909">
        <v>558.05042742000001</v>
      </c>
      <c r="K42" s="909">
        <v>552.97945962000006</v>
      </c>
      <c r="L42" s="909">
        <v>559.17220728999996</v>
      </c>
      <c r="M42" s="910">
        <v>562.7922152000001</v>
      </c>
      <c r="N42" s="909">
        <v>565.61743013</v>
      </c>
      <c r="O42" s="909">
        <v>563.79909946999999</v>
      </c>
      <c r="P42" s="909">
        <v>567.45060109999997</v>
      </c>
      <c r="Q42" s="909">
        <v>621.18159661000004</v>
      </c>
      <c r="R42" s="909">
        <v>623.94371149000006</v>
      </c>
      <c r="S42" s="909">
        <v>664.89246536999997</v>
      </c>
      <c r="T42" s="909">
        <v>675.52734220000002</v>
      </c>
      <c r="U42" s="909">
        <v>741.88147501000003</v>
      </c>
      <c r="V42" s="909">
        <v>735.36646825999992</v>
      </c>
      <c r="W42" s="909">
        <v>865.76031336000005</v>
      </c>
      <c r="X42" s="909">
        <v>805.0815020199999</v>
      </c>
      <c r="Y42" s="909">
        <v>810.36657187000003</v>
      </c>
      <c r="Z42" s="909">
        <v>816.01652031999993</v>
      </c>
      <c r="AA42" s="909">
        <v>818.70660423999993</v>
      </c>
      <c r="AB42" s="909">
        <v>854.49913663000007</v>
      </c>
      <c r="AC42" s="909">
        <v>887.07480782000016</v>
      </c>
      <c r="AD42" s="911">
        <v>861.51725778999992</v>
      </c>
      <c r="AE42" s="909">
        <v>640.37404246999995</v>
      </c>
      <c r="AF42" s="909">
        <v>658.00162995000005</v>
      </c>
      <c r="AG42" s="909">
        <v>762.05223934000003</v>
      </c>
      <c r="AH42" s="909">
        <v>763.29237933000002</v>
      </c>
      <c r="AI42" s="909">
        <v>600.11227621</v>
      </c>
      <c r="AJ42" s="909">
        <v>516.71647100999996</v>
      </c>
      <c r="AK42" s="909">
        <v>549.01104077999992</v>
      </c>
      <c r="AL42" s="909">
        <v>596.4233511138641</v>
      </c>
      <c r="AM42" s="909">
        <v>597.49639311999999</v>
      </c>
      <c r="AN42" s="909">
        <v>650.72847651301367</v>
      </c>
      <c r="AO42" s="911">
        <v>682.70512811999993</v>
      </c>
      <c r="AP42" s="909">
        <v>702.43963852657532</v>
      </c>
      <c r="AQ42" s="909">
        <v>705.04451739643832</v>
      </c>
      <c r="AR42" s="909">
        <v>748.63081716356169</v>
      </c>
      <c r="AS42" s="909">
        <v>850.48227772356165</v>
      </c>
      <c r="AT42" s="909">
        <v>768.55162236356159</v>
      </c>
      <c r="AU42" s="909">
        <v>770.49015616356155</v>
      </c>
      <c r="AV42" s="909">
        <v>783.15680260356169</v>
      </c>
      <c r="AW42" s="909">
        <v>1068.16589727</v>
      </c>
      <c r="AX42" s="909">
        <v>1149.4411638230399</v>
      </c>
      <c r="AY42" s="909">
        <v>1253.6824820458903</v>
      </c>
      <c r="AZ42" s="909">
        <v>1439.0540885602738</v>
      </c>
      <c r="BA42" s="909">
        <v>1474.4996932746578</v>
      </c>
      <c r="BB42" s="909">
        <v>1483.081225139726</v>
      </c>
      <c r="BC42" s="909">
        <v>1652.7592729373973</v>
      </c>
      <c r="BD42" s="909">
        <v>1671.2450031816438</v>
      </c>
      <c r="BE42" s="909">
        <v>1687.9613241436987</v>
      </c>
      <c r="BF42" s="909">
        <v>1369.9318237097261</v>
      </c>
      <c r="BG42" s="909">
        <v>1465.100625689337</v>
      </c>
      <c r="BH42" s="909">
        <v>1567.3237158879451</v>
      </c>
      <c r="BI42" s="909">
        <v>1570.457439008904</v>
      </c>
      <c r="BJ42" s="909">
        <v>1406.0268968034973</v>
      </c>
      <c r="BK42" s="909">
        <v>1405.76249001</v>
      </c>
      <c r="BL42" s="909">
        <v>1311.9401975067515</v>
      </c>
      <c r="BM42" s="909">
        <v>1290.9991546943181</v>
      </c>
      <c r="BN42" s="909">
        <v>1407.1600321024355</v>
      </c>
      <c r="BO42" s="909">
        <v>1422.0426776094539</v>
      </c>
      <c r="BP42" s="909">
        <v>1439.8729521815442</v>
      </c>
      <c r="BQ42" s="909">
        <v>1445.9378724651376</v>
      </c>
      <c r="BR42" s="909">
        <v>1379.3190071556162</v>
      </c>
      <c r="BS42" s="909">
        <v>1386.5160951345206</v>
      </c>
      <c r="BT42" s="909">
        <v>1403.7218646380384</v>
      </c>
      <c r="BU42" s="909">
        <v>1393.7948318676224</v>
      </c>
      <c r="BV42" s="909">
        <v>1521.7152890270499</v>
      </c>
      <c r="BW42" s="909">
        <v>1933.11199854705</v>
      </c>
      <c r="BX42" s="909">
        <v>1912.0727801009612</v>
      </c>
      <c r="BY42" s="909">
        <v>1921.6358240507996</v>
      </c>
      <c r="BZ42" s="909">
        <v>1990.6143178181733</v>
      </c>
      <c r="CA42" s="909">
        <v>1975.146650228706</v>
      </c>
      <c r="CB42" s="909">
        <v>1976.1102385692122</v>
      </c>
      <c r="CC42" s="909">
        <v>1549.53095162095</v>
      </c>
      <c r="CD42" s="909">
        <v>1451.2084267842474</v>
      </c>
      <c r="CE42" s="909">
        <v>1462.7293710680965</v>
      </c>
      <c r="CF42" s="909">
        <v>1468.7169780747017</v>
      </c>
      <c r="CG42" s="909">
        <v>1371.7919477338276</v>
      </c>
      <c r="CH42" s="909">
        <v>1301.3431934843293</v>
      </c>
      <c r="CI42" s="909">
        <v>1435.6952422045135</v>
      </c>
      <c r="CJ42" s="909">
        <v>1423.1869166581421</v>
      </c>
      <c r="CK42" s="909">
        <v>1431.8376136449285</v>
      </c>
      <c r="CL42" s="909">
        <v>1432.2704903741173</v>
      </c>
      <c r="CM42" s="909">
        <v>1524.088442361897</v>
      </c>
      <c r="CN42" s="909">
        <v>1532.8938521289851</v>
      </c>
      <c r="CO42" s="909">
        <v>1532.9577735925491</v>
      </c>
      <c r="CP42" s="909">
        <v>1715.827919374251</v>
      </c>
      <c r="CQ42" s="909">
        <v>1649.1695327521491</v>
      </c>
      <c r="CR42" s="909">
        <v>1460.7716587237439</v>
      </c>
      <c r="CS42" s="909">
        <v>1438.3533015501523</v>
      </c>
      <c r="CT42" s="909">
        <v>1386.4952811582689</v>
      </c>
      <c r="CU42" s="909">
        <v>1332.9707305499999</v>
      </c>
      <c r="CV42" s="909">
        <v>1308.9182295701269</v>
      </c>
      <c r="CW42" s="909">
        <v>1316.1312103094506</v>
      </c>
      <c r="CX42" s="909">
        <v>1318.5360748386327</v>
      </c>
      <c r="CY42" s="909">
        <v>1323.9944375765087</v>
      </c>
      <c r="CZ42" s="909">
        <v>1328.110314419614</v>
      </c>
      <c r="DA42" s="909">
        <v>1202.7802076645592</v>
      </c>
      <c r="DB42" s="909">
        <v>1221.9853446457637</v>
      </c>
      <c r="DC42" s="855">
        <v>1398.6084791614201</v>
      </c>
      <c r="DD42" s="855">
        <v>1388.9988532843061</v>
      </c>
      <c r="DE42" s="855">
        <v>1404.8856212686744</v>
      </c>
      <c r="DF42" s="855">
        <v>1503.8777184331655</v>
      </c>
      <c r="DG42" s="855">
        <v>1503.1837323446</v>
      </c>
      <c r="DH42" s="855">
        <v>1509.9911426466865</v>
      </c>
      <c r="DI42" s="855">
        <v>1464.9309500705567</v>
      </c>
      <c r="DJ42" s="855">
        <v>1465.407940740374</v>
      </c>
      <c r="DK42" s="855">
        <v>1442.8233164702444</v>
      </c>
      <c r="DL42" s="855">
        <v>1422.9910695259798</v>
      </c>
      <c r="DM42" s="855">
        <v>1428.990375419387</v>
      </c>
      <c r="DN42" s="855">
        <v>1355.0615200502557</v>
      </c>
      <c r="DO42" s="855">
        <v>1274.5697103494476</v>
      </c>
      <c r="DP42" s="855">
        <v>1319.0182214076901</v>
      </c>
      <c r="DQ42" s="855">
        <v>1342.1797533522811</v>
      </c>
      <c r="DR42" s="855">
        <v>1048.6164130681868</v>
      </c>
      <c r="DS42" s="855">
        <v>1196.5194532038622</v>
      </c>
    </row>
    <row r="43" spans="1:123" ht="17.25" customHeight="1">
      <c r="A43" s="857" t="s">
        <v>2529</v>
      </c>
      <c r="B43" s="858" t="s">
        <v>2522</v>
      </c>
      <c r="C43" s="878">
        <v>0</v>
      </c>
      <c r="D43" s="878">
        <v>0</v>
      </c>
      <c r="E43" s="878">
        <v>0</v>
      </c>
      <c r="F43" s="917">
        <v>0</v>
      </c>
      <c r="G43" s="878">
        <v>0</v>
      </c>
      <c r="H43" s="918">
        <v>0</v>
      </c>
      <c r="I43" s="878">
        <v>0</v>
      </c>
      <c r="J43" s="878">
        <v>0</v>
      </c>
      <c r="K43" s="878">
        <v>0</v>
      </c>
      <c r="L43" s="878">
        <v>0</v>
      </c>
      <c r="M43" s="917">
        <v>0</v>
      </c>
      <c r="N43" s="878">
        <v>0</v>
      </c>
      <c r="O43" s="878">
        <v>0</v>
      </c>
      <c r="P43" s="878">
        <v>0</v>
      </c>
      <c r="Q43" s="878">
        <v>0</v>
      </c>
      <c r="R43" s="878">
        <v>50.744235000000003</v>
      </c>
      <c r="S43" s="878">
        <v>50.042693999999997</v>
      </c>
      <c r="T43" s="878">
        <v>50.392009000000002</v>
      </c>
      <c r="U43" s="878">
        <v>474.76731388000002</v>
      </c>
      <c r="V43" s="878">
        <v>470.10381735999999</v>
      </c>
      <c r="W43" s="878">
        <v>472.09503471000005</v>
      </c>
      <c r="X43" s="878">
        <v>526.16627173999996</v>
      </c>
      <c r="Y43" s="878">
        <v>528.76367500000003</v>
      </c>
      <c r="Z43" s="878">
        <v>532.00065072999996</v>
      </c>
      <c r="AA43" s="878">
        <v>533.52308487999994</v>
      </c>
      <c r="AB43" s="878">
        <v>566.93726500000002</v>
      </c>
      <c r="AC43" s="878">
        <v>569.51741500000003</v>
      </c>
      <c r="AD43" s="918">
        <v>572.79224699999997</v>
      </c>
      <c r="AE43" s="878">
        <v>318.27837499999998</v>
      </c>
      <c r="AF43" s="878">
        <v>318.83748400000002</v>
      </c>
      <c r="AG43" s="878">
        <v>320.07963599999999</v>
      </c>
      <c r="AH43" s="878">
        <v>320.17100299999998</v>
      </c>
      <c r="AI43" s="878">
        <v>158.364294</v>
      </c>
      <c r="AJ43" s="878">
        <v>79.922224</v>
      </c>
      <c r="AK43" s="878">
        <v>0</v>
      </c>
      <c r="AL43" s="878">
        <v>0</v>
      </c>
      <c r="AM43" s="878">
        <v>0</v>
      </c>
      <c r="AN43" s="878">
        <v>0</v>
      </c>
      <c r="AO43" s="918">
        <v>0</v>
      </c>
      <c r="AP43" s="878">
        <v>0</v>
      </c>
      <c r="AQ43" s="878">
        <v>0</v>
      </c>
      <c r="AR43" s="878">
        <v>0</v>
      </c>
      <c r="AS43" s="878">
        <v>0</v>
      </c>
      <c r="AT43" s="878">
        <v>0</v>
      </c>
      <c r="AU43" s="878">
        <v>0</v>
      </c>
      <c r="AV43" s="878">
        <v>0</v>
      </c>
      <c r="AW43" s="878">
        <v>0</v>
      </c>
      <c r="AX43" s="878">
        <v>0</v>
      </c>
      <c r="AY43" s="878">
        <v>0</v>
      </c>
      <c r="AZ43" s="878">
        <v>0</v>
      </c>
      <c r="BA43" s="878">
        <v>0</v>
      </c>
      <c r="BB43" s="878">
        <v>0</v>
      </c>
      <c r="BC43" s="878">
        <v>0</v>
      </c>
      <c r="BD43" s="878">
        <v>0</v>
      </c>
      <c r="BE43" s="878">
        <v>0</v>
      </c>
      <c r="BF43" s="878">
        <v>0</v>
      </c>
      <c r="BG43" s="878">
        <v>0</v>
      </c>
      <c r="BH43" s="878">
        <v>0</v>
      </c>
      <c r="BI43" s="878">
        <v>0</v>
      </c>
      <c r="BJ43" s="878">
        <v>0</v>
      </c>
      <c r="BK43" s="878">
        <v>0</v>
      </c>
      <c r="BL43" s="878">
        <v>0</v>
      </c>
      <c r="BM43" s="878">
        <v>0</v>
      </c>
      <c r="BN43" s="878">
        <v>0</v>
      </c>
      <c r="BO43" s="878">
        <v>0</v>
      </c>
      <c r="BP43" s="878">
        <v>0</v>
      </c>
      <c r="BQ43" s="878">
        <v>0</v>
      </c>
      <c r="BR43" s="878">
        <v>0</v>
      </c>
      <c r="BS43" s="878">
        <v>0</v>
      </c>
      <c r="BT43" s="878">
        <v>0</v>
      </c>
      <c r="BU43" s="878">
        <v>0</v>
      </c>
      <c r="BV43" s="878">
        <v>0</v>
      </c>
      <c r="BW43" s="878">
        <v>0</v>
      </c>
      <c r="BX43" s="878">
        <v>0</v>
      </c>
      <c r="BY43" s="878">
        <v>0</v>
      </c>
      <c r="BZ43" s="878">
        <v>0</v>
      </c>
      <c r="CA43" s="878">
        <v>0</v>
      </c>
      <c r="CB43" s="878">
        <v>0</v>
      </c>
      <c r="CC43" s="878">
        <v>0</v>
      </c>
      <c r="CD43" s="878">
        <v>0</v>
      </c>
      <c r="CE43" s="878">
        <v>0</v>
      </c>
      <c r="CF43" s="878">
        <v>0</v>
      </c>
      <c r="CG43" s="878">
        <v>0</v>
      </c>
      <c r="CH43" s="878">
        <v>0</v>
      </c>
      <c r="CI43" s="878">
        <v>0</v>
      </c>
      <c r="CJ43" s="878">
        <v>0</v>
      </c>
      <c r="CK43" s="878">
        <v>0</v>
      </c>
      <c r="CL43" s="878">
        <v>0</v>
      </c>
      <c r="CM43" s="878">
        <v>0</v>
      </c>
      <c r="CN43" s="878">
        <v>0</v>
      </c>
      <c r="CO43" s="878">
        <v>0</v>
      </c>
      <c r="CP43" s="878">
        <v>0</v>
      </c>
      <c r="CQ43" s="878">
        <v>0</v>
      </c>
      <c r="CR43" s="878">
        <v>0</v>
      </c>
      <c r="CS43" s="878">
        <v>0</v>
      </c>
      <c r="CT43" s="878">
        <v>0</v>
      </c>
      <c r="CU43" s="878">
        <v>0</v>
      </c>
      <c r="CV43" s="878">
        <v>0</v>
      </c>
      <c r="CW43" s="878">
        <v>0</v>
      </c>
      <c r="CX43" s="878">
        <v>0</v>
      </c>
      <c r="CY43" s="878">
        <v>0</v>
      </c>
      <c r="CZ43" s="878">
        <v>0</v>
      </c>
      <c r="DA43" s="878">
        <v>0</v>
      </c>
      <c r="DB43" s="878">
        <v>0</v>
      </c>
      <c r="DC43" s="860">
        <v>0</v>
      </c>
      <c r="DD43" s="860">
        <v>0</v>
      </c>
      <c r="DE43" s="860">
        <v>0</v>
      </c>
      <c r="DF43" s="860">
        <v>0</v>
      </c>
      <c r="DG43" s="860">
        <v>0</v>
      </c>
      <c r="DH43" s="860">
        <v>0</v>
      </c>
      <c r="DI43" s="860">
        <v>0</v>
      </c>
      <c r="DJ43" s="860">
        <v>0</v>
      </c>
      <c r="DK43" s="860">
        <v>0</v>
      </c>
      <c r="DL43" s="860">
        <v>0</v>
      </c>
      <c r="DM43" s="860">
        <v>0</v>
      </c>
      <c r="DN43" s="860">
        <v>0</v>
      </c>
      <c r="DO43" s="860">
        <v>0</v>
      </c>
      <c r="DP43" s="860">
        <v>0</v>
      </c>
      <c r="DQ43" s="860">
        <v>0</v>
      </c>
      <c r="DR43" s="860">
        <v>0</v>
      </c>
      <c r="DS43" s="860">
        <v>0</v>
      </c>
    </row>
    <row r="44" spans="1:123" ht="17.25" customHeight="1">
      <c r="A44" s="857" t="s">
        <v>2530</v>
      </c>
      <c r="B44" s="858" t="s">
        <v>2524</v>
      </c>
      <c r="C44" s="878">
        <v>0</v>
      </c>
      <c r="D44" s="878">
        <v>0</v>
      </c>
      <c r="E44" s="878">
        <v>0</v>
      </c>
      <c r="F44" s="917">
        <v>0</v>
      </c>
      <c r="G44" s="878">
        <v>0</v>
      </c>
      <c r="H44" s="918">
        <v>0</v>
      </c>
      <c r="I44" s="878">
        <v>0.33796700000000002</v>
      </c>
      <c r="J44" s="878">
        <v>0</v>
      </c>
      <c r="K44" s="878">
        <v>0</v>
      </c>
      <c r="L44" s="878">
        <v>0</v>
      </c>
      <c r="M44" s="917">
        <v>0</v>
      </c>
      <c r="N44" s="878">
        <v>0</v>
      </c>
      <c r="O44" s="878">
        <v>0</v>
      </c>
      <c r="P44" s="878">
        <v>0</v>
      </c>
      <c r="Q44" s="878">
        <v>0</v>
      </c>
      <c r="R44" s="878">
        <v>0</v>
      </c>
      <c r="S44" s="878">
        <v>0</v>
      </c>
      <c r="T44" s="878">
        <v>0</v>
      </c>
      <c r="U44" s="878">
        <v>0</v>
      </c>
      <c r="V44" s="878">
        <v>0</v>
      </c>
      <c r="W44" s="878">
        <v>0</v>
      </c>
      <c r="X44" s="878">
        <v>0</v>
      </c>
      <c r="Y44" s="878">
        <v>0</v>
      </c>
      <c r="Z44" s="878">
        <v>0</v>
      </c>
      <c r="AA44" s="878">
        <v>0</v>
      </c>
      <c r="AB44" s="878">
        <v>0</v>
      </c>
      <c r="AC44" s="878">
        <v>0</v>
      </c>
      <c r="AD44" s="918">
        <v>0</v>
      </c>
      <c r="AE44" s="878">
        <v>18.91917617</v>
      </c>
      <c r="AF44" s="878">
        <v>0</v>
      </c>
      <c r="AG44" s="878">
        <v>0</v>
      </c>
      <c r="AH44" s="878">
        <v>0</v>
      </c>
      <c r="AI44" s="878">
        <v>0</v>
      </c>
      <c r="AJ44" s="878">
        <v>0</v>
      </c>
      <c r="AK44" s="878">
        <v>0</v>
      </c>
      <c r="AL44" s="878">
        <v>0</v>
      </c>
      <c r="AM44" s="878">
        <v>0</v>
      </c>
      <c r="AN44" s="878">
        <v>0</v>
      </c>
      <c r="AO44" s="918">
        <v>0</v>
      </c>
      <c r="AP44" s="878">
        <v>0</v>
      </c>
      <c r="AQ44" s="878">
        <v>0</v>
      </c>
      <c r="AR44" s="878">
        <v>0</v>
      </c>
      <c r="AS44" s="878">
        <v>0</v>
      </c>
      <c r="AT44" s="878">
        <v>0</v>
      </c>
      <c r="AU44" s="878">
        <v>0</v>
      </c>
      <c r="AV44" s="878">
        <v>0</v>
      </c>
      <c r="AW44" s="878">
        <v>0</v>
      </c>
      <c r="AX44" s="878">
        <v>0</v>
      </c>
      <c r="AY44" s="878">
        <v>0</v>
      </c>
      <c r="AZ44" s="878">
        <v>0</v>
      </c>
      <c r="BA44" s="878">
        <v>0</v>
      </c>
      <c r="BB44" s="878">
        <v>1.321191</v>
      </c>
      <c r="BC44" s="878">
        <v>0</v>
      </c>
      <c r="BD44" s="878">
        <v>0</v>
      </c>
      <c r="BE44" s="878">
        <v>0</v>
      </c>
      <c r="BF44" s="878">
        <v>0</v>
      </c>
      <c r="BG44" s="878">
        <v>0</v>
      </c>
      <c r="BH44" s="878">
        <v>0</v>
      </c>
      <c r="BI44" s="878">
        <v>0</v>
      </c>
      <c r="BJ44" s="878">
        <v>0</v>
      </c>
      <c r="BK44" s="878">
        <v>0</v>
      </c>
      <c r="BL44" s="878">
        <v>0</v>
      </c>
      <c r="BM44" s="878">
        <v>0</v>
      </c>
      <c r="BN44" s="878">
        <v>0</v>
      </c>
      <c r="BO44" s="878">
        <v>0</v>
      </c>
      <c r="BP44" s="878">
        <v>0</v>
      </c>
      <c r="BQ44" s="878">
        <v>0</v>
      </c>
      <c r="BR44" s="878">
        <v>0</v>
      </c>
      <c r="BS44" s="878">
        <v>0</v>
      </c>
      <c r="BT44" s="878">
        <v>0</v>
      </c>
      <c r="BU44" s="878">
        <v>0</v>
      </c>
      <c r="BV44" s="878">
        <v>0</v>
      </c>
      <c r="BW44" s="878">
        <v>0</v>
      </c>
      <c r="BX44" s="878">
        <v>0</v>
      </c>
      <c r="BY44" s="878">
        <v>0</v>
      </c>
      <c r="BZ44" s="878">
        <v>0</v>
      </c>
      <c r="CA44" s="878">
        <v>0</v>
      </c>
      <c r="CB44" s="878">
        <v>0</v>
      </c>
      <c r="CC44" s="878">
        <v>0</v>
      </c>
      <c r="CD44" s="878">
        <v>0</v>
      </c>
      <c r="CE44" s="878">
        <v>0</v>
      </c>
      <c r="CF44" s="878">
        <v>0</v>
      </c>
      <c r="CG44" s="878">
        <v>0</v>
      </c>
      <c r="CH44" s="878">
        <v>0</v>
      </c>
      <c r="CI44" s="878">
        <v>0</v>
      </c>
      <c r="CJ44" s="878">
        <v>0</v>
      </c>
      <c r="CK44" s="878">
        <v>0</v>
      </c>
      <c r="CL44" s="878">
        <v>0</v>
      </c>
      <c r="CM44" s="878">
        <v>0</v>
      </c>
      <c r="CN44" s="878">
        <v>0</v>
      </c>
      <c r="CO44" s="878">
        <v>0</v>
      </c>
      <c r="CP44" s="878">
        <v>0</v>
      </c>
      <c r="CQ44" s="878">
        <v>0</v>
      </c>
      <c r="CR44" s="878">
        <v>0</v>
      </c>
      <c r="CS44" s="878">
        <v>0</v>
      </c>
      <c r="CT44" s="878">
        <v>0</v>
      </c>
      <c r="CU44" s="878">
        <v>0</v>
      </c>
      <c r="CV44" s="878">
        <v>0</v>
      </c>
      <c r="CW44" s="878">
        <v>0</v>
      </c>
      <c r="CX44" s="878">
        <v>0</v>
      </c>
      <c r="CY44" s="878">
        <v>0</v>
      </c>
      <c r="CZ44" s="878">
        <v>0</v>
      </c>
      <c r="DA44" s="878">
        <v>0</v>
      </c>
      <c r="DB44" s="878">
        <v>0</v>
      </c>
      <c r="DC44" s="860">
        <v>24.383328767123288</v>
      </c>
      <c r="DD44" s="860">
        <v>0</v>
      </c>
      <c r="DE44" s="860">
        <v>0</v>
      </c>
      <c r="DF44" s="860">
        <v>0</v>
      </c>
      <c r="DG44" s="860">
        <v>0</v>
      </c>
      <c r="DH44" s="860">
        <v>0</v>
      </c>
      <c r="DI44" s="860">
        <v>0</v>
      </c>
      <c r="DJ44" s="860">
        <v>0</v>
      </c>
      <c r="DK44" s="860">
        <v>0</v>
      </c>
      <c r="DL44" s="860">
        <v>0</v>
      </c>
      <c r="DM44" s="860">
        <v>0</v>
      </c>
      <c r="DN44" s="860">
        <v>0</v>
      </c>
      <c r="DO44" s="860">
        <v>0</v>
      </c>
      <c r="DP44" s="860">
        <v>0</v>
      </c>
      <c r="DQ44" s="860">
        <v>0</v>
      </c>
      <c r="DR44" s="860">
        <v>0</v>
      </c>
      <c r="DS44" s="860">
        <v>0</v>
      </c>
    </row>
    <row r="45" spans="1:123" ht="17.25" customHeight="1">
      <c r="A45" s="857" t="s">
        <v>2531</v>
      </c>
      <c r="B45" s="858" t="s">
        <v>2526</v>
      </c>
      <c r="C45" s="878">
        <v>726.30212647999997</v>
      </c>
      <c r="D45" s="878">
        <v>730.39840418000006</v>
      </c>
      <c r="E45" s="878">
        <v>618.43484755920008</v>
      </c>
      <c r="F45" s="917">
        <v>740.38654256999996</v>
      </c>
      <c r="G45" s="878">
        <v>646.78364239999996</v>
      </c>
      <c r="H45" s="918">
        <v>572.08562338000002</v>
      </c>
      <c r="I45" s="878">
        <v>549.89251071000001</v>
      </c>
      <c r="J45" s="878">
        <v>558.05042742000001</v>
      </c>
      <c r="K45" s="878">
        <v>552.97945962000006</v>
      </c>
      <c r="L45" s="878">
        <v>559.17220728999996</v>
      </c>
      <c r="M45" s="917">
        <v>562.7922152000001</v>
      </c>
      <c r="N45" s="878">
        <v>565.61743013</v>
      </c>
      <c r="O45" s="878">
        <v>563.79909946999999</v>
      </c>
      <c r="P45" s="878">
        <v>567.45060109999997</v>
      </c>
      <c r="Q45" s="878">
        <v>621.18159661000004</v>
      </c>
      <c r="R45" s="878">
        <v>573.19947649000005</v>
      </c>
      <c r="S45" s="878">
        <v>614.84977136999998</v>
      </c>
      <c r="T45" s="878">
        <v>625.13533319999999</v>
      </c>
      <c r="U45" s="878">
        <v>267.11416113000001</v>
      </c>
      <c r="V45" s="878">
        <v>265.26265089999998</v>
      </c>
      <c r="W45" s="878">
        <v>393.66527865000006</v>
      </c>
      <c r="X45" s="878">
        <v>278.91523027999995</v>
      </c>
      <c r="Y45" s="878">
        <v>281.60289687</v>
      </c>
      <c r="Z45" s="878">
        <v>284.01586959000002</v>
      </c>
      <c r="AA45" s="878">
        <v>285.18351935999999</v>
      </c>
      <c r="AB45" s="878">
        <v>287.56187162999998</v>
      </c>
      <c r="AC45" s="878">
        <v>317.55739282000008</v>
      </c>
      <c r="AD45" s="918">
        <v>288.72501078999994</v>
      </c>
      <c r="AE45" s="878">
        <v>303.17649130000001</v>
      </c>
      <c r="AF45" s="878">
        <v>339.16414594999998</v>
      </c>
      <c r="AG45" s="878">
        <v>441.97260334000003</v>
      </c>
      <c r="AH45" s="878">
        <v>443.12137633000003</v>
      </c>
      <c r="AI45" s="878">
        <v>441.74798221000003</v>
      </c>
      <c r="AJ45" s="878">
        <v>436.79424700999999</v>
      </c>
      <c r="AK45" s="878">
        <v>549.01104077999992</v>
      </c>
      <c r="AL45" s="878">
        <v>596.4233511138641</v>
      </c>
      <c r="AM45" s="878">
        <v>597.49639311999999</v>
      </c>
      <c r="AN45" s="878">
        <v>650.72847651301367</v>
      </c>
      <c r="AO45" s="918">
        <v>682.70512811999993</v>
      </c>
      <c r="AP45" s="878">
        <v>702.43963852657532</v>
      </c>
      <c r="AQ45" s="878">
        <v>705.04451739643832</v>
      </c>
      <c r="AR45" s="878">
        <v>748.63081716356169</v>
      </c>
      <c r="AS45" s="878">
        <v>850.48227772356165</v>
      </c>
      <c r="AT45" s="878">
        <v>768.55162236356159</v>
      </c>
      <c r="AU45" s="878">
        <v>770.49015616356155</v>
      </c>
      <c r="AV45" s="878">
        <v>783.15680260356169</v>
      </c>
      <c r="AW45" s="878">
        <v>1068.16589727</v>
      </c>
      <c r="AX45" s="878">
        <v>1149.4411638230399</v>
      </c>
      <c r="AY45" s="878">
        <v>1253.6824820458903</v>
      </c>
      <c r="AZ45" s="878">
        <v>1439.0540885602738</v>
      </c>
      <c r="BA45" s="878">
        <v>1474.4996932746578</v>
      </c>
      <c r="BB45" s="878">
        <v>1481.760034139726</v>
      </c>
      <c r="BC45" s="878">
        <v>1652.7592729373973</v>
      </c>
      <c r="BD45" s="878">
        <v>1671.2450031816438</v>
      </c>
      <c r="BE45" s="878">
        <v>1687.9613241436987</v>
      </c>
      <c r="BF45" s="878">
        <v>1369.9318237097261</v>
      </c>
      <c r="BG45" s="878">
        <v>1465.100625689337</v>
      </c>
      <c r="BH45" s="878">
        <v>1567.3237158879451</v>
      </c>
      <c r="BI45" s="878">
        <v>1570.457439008904</v>
      </c>
      <c r="BJ45" s="878">
        <v>1406.0268968034973</v>
      </c>
      <c r="BK45" s="878">
        <v>1405.76249001</v>
      </c>
      <c r="BL45" s="878">
        <v>1311.9401975067515</v>
      </c>
      <c r="BM45" s="878">
        <v>1290.9991546943181</v>
      </c>
      <c r="BN45" s="878">
        <v>1407.1600321024355</v>
      </c>
      <c r="BO45" s="878">
        <v>1422.0426776094539</v>
      </c>
      <c r="BP45" s="878">
        <v>1439.8729521815442</v>
      </c>
      <c r="BQ45" s="878">
        <v>1445.9378724651376</v>
      </c>
      <c r="BR45" s="878">
        <v>1379.3190071556162</v>
      </c>
      <c r="BS45" s="878">
        <v>1386.5160951345206</v>
      </c>
      <c r="BT45" s="878">
        <v>1403.7218646380384</v>
      </c>
      <c r="BU45" s="878">
        <v>1393.7948318676224</v>
      </c>
      <c r="BV45" s="878">
        <v>1521.7152890270499</v>
      </c>
      <c r="BW45" s="878">
        <v>1933.11199854705</v>
      </c>
      <c r="BX45" s="878">
        <v>1912.0727801009612</v>
      </c>
      <c r="BY45" s="878">
        <v>1921.6358240507996</v>
      </c>
      <c r="BZ45" s="878">
        <v>1990.6143178181733</v>
      </c>
      <c r="CA45" s="878">
        <v>1975.146650228706</v>
      </c>
      <c r="CB45" s="878">
        <v>1976.1102385692122</v>
      </c>
      <c r="CC45" s="878">
        <v>1549.53095162095</v>
      </c>
      <c r="CD45" s="878">
        <v>1451.2084267842474</v>
      </c>
      <c r="CE45" s="878">
        <v>1462.7293710680965</v>
      </c>
      <c r="CF45" s="878">
        <v>1468.7169780747017</v>
      </c>
      <c r="CG45" s="878">
        <v>1371.7919477338276</v>
      </c>
      <c r="CH45" s="878">
        <v>1301.3431934843293</v>
      </c>
      <c r="CI45" s="878">
        <v>1435.6952422045135</v>
      </c>
      <c r="CJ45" s="878">
        <v>1423.1869166581421</v>
      </c>
      <c r="CK45" s="878">
        <v>1431.8376136449285</v>
      </c>
      <c r="CL45" s="878">
        <v>1432.2704903741173</v>
      </c>
      <c r="CM45" s="878">
        <v>1524.088442361897</v>
      </c>
      <c r="CN45" s="878">
        <v>1532.8938521289851</v>
      </c>
      <c r="CO45" s="878">
        <v>1532.9577735925491</v>
      </c>
      <c r="CP45" s="878">
        <v>1715.827919374251</v>
      </c>
      <c r="CQ45" s="878">
        <v>1649.1695327521491</v>
      </c>
      <c r="CR45" s="878">
        <v>1460.7716587237439</v>
      </c>
      <c r="CS45" s="878">
        <v>1438.3533015501523</v>
      </c>
      <c r="CT45" s="878">
        <v>1386.4952811582689</v>
      </c>
      <c r="CU45" s="878">
        <v>1332.9707305499999</v>
      </c>
      <c r="CV45" s="878">
        <v>1308.9182295701269</v>
      </c>
      <c r="CW45" s="878">
        <v>1316.1312103094506</v>
      </c>
      <c r="CX45" s="878">
        <v>1318.5360748386327</v>
      </c>
      <c r="CY45" s="878">
        <v>1323.9944375765087</v>
      </c>
      <c r="CZ45" s="878">
        <v>1328.110314419614</v>
      </c>
      <c r="DA45" s="878">
        <v>1202.7802076645592</v>
      </c>
      <c r="DB45" s="878">
        <v>1221.9853446457637</v>
      </c>
      <c r="DC45" s="860">
        <v>1374.2251503942969</v>
      </c>
      <c r="DD45" s="860">
        <v>1388.9988532843061</v>
      </c>
      <c r="DE45" s="860">
        <v>1404.8856212686744</v>
      </c>
      <c r="DF45" s="860">
        <v>1503.8777184331655</v>
      </c>
      <c r="DG45" s="860">
        <v>1503.1837323446</v>
      </c>
      <c r="DH45" s="860">
        <v>1509.9911426466865</v>
      </c>
      <c r="DI45" s="860">
        <v>1464.9309500705567</v>
      </c>
      <c r="DJ45" s="860">
        <v>1465.407940740374</v>
      </c>
      <c r="DK45" s="860">
        <v>1442.8233164702444</v>
      </c>
      <c r="DL45" s="860">
        <v>1422.9910695259798</v>
      </c>
      <c r="DM45" s="860">
        <v>1428.990375419387</v>
      </c>
      <c r="DN45" s="860">
        <v>1355.0615200502557</v>
      </c>
      <c r="DO45" s="860">
        <v>1274.5697103494476</v>
      </c>
      <c r="DP45" s="860">
        <v>1319.0182214076901</v>
      </c>
      <c r="DQ45" s="860">
        <v>1342.1797533522811</v>
      </c>
      <c r="DR45" s="860">
        <v>1048.6164130681868</v>
      </c>
      <c r="DS45" s="860">
        <v>1196.5194532038622</v>
      </c>
    </row>
    <row r="46" spans="1:123" ht="17.25" customHeight="1">
      <c r="A46" s="857"/>
      <c r="B46" s="858"/>
      <c r="C46" s="937"/>
      <c r="D46" s="937"/>
      <c r="E46" s="937"/>
      <c r="F46" s="938"/>
      <c r="G46" s="937"/>
      <c r="H46" s="939"/>
      <c r="I46" s="937"/>
      <c r="J46" s="937"/>
      <c r="K46" s="937"/>
      <c r="L46" s="937"/>
      <c r="M46" s="938"/>
      <c r="N46" s="937"/>
      <c r="O46" s="937"/>
      <c r="P46" s="937"/>
      <c r="Q46" s="937"/>
      <c r="R46" s="937"/>
      <c r="S46" s="937"/>
      <c r="T46" s="937"/>
      <c r="U46" s="937"/>
      <c r="V46" s="937"/>
      <c r="W46" s="937"/>
      <c r="X46" s="937"/>
      <c r="Y46" s="937"/>
      <c r="Z46" s="937"/>
      <c r="AA46" s="937"/>
      <c r="AB46" s="937"/>
      <c r="AC46" s="937"/>
      <c r="AD46" s="939"/>
      <c r="AE46" s="937"/>
      <c r="AF46" s="937"/>
      <c r="AG46" s="937"/>
      <c r="AH46" s="937"/>
      <c r="AI46" s="937"/>
      <c r="AJ46" s="937"/>
      <c r="AK46" s="937"/>
      <c r="AL46" s="937"/>
      <c r="AM46" s="937"/>
      <c r="AN46" s="937"/>
      <c r="AO46" s="939"/>
      <c r="AP46" s="937"/>
      <c r="AQ46" s="937"/>
      <c r="AR46" s="937"/>
      <c r="AS46" s="937"/>
      <c r="AT46" s="937"/>
      <c r="AU46" s="937"/>
      <c r="AV46" s="937"/>
      <c r="AW46" s="937"/>
      <c r="AX46" s="937"/>
      <c r="AY46" s="937"/>
      <c r="AZ46" s="937"/>
      <c r="BA46" s="937"/>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c r="CB46" s="937"/>
      <c r="CC46" s="937"/>
      <c r="CD46" s="937"/>
      <c r="CE46" s="937"/>
      <c r="CF46" s="937"/>
      <c r="CG46" s="937"/>
      <c r="CH46" s="937"/>
      <c r="CI46" s="937"/>
      <c r="CJ46" s="937"/>
      <c r="CK46" s="937"/>
      <c r="CL46" s="937"/>
      <c r="CM46" s="937"/>
      <c r="CN46" s="937"/>
      <c r="CO46" s="937"/>
      <c r="CP46" s="937"/>
      <c r="CQ46" s="937"/>
      <c r="CR46" s="937"/>
      <c r="CS46" s="937"/>
      <c r="CT46" s="937"/>
      <c r="CU46" s="937"/>
      <c r="CV46" s="937"/>
      <c r="CW46" s="937"/>
      <c r="CX46" s="937"/>
      <c r="CY46" s="937"/>
      <c r="CZ46" s="937"/>
      <c r="DA46" s="937"/>
      <c r="DB46" s="937"/>
      <c r="DC46" s="940"/>
      <c r="DD46" s="940"/>
      <c r="DE46" s="940"/>
      <c r="DF46" s="940"/>
      <c r="DG46" s="940"/>
      <c r="DH46" s="940"/>
      <c r="DI46" s="940"/>
      <c r="DJ46" s="940"/>
      <c r="DK46" s="940"/>
      <c r="DL46" s="940"/>
      <c r="DM46" s="940"/>
      <c r="DN46" s="940"/>
      <c r="DO46" s="940"/>
      <c r="DP46" s="940"/>
      <c r="DQ46" s="940"/>
      <c r="DR46" s="940"/>
      <c r="DS46" s="940"/>
    </row>
    <row r="47" spans="1:123" ht="17.25" customHeight="1">
      <c r="A47" s="853" t="s">
        <v>2532</v>
      </c>
      <c r="B47" s="854" t="s">
        <v>2533</v>
      </c>
      <c r="C47" s="909">
        <v>231.56321800000001</v>
      </c>
      <c r="D47" s="909">
        <v>244.56903</v>
      </c>
      <c r="E47" s="909">
        <v>243.88480200000001</v>
      </c>
      <c r="F47" s="910">
        <v>254.87686330000002</v>
      </c>
      <c r="G47" s="909">
        <v>261.02242823</v>
      </c>
      <c r="H47" s="911">
        <v>267.73320560000002</v>
      </c>
      <c r="I47" s="909">
        <v>275.04052743</v>
      </c>
      <c r="J47" s="909">
        <v>282.31181935000001</v>
      </c>
      <c r="K47" s="909">
        <v>289.80162895000007</v>
      </c>
      <c r="L47" s="909">
        <v>297.32200588000001</v>
      </c>
      <c r="M47" s="910">
        <v>304.61871102999999</v>
      </c>
      <c r="N47" s="909">
        <v>312.86439624000002</v>
      </c>
      <c r="O47" s="909">
        <v>355.71567060000001</v>
      </c>
      <c r="P47" s="909">
        <v>360.58522907999998</v>
      </c>
      <c r="Q47" s="909">
        <v>371.85660204000004</v>
      </c>
      <c r="R47" s="909">
        <v>377.38239969</v>
      </c>
      <c r="S47" s="909">
        <v>384.55283004</v>
      </c>
      <c r="T47" s="909">
        <v>392.83459299999998</v>
      </c>
      <c r="U47" s="909">
        <v>401.13427152999998</v>
      </c>
      <c r="V47" s="909">
        <v>409.26100296999999</v>
      </c>
      <c r="W47" s="909">
        <v>417.49837152999999</v>
      </c>
      <c r="X47" s="909">
        <v>428.14300871999995</v>
      </c>
      <c r="Y47" s="909">
        <v>440.10148677000001</v>
      </c>
      <c r="Z47" s="909">
        <v>451.12151657999993</v>
      </c>
      <c r="AA47" s="909">
        <v>464.7323165468012</v>
      </c>
      <c r="AB47" s="909">
        <v>472.71757152260756</v>
      </c>
      <c r="AC47" s="909">
        <v>483.25531720112178</v>
      </c>
      <c r="AD47" s="911">
        <v>490.05508636967824</v>
      </c>
      <c r="AE47" s="909">
        <v>490.05508636967824</v>
      </c>
      <c r="AF47" s="909">
        <v>510.40847064355597</v>
      </c>
      <c r="AG47" s="909">
        <v>522.70660879719185</v>
      </c>
      <c r="AH47" s="909">
        <v>531.99716621448056</v>
      </c>
      <c r="AI47" s="909">
        <v>542.1180730656896</v>
      </c>
      <c r="AJ47" s="909">
        <v>554.99149347934485</v>
      </c>
      <c r="AK47" s="909">
        <v>565.67439563025982</v>
      </c>
      <c r="AL47" s="909">
        <v>576.60892327325655</v>
      </c>
      <c r="AM47" s="909">
        <v>587.19330397957037</v>
      </c>
      <c r="AN47" s="909">
        <v>598.07582635165284</v>
      </c>
      <c r="AO47" s="911">
        <v>597.27096200000005</v>
      </c>
      <c r="AP47" s="909">
        <v>616.6490233267084</v>
      </c>
      <c r="AQ47" s="909">
        <v>623.19187332676222</v>
      </c>
      <c r="AR47" s="909">
        <v>634.66276787486925</v>
      </c>
      <c r="AS47" s="909">
        <v>647.0725286951448</v>
      </c>
      <c r="AT47" s="909">
        <v>659.28995629436088</v>
      </c>
      <c r="AU47" s="909">
        <v>672.32849999999996</v>
      </c>
      <c r="AV47" s="909">
        <v>682.70006847057846</v>
      </c>
      <c r="AW47" s="909">
        <v>676.41281135999998</v>
      </c>
      <c r="AX47" s="909">
        <v>687.06705868999995</v>
      </c>
      <c r="AY47" s="909">
        <v>704.40739228999996</v>
      </c>
      <c r="AZ47" s="909">
        <v>713.35561501999996</v>
      </c>
      <c r="BA47" s="909">
        <v>723.75272247999999</v>
      </c>
      <c r="BB47" s="909">
        <v>735.30842346999998</v>
      </c>
      <c r="BC47" s="909">
        <v>747.63109256000007</v>
      </c>
      <c r="BD47" s="909">
        <v>759.73270224999999</v>
      </c>
      <c r="BE47" s="909">
        <v>772.19647421000002</v>
      </c>
      <c r="BF47" s="909">
        <v>783.64372535000007</v>
      </c>
      <c r="BG47" s="909">
        <v>795.03426162999995</v>
      </c>
      <c r="BH47" s="909">
        <v>806.36142286999996</v>
      </c>
      <c r="BI47" s="909">
        <v>817.11920386999998</v>
      </c>
      <c r="BJ47" s="909">
        <v>829.69099343000005</v>
      </c>
      <c r="BK47" s="909">
        <v>841.75958768999999</v>
      </c>
      <c r="BL47" s="909">
        <v>841.34192214999996</v>
      </c>
      <c r="BM47" s="909">
        <v>850.71337003999997</v>
      </c>
      <c r="BN47" s="909">
        <v>860.90493549999997</v>
      </c>
      <c r="BO47" s="909">
        <v>871.46817457999987</v>
      </c>
      <c r="BP47" s="909">
        <v>882.04527719000009</v>
      </c>
      <c r="BQ47" s="909">
        <v>892.00809130000005</v>
      </c>
      <c r="BR47" s="909">
        <v>903.91998393000006</v>
      </c>
      <c r="BS47" s="909">
        <v>913.01940185000001</v>
      </c>
      <c r="BT47" s="909">
        <v>921.02394779999997</v>
      </c>
      <c r="BU47" s="909">
        <v>929.69761502000006</v>
      </c>
      <c r="BV47" s="909">
        <v>941.94318427000007</v>
      </c>
      <c r="BW47" s="909">
        <v>951.54407246999995</v>
      </c>
      <c r="BX47" s="909">
        <v>951.26087802999996</v>
      </c>
      <c r="BY47" s="909">
        <v>960.51654225000004</v>
      </c>
      <c r="BZ47" s="909">
        <v>959.27091482999992</v>
      </c>
      <c r="CA47" s="909">
        <v>968.69937096000001</v>
      </c>
      <c r="CB47" s="909">
        <v>976.84763184999997</v>
      </c>
      <c r="CC47" s="909">
        <v>987.94876218999991</v>
      </c>
      <c r="CD47" s="909">
        <v>997.67433128999994</v>
      </c>
      <c r="CE47" s="909">
        <v>1008.3339269400001</v>
      </c>
      <c r="CF47" s="909">
        <v>1018.04001825</v>
      </c>
      <c r="CG47" s="909">
        <v>1027.9046779100001</v>
      </c>
      <c r="CH47" s="909">
        <v>1034.54105153</v>
      </c>
      <c r="CI47" s="909">
        <v>1046.3292143400001</v>
      </c>
      <c r="CJ47" s="909">
        <v>1056.93696527</v>
      </c>
      <c r="CK47" s="909">
        <v>1068.1048831099999</v>
      </c>
      <c r="CL47" s="909">
        <v>1086.2447271100002</v>
      </c>
      <c r="CM47" s="909">
        <v>1094.89581032</v>
      </c>
      <c r="CN47" s="909">
        <v>1103.7077119</v>
      </c>
      <c r="CO47" s="909">
        <v>1114.0039380399999</v>
      </c>
      <c r="CP47" s="909">
        <v>1126.4172563299999</v>
      </c>
      <c r="CQ47" s="909">
        <v>1136.3494650599998</v>
      </c>
      <c r="CR47" s="909">
        <v>1148.6181616200001</v>
      </c>
      <c r="CS47" s="909">
        <v>1159.7702537600001</v>
      </c>
      <c r="CT47" s="909">
        <v>1170.5591787599999</v>
      </c>
      <c r="CU47" s="909">
        <v>1181.90419982</v>
      </c>
      <c r="CV47" s="909">
        <v>1190.8741275899999</v>
      </c>
      <c r="CW47" s="909">
        <v>1201.6446606699999</v>
      </c>
      <c r="CX47" s="909">
        <v>1213.0932805299999</v>
      </c>
      <c r="CY47" s="909">
        <v>1224.16639169</v>
      </c>
      <c r="CZ47" s="909">
        <v>1235.9602562800001</v>
      </c>
      <c r="DA47" s="909">
        <v>1250.3412743499998</v>
      </c>
      <c r="DB47" s="909">
        <v>1263.11193826</v>
      </c>
      <c r="DC47" s="855">
        <v>1275.6406891000001</v>
      </c>
      <c r="DD47" s="855">
        <v>1286.59783924</v>
      </c>
      <c r="DE47" s="855">
        <v>1297.00956477</v>
      </c>
      <c r="DF47" s="855">
        <v>1309.7397866099998</v>
      </c>
      <c r="DG47" s="855">
        <v>1321.1902400800002</v>
      </c>
      <c r="DH47" s="855">
        <v>1329.31778654</v>
      </c>
      <c r="DI47" s="855">
        <v>1337.5223003600001</v>
      </c>
      <c r="DJ47" s="855">
        <v>1348.4084109800001</v>
      </c>
      <c r="DK47" s="855">
        <v>1358.71483412</v>
      </c>
      <c r="DL47" s="855">
        <v>1367.46305525</v>
      </c>
      <c r="DM47" s="855">
        <v>1380.1434952499999</v>
      </c>
      <c r="DN47" s="855">
        <v>1392.2231166600002</v>
      </c>
      <c r="DO47" s="855">
        <v>1404.5468900500002</v>
      </c>
      <c r="DP47" s="855">
        <v>1413.72892305</v>
      </c>
      <c r="DQ47" s="855">
        <v>1419.5644658799999</v>
      </c>
      <c r="DR47" s="855">
        <v>1426.2431410899999</v>
      </c>
      <c r="DS47" s="855">
        <v>1439.1363995300001</v>
      </c>
    </row>
    <row r="48" spans="1:123" ht="17.25" customHeight="1">
      <c r="A48" s="857"/>
      <c r="B48" s="858"/>
      <c r="C48" s="937"/>
      <c r="D48" s="937"/>
      <c r="E48" s="937"/>
      <c r="F48" s="938"/>
      <c r="G48" s="937"/>
      <c r="H48" s="939"/>
      <c r="I48" s="937"/>
      <c r="J48" s="937"/>
      <c r="K48" s="937"/>
      <c r="L48" s="937"/>
      <c r="M48" s="938"/>
      <c r="N48" s="937"/>
      <c r="O48" s="937"/>
      <c r="P48" s="937"/>
      <c r="Q48" s="937"/>
      <c r="R48" s="937"/>
      <c r="S48" s="937"/>
      <c r="T48" s="937"/>
      <c r="U48" s="937"/>
      <c r="V48" s="937"/>
      <c r="W48" s="937"/>
      <c r="X48" s="937"/>
      <c r="Y48" s="937"/>
      <c r="Z48" s="937"/>
      <c r="AA48" s="937"/>
      <c r="AB48" s="937"/>
      <c r="AC48" s="937"/>
      <c r="AD48" s="939"/>
      <c r="AE48" s="937"/>
      <c r="AF48" s="937"/>
      <c r="AG48" s="937"/>
      <c r="AH48" s="937"/>
      <c r="AI48" s="937"/>
      <c r="AJ48" s="937"/>
      <c r="AK48" s="937"/>
      <c r="AL48" s="937"/>
      <c r="AM48" s="937"/>
      <c r="AN48" s="937"/>
      <c r="AO48" s="939"/>
      <c r="AP48" s="937"/>
      <c r="AQ48" s="937"/>
      <c r="AR48" s="937"/>
      <c r="AS48" s="937"/>
      <c r="AT48" s="937"/>
      <c r="AU48" s="937"/>
      <c r="AV48" s="937"/>
      <c r="AW48" s="937"/>
      <c r="AX48" s="937"/>
      <c r="AY48" s="937"/>
      <c r="AZ48" s="937"/>
      <c r="BA48" s="937"/>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c r="CB48" s="937"/>
      <c r="CC48" s="937"/>
      <c r="CD48" s="937"/>
      <c r="CE48" s="937"/>
      <c r="CF48" s="937"/>
      <c r="CG48" s="937"/>
      <c r="CH48" s="937"/>
      <c r="CI48" s="937"/>
      <c r="CJ48" s="937"/>
      <c r="CK48" s="937"/>
      <c r="CL48" s="937"/>
      <c r="CM48" s="937"/>
      <c r="CN48" s="937"/>
      <c r="CO48" s="937"/>
      <c r="CP48" s="937"/>
      <c r="CQ48" s="937"/>
      <c r="CR48" s="937"/>
      <c r="CS48" s="937"/>
      <c r="CT48" s="937"/>
      <c r="CU48" s="937"/>
      <c r="CV48" s="937"/>
      <c r="CW48" s="937"/>
      <c r="CX48" s="937"/>
      <c r="CY48" s="937"/>
      <c r="CZ48" s="937"/>
      <c r="DA48" s="937"/>
      <c r="DB48" s="937"/>
      <c r="DC48" s="940"/>
      <c r="DD48" s="940"/>
      <c r="DE48" s="940"/>
      <c r="DF48" s="940"/>
      <c r="DG48" s="940"/>
      <c r="DH48" s="940"/>
      <c r="DI48" s="940"/>
      <c r="DJ48" s="940"/>
      <c r="DK48" s="940"/>
      <c r="DL48" s="940"/>
      <c r="DM48" s="940"/>
      <c r="DN48" s="940"/>
      <c r="DO48" s="940"/>
      <c r="DP48" s="940"/>
      <c r="DQ48" s="940"/>
      <c r="DR48" s="940"/>
      <c r="DS48" s="940"/>
    </row>
    <row r="49" spans="1:123" ht="17.25" customHeight="1">
      <c r="A49" s="853" t="s">
        <v>2534</v>
      </c>
      <c r="B49" s="854" t="s">
        <v>2552</v>
      </c>
      <c r="C49" s="909">
        <v>600.40865150000002</v>
      </c>
      <c r="D49" s="909">
        <v>631.80492100000004</v>
      </c>
      <c r="E49" s="909">
        <v>442.22716700000001</v>
      </c>
      <c r="F49" s="910">
        <v>426.5625</v>
      </c>
      <c r="G49" s="909">
        <v>401.52750700000001</v>
      </c>
      <c r="H49" s="911">
        <v>394.97407600000003</v>
      </c>
      <c r="I49" s="909">
        <v>385.5</v>
      </c>
      <c r="J49" s="909">
        <v>405.88484299931508</v>
      </c>
      <c r="K49" s="909">
        <v>409.48247814999996</v>
      </c>
      <c r="L49" s="909">
        <v>427.01206814999995</v>
      </c>
      <c r="M49" s="910">
        <v>394.37107414999997</v>
      </c>
      <c r="N49" s="909">
        <v>409.44987114999998</v>
      </c>
      <c r="O49" s="909">
        <v>344.957334</v>
      </c>
      <c r="P49" s="909">
        <v>352.348794</v>
      </c>
      <c r="Q49" s="909">
        <v>355.197587</v>
      </c>
      <c r="R49" s="909">
        <v>348.09178100000003</v>
      </c>
      <c r="S49" s="909">
        <v>312.91891399999997</v>
      </c>
      <c r="T49" s="909">
        <v>332.280823</v>
      </c>
      <c r="U49" s="909">
        <v>307</v>
      </c>
      <c r="V49" s="909">
        <v>309.41836999999998</v>
      </c>
      <c r="W49" s="909">
        <v>311.67551500000002</v>
      </c>
      <c r="X49" s="909">
        <v>310.55273999999997</v>
      </c>
      <c r="Y49" s="909">
        <v>290.30972700000001</v>
      </c>
      <c r="Z49" s="909">
        <v>287.501938</v>
      </c>
      <c r="AA49" s="909">
        <v>271</v>
      </c>
      <c r="AB49" s="909">
        <v>273.26852000000002</v>
      </c>
      <c r="AC49" s="909">
        <v>275.53704199999999</v>
      </c>
      <c r="AD49" s="911">
        <v>269.59178100000003</v>
      </c>
      <c r="AE49" s="909">
        <v>233.88992500000001</v>
      </c>
      <c r="AF49" s="909">
        <v>235.720541</v>
      </c>
      <c r="AG49" s="909">
        <v>228.5</v>
      </c>
      <c r="AH49" s="909">
        <v>230.391638</v>
      </c>
      <c r="AI49" s="909">
        <v>232.16123400000001</v>
      </c>
      <c r="AJ49" s="909">
        <v>228.66123400000001</v>
      </c>
      <c r="AK49" s="909">
        <v>233.814549</v>
      </c>
      <c r="AL49" s="909">
        <v>229.394836</v>
      </c>
      <c r="AM49" s="909">
        <v>192.57786899999999</v>
      </c>
      <c r="AN49" s="909">
        <v>194.14480900000001</v>
      </c>
      <c r="AO49" s="911">
        <v>195.711748</v>
      </c>
      <c r="AP49" s="909">
        <v>153.65983600000001</v>
      </c>
      <c r="AQ49" s="909">
        <v>153.65983600000001</v>
      </c>
      <c r="AR49" s="909">
        <v>0</v>
      </c>
      <c r="AS49" s="909">
        <v>0</v>
      </c>
      <c r="AT49" s="909">
        <v>0</v>
      </c>
      <c r="AU49" s="909">
        <v>0</v>
      </c>
      <c r="AV49" s="909">
        <v>0</v>
      </c>
      <c r="AW49" s="909">
        <v>0</v>
      </c>
      <c r="AX49" s="909">
        <v>0</v>
      </c>
      <c r="AY49" s="909">
        <v>0</v>
      </c>
      <c r="AZ49" s="909">
        <v>0</v>
      </c>
      <c r="BA49" s="909">
        <v>0</v>
      </c>
      <c r="BB49" s="909">
        <v>0</v>
      </c>
      <c r="BC49" s="909">
        <v>0</v>
      </c>
      <c r="BD49" s="909">
        <v>0</v>
      </c>
      <c r="BE49" s="909">
        <v>0</v>
      </c>
      <c r="BF49" s="909">
        <v>0</v>
      </c>
      <c r="BG49" s="909">
        <v>0</v>
      </c>
      <c r="BH49" s="909">
        <v>0</v>
      </c>
      <c r="BI49" s="909">
        <v>0</v>
      </c>
      <c r="BJ49" s="909">
        <v>0</v>
      </c>
      <c r="BK49" s="909">
        <v>0</v>
      </c>
      <c r="BL49" s="909">
        <v>0</v>
      </c>
      <c r="BM49" s="909">
        <v>0</v>
      </c>
      <c r="BN49" s="909">
        <v>0</v>
      </c>
      <c r="BO49" s="909">
        <v>0</v>
      </c>
      <c r="BP49" s="909">
        <v>0</v>
      </c>
      <c r="BQ49" s="909">
        <v>0</v>
      </c>
      <c r="BR49" s="909">
        <v>0</v>
      </c>
      <c r="BS49" s="909">
        <v>0</v>
      </c>
      <c r="BT49" s="909">
        <v>0</v>
      </c>
      <c r="BU49" s="909">
        <v>0</v>
      </c>
      <c r="BV49" s="909">
        <v>0</v>
      </c>
      <c r="BW49" s="909">
        <v>0</v>
      </c>
      <c r="BX49" s="909">
        <v>0</v>
      </c>
      <c r="BY49" s="909">
        <v>0</v>
      </c>
      <c r="BZ49" s="909">
        <v>0</v>
      </c>
      <c r="CA49" s="909">
        <v>0</v>
      </c>
      <c r="CB49" s="909">
        <v>0</v>
      </c>
      <c r="CC49" s="909">
        <v>0</v>
      </c>
      <c r="CD49" s="909">
        <v>0</v>
      </c>
      <c r="CE49" s="909">
        <v>0</v>
      </c>
      <c r="CF49" s="909">
        <v>0</v>
      </c>
      <c r="CG49" s="909">
        <v>0</v>
      </c>
      <c r="CH49" s="909">
        <v>0</v>
      </c>
      <c r="CI49" s="909">
        <v>0</v>
      </c>
      <c r="CJ49" s="909">
        <v>0</v>
      </c>
      <c r="CK49" s="909">
        <v>0</v>
      </c>
      <c r="CL49" s="909">
        <v>0</v>
      </c>
      <c r="CM49" s="909">
        <v>0</v>
      </c>
      <c r="CN49" s="909">
        <v>0</v>
      </c>
      <c r="CO49" s="909">
        <v>0</v>
      </c>
      <c r="CP49" s="909">
        <v>0</v>
      </c>
      <c r="CQ49" s="909">
        <v>0</v>
      </c>
      <c r="CR49" s="909">
        <v>0</v>
      </c>
      <c r="CS49" s="909">
        <v>0</v>
      </c>
      <c r="CT49" s="909">
        <v>0</v>
      </c>
      <c r="CU49" s="909">
        <v>0</v>
      </c>
      <c r="CV49" s="909">
        <v>0</v>
      </c>
      <c r="CW49" s="909">
        <v>0</v>
      </c>
      <c r="CX49" s="909">
        <v>0</v>
      </c>
      <c r="CY49" s="909">
        <v>0</v>
      </c>
      <c r="CZ49" s="909">
        <v>0</v>
      </c>
      <c r="DA49" s="909">
        <v>0</v>
      </c>
      <c r="DB49" s="909">
        <v>0</v>
      </c>
      <c r="DC49" s="855">
        <v>0</v>
      </c>
      <c r="DD49" s="855">
        <v>0</v>
      </c>
      <c r="DE49" s="855">
        <v>0</v>
      </c>
      <c r="DF49" s="855">
        <v>0</v>
      </c>
      <c r="DG49" s="855">
        <v>0</v>
      </c>
      <c r="DH49" s="855">
        <v>0</v>
      </c>
      <c r="DI49" s="855">
        <v>0</v>
      </c>
      <c r="DJ49" s="855">
        <v>0</v>
      </c>
      <c r="DK49" s="855">
        <v>0</v>
      </c>
      <c r="DL49" s="855">
        <v>0</v>
      </c>
      <c r="DM49" s="855">
        <v>0</v>
      </c>
      <c r="DN49" s="855">
        <v>0</v>
      </c>
      <c r="DO49" s="855">
        <v>0</v>
      </c>
      <c r="DP49" s="855">
        <v>0</v>
      </c>
      <c r="DQ49" s="855">
        <v>0</v>
      </c>
      <c r="DR49" s="855">
        <v>0</v>
      </c>
      <c r="DS49" s="855">
        <v>0</v>
      </c>
    </row>
    <row r="50" spans="1:123" ht="17.25" customHeight="1">
      <c r="A50" s="857"/>
      <c r="B50" s="858"/>
      <c r="C50" s="937"/>
      <c r="D50" s="937"/>
      <c r="E50" s="937"/>
      <c r="F50" s="938"/>
      <c r="G50" s="937"/>
      <c r="H50" s="939"/>
      <c r="I50" s="937"/>
      <c r="J50" s="937"/>
      <c r="K50" s="937"/>
      <c r="L50" s="937"/>
      <c r="M50" s="938"/>
      <c r="N50" s="937"/>
      <c r="O50" s="937"/>
      <c r="P50" s="937"/>
      <c r="Q50" s="937"/>
      <c r="R50" s="937"/>
      <c r="S50" s="937"/>
      <c r="T50" s="937"/>
      <c r="U50" s="937"/>
      <c r="V50" s="937"/>
      <c r="W50" s="937"/>
      <c r="X50" s="937"/>
      <c r="Y50" s="937"/>
      <c r="Z50" s="937"/>
      <c r="AA50" s="937"/>
      <c r="AB50" s="937"/>
      <c r="AC50" s="937"/>
      <c r="AD50" s="939"/>
      <c r="AE50" s="937"/>
      <c r="AF50" s="937"/>
      <c r="AG50" s="937"/>
      <c r="AH50" s="937"/>
      <c r="AI50" s="937"/>
      <c r="AJ50" s="937"/>
      <c r="AK50" s="937"/>
      <c r="AL50" s="937"/>
      <c r="AM50" s="937"/>
      <c r="AN50" s="937"/>
      <c r="AO50" s="939"/>
      <c r="AP50" s="937"/>
      <c r="AQ50" s="937"/>
      <c r="AR50" s="937"/>
      <c r="AS50" s="937"/>
      <c r="AT50" s="937"/>
      <c r="AU50" s="937"/>
      <c r="AV50" s="937"/>
      <c r="AW50" s="937"/>
      <c r="AX50" s="937"/>
      <c r="AY50" s="937"/>
      <c r="AZ50" s="937"/>
      <c r="BA50" s="937"/>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c r="CB50" s="937"/>
      <c r="CC50" s="937"/>
      <c r="CD50" s="937"/>
      <c r="CE50" s="937"/>
      <c r="CF50" s="937"/>
      <c r="CG50" s="937"/>
      <c r="CH50" s="937"/>
      <c r="CI50" s="937"/>
      <c r="CJ50" s="937"/>
      <c r="CK50" s="937"/>
      <c r="CL50" s="937"/>
      <c r="CM50" s="937"/>
      <c r="CN50" s="937"/>
      <c r="CO50" s="937"/>
      <c r="CP50" s="937"/>
      <c r="CQ50" s="937"/>
      <c r="CR50" s="937"/>
      <c r="CS50" s="937"/>
      <c r="CT50" s="937"/>
      <c r="CU50" s="937"/>
      <c r="CV50" s="937"/>
      <c r="CW50" s="937"/>
      <c r="CX50" s="937"/>
      <c r="CY50" s="937"/>
      <c r="CZ50" s="937"/>
      <c r="DA50" s="937"/>
      <c r="DB50" s="937"/>
      <c r="DC50" s="940"/>
      <c r="DD50" s="940"/>
      <c r="DE50" s="940"/>
      <c r="DF50" s="940"/>
      <c r="DG50" s="940"/>
      <c r="DH50" s="940"/>
      <c r="DI50" s="940"/>
      <c r="DJ50" s="940"/>
      <c r="DK50" s="940"/>
      <c r="DL50" s="940"/>
      <c r="DM50" s="940"/>
      <c r="DN50" s="940"/>
      <c r="DO50" s="940"/>
      <c r="DP50" s="940"/>
      <c r="DQ50" s="940"/>
      <c r="DR50" s="940"/>
      <c r="DS50" s="940"/>
    </row>
    <row r="51" spans="1:123" ht="17.25" customHeight="1">
      <c r="A51" s="853" t="s">
        <v>2536</v>
      </c>
      <c r="B51" s="854" t="s">
        <v>2312</v>
      </c>
      <c r="C51" s="909">
        <v>2630.68074501</v>
      </c>
      <c r="D51" s="909">
        <v>2630.0928586</v>
      </c>
      <c r="E51" s="909">
        <v>2788.2714956599998</v>
      </c>
      <c r="F51" s="910">
        <v>2937.78657587</v>
      </c>
      <c r="G51" s="909">
        <v>3136.29602462</v>
      </c>
      <c r="H51" s="911">
        <v>3221.8251217100001</v>
      </c>
      <c r="I51" s="909">
        <v>3192.1693638599995</v>
      </c>
      <c r="J51" s="909">
        <v>3147.4126953200002</v>
      </c>
      <c r="K51" s="909">
        <v>3180.08305728</v>
      </c>
      <c r="L51" s="909">
        <v>3063.57494008</v>
      </c>
      <c r="M51" s="910">
        <v>3079.9941545900001</v>
      </c>
      <c r="N51" s="909">
        <v>3152.0075121699997</v>
      </c>
      <c r="O51" s="909">
        <v>3330.3147581099997</v>
      </c>
      <c r="P51" s="909">
        <v>3770.2093561700008</v>
      </c>
      <c r="Q51" s="909">
        <v>4070.7419166169207</v>
      </c>
      <c r="R51" s="909">
        <v>4102.3249012710303</v>
      </c>
      <c r="S51" s="909">
        <v>4117.7779041700005</v>
      </c>
      <c r="T51" s="909">
        <v>4092.9335569362497</v>
      </c>
      <c r="U51" s="909">
        <v>4260.7382215410007</v>
      </c>
      <c r="V51" s="909">
        <v>4441.7436501800003</v>
      </c>
      <c r="W51" s="909">
        <v>4356.7828689500002</v>
      </c>
      <c r="X51" s="909">
        <v>4467.3319967765165</v>
      </c>
      <c r="Y51" s="909">
        <v>4451.5651270376293</v>
      </c>
      <c r="Z51" s="909">
        <v>4453.3888107366174</v>
      </c>
      <c r="AA51" s="909">
        <v>4698.3670634208793</v>
      </c>
      <c r="AB51" s="909">
        <v>4622.4491841764384</v>
      </c>
      <c r="AC51" s="909">
        <v>4475.787280789863</v>
      </c>
      <c r="AD51" s="911">
        <v>4402.8774204715073</v>
      </c>
      <c r="AE51" s="909">
        <v>4123.1845085715076</v>
      </c>
      <c r="AF51" s="909">
        <v>3967.1421136384934</v>
      </c>
      <c r="AG51" s="909">
        <v>3743.5247357060271</v>
      </c>
      <c r="AH51" s="909">
        <v>3834.2236840501369</v>
      </c>
      <c r="AI51" s="909">
        <v>3689.1825157124658</v>
      </c>
      <c r="AJ51" s="909">
        <v>3500.7062226813696</v>
      </c>
      <c r="AK51" s="909">
        <v>3408.127094673288</v>
      </c>
      <c r="AL51" s="909">
        <v>3379.3276802513701</v>
      </c>
      <c r="AM51" s="909">
        <v>3239.4535967432876</v>
      </c>
      <c r="AN51" s="909">
        <v>3458.5866201902741</v>
      </c>
      <c r="AO51" s="911">
        <v>4137.0583415399997</v>
      </c>
      <c r="AP51" s="909">
        <v>4535.7708429617805</v>
      </c>
      <c r="AQ51" s="909">
        <v>5526.6296055882194</v>
      </c>
      <c r="AR51" s="909">
        <v>5581.0321898587663</v>
      </c>
      <c r="AS51" s="909">
        <v>5282.3966919142458</v>
      </c>
      <c r="AT51" s="909">
        <v>5178.3781090543825</v>
      </c>
      <c r="AU51" s="909">
        <v>5118.4729123800007</v>
      </c>
      <c r="AV51" s="909">
        <v>4961.799643372191</v>
      </c>
      <c r="AW51" s="909">
        <v>4888.0619427682195</v>
      </c>
      <c r="AX51" s="909">
        <v>4887.5015556182207</v>
      </c>
      <c r="AY51" s="909">
        <v>4926.0327021500007</v>
      </c>
      <c r="AZ51" s="909">
        <v>4814.443608358768</v>
      </c>
      <c r="BA51" s="909">
        <v>4663.5574694575362</v>
      </c>
      <c r="BB51" s="909">
        <v>4630.1141973399999</v>
      </c>
      <c r="BC51" s="909">
        <v>4407.9392774400003</v>
      </c>
      <c r="BD51" s="909">
        <v>4407.1188998499993</v>
      </c>
      <c r="BE51" s="909">
        <v>4435.9033677699999</v>
      </c>
      <c r="BF51" s="909">
        <v>4580.6558175500004</v>
      </c>
      <c r="BG51" s="909">
        <v>4409.2727484500001</v>
      </c>
      <c r="BH51" s="909">
        <v>4692.5433414400004</v>
      </c>
      <c r="BI51" s="909">
        <v>4455.092092169999</v>
      </c>
      <c r="BJ51" s="909">
        <v>4380.3482950299995</v>
      </c>
      <c r="BK51" s="909">
        <v>4506.9304118999999</v>
      </c>
      <c r="BL51" s="909">
        <v>4432.5187507600003</v>
      </c>
      <c r="BM51" s="909">
        <v>4305.9087254700007</v>
      </c>
      <c r="BN51" s="909">
        <v>4236.2685673899996</v>
      </c>
      <c r="BO51" s="909">
        <v>4246.5308846200005</v>
      </c>
      <c r="BP51" s="909">
        <v>4238.8072340799999</v>
      </c>
      <c r="BQ51" s="909">
        <v>4198.6275755999995</v>
      </c>
      <c r="BR51" s="909">
        <v>4018.1876285899993</v>
      </c>
      <c r="BS51" s="909">
        <v>3905.2145171100001</v>
      </c>
      <c r="BT51" s="909">
        <v>4250.1657690299999</v>
      </c>
      <c r="BU51" s="909">
        <v>4535.4009117899996</v>
      </c>
      <c r="BV51" s="909">
        <v>4382.2887601600005</v>
      </c>
      <c r="BW51" s="909">
        <v>4372.8701237599998</v>
      </c>
      <c r="BX51" s="909">
        <v>4154.9125019200001</v>
      </c>
      <c r="BY51" s="909">
        <v>4060.9510421100003</v>
      </c>
      <c r="BZ51" s="909">
        <v>4231.2920926099996</v>
      </c>
      <c r="CA51" s="909">
        <v>4005.7689617100004</v>
      </c>
      <c r="CB51" s="909">
        <v>3995.8812453299997</v>
      </c>
      <c r="CC51" s="909">
        <v>4049.5394200599999</v>
      </c>
      <c r="CD51" s="909">
        <v>3905.6289133399991</v>
      </c>
      <c r="CE51" s="909">
        <v>3877.7525162399993</v>
      </c>
      <c r="CF51" s="909">
        <v>3891.9378872900002</v>
      </c>
      <c r="CG51" s="909">
        <v>3819.8157504199999</v>
      </c>
      <c r="CH51" s="909">
        <v>3370.3593737200003</v>
      </c>
      <c r="CI51" s="909">
        <v>3515.8840664700001</v>
      </c>
      <c r="CJ51" s="909">
        <v>3400.5094429699998</v>
      </c>
      <c r="CK51" s="909">
        <v>3229.11605306</v>
      </c>
      <c r="CL51" s="909">
        <v>3372.1846686099998</v>
      </c>
      <c r="CM51" s="909">
        <v>3162.9517192899998</v>
      </c>
      <c r="CN51" s="909">
        <v>3207.8926368100001</v>
      </c>
      <c r="CO51" s="909">
        <v>3357.0536541700003</v>
      </c>
      <c r="CP51" s="909">
        <v>3424.1075898799995</v>
      </c>
      <c r="CQ51" s="909">
        <v>3362.3957310299998</v>
      </c>
      <c r="CR51" s="909">
        <v>3450.9335432800003</v>
      </c>
      <c r="CS51" s="909">
        <v>3282.9613971700001</v>
      </c>
      <c r="CT51" s="909">
        <v>3094.0234828600001</v>
      </c>
      <c r="CU51" s="909">
        <v>3271.8840321299999</v>
      </c>
      <c r="CV51" s="909">
        <v>2976.3286383200002</v>
      </c>
      <c r="CW51" s="909">
        <v>3360.9093773100003</v>
      </c>
      <c r="CX51" s="909">
        <v>3720.2397529699997</v>
      </c>
      <c r="CY51" s="909">
        <v>3970.4982787899999</v>
      </c>
      <c r="CZ51" s="909">
        <v>4134.5195028899998</v>
      </c>
      <c r="DA51" s="909">
        <v>4313.6045277499998</v>
      </c>
      <c r="DB51" s="909">
        <v>4500.9335845699998</v>
      </c>
      <c r="DC51" s="855">
        <v>4484.9337620200004</v>
      </c>
      <c r="DD51" s="855">
        <v>4840.3458612600007</v>
      </c>
      <c r="DE51" s="855">
        <v>4822.7700643299995</v>
      </c>
      <c r="DF51" s="855">
        <v>5120.5762299400003</v>
      </c>
      <c r="DG51" s="855">
        <v>5244.8975885</v>
      </c>
      <c r="DH51" s="855">
        <v>5206.63189986</v>
      </c>
      <c r="DI51" s="855">
        <v>5417.2828582299999</v>
      </c>
      <c r="DJ51" s="855">
        <v>5749.2366957799995</v>
      </c>
      <c r="DK51" s="855">
        <v>5647.8101346500007</v>
      </c>
      <c r="DL51" s="855">
        <v>5746.5119646099993</v>
      </c>
      <c r="DM51" s="855">
        <v>5739.3494745499993</v>
      </c>
      <c r="DN51" s="855">
        <v>5977.5350612699995</v>
      </c>
      <c r="DO51" s="855">
        <v>6044.1496456999994</v>
      </c>
      <c r="DP51" s="855">
        <v>6131.4910062299996</v>
      </c>
      <c r="DQ51" s="855">
        <v>5682.5478497799995</v>
      </c>
      <c r="DR51" s="855">
        <v>5544.6641227099999</v>
      </c>
      <c r="DS51" s="855">
        <v>5342.6202268999996</v>
      </c>
    </row>
    <row r="52" spans="1:123" ht="17.25" customHeight="1">
      <c r="A52" s="857"/>
      <c r="B52" s="880"/>
      <c r="C52" s="937"/>
      <c r="D52" s="937"/>
      <c r="E52" s="937"/>
      <c r="F52" s="938"/>
      <c r="G52" s="937"/>
      <c r="H52" s="939"/>
      <c r="I52" s="937"/>
      <c r="J52" s="937"/>
      <c r="K52" s="937"/>
      <c r="L52" s="937"/>
      <c r="M52" s="938"/>
      <c r="N52" s="937"/>
      <c r="O52" s="937"/>
      <c r="P52" s="937"/>
      <c r="Q52" s="937"/>
      <c r="R52" s="937"/>
      <c r="S52" s="937"/>
      <c r="T52" s="937"/>
      <c r="U52" s="937"/>
      <c r="V52" s="937"/>
      <c r="W52" s="937"/>
      <c r="X52" s="937"/>
      <c r="Y52" s="937"/>
      <c r="Z52" s="937"/>
      <c r="AA52" s="937"/>
      <c r="AB52" s="937"/>
      <c r="AC52" s="937"/>
      <c r="AD52" s="939"/>
      <c r="AE52" s="937"/>
      <c r="AF52" s="937"/>
      <c r="AG52" s="937"/>
      <c r="AH52" s="937"/>
      <c r="AI52" s="937"/>
      <c r="AJ52" s="937"/>
      <c r="AK52" s="937"/>
      <c r="AL52" s="937"/>
      <c r="AM52" s="937"/>
      <c r="AN52" s="937"/>
      <c r="AO52" s="939"/>
      <c r="AP52" s="937"/>
      <c r="AQ52" s="937"/>
      <c r="AR52" s="937"/>
      <c r="AS52" s="937"/>
      <c r="AT52" s="937"/>
      <c r="AU52" s="937"/>
      <c r="AV52" s="937"/>
      <c r="AW52" s="937"/>
      <c r="AX52" s="937"/>
      <c r="AY52" s="937"/>
      <c r="AZ52" s="937"/>
      <c r="BA52" s="937"/>
      <c r="BB52" s="937"/>
      <c r="BC52" s="937"/>
      <c r="BD52" s="937"/>
      <c r="BE52" s="937"/>
      <c r="BF52" s="937"/>
      <c r="BG52" s="937"/>
      <c r="BH52" s="937"/>
      <c r="BI52" s="937"/>
      <c r="BJ52" s="937"/>
      <c r="BK52" s="937"/>
      <c r="BL52" s="937"/>
      <c r="BM52" s="937"/>
      <c r="BN52" s="937"/>
      <c r="BO52" s="937"/>
      <c r="BP52" s="937"/>
      <c r="BQ52" s="937"/>
      <c r="BR52" s="937"/>
      <c r="BS52" s="937"/>
      <c r="BT52" s="937"/>
      <c r="BU52" s="937"/>
      <c r="BV52" s="937"/>
      <c r="BW52" s="937"/>
      <c r="BX52" s="937"/>
      <c r="BY52" s="937"/>
      <c r="BZ52" s="937"/>
      <c r="CA52" s="937"/>
      <c r="CB52" s="937"/>
      <c r="CC52" s="937"/>
      <c r="CD52" s="937"/>
      <c r="CE52" s="937"/>
      <c r="CF52" s="937"/>
      <c r="CG52" s="937"/>
      <c r="CH52" s="937"/>
      <c r="CI52" s="937"/>
      <c r="CJ52" s="937"/>
      <c r="CK52" s="937"/>
      <c r="CL52" s="937"/>
      <c r="CM52" s="937"/>
      <c r="CN52" s="937"/>
      <c r="CO52" s="937"/>
      <c r="CP52" s="937"/>
      <c r="CQ52" s="937"/>
      <c r="CR52" s="937"/>
      <c r="CS52" s="937"/>
      <c r="CT52" s="937"/>
      <c r="CU52" s="937"/>
      <c r="CV52" s="937"/>
      <c r="CW52" s="937"/>
      <c r="CX52" s="937"/>
      <c r="CY52" s="937"/>
      <c r="CZ52" s="937"/>
      <c r="DA52" s="937"/>
      <c r="DB52" s="937"/>
      <c r="DC52" s="940"/>
      <c r="DD52" s="940"/>
      <c r="DE52" s="940"/>
      <c r="DF52" s="940"/>
      <c r="DG52" s="940"/>
      <c r="DH52" s="940"/>
      <c r="DI52" s="940"/>
      <c r="DJ52" s="940"/>
      <c r="DK52" s="940"/>
      <c r="DL52" s="940"/>
      <c r="DM52" s="940"/>
      <c r="DN52" s="940"/>
      <c r="DO52" s="940"/>
      <c r="DP52" s="940"/>
      <c r="DQ52" s="940"/>
      <c r="DR52" s="940"/>
      <c r="DS52" s="940"/>
    </row>
    <row r="53" spans="1:123" ht="17.25" customHeight="1">
      <c r="A53" s="853" t="s">
        <v>2537</v>
      </c>
      <c r="B53" s="854" t="s">
        <v>2508</v>
      </c>
      <c r="C53" s="909">
        <v>0</v>
      </c>
      <c r="D53" s="909">
        <v>0</v>
      </c>
      <c r="E53" s="909">
        <v>0</v>
      </c>
      <c r="F53" s="910">
        <v>0</v>
      </c>
      <c r="G53" s="909">
        <v>0</v>
      </c>
      <c r="H53" s="911">
        <v>0</v>
      </c>
      <c r="I53" s="909">
        <v>0</v>
      </c>
      <c r="J53" s="909">
        <v>0</v>
      </c>
      <c r="K53" s="909">
        <v>0</v>
      </c>
      <c r="L53" s="909">
        <v>0</v>
      </c>
      <c r="M53" s="910">
        <v>0</v>
      </c>
      <c r="N53" s="909">
        <v>0</v>
      </c>
      <c r="O53" s="909">
        <v>0</v>
      </c>
      <c r="P53" s="909">
        <v>0</v>
      </c>
      <c r="Q53" s="909">
        <v>0</v>
      </c>
      <c r="R53" s="909">
        <v>0</v>
      </c>
      <c r="S53" s="909">
        <v>0</v>
      </c>
      <c r="T53" s="909">
        <v>0</v>
      </c>
      <c r="U53" s="909">
        <v>0</v>
      </c>
      <c r="V53" s="909">
        <v>0</v>
      </c>
      <c r="W53" s="909">
        <v>0</v>
      </c>
      <c r="X53" s="909">
        <v>0</v>
      </c>
      <c r="Y53" s="909">
        <v>0</v>
      </c>
      <c r="Z53" s="909">
        <v>0</v>
      </c>
      <c r="AA53" s="909">
        <v>0</v>
      </c>
      <c r="AB53" s="909">
        <v>0</v>
      </c>
      <c r="AC53" s="909">
        <v>0</v>
      </c>
      <c r="AD53" s="911">
        <v>0</v>
      </c>
      <c r="AE53" s="909">
        <v>0</v>
      </c>
      <c r="AF53" s="909">
        <v>0</v>
      </c>
      <c r="AG53" s="909">
        <v>0</v>
      </c>
      <c r="AH53" s="909">
        <v>0</v>
      </c>
      <c r="AI53" s="909">
        <v>0</v>
      </c>
      <c r="AJ53" s="909">
        <v>0</v>
      </c>
      <c r="AK53" s="909">
        <v>0</v>
      </c>
      <c r="AL53" s="909">
        <v>0</v>
      </c>
      <c r="AM53" s="909">
        <v>0</v>
      </c>
      <c r="AN53" s="909">
        <v>0</v>
      </c>
      <c r="AO53" s="911">
        <v>0</v>
      </c>
      <c r="AP53" s="909">
        <v>0</v>
      </c>
      <c r="AQ53" s="909">
        <v>0</v>
      </c>
      <c r="AR53" s="909">
        <v>0</v>
      </c>
      <c r="AS53" s="909">
        <v>0</v>
      </c>
      <c r="AT53" s="909">
        <v>0</v>
      </c>
      <c r="AU53" s="909">
        <v>0</v>
      </c>
      <c r="AV53" s="909">
        <v>0</v>
      </c>
      <c r="AW53" s="909">
        <v>0</v>
      </c>
      <c r="AX53" s="909">
        <v>0</v>
      </c>
      <c r="AY53" s="909">
        <v>0</v>
      </c>
      <c r="AZ53" s="909">
        <v>0</v>
      </c>
      <c r="BA53" s="909">
        <v>0</v>
      </c>
      <c r="BB53" s="909">
        <v>0</v>
      </c>
      <c r="BC53" s="909">
        <v>0</v>
      </c>
      <c r="BD53" s="909">
        <v>0</v>
      </c>
      <c r="BE53" s="909">
        <v>0</v>
      </c>
      <c r="BF53" s="909">
        <v>0</v>
      </c>
      <c r="BG53" s="909">
        <v>0</v>
      </c>
      <c r="BH53" s="909">
        <v>0</v>
      </c>
      <c r="BI53" s="909">
        <v>0</v>
      </c>
      <c r="BJ53" s="909">
        <v>0</v>
      </c>
      <c r="BK53" s="909">
        <v>0</v>
      </c>
      <c r="BL53" s="909">
        <v>0</v>
      </c>
      <c r="BM53" s="909">
        <v>0</v>
      </c>
      <c r="BN53" s="909">
        <v>0</v>
      </c>
      <c r="BO53" s="909">
        <v>0</v>
      </c>
      <c r="BP53" s="909">
        <v>0</v>
      </c>
      <c r="BQ53" s="909">
        <v>0</v>
      </c>
      <c r="BR53" s="909">
        <v>0</v>
      </c>
      <c r="BS53" s="909">
        <v>0</v>
      </c>
      <c r="BT53" s="909">
        <v>0</v>
      </c>
      <c r="BU53" s="909">
        <v>0</v>
      </c>
      <c r="BV53" s="909">
        <v>0</v>
      </c>
      <c r="BW53" s="909">
        <v>0</v>
      </c>
      <c r="BX53" s="909">
        <v>0</v>
      </c>
      <c r="BY53" s="909">
        <v>0</v>
      </c>
      <c r="BZ53" s="909">
        <v>0</v>
      </c>
      <c r="CA53" s="909">
        <v>0</v>
      </c>
      <c r="CB53" s="909">
        <v>0</v>
      </c>
      <c r="CC53" s="909">
        <v>0</v>
      </c>
      <c r="CD53" s="909">
        <v>0</v>
      </c>
      <c r="CE53" s="909">
        <v>0</v>
      </c>
      <c r="CF53" s="909">
        <v>0</v>
      </c>
      <c r="CG53" s="909">
        <v>0</v>
      </c>
      <c r="CH53" s="909">
        <v>0</v>
      </c>
      <c r="CI53" s="909">
        <v>0</v>
      </c>
      <c r="CJ53" s="909">
        <v>0</v>
      </c>
      <c r="CK53" s="909">
        <v>0</v>
      </c>
      <c r="CL53" s="909">
        <v>0</v>
      </c>
      <c r="CM53" s="909">
        <v>0</v>
      </c>
      <c r="CN53" s="909">
        <v>0</v>
      </c>
      <c r="CO53" s="909">
        <v>0</v>
      </c>
      <c r="CP53" s="909">
        <v>0</v>
      </c>
      <c r="CQ53" s="909">
        <v>0</v>
      </c>
      <c r="CR53" s="909">
        <v>0</v>
      </c>
      <c r="CS53" s="909">
        <v>0</v>
      </c>
      <c r="CT53" s="909">
        <v>0</v>
      </c>
      <c r="CU53" s="909">
        <v>0</v>
      </c>
      <c r="CV53" s="909">
        <v>0</v>
      </c>
      <c r="CW53" s="909">
        <v>0</v>
      </c>
      <c r="CX53" s="909">
        <v>0</v>
      </c>
      <c r="CY53" s="909">
        <v>0</v>
      </c>
      <c r="CZ53" s="909">
        <v>0</v>
      </c>
      <c r="DA53" s="909">
        <v>0</v>
      </c>
      <c r="DB53" s="909">
        <v>0</v>
      </c>
      <c r="DC53" s="855">
        <v>0</v>
      </c>
      <c r="DD53" s="855">
        <v>0</v>
      </c>
      <c r="DE53" s="855">
        <v>0</v>
      </c>
      <c r="DF53" s="855">
        <v>0</v>
      </c>
      <c r="DG53" s="855">
        <v>0</v>
      </c>
      <c r="DH53" s="855">
        <v>0</v>
      </c>
      <c r="DI53" s="855">
        <v>0</v>
      </c>
      <c r="DJ53" s="855">
        <v>0</v>
      </c>
      <c r="DK53" s="855">
        <v>0</v>
      </c>
      <c r="DL53" s="855">
        <v>0</v>
      </c>
      <c r="DM53" s="855">
        <v>0</v>
      </c>
      <c r="DN53" s="855">
        <v>0</v>
      </c>
      <c r="DO53" s="855">
        <v>0</v>
      </c>
      <c r="DP53" s="855">
        <v>0</v>
      </c>
      <c r="DQ53" s="855">
        <v>0</v>
      </c>
      <c r="DR53" s="855">
        <v>0</v>
      </c>
      <c r="DS53" s="855">
        <v>0</v>
      </c>
    </row>
    <row r="54" spans="1:123" ht="17.25" customHeight="1">
      <c r="A54" s="857"/>
      <c r="B54" s="858"/>
      <c r="C54" s="937"/>
      <c r="D54" s="937"/>
      <c r="E54" s="937"/>
      <c r="F54" s="938"/>
      <c r="G54" s="937"/>
      <c r="H54" s="939"/>
      <c r="I54" s="937"/>
      <c r="J54" s="937"/>
      <c r="K54" s="937"/>
      <c r="L54" s="937"/>
      <c r="M54" s="938"/>
      <c r="N54" s="937"/>
      <c r="O54" s="937"/>
      <c r="P54" s="937"/>
      <c r="Q54" s="937"/>
      <c r="R54" s="937"/>
      <c r="S54" s="937"/>
      <c r="T54" s="937"/>
      <c r="U54" s="937"/>
      <c r="V54" s="937"/>
      <c r="W54" s="937"/>
      <c r="X54" s="937"/>
      <c r="Y54" s="937"/>
      <c r="Z54" s="937"/>
      <c r="AA54" s="937"/>
      <c r="AB54" s="937"/>
      <c r="AC54" s="937"/>
      <c r="AD54" s="939"/>
      <c r="AE54" s="937"/>
      <c r="AF54" s="937"/>
      <c r="AG54" s="937"/>
      <c r="AH54" s="937"/>
      <c r="AI54" s="937"/>
      <c r="AJ54" s="937"/>
      <c r="AK54" s="937"/>
      <c r="AL54" s="937"/>
      <c r="AM54" s="937"/>
      <c r="AN54" s="937"/>
      <c r="AO54" s="939"/>
      <c r="AP54" s="937"/>
      <c r="AQ54" s="937"/>
      <c r="AR54" s="937"/>
      <c r="AS54" s="937"/>
      <c r="AT54" s="937"/>
      <c r="AU54" s="937"/>
      <c r="AV54" s="937"/>
      <c r="AW54" s="937"/>
      <c r="AX54" s="937"/>
      <c r="AY54" s="937"/>
      <c r="AZ54" s="937"/>
      <c r="BA54" s="937"/>
      <c r="BB54" s="937"/>
      <c r="BC54" s="937"/>
      <c r="BD54" s="937"/>
      <c r="BE54" s="937"/>
      <c r="BF54" s="937"/>
      <c r="BG54" s="937"/>
      <c r="BH54" s="937"/>
      <c r="BI54" s="937"/>
      <c r="BJ54" s="937"/>
      <c r="BK54" s="937"/>
      <c r="BL54" s="937"/>
      <c r="BM54" s="937"/>
      <c r="BN54" s="937"/>
      <c r="BO54" s="937"/>
      <c r="BP54" s="937"/>
      <c r="BQ54" s="937"/>
      <c r="BR54" s="937"/>
      <c r="BS54" s="937"/>
      <c r="BT54" s="937"/>
      <c r="BU54" s="937"/>
      <c r="BV54" s="937"/>
      <c r="BW54" s="937"/>
      <c r="BX54" s="937"/>
      <c r="BY54" s="937"/>
      <c r="BZ54" s="937"/>
      <c r="CA54" s="937"/>
      <c r="CB54" s="937"/>
      <c r="CC54" s="937"/>
      <c r="CD54" s="937"/>
      <c r="CE54" s="937"/>
      <c r="CF54" s="937"/>
      <c r="CG54" s="937"/>
      <c r="CH54" s="937"/>
      <c r="CI54" s="937"/>
      <c r="CJ54" s="937"/>
      <c r="CK54" s="937"/>
      <c r="CL54" s="937"/>
      <c r="CM54" s="937"/>
      <c r="CN54" s="937"/>
      <c r="CO54" s="937"/>
      <c r="CP54" s="937"/>
      <c r="CQ54" s="937"/>
      <c r="CR54" s="937"/>
      <c r="CS54" s="937"/>
      <c r="CT54" s="937"/>
      <c r="CU54" s="937"/>
      <c r="CV54" s="937"/>
      <c r="CW54" s="937"/>
      <c r="CX54" s="937"/>
      <c r="CY54" s="937"/>
      <c r="CZ54" s="937"/>
      <c r="DA54" s="937"/>
      <c r="DB54" s="937"/>
      <c r="DC54" s="940"/>
      <c r="DD54" s="940"/>
      <c r="DE54" s="940"/>
      <c r="DF54" s="940"/>
      <c r="DG54" s="940"/>
      <c r="DH54" s="940"/>
      <c r="DI54" s="940"/>
      <c r="DJ54" s="940"/>
      <c r="DK54" s="940"/>
      <c r="DL54" s="940"/>
      <c r="DM54" s="940"/>
      <c r="DN54" s="940"/>
      <c r="DO54" s="940"/>
      <c r="DP54" s="940"/>
      <c r="DQ54" s="940"/>
      <c r="DR54" s="940"/>
      <c r="DS54" s="940"/>
    </row>
    <row r="55" spans="1:123" ht="17.25" customHeight="1">
      <c r="A55" s="853" t="s">
        <v>2538</v>
      </c>
      <c r="B55" s="854" t="s">
        <v>2510</v>
      </c>
      <c r="C55" s="909">
        <v>0</v>
      </c>
      <c r="D55" s="909">
        <v>0</v>
      </c>
      <c r="E55" s="909">
        <v>0</v>
      </c>
      <c r="F55" s="910">
        <v>0</v>
      </c>
      <c r="G55" s="909">
        <v>0</v>
      </c>
      <c r="H55" s="911">
        <v>0</v>
      </c>
      <c r="I55" s="909">
        <v>0</v>
      </c>
      <c r="J55" s="909">
        <v>0</v>
      </c>
      <c r="K55" s="909">
        <v>0</v>
      </c>
      <c r="L55" s="909">
        <v>0</v>
      </c>
      <c r="M55" s="910">
        <v>0</v>
      </c>
      <c r="N55" s="909">
        <v>0</v>
      </c>
      <c r="O55" s="909">
        <v>0</v>
      </c>
      <c r="P55" s="909">
        <v>0</v>
      </c>
      <c r="Q55" s="909">
        <v>0</v>
      </c>
      <c r="R55" s="909">
        <v>0</v>
      </c>
      <c r="S55" s="909">
        <v>0</v>
      </c>
      <c r="T55" s="909">
        <v>0</v>
      </c>
      <c r="U55" s="909">
        <v>0</v>
      </c>
      <c r="V55" s="909">
        <v>0</v>
      </c>
      <c r="W55" s="909">
        <v>0</v>
      </c>
      <c r="X55" s="909">
        <v>0</v>
      </c>
      <c r="Y55" s="909">
        <v>0</v>
      </c>
      <c r="Z55" s="909">
        <v>0</v>
      </c>
      <c r="AA55" s="909">
        <v>0</v>
      </c>
      <c r="AB55" s="909">
        <v>0</v>
      </c>
      <c r="AC55" s="909">
        <v>0</v>
      </c>
      <c r="AD55" s="911">
        <v>0</v>
      </c>
      <c r="AE55" s="909">
        <v>0</v>
      </c>
      <c r="AF55" s="909">
        <v>0</v>
      </c>
      <c r="AG55" s="909">
        <v>0</v>
      </c>
      <c r="AH55" s="909">
        <v>0</v>
      </c>
      <c r="AI55" s="909">
        <v>0</v>
      </c>
      <c r="AJ55" s="909">
        <v>0</v>
      </c>
      <c r="AK55" s="909">
        <v>0</v>
      </c>
      <c r="AL55" s="909">
        <v>0</v>
      </c>
      <c r="AM55" s="909">
        <v>0</v>
      </c>
      <c r="AN55" s="909">
        <v>0</v>
      </c>
      <c r="AO55" s="911">
        <v>0</v>
      </c>
      <c r="AP55" s="909">
        <v>0</v>
      </c>
      <c r="AQ55" s="909">
        <v>0</v>
      </c>
      <c r="AR55" s="909">
        <v>0</v>
      </c>
      <c r="AS55" s="909">
        <v>0</v>
      </c>
      <c r="AT55" s="909">
        <v>0</v>
      </c>
      <c r="AU55" s="909">
        <v>0</v>
      </c>
      <c r="AV55" s="909">
        <v>0</v>
      </c>
      <c r="AW55" s="909">
        <v>0</v>
      </c>
      <c r="AX55" s="909">
        <v>0</v>
      </c>
      <c r="AY55" s="909">
        <v>0</v>
      </c>
      <c r="AZ55" s="909">
        <v>0</v>
      </c>
      <c r="BA55" s="909">
        <v>0</v>
      </c>
      <c r="BB55" s="909">
        <v>0</v>
      </c>
      <c r="BC55" s="909">
        <v>0</v>
      </c>
      <c r="BD55" s="909">
        <v>0</v>
      </c>
      <c r="BE55" s="909">
        <v>0</v>
      </c>
      <c r="BF55" s="909">
        <v>0</v>
      </c>
      <c r="BG55" s="909">
        <v>0</v>
      </c>
      <c r="BH55" s="909">
        <v>0</v>
      </c>
      <c r="BI55" s="909">
        <v>0</v>
      </c>
      <c r="BJ55" s="909">
        <v>0</v>
      </c>
      <c r="BK55" s="909">
        <v>0</v>
      </c>
      <c r="BL55" s="909">
        <v>0</v>
      </c>
      <c r="BM55" s="909">
        <v>0</v>
      </c>
      <c r="BN55" s="909">
        <v>0</v>
      </c>
      <c r="BO55" s="909">
        <v>0</v>
      </c>
      <c r="BP55" s="909">
        <v>0</v>
      </c>
      <c r="BQ55" s="909">
        <v>0</v>
      </c>
      <c r="BR55" s="909">
        <v>0</v>
      </c>
      <c r="BS55" s="909">
        <v>0</v>
      </c>
      <c r="BT55" s="909">
        <v>0</v>
      </c>
      <c r="BU55" s="909">
        <v>0</v>
      </c>
      <c r="BV55" s="909">
        <v>0</v>
      </c>
      <c r="BW55" s="909">
        <v>0</v>
      </c>
      <c r="BX55" s="909">
        <v>0</v>
      </c>
      <c r="BY55" s="909">
        <v>0</v>
      </c>
      <c r="BZ55" s="909">
        <v>0</v>
      </c>
      <c r="CA55" s="909">
        <v>0</v>
      </c>
      <c r="CB55" s="909">
        <v>0</v>
      </c>
      <c r="CC55" s="909">
        <v>0</v>
      </c>
      <c r="CD55" s="909">
        <v>0</v>
      </c>
      <c r="CE55" s="909">
        <v>0</v>
      </c>
      <c r="CF55" s="909">
        <v>0</v>
      </c>
      <c r="CG55" s="909">
        <v>0</v>
      </c>
      <c r="CH55" s="909">
        <v>0</v>
      </c>
      <c r="CI55" s="909">
        <v>0</v>
      </c>
      <c r="CJ55" s="909">
        <v>0</v>
      </c>
      <c r="CK55" s="909">
        <v>0</v>
      </c>
      <c r="CL55" s="909">
        <v>0</v>
      </c>
      <c r="CM55" s="909">
        <v>0</v>
      </c>
      <c r="CN55" s="909">
        <v>0</v>
      </c>
      <c r="CO55" s="909">
        <v>0</v>
      </c>
      <c r="CP55" s="909">
        <v>0</v>
      </c>
      <c r="CQ55" s="909">
        <v>0</v>
      </c>
      <c r="CR55" s="909">
        <v>0</v>
      </c>
      <c r="CS55" s="909">
        <v>0</v>
      </c>
      <c r="CT55" s="909">
        <v>0</v>
      </c>
      <c r="CU55" s="909">
        <v>0</v>
      </c>
      <c r="CV55" s="909">
        <v>0</v>
      </c>
      <c r="CW55" s="909">
        <v>0</v>
      </c>
      <c r="CX55" s="909">
        <v>0</v>
      </c>
      <c r="CY55" s="909">
        <v>0</v>
      </c>
      <c r="CZ55" s="909">
        <v>0</v>
      </c>
      <c r="DA55" s="909">
        <v>0</v>
      </c>
      <c r="DB55" s="909">
        <v>0</v>
      </c>
      <c r="DC55" s="855">
        <v>0</v>
      </c>
      <c r="DD55" s="855">
        <v>0</v>
      </c>
      <c r="DE55" s="855">
        <v>0</v>
      </c>
      <c r="DF55" s="855">
        <v>0</v>
      </c>
      <c r="DG55" s="855">
        <v>0</v>
      </c>
      <c r="DH55" s="855">
        <v>0</v>
      </c>
      <c r="DI55" s="855">
        <v>0</v>
      </c>
      <c r="DJ55" s="855">
        <v>0</v>
      </c>
      <c r="DK55" s="855">
        <v>0</v>
      </c>
      <c r="DL55" s="855">
        <v>0</v>
      </c>
      <c r="DM55" s="855">
        <v>0</v>
      </c>
      <c r="DN55" s="855">
        <v>0</v>
      </c>
      <c r="DO55" s="855">
        <v>0</v>
      </c>
      <c r="DP55" s="855">
        <v>0</v>
      </c>
      <c r="DQ55" s="855">
        <v>0</v>
      </c>
      <c r="DR55" s="855">
        <v>0</v>
      </c>
      <c r="DS55" s="855">
        <v>0</v>
      </c>
    </row>
    <row r="56" spans="1:123" ht="17.25" customHeight="1">
      <c r="A56" s="857"/>
      <c r="B56" s="858"/>
      <c r="C56" s="937"/>
      <c r="D56" s="937"/>
      <c r="E56" s="937"/>
      <c r="F56" s="938"/>
      <c r="G56" s="937"/>
      <c r="H56" s="939"/>
      <c r="I56" s="937"/>
      <c r="J56" s="937"/>
      <c r="K56" s="937"/>
      <c r="L56" s="937"/>
      <c r="M56" s="938"/>
      <c r="N56" s="937"/>
      <c r="O56" s="937"/>
      <c r="P56" s="937"/>
      <c r="Q56" s="937"/>
      <c r="R56" s="937"/>
      <c r="S56" s="937"/>
      <c r="T56" s="937"/>
      <c r="U56" s="937"/>
      <c r="V56" s="937"/>
      <c r="W56" s="937"/>
      <c r="X56" s="937"/>
      <c r="Y56" s="937"/>
      <c r="Z56" s="937"/>
      <c r="AA56" s="937"/>
      <c r="AB56" s="937"/>
      <c r="AC56" s="937"/>
      <c r="AD56" s="939"/>
      <c r="AE56" s="937"/>
      <c r="AF56" s="937"/>
      <c r="AG56" s="937"/>
      <c r="AH56" s="937"/>
      <c r="AI56" s="937"/>
      <c r="AJ56" s="937"/>
      <c r="AK56" s="937"/>
      <c r="AL56" s="937"/>
      <c r="AM56" s="937"/>
      <c r="AN56" s="937"/>
      <c r="AO56" s="939"/>
      <c r="AP56" s="937"/>
      <c r="AQ56" s="937"/>
      <c r="AR56" s="937"/>
      <c r="AS56" s="937"/>
      <c r="AT56" s="937"/>
      <c r="AU56" s="937"/>
      <c r="AV56" s="937"/>
      <c r="AW56" s="937"/>
      <c r="AX56" s="937"/>
      <c r="AY56" s="937"/>
      <c r="AZ56" s="937"/>
      <c r="BA56" s="937"/>
      <c r="BB56" s="937"/>
      <c r="BC56" s="937"/>
      <c r="BD56" s="937"/>
      <c r="BE56" s="937"/>
      <c r="BF56" s="937"/>
      <c r="BG56" s="937"/>
      <c r="BH56" s="937"/>
      <c r="BI56" s="937"/>
      <c r="BJ56" s="937"/>
      <c r="BK56" s="937"/>
      <c r="BL56" s="937"/>
      <c r="BM56" s="937"/>
      <c r="BN56" s="937"/>
      <c r="BO56" s="937"/>
      <c r="BP56" s="937"/>
      <c r="BQ56" s="937"/>
      <c r="BR56" s="937"/>
      <c r="BS56" s="937"/>
      <c r="BT56" s="937"/>
      <c r="BU56" s="937"/>
      <c r="BV56" s="937"/>
      <c r="BW56" s="937"/>
      <c r="BX56" s="937"/>
      <c r="BY56" s="937"/>
      <c r="BZ56" s="937"/>
      <c r="CA56" s="937"/>
      <c r="CB56" s="937"/>
      <c r="CC56" s="937"/>
      <c r="CD56" s="937"/>
      <c r="CE56" s="937"/>
      <c r="CF56" s="937"/>
      <c r="CG56" s="937"/>
      <c r="CH56" s="937"/>
      <c r="CI56" s="937"/>
      <c r="CJ56" s="937"/>
      <c r="CK56" s="937"/>
      <c r="CL56" s="937"/>
      <c r="CM56" s="937"/>
      <c r="CN56" s="937"/>
      <c r="CO56" s="937"/>
      <c r="CP56" s="937"/>
      <c r="CQ56" s="937"/>
      <c r="CR56" s="937"/>
      <c r="CS56" s="937"/>
      <c r="CT56" s="937"/>
      <c r="CU56" s="937"/>
      <c r="CV56" s="937"/>
      <c r="CW56" s="937"/>
      <c r="CX56" s="937"/>
      <c r="CY56" s="937"/>
      <c r="CZ56" s="937"/>
      <c r="DA56" s="937"/>
      <c r="DB56" s="937"/>
      <c r="DC56" s="940"/>
      <c r="DD56" s="940"/>
      <c r="DE56" s="940"/>
      <c r="DF56" s="940"/>
      <c r="DG56" s="940"/>
      <c r="DH56" s="940"/>
      <c r="DI56" s="940"/>
      <c r="DJ56" s="940"/>
      <c r="DK56" s="940"/>
      <c r="DL56" s="940"/>
      <c r="DM56" s="940"/>
      <c r="DN56" s="940"/>
      <c r="DO56" s="940"/>
      <c r="DP56" s="940"/>
      <c r="DQ56" s="940"/>
      <c r="DR56" s="940"/>
      <c r="DS56" s="940"/>
    </row>
    <row r="57" spans="1:123" ht="17.25" customHeight="1">
      <c r="A57" s="853" t="s">
        <v>2539</v>
      </c>
      <c r="B57" s="854" t="s">
        <v>2540</v>
      </c>
      <c r="C57" s="909">
        <v>891.35879009391408</v>
      </c>
      <c r="D57" s="909">
        <v>1056.6444186864851</v>
      </c>
      <c r="E57" s="909">
        <v>1158.75802318</v>
      </c>
      <c r="F57" s="910">
        <v>1086.6292414476395</v>
      </c>
      <c r="G57" s="909">
        <v>967.26766692499996</v>
      </c>
      <c r="H57" s="911">
        <v>1111.8506255886421</v>
      </c>
      <c r="I57" s="909">
        <v>1124.622755951448</v>
      </c>
      <c r="J57" s="909">
        <v>1191.480365989948</v>
      </c>
      <c r="K57" s="909">
        <v>1140.9455455459999</v>
      </c>
      <c r="L57" s="909">
        <v>1132.6946277009999</v>
      </c>
      <c r="M57" s="910">
        <v>1113.4447654485</v>
      </c>
      <c r="N57" s="909">
        <v>1125.0054386205002</v>
      </c>
      <c r="O57" s="909">
        <v>1229.1590331405</v>
      </c>
      <c r="P57" s="909">
        <v>1177.2870235265</v>
      </c>
      <c r="Q57" s="909">
        <v>1182.9898558324999</v>
      </c>
      <c r="R57" s="909">
        <v>1326.7256466439999</v>
      </c>
      <c r="S57" s="909">
        <v>1292.9238102814998</v>
      </c>
      <c r="T57" s="909">
        <v>1433.7317101196199</v>
      </c>
      <c r="U57" s="909">
        <v>1584.08788983912</v>
      </c>
      <c r="V57" s="909">
        <v>1486.6276016524998</v>
      </c>
      <c r="W57" s="909">
        <v>1642.3429488849999</v>
      </c>
      <c r="X57" s="909">
        <v>1640.1107075129801</v>
      </c>
      <c r="Y57" s="909">
        <v>1667.2221774669799</v>
      </c>
      <c r="Z57" s="909">
        <v>1624.05511082098</v>
      </c>
      <c r="AA57" s="909">
        <v>1702.3415527300906</v>
      </c>
      <c r="AB57" s="909">
        <v>1606.3475032285905</v>
      </c>
      <c r="AC57" s="909">
        <v>1561.5875893340906</v>
      </c>
      <c r="AD57" s="911">
        <v>1311.6753959525904</v>
      </c>
      <c r="AE57" s="909">
        <v>1741.8663082955904</v>
      </c>
      <c r="AF57" s="909">
        <v>1745.2177034935903</v>
      </c>
      <c r="AG57" s="909">
        <v>1851.5591559996453</v>
      </c>
      <c r="AH57" s="909">
        <v>1814.6409855175905</v>
      </c>
      <c r="AI57" s="909">
        <v>1834.7077459575905</v>
      </c>
      <c r="AJ57" s="909">
        <v>2468.4967463275898</v>
      </c>
      <c r="AK57" s="909">
        <v>2065.5728040775903</v>
      </c>
      <c r="AL57" s="909">
        <v>2118.08298988359</v>
      </c>
      <c r="AM57" s="909">
        <v>2356.7266610695906</v>
      </c>
      <c r="AN57" s="909">
        <v>2517.4301139292575</v>
      </c>
      <c r="AO57" s="911">
        <v>2504.634861189676</v>
      </c>
      <c r="AP57" s="909">
        <v>1670.6080352144379</v>
      </c>
      <c r="AQ57" s="909">
        <v>2283.0656909756162</v>
      </c>
      <c r="AR57" s="909">
        <v>2338.2046043194809</v>
      </c>
      <c r="AS57" s="909">
        <v>2500.7951737056005</v>
      </c>
      <c r="AT57" s="909">
        <v>2067.0200821982039</v>
      </c>
      <c r="AU57" s="909">
        <v>1985.5267380817274</v>
      </c>
      <c r="AV57" s="909">
        <v>1958.222188145302</v>
      </c>
      <c r="AW57" s="909">
        <v>1739.0725486236402</v>
      </c>
      <c r="AX57" s="909">
        <v>2086.2398911419978</v>
      </c>
      <c r="AY57" s="909">
        <v>1966.2225810299046</v>
      </c>
      <c r="AZ57" s="909">
        <v>2065.7705058235201</v>
      </c>
      <c r="BA57" s="909">
        <v>2291.2809189627801</v>
      </c>
      <c r="BB57" s="909">
        <v>2194.5915879431468</v>
      </c>
      <c r="BC57" s="909">
        <v>2113.4433298469066</v>
      </c>
      <c r="BD57" s="909">
        <v>2204.4877657222801</v>
      </c>
      <c r="BE57" s="909">
        <v>2544.1701566703186</v>
      </c>
      <c r="BF57" s="909">
        <v>2186.5850390262299</v>
      </c>
      <c r="BG57" s="909">
        <v>2456.5831875153217</v>
      </c>
      <c r="BH57" s="909">
        <v>2322.2693984811963</v>
      </c>
      <c r="BI57" s="909">
        <v>2283.3411049299971</v>
      </c>
      <c r="BJ57" s="909">
        <v>2316.6023048998081</v>
      </c>
      <c r="BK57" s="909">
        <v>2287.1737271594334</v>
      </c>
      <c r="BL57" s="909">
        <v>2031.2591319000896</v>
      </c>
      <c r="BM57" s="909">
        <v>2118.5751699216785</v>
      </c>
      <c r="BN57" s="909">
        <v>2210.3343395579368</v>
      </c>
      <c r="BO57" s="909">
        <v>2281.0785568304218</v>
      </c>
      <c r="BP57" s="909">
        <v>2367.8216701584124</v>
      </c>
      <c r="BQ57" s="909">
        <v>2723.4212127161873</v>
      </c>
      <c r="BR57" s="909">
        <v>3073.157670896876</v>
      </c>
      <c r="BS57" s="909">
        <v>2798.7447851538477</v>
      </c>
      <c r="BT57" s="909">
        <v>2903.8027931403512</v>
      </c>
      <c r="BU57" s="909">
        <v>2717.3919754314634</v>
      </c>
      <c r="BV57" s="909">
        <v>2678.3350992798705</v>
      </c>
      <c r="BW57" s="909">
        <v>2807.6900941949316</v>
      </c>
      <c r="BX57" s="909">
        <v>2567.8376008955152</v>
      </c>
      <c r="BY57" s="909">
        <v>2804.8420222062914</v>
      </c>
      <c r="BZ57" s="909">
        <v>2844.5071644991381</v>
      </c>
      <c r="CA57" s="909">
        <v>2762.0802606086777</v>
      </c>
      <c r="CB57" s="909">
        <v>2796.6664857050978</v>
      </c>
      <c r="CC57" s="909">
        <v>2735.8967098230173</v>
      </c>
      <c r="CD57" s="909">
        <v>2587.6788835863081</v>
      </c>
      <c r="CE57" s="909">
        <v>2629.3334894062832</v>
      </c>
      <c r="CF57" s="909">
        <v>2750.3072407302038</v>
      </c>
      <c r="CG57" s="909">
        <v>2892.2392977884115</v>
      </c>
      <c r="CH57" s="909">
        <v>2906.5607721494134</v>
      </c>
      <c r="CI57" s="909">
        <v>3312.3490275801146</v>
      </c>
      <c r="CJ57" s="909">
        <v>2817.883483439362</v>
      </c>
      <c r="CK57" s="909">
        <v>2824.4790978445421</v>
      </c>
      <c r="CL57" s="909">
        <v>2832.3865179143809</v>
      </c>
      <c r="CM57" s="909">
        <v>2923.7781526369117</v>
      </c>
      <c r="CN57" s="909">
        <v>3087.4127122676114</v>
      </c>
      <c r="CO57" s="909">
        <v>3449.5619082307662</v>
      </c>
      <c r="CP57" s="909">
        <v>2782.2019880259013</v>
      </c>
      <c r="CQ57" s="909">
        <v>4125.6032053961171</v>
      </c>
      <c r="CR57" s="909">
        <v>4251.192082718956</v>
      </c>
      <c r="CS57" s="909">
        <v>4297.5289400941201</v>
      </c>
      <c r="CT57" s="909">
        <v>4446.2813552762918</v>
      </c>
      <c r="CU57" s="909">
        <v>4710.9706972870172</v>
      </c>
      <c r="CV57" s="909">
        <v>4817.1430745320722</v>
      </c>
      <c r="CW57" s="909">
        <v>4927.3519358970516</v>
      </c>
      <c r="CX57" s="909">
        <v>5020.4998474367076</v>
      </c>
      <c r="CY57" s="909">
        <v>4801.2382869823095</v>
      </c>
      <c r="CZ57" s="909">
        <v>4692.9763049744743</v>
      </c>
      <c r="DA57" s="909">
        <v>5210.7579812143949</v>
      </c>
      <c r="DB57" s="909">
        <v>4783.0003253734376</v>
      </c>
      <c r="DC57" s="855">
        <v>4630.988600368496</v>
      </c>
      <c r="DD57" s="855">
        <v>4509.6959941900714</v>
      </c>
      <c r="DE57" s="855">
        <v>4711.7936753642362</v>
      </c>
      <c r="DF57" s="855">
        <v>4616.0012217394351</v>
      </c>
      <c r="DG57" s="855">
        <v>4878.9294011592719</v>
      </c>
      <c r="DH57" s="855">
        <v>4746.1633423332541</v>
      </c>
      <c r="DI57" s="855">
        <v>5325.2824715913684</v>
      </c>
      <c r="DJ57" s="855">
        <v>5541.1860658974183</v>
      </c>
      <c r="DK57" s="855">
        <v>5619.9714413319825</v>
      </c>
      <c r="DL57" s="855">
        <v>5775.6304338462423</v>
      </c>
      <c r="DM57" s="855">
        <v>6068.1121620674612</v>
      </c>
      <c r="DN57" s="855">
        <v>5589.2331374749119</v>
      </c>
      <c r="DO57" s="855">
        <v>5194.1468442355826</v>
      </c>
      <c r="DP57" s="855">
        <v>5333.0194552267467</v>
      </c>
      <c r="DQ57" s="855">
        <v>5385.6706686595744</v>
      </c>
      <c r="DR57" s="855">
        <v>5539.6742673663111</v>
      </c>
      <c r="DS57" s="855">
        <v>5602.5232902389325</v>
      </c>
    </row>
    <row r="58" spans="1:123" ht="17.25" customHeight="1">
      <c r="A58" s="857"/>
      <c r="B58" s="858"/>
      <c r="C58" s="937"/>
      <c r="D58" s="937"/>
      <c r="E58" s="937"/>
      <c r="F58" s="938"/>
      <c r="G58" s="937"/>
      <c r="H58" s="939"/>
      <c r="I58" s="937"/>
      <c r="J58" s="937"/>
      <c r="K58" s="937"/>
      <c r="L58" s="937"/>
      <c r="M58" s="938"/>
      <c r="N58" s="937"/>
      <c r="O58" s="937"/>
      <c r="P58" s="937"/>
      <c r="Q58" s="937"/>
      <c r="R58" s="937"/>
      <c r="S58" s="937"/>
      <c r="T58" s="937"/>
      <c r="U58" s="937"/>
      <c r="V58" s="937"/>
      <c r="W58" s="937"/>
      <c r="X58" s="937"/>
      <c r="Y58" s="937"/>
      <c r="Z58" s="937"/>
      <c r="AA58" s="937"/>
      <c r="AB58" s="937"/>
      <c r="AC58" s="937"/>
      <c r="AD58" s="939"/>
      <c r="AE58" s="937"/>
      <c r="AF58" s="937"/>
      <c r="AG58" s="937"/>
      <c r="AH58" s="937"/>
      <c r="AI58" s="937"/>
      <c r="AJ58" s="937"/>
      <c r="AK58" s="937"/>
      <c r="AL58" s="937"/>
      <c r="AM58" s="937"/>
      <c r="AN58" s="937"/>
      <c r="AO58" s="939"/>
      <c r="AP58" s="937"/>
      <c r="AQ58" s="937"/>
      <c r="AR58" s="937"/>
      <c r="AS58" s="937"/>
      <c r="AT58" s="937"/>
      <c r="AU58" s="937"/>
      <c r="AV58" s="937"/>
      <c r="AW58" s="937"/>
      <c r="AX58" s="937"/>
      <c r="AY58" s="937"/>
      <c r="AZ58" s="937"/>
      <c r="BA58" s="937"/>
      <c r="BB58" s="937"/>
      <c r="BC58" s="937"/>
      <c r="BD58" s="937"/>
      <c r="BE58" s="937"/>
      <c r="BF58" s="937"/>
      <c r="BG58" s="937"/>
      <c r="BH58" s="937"/>
      <c r="BI58" s="937"/>
      <c r="BJ58" s="937"/>
      <c r="BK58" s="937"/>
      <c r="BL58" s="937"/>
      <c r="BM58" s="937"/>
      <c r="BN58" s="937"/>
      <c r="BO58" s="937"/>
      <c r="BP58" s="937"/>
      <c r="BQ58" s="937"/>
      <c r="BR58" s="937"/>
      <c r="BS58" s="937"/>
      <c r="BT58" s="937"/>
      <c r="BU58" s="937"/>
      <c r="BV58" s="937"/>
      <c r="BW58" s="937"/>
      <c r="BX58" s="937"/>
      <c r="BY58" s="937"/>
      <c r="BZ58" s="937"/>
      <c r="CA58" s="937"/>
      <c r="CB58" s="937"/>
      <c r="CC58" s="937"/>
      <c r="CD58" s="937"/>
      <c r="CE58" s="937"/>
      <c r="CF58" s="937"/>
      <c r="CG58" s="937"/>
      <c r="CH58" s="937"/>
      <c r="CI58" s="937"/>
      <c r="CJ58" s="937"/>
      <c r="CK58" s="937"/>
      <c r="CL58" s="937"/>
      <c r="CM58" s="937"/>
      <c r="CN58" s="937"/>
      <c r="CO58" s="937"/>
      <c r="CP58" s="937"/>
      <c r="CQ58" s="937"/>
      <c r="CR58" s="937"/>
      <c r="CS58" s="937"/>
      <c r="CT58" s="937"/>
      <c r="CU58" s="937"/>
      <c r="CV58" s="937"/>
      <c r="CW58" s="937"/>
      <c r="CX58" s="937"/>
      <c r="CY58" s="937"/>
      <c r="CZ58" s="937"/>
      <c r="DA58" s="937"/>
      <c r="DB58" s="937"/>
      <c r="DC58" s="940"/>
      <c r="DD58" s="940"/>
      <c r="DE58" s="940"/>
      <c r="DF58" s="940"/>
      <c r="DG58" s="940"/>
      <c r="DH58" s="940"/>
      <c r="DI58" s="940"/>
      <c r="DJ58" s="940"/>
      <c r="DK58" s="940"/>
      <c r="DL58" s="940"/>
      <c r="DM58" s="940"/>
      <c r="DN58" s="940"/>
      <c r="DO58" s="940"/>
      <c r="DP58" s="940"/>
      <c r="DQ58" s="940"/>
      <c r="DR58" s="940"/>
      <c r="DS58" s="940"/>
    </row>
    <row r="59" spans="1:123" ht="17.25" customHeight="1">
      <c r="A59" s="853" t="s">
        <v>2541</v>
      </c>
      <c r="B59" s="854" t="s">
        <v>2506</v>
      </c>
      <c r="C59" s="909">
        <v>4595.0087258302892</v>
      </c>
      <c r="D59" s="909">
        <v>4609.3744127777181</v>
      </c>
      <c r="E59" s="909">
        <v>4692.7880457399997</v>
      </c>
      <c r="F59" s="910">
        <v>4773.9488077465639</v>
      </c>
      <c r="G59" s="909">
        <v>4745.1555065601679</v>
      </c>
      <c r="H59" s="911">
        <v>4766.3887033161636</v>
      </c>
      <c r="I59" s="909">
        <v>4690.0757395018809</v>
      </c>
      <c r="J59" s="909">
        <v>4593.9624307005297</v>
      </c>
      <c r="K59" s="909">
        <v>4654.0875698799291</v>
      </c>
      <c r="L59" s="909">
        <v>4710.9445552029465</v>
      </c>
      <c r="M59" s="910">
        <v>4760.5647291373807</v>
      </c>
      <c r="N59" s="909">
        <v>4787.0487720594601</v>
      </c>
      <c r="O59" s="909">
        <v>4783.1985362094438</v>
      </c>
      <c r="P59" s="909">
        <v>4828.4114589847595</v>
      </c>
      <c r="Q59" s="909">
        <v>4848.8334460238329</v>
      </c>
      <c r="R59" s="909">
        <v>4854.7607335319008</v>
      </c>
      <c r="S59" s="909">
        <v>4879.8170035578978</v>
      </c>
      <c r="T59" s="909">
        <v>4934.8851155992115</v>
      </c>
      <c r="U59" s="909">
        <v>4833.4369213227928</v>
      </c>
      <c r="V59" s="909">
        <v>4847.8614720244641</v>
      </c>
      <c r="W59" s="909">
        <v>4967.4305936878773</v>
      </c>
      <c r="X59" s="909">
        <v>5005.2474888096085</v>
      </c>
      <c r="Y59" s="909">
        <v>5048.8829894577211</v>
      </c>
      <c r="Z59" s="909">
        <v>5126.6556069006519</v>
      </c>
      <c r="AA59" s="909">
        <v>5190.1198621269205</v>
      </c>
      <c r="AB59" s="909">
        <v>5249.2121219869487</v>
      </c>
      <c r="AC59" s="909">
        <v>5275.1536384711717</v>
      </c>
      <c r="AD59" s="911">
        <v>5042.9085763165513</v>
      </c>
      <c r="AE59" s="909">
        <v>5119.5384348554353</v>
      </c>
      <c r="AF59" s="909">
        <v>5181.9412282535768</v>
      </c>
      <c r="AG59" s="909">
        <v>5425.7411493928903</v>
      </c>
      <c r="AH59" s="909">
        <v>5514.200758857889</v>
      </c>
      <c r="AI59" s="909">
        <v>5503.952546142049</v>
      </c>
      <c r="AJ59" s="909">
        <v>5497.4509983470598</v>
      </c>
      <c r="AK59" s="909">
        <v>5480.2887766782815</v>
      </c>
      <c r="AL59" s="909">
        <v>5585.4211795521533</v>
      </c>
      <c r="AM59" s="909">
        <v>5968.0043967061001</v>
      </c>
      <c r="AN59" s="909">
        <v>6059.7477470495614</v>
      </c>
      <c r="AO59" s="911">
        <v>6205.411664003248</v>
      </c>
      <c r="AP59" s="909">
        <v>6279.3029064339435</v>
      </c>
      <c r="AQ59" s="909">
        <v>6550.3253858768412</v>
      </c>
      <c r="AR59" s="909">
        <v>6640.4076421884438</v>
      </c>
      <c r="AS59" s="909">
        <v>6713.5613489597399</v>
      </c>
      <c r="AT59" s="909">
        <v>6764.4671169502817</v>
      </c>
      <c r="AU59" s="909">
        <v>6832.6088324730372</v>
      </c>
      <c r="AV59" s="909">
        <v>6872.1391006246376</v>
      </c>
      <c r="AW59" s="909">
        <v>7045.8343213686276</v>
      </c>
      <c r="AX59" s="909">
        <v>7053.2956501755962</v>
      </c>
      <c r="AY59" s="909">
        <v>7052.937620533502</v>
      </c>
      <c r="AZ59" s="909">
        <v>7225.7446839094137</v>
      </c>
      <c r="BA59" s="909">
        <v>7283.819643102509</v>
      </c>
      <c r="BB59" s="909">
        <v>7204.6304832468122</v>
      </c>
      <c r="BC59" s="909">
        <v>7395.2177491518532</v>
      </c>
      <c r="BD59" s="909">
        <v>7451.9794502169725</v>
      </c>
      <c r="BE59" s="909">
        <v>7196.1949916831391</v>
      </c>
      <c r="BF59" s="909">
        <v>7268.8023395574919</v>
      </c>
      <c r="BG59" s="909">
        <v>7095.3782834436588</v>
      </c>
      <c r="BH59" s="909">
        <v>7033.239279663806</v>
      </c>
      <c r="BI59" s="909">
        <v>7252.6787740008285</v>
      </c>
      <c r="BJ59" s="909">
        <v>7356.6344485515501</v>
      </c>
      <c r="BK59" s="909">
        <v>7074.7659786496952</v>
      </c>
      <c r="BL59" s="909">
        <v>7226.9561729135667</v>
      </c>
      <c r="BM59" s="909">
        <v>7319.1501627818125</v>
      </c>
      <c r="BN59" s="909">
        <v>7291.816722365118</v>
      </c>
      <c r="BO59" s="909">
        <v>7355.5536276228386</v>
      </c>
      <c r="BP59" s="909">
        <v>7439.1176229554085</v>
      </c>
      <c r="BQ59" s="909">
        <v>7503.6335631335805</v>
      </c>
      <c r="BR59" s="909">
        <v>7323.924223489038</v>
      </c>
      <c r="BS59" s="909">
        <v>7663.3344905583926</v>
      </c>
      <c r="BT59" s="909">
        <v>7634.8313620263671</v>
      </c>
      <c r="BU59" s="909">
        <v>7720.5028523599058</v>
      </c>
      <c r="BV59" s="909">
        <v>7813.3927577451032</v>
      </c>
      <c r="BW59" s="909">
        <v>7905.3333700187086</v>
      </c>
      <c r="BX59" s="909">
        <v>8078.4566388464409</v>
      </c>
      <c r="BY59" s="909">
        <v>8056.3380960193936</v>
      </c>
      <c r="BZ59" s="909">
        <v>8194.9144985753701</v>
      </c>
      <c r="CA59" s="909">
        <v>8292.6827569259858</v>
      </c>
      <c r="CB59" s="909">
        <v>8366.1319376420033</v>
      </c>
      <c r="CC59" s="909">
        <v>8031.3620628897206</v>
      </c>
      <c r="CD59" s="909">
        <v>8114.7079429804971</v>
      </c>
      <c r="CE59" s="909">
        <v>8152.4708362769288</v>
      </c>
      <c r="CF59" s="909">
        <v>7911.351301286305</v>
      </c>
      <c r="CG59" s="909">
        <v>7994.3139716646847</v>
      </c>
      <c r="CH59" s="909">
        <v>7634.5801462454101</v>
      </c>
      <c r="CI59" s="909">
        <v>7768.6888221236804</v>
      </c>
      <c r="CJ59" s="909">
        <v>8009.7081533126593</v>
      </c>
      <c r="CK59" s="909">
        <v>8135.9817527655086</v>
      </c>
      <c r="CL59" s="909">
        <v>8159.7078939419744</v>
      </c>
      <c r="CM59" s="909">
        <v>8335.9774665411933</v>
      </c>
      <c r="CN59" s="909">
        <v>8475.21476407314</v>
      </c>
      <c r="CO59" s="909">
        <v>8564.6252360980416</v>
      </c>
      <c r="CP59" s="909">
        <v>8710.5449322980803</v>
      </c>
      <c r="CQ59" s="909">
        <v>8825.960865222436</v>
      </c>
      <c r="CR59" s="909">
        <v>8817.4838603603439</v>
      </c>
      <c r="CS59" s="909">
        <v>8900.1231851066786</v>
      </c>
      <c r="CT59" s="909">
        <v>9031.4316386669816</v>
      </c>
      <c r="CU59" s="909">
        <v>9125.6648297242173</v>
      </c>
      <c r="CV59" s="909">
        <v>9325.7448180481715</v>
      </c>
      <c r="CW59" s="909">
        <v>9462.2711494100477</v>
      </c>
      <c r="CX59" s="909">
        <v>9369.2483138895022</v>
      </c>
      <c r="CY59" s="909">
        <v>9536.2711919294725</v>
      </c>
      <c r="CZ59" s="909">
        <v>9695.877476898344</v>
      </c>
      <c r="DA59" s="909">
        <v>9816.4101902208859</v>
      </c>
      <c r="DB59" s="909">
        <v>9743.2932996068885</v>
      </c>
      <c r="DC59" s="855">
        <v>10104.212646211103</v>
      </c>
      <c r="DD59" s="855">
        <v>10110.571637897903</v>
      </c>
      <c r="DE59" s="855">
        <v>10205.576032899595</v>
      </c>
      <c r="DF59" s="855">
        <v>10364.472421348144</v>
      </c>
      <c r="DG59" s="855">
        <v>10496.064836905789</v>
      </c>
      <c r="DH59" s="855">
        <v>10625.99825868777</v>
      </c>
      <c r="DI59" s="855">
        <v>10336.334043062416</v>
      </c>
      <c r="DJ59" s="855">
        <v>10352.799997683063</v>
      </c>
      <c r="DK59" s="855">
        <v>10589.103429814766</v>
      </c>
      <c r="DL59" s="855">
        <v>10780.304757278269</v>
      </c>
      <c r="DM59" s="855">
        <v>10877.991777715242</v>
      </c>
      <c r="DN59" s="855">
        <v>11060.309068871717</v>
      </c>
      <c r="DO59" s="855">
        <v>11364.757766204573</v>
      </c>
      <c r="DP59" s="855">
        <v>11366.498920374215</v>
      </c>
      <c r="DQ59" s="855">
        <v>11449.245218048387</v>
      </c>
      <c r="DR59" s="855">
        <v>11594.489056885352</v>
      </c>
      <c r="DS59" s="855">
        <v>11830.461587255128</v>
      </c>
    </row>
    <row r="60" spans="1:123" ht="17.25" customHeight="1">
      <c r="A60" s="857"/>
      <c r="B60" s="858"/>
      <c r="C60" s="878"/>
      <c r="D60" s="878"/>
      <c r="E60" s="878"/>
      <c r="F60" s="917"/>
      <c r="G60" s="878"/>
      <c r="H60" s="918"/>
      <c r="I60" s="878"/>
      <c r="J60" s="878"/>
      <c r="K60" s="878"/>
      <c r="L60" s="878"/>
      <c r="M60" s="917"/>
      <c r="N60" s="878"/>
      <c r="O60" s="878"/>
      <c r="P60" s="878"/>
      <c r="Q60" s="878"/>
      <c r="R60" s="878"/>
      <c r="S60" s="878"/>
      <c r="T60" s="878"/>
      <c r="U60" s="878"/>
      <c r="V60" s="878"/>
      <c r="W60" s="878"/>
      <c r="X60" s="878"/>
      <c r="Y60" s="878"/>
      <c r="Z60" s="878"/>
      <c r="AA60" s="878"/>
      <c r="AB60" s="878"/>
      <c r="AC60" s="878"/>
      <c r="AD60" s="918"/>
      <c r="AE60" s="878"/>
      <c r="AF60" s="878"/>
      <c r="AG60" s="878"/>
      <c r="AH60" s="878"/>
      <c r="AI60" s="878"/>
      <c r="AJ60" s="878"/>
      <c r="AK60" s="878"/>
      <c r="AL60" s="878"/>
      <c r="AM60" s="878"/>
      <c r="AN60" s="878"/>
      <c r="AO60" s="918"/>
      <c r="AP60" s="878"/>
      <c r="AQ60" s="878"/>
      <c r="AR60" s="878"/>
      <c r="AS60" s="878"/>
      <c r="AT60" s="878"/>
      <c r="AU60" s="878"/>
      <c r="AV60" s="878"/>
      <c r="AW60" s="878"/>
      <c r="AX60" s="878"/>
      <c r="AY60" s="878"/>
      <c r="AZ60" s="878"/>
      <c r="BA60" s="878"/>
      <c r="BB60" s="878"/>
      <c r="BC60" s="878"/>
      <c r="BD60" s="878"/>
      <c r="BE60" s="878"/>
      <c r="BF60" s="878"/>
      <c r="BG60" s="878"/>
      <c r="BH60" s="878"/>
      <c r="BI60" s="878"/>
      <c r="BJ60" s="878"/>
      <c r="BK60" s="878"/>
      <c r="BL60" s="878"/>
      <c r="BM60" s="878"/>
      <c r="BN60" s="878"/>
      <c r="BO60" s="878"/>
      <c r="BP60" s="878"/>
      <c r="BQ60" s="878"/>
      <c r="BR60" s="878"/>
      <c r="BS60" s="878"/>
      <c r="BT60" s="878"/>
      <c r="BU60" s="878"/>
      <c r="BV60" s="878"/>
      <c r="BW60" s="878"/>
      <c r="BX60" s="878"/>
      <c r="BY60" s="878"/>
      <c r="BZ60" s="878"/>
      <c r="CA60" s="878"/>
      <c r="CB60" s="878"/>
      <c r="CC60" s="878"/>
      <c r="CD60" s="878"/>
      <c r="CE60" s="878"/>
      <c r="CF60" s="878"/>
      <c r="CG60" s="878"/>
      <c r="CH60" s="878"/>
      <c r="CI60" s="878"/>
      <c r="CJ60" s="878"/>
      <c r="CK60" s="878"/>
      <c r="CL60" s="878"/>
      <c r="CM60" s="878"/>
      <c r="CN60" s="878"/>
      <c r="CO60" s="878"/>
      <c r="CP60" s="878"/>
      <c r="CQ60" s="878"/>
      <c r="CR60" s="878"/>
      <c r="CS60" s="878"/>
      <c r="CT60" s="878"/>
      <c r="CU60" s="878"/>
      <c r="CV60" s="878"/>
      <c r="CW60" s="878"/>
      <c r="CX60" s="878"/>
      <c r="CY60" s="878"/>
      <c r="CZ60" s="878"/>
      <c r="DA60" s="878"/>
      <c r="DB60" s="878"/>
      <c r="DC60" s="860"/>
      <c r="DD60" s="860"/>
      <c r="DE60" s="860"/>
      <c r="DF60" s="860"/>
      <c r="DG60" s="860"/>
      <c r="DH60" s="860"/>
      <c r="DI60" s="860"/>
      <c r="DJ60" s="860"/>
      <c r="DK60" s="860"/>
      <c r="DL60" s="860"/>
      <c r="DM60" s="860"/>
      <c r="DN60" s="860"/>
      <c r="DO60" s="860"/>
      <c r="DP60" s="860"/>
      <c r="DQ60" s="860"/>
      <c r="DR60" s="860"/>
      <c r="DS60" s="860"/>
    </row>
    <row r="61" spans="1:123" ht="17.25" customHeight="1">
      <c r="A61" s="853"/>
      <c r="B61" s="854" t="s">
        <v>2542</v>
      </c>
      <c r="C61" s="909">
        <v>25474.471451395435</v>
      </c>
      <c r="D61" s="909">
        <v>26072.063895684201</v>
      </c>
      <c r="E61" s="909">
        <v>26415.344452919999</v>
      </c>
      <c r="F61" s="910">
        <v>26856.415235024204</v>
      </c>
      <c r="G61" s="909">
        <v>27494.964101177593</v>
      </c>
      <c r="H61" s="911">
        <v>27955.940532792596</v>
      </c>
      <c r="I61" s="909">
        <v>28194.361602293327</v>
      </c>
      <c r="J61" s="909">
        <v>28336.892915349792</v>
      </c>
      <c r="K61" s="909">
        <v>28563.364929485935</v>
      </c>
      <c r="L61" s="909">
        <v>28740.361376723948</v>
      </c>
      <c r="M61" s="910">
        <v>29096.352207255884</v>
      </c>
      <c r="N61" s="909">
        <v>29423.313250309962</v>
      </c>
      <c r="O61" s="909">
        <v>29904.420293369942</v>
      </c>
      <c r="P61" s="909">
        <v>30192.423819521264</v>
      </c>
      <c r="Q61" s="909">
        <v>30534.515536923249</v>
      </c>
      <c r="R61" s="909">
        <v>30645.306166036931</v>
      </c>
      <c r="S61" s="909">
        <v>30723.142805009404</v>
      </c>
      <c r="T61" s="909">
        <v>30582.685570265083</v>
      </c>
      <c r="U61" s="909">
        <v>31026.051213552913</v>
      </c>
      <c r="V61" s="909">
        <v>31204.967849636967</v>
      </c>
      <c r="W61" s="909">
        <v>31436.788752572884</v>
      </c>
      <c r="X61" s="909">
        <v>31766.227604989104</v>
      </c>
      <c r="Y61" s="909">
        <v>32105.986535472326</v>
      </c>
      <c r="Z61" s="909">
        <v>32381.205792838246</v>
      </c>
      <c r="AA61" s="909">
        <v>32750.688683894688</v>
      </c>
      <c r="AB61" s="909">
        <v>33028.06547089458</v>
      </c>
      <c r="AC61" s="909">
        <v>33597.285546806248</v>
      </c>
      <c r="AD61" s="911">
        <v>33479.612832110324</v>
      </c>
      <c r="AE61" s="909">
        <v>33528.234725332208</v>
      </c>
      <c r="AF61" s="909">
        <v>33945.25242310921</v>
      </c>
      <c r="AG61" s="909">
        <v>34531.168337755749</v>
      </c>
      <c r="AH61" s="909">
        <v>35377.395748930096</v>
      </c>
      <c r="AI61" s="909">
        <v>35546.314184447794</v>
      </c>
      <c r="AJ61" s="909">
        <v>36611.780369795364</v>
      </c>
      <c r="AK61" s="909">
        <v>36437.036160879419</v>
      </c>
      <c r="AL61" s="909">
        <v>36579.440659070511</v>
      </c>
      <c r="AM61" s="909">
        <v>37142.506880988556</v>
      </c>
      <c r="AN61" s="909">
        <v>37843.823665280754</v>
      </c>
      <c r="AO61" s="911">
        <v>38957.022858502925</v>
      </c>
      <c r="AP61" s="909">
        <v>39246.418509886862</v>
      </c>
      <c r="AQ61" s="909">
        <v>41293.583773737446</v>
      </c>
      <c r="AR61" s="909">
        <v>41489.263434951557</v>
      </c>
      <c r="AS61" s="909">
        <v>41558.040422224731</v>
      </c>
      <c r="AT61" s="909">
        <v>41583.506601367233</v>
      </c>
      <c r="AU61" s="909">
        <v>41724.410902765681</v>
      </c>
      <c r="AV61" s="909">
        <v>41930.542897229068</v>
      </c>
      <c r="AW61" s="909">
        <v>42394.904265790479</v>
      </c>
      <c r="AX61" s="909">
        <v>42837.910244615814</v>
      </c>
      <c r="AY61" s="909">
        <v>42727.796492423404</v>
      </c>
      <c r="AZ61" s="909">
        <v>43656.6473520117</v>
      </c>
      <c r="BA61" s="909">
        <v>44566.275999392819</v>
      </c>
      <c r="BB61" s="909">
        <v>44600.121653329959</v>
      </c>
      <c r="BC61" s="909">
        <v>44849.659281448767</v>
      </c>
      <c r="BD61" s="909">
        <v>44964.778968119259</v>
      </c>
      <c r="BE61" s="909">
        <v>44265.953943303459</v>
      </c>
      <c r="BF61" s="909">
        <v>44213.112024193724</v>
      </c>
      <c r="BG61" s="909">
        <v>44416.633551558982</v>
      </c>
      <c r="BH61" s="909">
        <v>44552.782204115014</v>
      </c>
      <c r="BI61" s="909">
        <v>45009.054431410827</v>
      </c>
      <c r="BJ61" s="909">
        <v>45312.920665760117</v>
      </c>
      <c r="BK61" s="909">
        <v>43235.787246349129</v>
      </c>
      <c r="BL61" s="909">
        <v>43097.493635653664</v>
      </c>
      <c r="BM61" s="909">
        <v>43203.774808233495</v>
      </c>
      <c r="BN61" s="909">
        <v>43661.834296991954</v>
      </c>
      <c r="BO61" s="909">
        <v>43974.956510773256</v>
      </c>
      <c r="BP61" s="909">
        <v>44381.176624370994</v>
      </c>
      <c r="BQ61" s="909">
        <v>44497.792306220872</v>
      </c>
      <c r="BR61" s="909">
        <v>44816.576910465919</v>
      </c>
      <c r="BS61" s="909">
        <v>45160.287153902238</v>
      </c>
      <c r="BT61" s="909">
        <v>45783.010751153786</v>
      </c>
      <c r="BU61" s="909">
        <v>46501.674701855991</v>
      </c>
      <c r="BV61" s="909">
        <v>47074.090090173944</v>
      </c>
      <c r="BW61" s="909">
        <v>47894.003678153691</v>
      </c>
      <c r="BX61" s="909">
        <v>47942.826129506633</v>
      </c>
      <c r="BY61" s="909">
        <v>48371.125310600342</v>
      </c>
      <c r="BZ61" s="909">
        <v>48916.095699009165</v>
      </c>
      <c r="CA61" s="909">
        <v>49255.747113939324</v>
      </c>
      <c r="CB61" s="909">
        <v>49659.18436171177</v>
      </c>
      <c r="CC61" s="909">
        <v>48698.191211594225</v>
      </c>
      <c r="CD61" s="909">
        <v>48761.357791491457</v>
      </c>
      <c r="CE61" s="909">
        <v>49222.68606444788</v>
      </c>
      <c r="CF61" s="909">
        <v>49905.491819543342</v>
      </c>
      <c r="CG61" s="909">
        <v>50217.162324114026</v>
      </c>
      <c r="CH61" s="909">
        <v>46912.906296941721</v>
      </c>
      <c r="CI61" s="909">
        <v>47409.792134913303</v>
      </c>
      <c r="CJ61" s="909">
        <v>47875.192852699918</v>
      </c>
      <c r="CK61" s="909">
        <v>48388.659543081478</v>
      </c>
      <c r="CL61" s="909">
        <v>48971.714601216074</v>
      </c>
      <c r="CM61" s="909">
        <v>49487.197196966634</v>
      </c>
      <c r="CN61" s="909">
        <v>49783.066297619967</v>
      </c>
      <c r="CO61" s="909">
        <v>50852.368546052159</v>
      </c>
      <c r="CP61" s="909">
        <v>51434.678698228876</v>
      </c>
      <c r="CQ61" s="909">
        <v>53196.983414472481</v>
      </c>
      <c r="CR61" s="909">
        <v>53885.432490609091</v>
      </c>
      <c r="CS61" s="909">
        <v>53522.373320540595</v>
      </c>
      <c r="CT61" s="909">
        <v>53888.2107806731</v>
      </c>
      <c r="CU61" s="909">
        <v>54959.28129971445</v>
      </c>
      <c r="CV61" s="909">
        <v>54870.586194286108</v>
      </c>
      <c r="CW61" s="909">
        <v>55943.655789739103</v>
      </c>
      <c r="CX61" s="909">
        <v>56793.800618429115</v>
      </c>
      <c r="CY61" s="909">
        <v>57326.641862916513</v>
      </c>
      <c r="CZ61" s="909">
        <v>57678.576852817707</v>
      </c>
      <c r="DA61" s="909">
        <v>58472.529791763511</v>
      </c>
      <c r="DB61" s="909">
        <v>58061.340148388554</v>
      </c>
      <c r="DC61" s="855">
        <v>58439.562505703514</v>
      </c>
      <c r="DD61" s="855">
        <v>59188.973477353058</v>
      </c>
      <c r="DE61" s="855">
        <v>59922.185490349126</v>
      </c>
      <c r="DF61" s="855">
        <v>60473.288928725233</v>
      </c>
      <c r="DG61" s="855">
        <v>61496.319549418913</v>
      </c>
      <c r="DH61" s="855">
        <v>61671.708856908954</v>
      </c>
      <c r="DI61" s="855">
        <v>62181.74430304089</v>
      </c>
      <c r="DJ61" s="855">
        <v>63406.936379661282</v>
      </c>
      <c r="DK61" s="855">
        <v>64027.250872396631</v>
      </c>
      <c r="DL61" s="855">
        <v>64697.901216674509</v>
      </c>
      <c r="DM61" s="855">
        <v>65575.577525555695</v>
      </c>
      <c r="DN61" s="855">
        <v>65330.12716289534</v>
      </c>
      <c r="DO61" s="855">
        <v>65246.331665826561</v>
      </c>
      <c r="DP61" s="855">
        <v>65872.875149534229</v>
      </c>
      <c r="DQ61" s="855">
        <v>66183.274304624589</v>
      </c>
      <c r="DR61" s="855">
        <v>65927.87564363901</v>
      </c>
      <c r="DS61" s="855">
        <v>66401.152564357719</v>
      </c>
    </row>
    <row r="62" spans="1:123" ht="17.25" customHeight="1" thickBot="1">
      <c r="A62" s="881"/>
      <c r="B62" s="882"/>
      <c r="C62" s="885"/>
      <c r="D62" s="885"/>
      <c r="E62" s="885"/>
      <c r="F62" s="942"/>
      <c r="G62" s="885"/>
      <c r="H62" s="943"/>
      <c r="I62" s="885"/>
      <c r="J62" s="885"/>
      <c r="K62" s="885"/>
      <c r="L62" s="885"/>
      <c r="M62" s="942"/>
      <c r="N62" s="885"/>
      <c r="O62" s="885"/>
      <c r="P62" s="885"/>
      <c r="Q62" s="885"/>
      <c r="R62" s="885"/>
      <c r="S62" s="885"/>
      <c r="T62" s="885"/>
      <c r="U62" s="885"/>
      <c r="V62" s="885"/>
      <c r="W62" s="885"/>
      <c r="X62" s="885"/>
      <c r="Y62" s="885"/>
      <c r="Z62" s="885"/>
      <c r="AA62" s="885"/>
      <c r="AB62" s="885"/>
      <c r="AC62" s="885"/>
      <c r="AD62" s="943"/>
      <c r="AE62" s="885"/>
      <c r="AF62" s="885"/>
      <c r="AG62" s="885"/>
      <c r="AH62" s="885"/>
      <c r="AI62" s="885"/>
      <c r="AJ62" s="885"/>
      <c r="AK62" s="885"/>
      <c r="AL62" s="885"/>
      <c r="AM62" s="885"/>
      <c r="AN62" s="885"/>
      <c r="AO62" s="943"/>
      <c r="AP62" s="885"/>
      <c r="AQ62" s="885"/>
      <c r="AR62" s="885"/>
      <c r="AS62" s="885"/>
      <c r="AT62" s="885"/>
      <c r="AU62" s="885"/>
      <c r="AV62" s="885"/>
      <c r="AW62" s="885"/>
      <c r="AX62" s="885"/>
      <c r="AY62" s="885"/>
      <c r="AZ62" s="885"/>
      <c r="BA62" s="885"/>
      <c r="BB62" s="885"/>
      <c r="BC62" s="885"/>
      <c r="BD62" s="885"/>
      <c r="BE62" s="885"/>
      <c r="BF62" s="885"/>
      <c r="BG62" s="885"/>
      <c r="BH62" s="885"/>
      <c r="BI62" s="885"/>
      <c r="BJ62" s="885"/>
      <c r="BK62" s="885"/>
      <c r="BL62" s="885"/>
      <c r="BM62" s="885"/>
      <c r="BN62" s="885"/>
      <c r="BO62" s="885"/>
      <c r="BP62" s="885"/>
      <c r="BQ62" s="885"/>
      <c r="BR62" s="885"/>
      <c r="BS62" s="885"/>
      <c r="BT62" s="885"/>
      <c r="BU62" s="885"/>
      <c r="BV62" s="885"/>
      <c r="BW62" s="885"/>
      <c r="BX62" s="885"/>
      <c r="BY62" s="885"/>
      <c r="BZ62" s="885"/>
      <c r="CA62" s="885"/>
      <c r="CB62" s="885"/>
      <c r="CC62" s="885"/>
      <c r="CD62" s="885"/>
      <c r="CE62" s="885"/>
      <c r="CF62" s="885"/>
      <c r="CG62" s="885"/>
      <c r="CH62" s="885"/>
      <c r="CI62" s="885"/>
      <c r="CJ62" s="885"/>
      <c r="CK62" s="885"/>
      <c r="CL62" s="885"/>
      <c r="CM62" s="885"/>
      <c r="CN62" s="885"/>
      <c r="CO62" s="885"/>
      <c r="CP62" s="885"/>
      <c r="CQ62" s="885"/>
      <c r="CR62" s="885"/>
      <c r="CS62" s="885"/>
      <c r="CT62" s="885"/>
      <c r="CU62" s="885"/>
      <c r="CV62" s="885"/>
      <c r="CW62" s="885"/>
      <c r="CX62" s="885"/>
      <c r="CY62" s="885"/>
      <c r="CZ62" s="885"/>
      <c r="DA62" s="885"/>
      <c r="DB62" s="885"/>
      <c r="DC62" s="883"/>
      <c r="DD62" s="883"/>
      <c r="DE62" s="883"/>
      <c r="DF62" s="883"/>
      <c r="DG62" s="883"/>
      <c r="DH62" s="883"/>
      <c r="DI62" s="883"/>
      <c r="DJ62" s="883"/>
      <c r="DK62" s="883"/>
      <c r="DL62" s="883"/>
      <c r="DM62" s="883"/>
      <c r="DN62" s="883"/>
      <c r="DO62" s="883"/>
      <c r="DP62" s="883"/>
      <c r="DQ62" s="883"/>
      <c r="DR62" s="883"/>
      <c r="DS62" s="883"/>
    </row>
    <row r="63" spans="1:123" ht="15.75" thickTop="1">
      <c r="A63" s="628" t="s">
        <v>2346</v>
      </c>
      <c r="B63" s="807"/>
      <c r="C63" s="807"/>
      <c r="D63" s="807"/>
      <c r="E63" s="807"/>
      <c r="F63" s="807"/>
      <c r="G63" s="807"/>
      <c r="H63" s="807"/>
      <c r="I63" s="807"/>
      <c r="J63" s="541"/>
      <c r="K63" s="541"/>
      <c r="L63" s="541"/>
      <c r="M63" s="541"/>
      <c r="N63" s="541"/>
      <c r="O63" s="541"/>
      <c r="P63" s="541"/>
      <c r="Q63" s="541"/>
      <c r="R63" s="541"/>
      <c r="S63" s="541"/>
      <c r="T63" s="541"/>
      <c r="U63" s="541"/>
      <c r="V63" s="541"/>
      <c r="W63" s="541"/>
      <c r="X63" s="541"/>
      <c r="Y63" s="541"/>
      <c r="Z63" s="541"/>
      <c r="AA63" s="541"/>
      <c r="AB63" s="541"/>
      <c r="AC63" s="541"/>
      <c r="AD63" s="541"/>
      <c r="AE63" s="541"/>
      <c r="AF63" s="541"/>
      <c r="AG63" s="541"/>
      <c r="AH63" s="541"/>
      <c r="AI63" s="541"/>
      <c r="AJ63" s="541"/>
    </row>
    <row r="64" spans="1:123" ht="12.75" customHeight="1">
      <c r="A64" s="628" t="s">
        <v>2557</v>
      </c>
      <c r="B64" s="807"/>
      <c r="C64" s="807"/>
      <c r="D64" s="807"/>
      <c r="E64" s="807"/>
      <c r="F64" s="807"/>
      <c r="G64" s="807"/>
      <c r="H64" s="807"/>
      <c r="I64" s="807"/>
      <c r="J64" s="541"/>
      <c r="K64" s="541"/>
      <c r="L64" s="541"/>
      <c r="M64" s="541"/>
      <c r="N64" s="541"/>
      <c r="O64" s="541"/>
      <c r="P64" s="541"/>
      <c r="Q64" s="541"/>
      <c r="R64" s="541"/>
      <c r="S64" s="541"/>
      <c r="T64" s="541"/>
      <c r="U64" s="541"/>
      <c r="V64" s="541"/>
      <c r="W64" s="541"/>
      <c r="X64" s="541"/>
      <c r="Y64" s="541"/>
      <c r="Z64" s="541"/>
      <c r="AA64" s="541"/>
      <c r="AB64" s="541"/>
      <c r="AC64" s="541"/>
      <c r="AD64" s="541"/>
      <c r="AE64" s="541"/>
      <c r="AF64" s="541"/>
      <c r="AG64" s="541"/>
      <c r="AH64" s="541"/>
      <c r="AI64" s="541"/>
      <c r="AJ64" s="541"/>
    </row>
    <row r="65" spans="1:36">
      <c r="A65" s="628" t="s">
        <v>2053</v>
      </c>
      <c r="C65" s="807"/>
      <c r="D65" s="807"/>
      <c r="E65" s="807"/>
      <c r="F65" s="807"/>
      <c r="G65" s="807"/>
      <c r="H65" s="807"/>
      <c r="I65" s="807"/>
      <c r="J65" s="541"/>
      <c r="K65" s="541"/>
      <c r="L65" s="541"/>
      <c r="M65" s="541"/>
      <c r="N65" s="541"/>
      <c r="O65" s="541"/>
      <c r="P65" s="541"/>
      <c r="Q65" s="541"/>
      <c r="R65" s="541"/>
      <c r="S65" s="541"/>
      <c r="T65" s="541"/>
      <c r="U65" s="541"/>
      <c r="V65" s="541"/>
      <c r="W65" s="541"/>
      <c r="X65" s="541"/>
      <c r="Y65" s="541"/>
      <c r="Z65" s="541"/>
      <c r="AA65" s="541"/>
      <c r="AB65" s="541"/>
      <c r="AC65" s="541"/>
      <c r="AD65" s="541"/>
      <c r="AE65" s="541"/>
      <c r="AF65" s="541"/>
      <c r="AG65" s="541"/>
      <c r="AH65" s="541"/>
      <c r="AI65" s="541"/>
      <c r="AJ65" s="541"/>
    </row>
    <row r="66" spans="1:36">
      <c r="A66" s="628"/>
      <c r="B66" s="807"/>
      <c r="C66" s="807"/>
      <c r="D66" s="807"/>
      <c r="E66" s="807"/>
      <c r="F66" s="807"/>
      <c r="G66" s="807"/>
      <c r="H66" s="807"/>
      <c r="I66" s="807"/>
      <c r="J66" s="541"/>
      <c r="K66" s="541"/>
      <c r="L66" s="541"/>
      <c r="M66" s="541"/>
      <c r="N66" s="541"/>
      <c r="O66" s="541"/>
      <c r="P66" s="541"/>
      <c r="Q66" s="541"/>
      <c r="R66" s="541"/>
      <c r="S66" s="541"/>
      <c r="T66" s="541"/>
      <c r="U66" s="541"/>
      <c r="V66" s="541"/>
      <c r="W66" s="541"/>
      <c r="X66" s="541"/>
      <c r="Y66" s="541"/>
      <c r="Z66" s="541"/>
      <c r="AA66" s="541"/>
      <c r="AB66" s="541"/>
      <c r="AC66" s="541"/>
      <c r="AD66" s="541"/>
      <c r="AE66" s="541"/>
      <c r="AF66" s="541"/>
      <c r="AG66" s="541"/>
      <c r="AH66" s="541"/>
      <c r="AI66" s="541"/>
      <c r="AJ66" s="541"/>
    </row>
    <row r="67" spans="1:36">
      <c r="A67" s="628"/>
      <c r="B67" s="807"/>
      <c r="C67" s="807"/>
      <c r="D67" s="807"/>
      <c r="E67" s="807"/>
      <c r="F67" s="807"/>
      <c r="G67" s="807"/>
      <c r="H67" s="807"/>
      <c r="I67" s="807"/>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row>
    <row r="68" spans="1:36">
      <c r="A68" s="628"/>
      <c r="B68" s="807"/>
      <c r="C68" s="807"/>
      <c r="D68" s="807"/>
      <c r="E68" s="807"/>
      <c r="F68" s="807"/>
      <c r="G68" s="807"/>
      <c r="H68" s="807"/>
      <c r="I68" s="807"/>
      <c r="J68" s="541"/>
      <c r="K68" s="541"/>
      <c r="L68" s="541"/>
      <c r="M68" s="541"/>
      <c r="N68" s="541"/>
      <c r="O68" s="541"/>
      <c r="P68" s="541"/>
      <c r="Q68" s="541"/>
      <c r="R68" s="541"/>
      <c r="S68" s="541"/>
      <c r="T68" s="541"/>
      <c r="U68" s="541"/>
      <c r="V68" s="541"/>
      <c r="W68" s="541"/>
      <c r="X68" s="541"/>
      <c r="Y68" s="541"/>
      <c r="Z68" s="541"/>
      <c r="AA68" s="541"/>
      <c r="AB68" s="541"/>
      <c r="AC68" s="541"/>
      <c r="AD68" s="541"/>
      <c r="AE68" s="541"/>
      <c r="AF68" s="541"/>
      <c r="AG68" s="541"/>
      <c r="AH68" s="541"/>
      <c r="AI68" s="541"/>
      <c r="AJ68" s="541"/>
    </row>
    <row r="69" spans="1:36" hidden="1">
      <c r="A69" s="628"/>
      <c r="B69" s="807"/>
      <c r="C69" s="807"/>
      <c r="D69" s="807"/>
      <c r="E69" s="807"/>
      <c r="F69" s="807"/>
      <c r="G69" s="807"/>
      <c r="H69" s="807"/>
      <c r="I69" s="807"/>
      <c r="J69" s="541"/>
      <c r="K69" s="541"/>
      <c r="L69" s="541"/>
      <c r="M69" s="541"/>
      <c r="N69" s="541"/>
      <c r="O69" s="541"/>
      <c r="P69" s="541"/>
      <c r="Q69" s="541"/>
      <c r="R69" s="541"/>
      <c r="S69" s="541"/>
      <c r="T69" s="541"/>
      <c r="U69" s="541"/>
      <c r="V69" s="541"/>
      <c r="W69" s="541"/>
      <c r="X69" s="541"/>
      <c r="Y69" s="541"/>
      <c r="Z69" s="541"/>
      <c r="AA69" s="541"/>
      <c r="AB69" s="541"/>
      <c r="AC69" s="541"/>
      <c r="AD69" s="541"/>
      <c r="AE69" s="541"/>
      <c r="AF69" s="541"/>
      <c r="AG69" s="541"/>
      <c r="AH69" s="541"/>
      <c r="AI69" s="541"/>
      <c r="AJ69" s="541"/>
    </row>
    <row r="70" spans="1:36">
      <c r="A70" s="628"/>
      <c r="B70" s="807"/>
      <c r="C70" s="807"/>
      <c r="D70" s="807"/>
      <c r="E70" s="807"/>
      <c r="F70" s="807"/>
      <c r="G70" s="807"/>
      <c r="H70" s="807"/>
      <c r="I70" s="807"/>
      <c r="J70" s="541"/>
      <c r="K70" s="541"/>
      <c r="L70" s="541"/>
      <c r="M70" s="541"/>
      <c r="N70" s="541"/>
      <c r="O70" s="541"/>
      <c r="P70" s="541"/>
      <c r="Q70" s="541"/>
      <c r="R70" s="541"/>
      <c r="S70" s="541"/>
      <c r="T70" s="541"/>
      <c r="U70" s="541"/>
      <c r="V70" s="541"/>
      <c r="W70" s="541"/>
      <c r="X70" s="541"/>
      <c r="Y70" s="541"/>
      <c r="Z70" s="541"/>
      <c r="AA70" s="541"/>
      <c r="AB70" s="541"/>
      <c r="AC70" s="541"/>
      <c r="AD70" s="541"/>
      <c r="AE70" s="541"/>
      <c r="AF70" s="541"/>
      <c r="AG70" s="541"/>
      <c r="AH70" s="541"/>
      <c r="AI70" s="541"/>
      <c r="AJ70" s="541"/>
    </row>
    <row r="71" spans="1:36">
      <c r="A71" s="628"/>
      <c r="B71" s="807"/>
      <c r="C71" s="807"/>
      <c r="D71" s="807"/>
      <c r="E71" s="807"/>
      <c r="F71" s="807"/>
      <c r="G71" s="807"/>
      <c r="H71" s="807"/>
      <c r="I71" s="807"/>
      <c r="J71" s="541"/>
      <c r="K71" s="541"/>
      <c r="L71" s="541"/>
      <c r="M71" s="541"/>
      <c r="N71" s="541"/>
      <c r="O71" s="541"/>
      <c r="P71" s="541"/>
      <c r="Q71" s="541"/>
      <c r="R71" s="541"/>
      <c r="S71" s="541"/>
      <c r="T71" s="541"/>
      <c r="U71" s="541"/>
      <c r="V71" s="541"/>
      <c r="W71" s="541"/>
      <c r="X71" s="541"/>
      <c r="Y71" s="541"/>
      <c r="Z71" s="541"/>
      <c r="AA71" s="541"/>
      <c r="AB71" s="541"/>
      <c r="AC71" s="541"/>
      <c r="AD71" s="541"/>
      <c r="AE71" s="541"/>
      <c r="AF71" s="541"/>
      <c r="AG71" s="541"/>
      <c r="AH71" s="541"/>
      <c r="AI71" s="541"/>
      <c r="AJ71" s="541"/>
    </row>
    <row r="72" spans="1:36">
      <c r="A72" s="628"/>
      <c r="B72" s="807"/>
      <c r="C72" s="807"/>
      <c r="D72" s="807"/>
      <c r="E72" s="807"/>
      <c r="F72" s="807"/>
      <c r="G72" s="807"/>
      <c r="H72" s="807"/>
      <c r="I72" s="807"/>
      <c r="J72" s="541"/>
      <c r="K72" s="541"/>
      <c r="L72" s="541"/>
      <c r="M72" s="541"/>
      <c r="N72" s="541"/>
      <c r="O72" s="541"/>
      <c r="P72" s="541"/>
      <c r="Q72" s="541"/>
      <c r="R72" s="541"/>
      <c r="S72" s="541"/>
      <c r="T72" s="541"/>
      <c r="U72" s="541"/>
      <c r="V72" s="541"/>
      <c r="W72" s="541"/>
      <c r="X72" s="541"/>
      <c r="Y72" s="541"/>
      <c r="Z72" s="541"/>
      <c r="AA72" s="541"/>
      <c r="AB72" s="541"/>
      <c r="AC72" s="541"/>
      <c r="AD72" s="541"/>
      <c r="AE72" s="541"/>
      <c r="AF72" s="541"/>
      <c r="AG72" s="541"/>
      <c r="AH72" s="541"/>
      <c r="AI72" s="541"/>
      <c r="AJ72" s="541"/>
    </row>
    <row r="73" spans="1:36">
      <c r="A73" s="628"/>
      <c r="B73" s="807"/>
      <c r="C73" s="807"/>
      <c r="D73" s="807"/>
      <c r="E73" s="807"/>
      <c r="F73" s="807"/>
      <c r="G73" s="807"/>
      <c r="H73" s="807"/>
      <c r="I73" s="807"/>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row>
    <row r="74" spans="1:36">
      <c r="A74" s="628"/>
      <c r="B74" s="807"/>
      <c r="C74" s="807"/>
      <c r="D74" s="807"/>
      <c r="E74" s="807"/>
      <c r="F74" s="807"/>
      <c r="G74" s="807"/>
      <c r="H74" s="807"/>
      <c r="I74" s="807"/>
      <c r="J74" s="541"/>
      <c r="K74" s="541"/>
      <c r="L74" s="541"/>
      <c r="M74" s="541"/>
      <c r="N74" s="541"/>
      <c r="O74" s="541"/>
      <c r="P74" s="541"/>
      <c r="Q74" s="541"/>
      <c r="R74" s="541"/>
      <c r="S74" s="541"/>
      <c r="T74" s="541"/>
      <c r="U74" s="541"/>
      <c r="V74" s="541"/>
      <c r="W74" s="541"/>
      <c r="X74" s="541"/>
      <c r="Y74" s="541"/>
      <c r="Z74" s="541"/>
      <c r="AA74" s="541"/>
      <c r="AB74" s="541"/>
      <c r="AC74" s="541"/>
      <c r="AD74" s="541"/>
      <c r="AE74" s="541"/>
      <c r="AF74" s="541"/>
      <c r="AG74" s="541"/>
      <c r="AH74" s="541"/>
      <c r="AI74" s="541"/>
      <c r="AJ74" s="541"/>
    </row>
    <row r="75" spans="1:36">
      <c r="A75" s="628"/>
      <c r="B75" s="807"/>
      <c r="C75" s="807"/>
      <c r="D75" s="807"/>
      <c r="E75" s="807"/>
      <c r="F75" s="807"/>
      <c r="G75" s="807"/>
      <c r="H75" s="807"/>
      <c r="I75" s="80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row>
    <row r="76" spans="1:36">
      <c r="A76" s="628"/>
      <c r="B76" s="807"/>
      <c r="C76" s="807"/>
      <c r="D76" s="807"/>
      <c r="E76" s="807"/>
      <c r="F76" s="807"/>
      <c r="G76" s="807"/>
      <c r="H76" s="807"/>
      <c r="I76" s="807"/>
      <c r="J76" s="541"/>
      <c r="K76" s="541"/>
      <c r="L76" s="541"/>
      <c r="M76" s="541"/>
      <c r="N76" s="541"/>
      <c r="O76" s="541"/>
      <c r="P76" s="541"/>
      <c r="Q76" s="541"/>
      <c r="R76" s="541"/>
      <c r="S76" s="541"/>
      <c r="T76" s="541"/>
      <c r="U76" s="541"/>
      <c r="V76" s="541"/>
      <c r="W76" s="541"/>
      <c r="X76" s="541"/>
      <c r="Y76" s="541"/>
      <c r="Z76" s="541"/>
      <c r="AA76" s="541"/>
      <c r="AB76" s="541"/>
      <c r="AC76" s="541"/>
      <c r="AD76" s="541"/>
      <c r="AE76" s="541"/>
      <c r="AF76" s="541"/>
      <c r="AG76" s="541"/>
      <c r="AH76" s="541"/>
      <c r="AI76" s="541"/>
      <c r="AJ76" s="541"/>
    </row>
    <row r="77" spans="1:36">
      <c r="A77" s="628"/>
      <c r="B77" s="807"/>
      <c r="C77" s="807"/>
      <c r="D77" s="807"/>
      <c r="E77" s="807"/>
      <c r="F77" s="807"/>
      <c r="G77" s="807"/>
      <c r="H77" s="807"/>
      <c r="I77" s="807"/>
      <c r="J77" s="541"/>
      <c r="K77" s="541"/>
      <c r="L77" s="541"/>
      <c r="M77" s="541"/>
      <c r="N77" s="541"/>
      <c r="O77" s="541"/>
      <c r="P77" s="541"/>
      <c r="Q77" s="541"/>
      <c r="R77" s="541"/>
      <c r="S77" s="541"/>
      <c r="T77" s="541"/>
      <c r="U77" s="541"/>
      <c r="V77" s="541"/>
      <c r="W77" s="541"/>
      <c r="X77" s="541"/>
      <c r="Y77" s="541"/>
      <c r="Z77" s="541"/>
      <c r="AA77" s="541"/>
      <c r="AB77" s="541"/>
      <c r="AC77" s="541"/>
      <c r="AD77" s="541"/>
      <c r="AE77" s="541"/>
      <c r="AF77" s="541"/>
      <c r="AG77" s="541"/>
      <c r="AH77" s="541"/>
      <c r="AI77" s="541"/>
      <c r="AJ77" s="541"/>
    </row>
    <row r="78" spans="1:36">
      <c r="A78" s="628"/>
      <c r="B78" s="807"/>
      <c r="C78" s="807"/>
      <c r="D78" s="807"/>
      <c r="E78" s="807"/>
      <c r="F78" s="807"/>
      <c r="G78" s="807"/>
      <c r="H78" s="807"/>
      <c r="I78" s="807"/>
      <c r="J78" s="541"/>
      <c r="K78" s="541"/>
      <c r="L78" s="541"/>
      <c r="M78" s="541"/>
      <c r="N78" s="541"/>
      <c r="O78" s="541"/>
      <c r="P78" s="541"/>
      <c r="Q78" s="541"/>
      <c r="R78" s="541"/>
      <c r="S78" s="541"/>
      <c r="T78" s="541"/>
      <c r="U78" s="541"/>
      <c r="V78" s="541"/>
      <c r="W78" s="541"/>
      <c r="X78" s="541"/>
      <c r="Y78" s="541"/>
      <c r="Z78" s="541"/>
      <c r="AA78" s="541"/>
      <c r="AB78" s="541"/>
      <c r="AC78" s="541"/>
      <c r="AD78" s="541"/>
      <c r="AE78" s="541"/>
      <c r="AF78" s="541"/>
      <c r="AG78" s="541"/>
      <c r="AH78" s="541"/>
      <c r="AI78" s="541"/>
      <c r="AJ78" s="541"/>
    </row>
    <row r="79" spans="1:36">
      <c r="A79" s="628"/>
      <c r="B79" s="807"/>
      <c r="C79" s="807"/>
      <c r="D79" s="807"/>
      <c r="E79" s="807"/>
      <c r="F79" s="807"/>
      <c r="G79" s="807"/>
      <c r="H79" s="807"/>
      <c r="I79" s="807"/>
      <c r="J79" s="541"/>
      <c r="K79" s="541"/>
      <c r="L79" s="541"/>
      <c r="M79" s="541"/>
      <c r="N79" s="541"/>
      <c r="O79" s="541"/>
      <c r="P79" s="541"/>
      <c r="Q79" s="541"/>
      <c r="R79" s="541"/>
      <c r="S79" s="541"/>
      <c r="T79" s="541"/>
      <c r="U79" s="541"/>
      <c r="V79" s="541"/>
      <c r="W79" s="541"/>
      <c r="X79" s="541"/>
      <c r="Y79" s="541"/>
      <c r="Z79" s="541"/>
      <c r="AA79" s="541"/>
      <c r="AB79" s="541"/>
      <c r="AC79" s="541"/>
      <c r="AD79" s="541"/>
      <c r="AE79" s="541"/>
      <c r="AF79" s="541"/>
      <c r="AG79" s="541"/>
      <c r="AH79" s="541"/>
      <c r="AI79" s="541"/>
      <c r="AJ79" s="541"/>
    </row>
    <row r="80" spans="1:36">
      <c r="A80" s="628"/>
      <c r="B80" s="807"/>
      <c r="C80" s="807"/>
      <c r="D80" s="807"/>
      <c r="E80" s="807"/>
      <c r="F80" s="807"/>
      <c r="G80" s="807"/>
      <c r="H80" s="807"/>
      <c r="I80" s="807"/>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row>
    <row r="81" spans="1:36">
      <c r="A81" s="628"/>
      <c r="B81" s="807"/>
      <c r="C81" s="807"/>
      <c r="D81" s="807"/>
      <c r="E81" s="807"/>
      <c r="F81" s="807"/>
      <c r="G81" s="807"/>
      <c r="H81" s="807"/>
      <c r="I81" s="807"/>
      <c r="J81" s="541"/>
      <c r="K81" s="541"/>
      <c r="L81" s="541"/>
      <c r="M81" s="541"/>
      <c r="N81" s="541"/>
      <c r="O81" s="541"/>
      <c r="P81" s="541"/>
      <c r="Q81" s="541"/>
      <c r="R81" s="541"/>
      <c r="S81" s="541"/>
      <c r="T81" s="541"/>
      <c r="U81" s="541"/>
      <c r="V81" s="541"/>
      <c r="W81" s="541"/>
      <c r="X81" s="541"/>
      <c r="Y81" s="541"/>
      <c r="Z81" s="541"/>
      <c r="AA81" s="541"/>
      <c r="AB81" s="541"/>
      <c r="AC81" s="541"/>
      <c r="AD81" s="541"/>
      <c r="AE81" s="541"/>
      <c r="AF81" s="541"/>
      <c r="AG81" s="541"/>
      <c r="AH81" s="541"/>
      <c r="AI81" s="541"/>
      <c r="AJ81" s="541"/>
    </row>
    <row r="82" spans="1:36">
      <c r="A82" s="628"/>
      <c r="B82" s="807"/>
      <c r="C82" s="807"/>
      <c r="D82" s="807"/>
      <c r="E82" s="807"/>
      <c r="F82" s="807"/>
      <c r="G82" s="807"/>
      <c r="H82" s="807"/>
      <c r="I82" s="807"/>
      <c r="J82" s="541"/>
      <c r="K82" s="541"/>
      <c r="L82" s="541"/>
      <c r="M82" s="541"/>
      <c r="N82" s="541"/>
      <c r="O82" s="541"/>
      <c r="P82" s="541"/>
      <c r="Q82" s="541"/>
      <c r="R82" s="541"/>
      <c r="S82" s="541"/>
      <c r="T82" s="541"/>
      <c r="U82" s="541"/>
      <c r="V82" s="541"/>
      <c r="W82" s="541"/>
      <c r="X82" s="541"/>
      <c r="Y82" s="541"/>
      <c r="Z82" s="541"/>
      <c r="AA82" s="541"/>
      <c r="AB82" s="541"/>
      <c r="AC82" s="541"/>
      <c r="AD82" s="541"/>
      <c r="AE82" s="541"/>
      <c r="AF82" s="541"/>
      <c r="AG82" s="541"/>
      <c r="AH82" s="541"/>
      <c r="AI82" s="541"/>
      <c r="AJ82" s="541"/>
    </row>
    <row r="83" spans="1:36">
      <c r="A83" s="628"/>
      <c r="B83" s="807"/>
      <c r="C83" s="807"/>
      <c r="D83" s="807"/>
      <c r="E83" s="807"/>
      <c r="F83" s="807"/>
      <c r="G83" s="807"/>
      <c r="H83" s="807"/>
      <c r="I83" s="807"/>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row>
    <row r="84" spans="1:36">
      <c r="A84" s="628"/>
      <c r="B84" s="807"/>
      <c r="C84" s="807"/>
      <c r="D84" s="807"/>
      <c r="E84" s="807"/>
      <c r="F84" s="807"/>
      <c r="G84" s="807"/>
      <c r="H84" s="807"/>
      <c r="I84" s="807"/>
      <c r="J84" s="541"/>
      <c r="K84" s="541"/>
      <c r="L84" s="541"/>
      <c r="M84" s="541"/>
      <c r="N84" s="541"/>
      <c r="O84" s="541"/>
      <c r="P84" s="541"/>
      <c r="Q84" s="541"/>
      <c r="R84" s="541"/>
      <c r="S84" s="541"/>
      <c r="T84" s="541"/>
      <c r="U84" s="541"/>
      <c r="V84" s="541"/>
      <c r="W84" s="541"/>
      <c r="X84" s="541"/>
      <c r="Y84" s="541"/>
      <c r="Z84" s="541"/>
      <c r="AA84" s="541"/>
      <c r="AB84" s="541"/>
      <c r="AC84" s="541"/>
      <c r="AD84" s="541"/>
      <c r="AE84" s="541"/>
      <c r="AF84" s="541"/>
      <c r="AG84" s="541"/>
      <c r="AH84" s="541"/>
      <c r="AI84" s="541"/>
      <c r="AJ84" s="541"/>
    </row>
    <row r="85" spans="1:36">
      <c r="A85" s="628"/>
      <c r="B85" s="807"/>
      <c r="C85" s="807"/>
      <c r="D85" s="807"/>
      <c r="E85" s="807"/>
      <c r="F85" s="807"/>
      <c r="G85" s="807"/>
      <c r="H85" s="807"/>
      <c r="I85" s="807"/>
      <c r="J85" s="541"/>
      <c r="K85" s="541"/>
      <c r="L85" s="541"/>
      <c r="M85" s="541"/>
      <c r="N85" s="541"/>
      <c r="O85" s="541"/>
      <c r="P85" s="541"/>
      <c r="Q85" s="541"/>
      <c r="R85" s="541"/>
      <c r="S85" s="541"/>
      <c r="T85" s="541"/>
      <c r="U85" s="541"/>
      <c r="V85" s="541"/>
      <c r="W85" s="541"/>
      <c r="X85" s="541"/>
      <c r="Y85" s="541"/>
      <c r="Z85" s="541"/>
      <c r="AA85" s="541"/>
      <c r="AB85" s="541"/>
      <c r="AC85" s="541"/>
      <c r="AD85" s="541"/>
      <c r="AE85" s="541"/>
      <c r="AF85" s="541"/>
      <c r="AG85" s="541"/>
      <c r="AH85" s="541"/>
      <c r="AI85" s="541"/>
      <c r="AJ85" s="541"/>
    </row>
    <row r="86" spans="1:36">
      <c r="A86" s="628"/>
      <c r="B86" s="807"/>
      <c r="C86" s="807"/>
      <c r="D86" s="807"/>
      <c r="E86" s="807"/>
      <c r="F86" s="807"/>
      <c r="G86" s="807"/>
      <c r="H86" s="807"/>
      <c r="I86" s="807"/>
      <c r="J86" s="541"/>
      <c r="K86" s="541"/>
      <c r="L86" s="541"/>
      <c r="M86" s="541"/>
      <c r="N86" s="541"/>
      <c r="O86" s="541"/>
      <c r="P86" s="541"/>
      <c r="Q86" s="541"/>
      <c r="R86" s="541"/>
      <c r="S86" s="541"/>
      <c r="T86" s="541"/>
      <c r="U86" s="541"/>
      <c r="V86" s="541"/>
      <c r="W86" s="541"/>
      <c r="X86" s="541"/>
      <c r="Y86" s="541"/>
      <c r="Z86" s="541"/>
      <c r="AA86" s="541"/>
      <c r="AB86" s="541"/>
      <c r="AC86" s="541"/>
      <c r="AD86" s="541"/>
      <c r="AE86" s="541"/>
      <c r="AF86" s="541"/>
      <c r="AG86" s="541"/>
      <c r="AH86" s="541"/>
      <c r="AI86" s="541"/>
      <c r="AJ86" s="541"/>
    </row>
    <row r="87" spans="1:36">
      <c r="A87" s="628"/>
      <c r="B87" s="807"/>
      <c r="C87" s="807"/>
      <c r="D87" s="807"/>
      <c r="E87" s="807"/>
      <c r="F87" s="807"/>
      <c r="G87" s="807"/>
      <c r="H87" s="807"/>
      <c r="I87" s="807"/>
      <c r="J87" s="541"/>
      <c r="K87" s="541"/>
      <c r="L87" s="541"/>
      <c r="M87" s="541"/>
      <c r="N87" s="541"/>
      <c r="O87" s="541"/>
      <c r="P87" s="541"/>
      <c r="Q87" s="541"/>
      <c r="R87" s="541"/>
      <c r="S87" s="541"/>
      <c r="T87" s="541"/>
      <c r="U87" s="541"/>
      <c r="V87" s="541"/>
      <c r="W87" s="541"/>
      <c r="X87" s="541"/>
      <c r="Y87" s="541"/>
      <c r="Z87" s="541"/>
      <c r="AA87" s="541"/>
      <c r="AB87" s="541"/>
      <c r="AC87" s="541"/>
      <c r="AD87" s="541"/>
      <c r="AE87" s="541"/>
      <c r="AF87" s="541"/>
      <c r="AG87" s="541"/>
      <c r="AH87" s="541"/>
      <c r="AI87" s="541"/>
      <c r="AJ87" s="541"/>
    </row>
    <row r="88" spans="1:36">
      <c r="A88" s="628"/>
      <c r="B88" s="807"/>
      <c r="C88" s="807"/>
      <c r="D88" s="807"/>
      <c r="E88" s="807"/>
      <c r="F88" s="807"/>
      <c r="G88" s="807"/>
      <c r="H88" s="807"/>
      <c r="I88" s="807"/>
      <c r="J88" s="541"/>
      <c r="K88" s="541"/>
      <c r="L88" s="541"/>
      <c r="M88" s="541"/>
      <c r="N88" s="541"/>
      <c r="O88" s="541"/>
      <c r="P88" s="541"/>
      <c r="Q88" s="541"/>
      <c r="R88" s="541"/>
      <c r="S88" s="541"/>
      <c r="T88" s="541"/>
      <c r="U88" s="541"/>
      <c r="V88" s="541"/>
      <c r="W88" s="541"/>
      <c r="X88" s="541"/>
      <c r="Y88" s="541"/>
      <c r="Z88" s="541"/>
      <c r="AA88" s="541"/>
      <c r="AB88" s="541"/>
      <c r="AC88" s="541"/>
      <c r="AD88" s="541"/>
      <c r="AE88" s="541"/>
      <c r="AF88" s="541"/>
      <c r="AG88" s="541"/>
      <c r="AH88" s="541"/>
      <c r="AI88" s="541"/>
      <c r="AJ88" s="541"/>
    </row>
    <row r="89" spans="1:36">
      <c r="A89" s="628"/>
      <c r="B89" s="807"/>
      <c r="C89" s="807"/>
      <c r="D89" s="807"/>
      <c r="E89" s="807"/>
      <c r="F89" s="807"/>
      <c r="G89" s="807"/>
      <c r="H89" s="807"/>
      <c r="I89" s="807"/>
      <c r="J89" s="541"/>
      <c r="K89" s="541"/>
      <c r="L89" s="541"/>
      <c r="M89" s="541"/>
      <c r="N89" s="541"/>
      <c r="O89" s="541"/>
      <c r="P89" s="541"/>
      <c r="Q89" s="541"/>
      <c r="R89" s="541"/>
      <c r="S89" s="541"/>
      <c r="T89" s="541"/>
      <c r="U89" s="541"/>
      <c r="V89" s="541"/>
      <c r="W89" s="541"/>
      <c r="X89" s="541"/>
      <c r="Y89" s="541"/>
      <c r="Z89" s="541"/>
      <c r="AA89" s="541"/>
      <c r="AB89" s="541"/>
      <c r="AC89" s="541"/>
      <c r="AD89" s="541"/>
      <c r="AE89" s="541"/>
      <c r="AF89" s="541"/>
      <c r="AG89" s="541"/>
      <c r="AH89" s="541"/>
      <c r="AI89" s="541"/>
      <c r="AJ89" s="541"/>
    </row>
    <row r="90" spans="1:36">
      <c r="A90" s="628"/>
      <c r="B90" s="807"/>
      <c r="C90" s="807"/>
      <c r="D90" s="807"/>
      <c r="E90" s="807"/>
      <c r="F90" s="807"/>
      <c r="G90" s="807"/>
      <c r="H90" s="807"/>
      <c r="I90" s="807"/>
      <c r="J90" s="541"/>
      <c r="K90" s="541"/>
      <c r="L90" s="541"/>
      <c r="M90" s="541"/>
      <c r="N90" s="541"/>
      <c r="O90" s="541"/>
      <c r="P90" s="541"/>
      <c r="Q90" s="541"/>
      <c r="R90" s="541"/>
      <c r="S90" s="541"/>
      <c r="T90" s="541"/>
      <c r="U90" s="541"/>
      <c r="V90" s="541"/>
      <c r="W90" s="541"/>
      <c r="X90" s="541"/>
      <c r="Y90" s="541"/>
      <c r="Z90" s="541"/>
      <c r="AA90" s="541"/>
      <c r="AB90" s="541"/>
      <c r="AC90" s="541"/>
      <c r="AD90" s="541"/>
      <c r="AE90" s="541"/>
      <c r="AF90" s="541"/>
      <c r="AG90" s="541"/>
      <c r="AH90" s="541"/>
      <c r="AI90" s="541"/>
      <c r="AJ90" s="541"/>
    </row>
    <row r="91" spans="1:36">
      <c r="A91" s="628"/>
      <c r="B91" s="807"/>
      <c r="C91" s="807"/>
      <c r="D91" s="807"/>
      <c r="E91" s="807"/>
      <c r="F91" s="807"/>
      <c r="G91" s="807"/>
      <c r="H91" s="807"/>
      <c r="I91" s="807"/>
      <c r="J91" s="541"/>
      <c r="K91" s="541"/>
      <c r="L91" s="541"/>
      <c r="M91" s="541"/>
      <c r="N91" s="541"/>
      <c r="O91" s="541"/>
      <c r="P91" s="541"/>
      <c r="Q91" s="541"/>
      <c r="R91" s="541"/>
      <c r="S91" s="541"/>
      <c r="T91" s="541"/>
      <c r="U91" s="541"/>
      <c r="V91" s="541"/>
      <c r="W91" s="541"/>
      <c r="X91" s="541"/>
      <c r="Y91" s="541"/>
      <c r="Z91" s="541"/>
      <c r="AA91" s="541"/>
      <c r="AB91" s="541"/>
      <c r="AC91" s="541"/>
      <c r="AD91" s="541"/>
      <c r="AE91" s="541"/>
      <c r="AF91" s="541"/>
      <c r="AG91" s="541"/>
      <c r="AH91" s="541"/>
      <c r="AI91" s="541"/>
      <c r="AJ91" s="541"/>
    </row>
    <row r="92" spans="1:36">
      <c r="A92" s="628"/>
      <c r="B92" s="807"/>
      <c r="C92" s="807"/>
      <c r="D92" s="807"/>
      <c r="E92" s="807"/>
      <c r="F92" s="807"/>
      <c r="G92" s="807"/>
      <c r="H92" s="807"/>
      <c r="I92" s="807"/>
      <c r="J92" s="541"/>
      <c r="K92" s="541"/>
      <c r="L92" s="541"/>
      <c r="M92" s="541"/>
      <c r="N92" s="541"/>
      <c r="O92" s="541"/>
      <c r="P92" s="541"/>
      <c r="Q92" s="541"/>
      <c r="R92" s="541"/>
      <c r="S92" s="541"/>
      <c r="T92" s="541"/>
      <c r="U92" s="541"/>
      <c r="V92" s="541"/>
      <c r="W92" s="541"/>
      <c r="X92" s="541"/>
      <c r="Y92" s="541"/>
      <c r="Z92" s="541"/>
      <c r="AA92" s="541"/>
      <c r="AB92" s="541"/>
      <c r="AC92" s="541"/>
      <c r="AD92" s="541"/>
      <c r="AE92" s="541"/>
      <c r="AF92" s="541"/>
      <c r="AG92" s="541"/>
      <c r="AH92" s="541"/>
      <c r="AI92" s="541"/>
      <c r="AJ92" s="541"/>
    </row>
    <row r="93" spans="1:36">
      <c r="A93" s="628"/>
      <c r="B93" s="807"/>
      <c r="C93" s="807"/>
      <c r="D93" s="807"/>
      <c r="E93" s="807"/>
      <c r="F93" s="807"/>
      <c r="G93" s="807"/>
      <c r="H93" s="807"/>
      <c r="I93" s="807"/>
      <c r="J93" s="541"/>
      <c r="K93" s="541"/>
      <c r="L93" s="541"/>
      <c r="M93" s="541"/>
      <c r="N93" s="541"/>
      <c r="O93" s="541"/>
      <c r="P93" s="541"/>
      <c r="Q93" s="541"/>
      <c r="R93" s="541"/>
      <c r="S93" s="541"/>
      <c r="T93" s="541"/>
      <c r="U93" s="541"/>
      <c r="V93" s="541"/>
      <c r="W93" s="541"/>
      <c r="X93" s="541"/>
      <c r="Y93" s="541"/>
      <c r="Z93" s="541"/>
      <c r="AA93" s="541"/>
      <c r="AB93" s="541"/>
      <c r="AC93" s="541"/>
      <c r="AD93" s="541"/>
      <c r="AE93" s="541"/>
      <c r="AF93" s="541"/>
      <c r="AG93" s="541"/>
      <c r="AH93" s="541"/>
      <c r="AI93" s="541"/>
      <c r="AJ93" s="541"/>
    </row>
    <row r="94" spans="1:36">
      <c r="A94" s="628"/>
      <c r="B94" s="807"/>
      <c r="C94" s="807"/>
      <c r="D94" s="807"/>
      <c r="E94" s="807"/>
      <c r="F94" s="807"/>
      <c r="G94" s="807"/>
      <c r="H94" s="807"/>
      <c r="I94" s="807"/>
      <c r="J94" s="541"/>
      <c r="K94" s="541"/>
      <c r="L94" s="541"/>
      <c r="M94" s="541"/>
      <c r="N94" s="541"/>
      <c r="O94" s="541"/>
      <c r="P94" s="541"/>
      <c r="Q94" s="541"/>
      <c r="R94" s="541"/>
      <c r="S94" s="541"/>
      <c r="T94" s="541"/>
      <c r="U94" s="541"/>
      <c r="V94" s="541"/>
      <c r="W94" s="541"/>
      <c r="X94" s="541"/>
      <c r="Y94" s="541"/>
      <c r="Z94" s="541"/>
      <c r="AA94" s="541"/>
      <c r="AB94" s="541"/>
      <c r="AC94" s="541"/>
      <c r="AD94" s="541"/>
      <c r="AE94" s="541"/>
      <c r="AF94" s="541"/>
      <c r="AG94" s="541"/>
      <c r="AH94" s="541"/>
      <c r="AI94" s="541"/>
      <c r="AJ94" s="541"/>
    </row>
    <row r="95" spans="1:36">
      <c r="A95" s="628"/>
      <c r="B95" s="807"/>
      <c r="C95" s="807"/>
      <c r="D95" s="807"/>
      <c r="E95" s="807"/>
      <c r="F95" s="807"/>
      <c r="G95" s="807"/>
      <c r="H95" s="807"/>
      <c r="I95" s="807"/>
      <c r="J95" s="541"/>
      <c r="K95" s="541"/>
      <c r="L95" s="541"/>
      <c r="M95" s="541"/>
      <c r="N95" s="541"/>
      <c r="O95" s="541"/>
      <c r="P95" s="541"/>
      <c r="Q95" s="541"/>
      <c r="R95" s="541"/>
      <c r="S95" s="541"/>
      <c r="T95" s="541"/>
      <c r="U95" s="541"/>
      <c r="V95" s="541"/>
      <c r="W95" s="541"/>
      <c r="X95" s="541"/>
      <c r="Y95" s="541"/>
      <c r="Z95" s="541"/>
      <c r="AA95" s="541"/>
      <c r="AB95" s="541"/>
      <c r="AC95" s="541"/>
      <c r="AD95" s="541"/>
      <c r="AE95" s="541"/>
      <c r="AF95" s="541"/>
      <c r="AG95" s="541"/>
      <c r="AH95" s="541"/>
      <c r="AI95" s="541"/>
      <c r="AJ95" s="541"/>
    </row>
    <row r="96" spans="1:36">
      <c r="A96" s="628"/>
      <c r="B96" s="807"/>
      <c r="C96" s="807"/>
      <c r="D96" s="807"/>
      <c r="E96" s="807"/>
      <c r="F96" s="807"/>
      <c r="G96" s="807"/>
      <c r="H96" s="807"/>
      <c r="I96" s="807"/>
      <c r="J96" s="541"/>
      <c r="K96" s="541"/>
      <c r="L96" s="541"/>
      <c r="M96" s="541"/>
      <c r="N96" s="541"/>
      <c r="O96" s="541"/>
      <c r="P96" s="541"/>
      <c r="Q96" s="541"/>
      <c r="R96" s="541"/>
      <c r="S96" s="541"/>
      <c r="T96" s="541"/>
      <c r="U96" s="541"/>
      <c r="V96" s="541"/>
      <c r="W96" s="541"/>
      <c r="X96" s="541"/>
      <c r="Y96" s="541"/>
      <c r="Z96" s="541"/>
      <c r="AA96" s="541"/>
      <c r="AB96" s="541"/>
      <c r="AC96" s="541"/>
      <c r="AD96" s="541"/>
      <c r="AE96" s="541"/>
      <c r="AF96" s="541"/>
      <c r="AG96" s="541"/>
      <c r="AH96" s="541"/>
      <c r="AI96" s="541"/>
      <c r="AJ96" s="541"/>
    </row>
    <row r="97" spans="1:36">
      <c r="A97" s="628"/>
      <c r="B97" s="807"/>
      <c r="C97" s="807"/>
      <c r="D97" s="807"/>
      <c r="E97" s="807"/>
      <c r="F97" s="807"/>
      <c r="G97" s="807"/>
      <c r="H97" s="807"/>
      <c r="I97" s="807"/>
      <c r="J97" s="541"/>
      <c r="K97" s="541"/>
      <c r="L97" s="541"/>
      <c r="M97" s="541"/>
      <c r="N97" s="541"/>
      <c r="O97" s="541"/>
      <c r="P97" s="541"/>
      <c r="Q97" s="541"/>
      <c r="R97" s="541"/>
      <c r="S97" s="541"/>
      <c r="T97" s="541"/>
      <c r="U97" s="541"/>
      <c r="V97" s="541"/>
      <c r="W97" s="541"/>
      <c r="X97" s="541"/>
      <c r="Y97" s="541"/>
      <c r="Z97" s="541"/>
      <c r="AA97" s="541"/>
      <c r="AB97" s="541"/>
      <c r="AC97" s="541"/>
      <c r="AD97" s="541"/>
      <c r="AE97" s="541"/>
      <c r="AF97" s="541"/>
      <c r="AG97" s="541"/>
      <c r="AH97" s="541"/>
      <c r="AI97" s="541"/>
      <c r="AJ97" s="541"/>
    </row>
    <row r="98" spans="1:36">
      <c r="A98" s="628"/>
      <c r="B98" s="807"/>
      <c r="C98" s="807"/>
      <c r="D98" s="807"/>
      <c r="E98" s="807"/>
      <c r="F98" s="807"/>
      <c r="G98" s="807"/>
      <c r="H98" s="807"/>
      <c r="I98" s="807"/>
      <c r="J98" s="541"/>
      <c r="K98" s="541"/>
      <c r="L98" s="541"/>
      <c r="M98" s="541"/>
      <c r="N98" s="541"/>
      <c r="O98" s="541"/>
      <c r="P98" s="541"/>
      <c r="Q98" s="541"/>
      <c r="R98" s="541"/>
      <c r="S98" s="541"/>
      <c r="T98" s="541"/>
      <c r="U98" s="541"/>
      <c r="V98" s="541"/>
      <c r="W98" s="541"/>
      <c r="X98" s="541"/>
      <c r="Y98" s="541"/>
      <c r="Z98" s="541"/>
      <c r="AA98" s="541"/>
      <c r="AB98" s="541"/>
      <c r="AC98" s="541"/>
      <c r="AD98" s="541"/>
      <c r="AE98" s="541"/>
      <c r="AF98" s="541"/>
      <c r="AG98" s="541"/>
      <c r="AH98" s="541"/>
      <c r="AI98" s="541"/>
      <c r="AJ98" s="541"/>
    </row>
    <row r="99" spans="1:36">
      <c r="A99" s="628"/>
      <c r="B99" s="807"/>
      <c r="C99" s="807"/>
      <c r="D99" s="807"/>
      <c r="E99" s="807"/>
      <c r="F99" s="807"/>
      <c r="G99" s="807"/>
      <c r="H99" s="807"/>
      <c r="I99" s="807"/>
      <c r="J99" s="541"/>
      <c r="K99" s="541"/>
      <c r="L99" s="541"/>
      <c r="M99" s="541"/>
      <c r="N99" s="541"/>
      <c r="O99" s="541"/>
      <c r="P99" s="541"/>
      <c r="Q99" s="541"/>
      <c r="R99" s="541"/>
      <c r="S99" s="541"/>
      <c r="T99" s="541"/>
      <c r="U99" s="541"/>
      <c r="V99" s="541"/>
      <c r="W99" s="541"/>
      <c r="X99" s="541"/>
      <c r="Y99" s="541"/>
      <c r="Z99" s="541"/>
      <c r="AA99" s="541"/>
      <c r="AB99" s="541"/>
      <c r="AC99" s="541"/>
      <c r="AD99" s="541"/>
      <c r="AE99" s="541"/>
      <c r="AF99" s="541"/>
      <c r="AG99" s="541"/>
      <c r="AH99" s="541"/>
      <c r="AI99" s="541"/>
      <c r="AJ99" s="541"/>
    </row>
    <row r="100" spans="1:36">
      <c r="A100" s="628"/>
      <c r="B100" s="807"/>
      <c r="C100" s="807"/>
      <c r="D100" s="807"/>
      <c r="E100" s="807"/>
      <c r="F100" s="807"/>
      <c r="G100" s="807"/>
      <c r="H100" s="807"/>
      <c r="I100" s="807"/>
      <c r="J100" s="541"/>
      <c r="K100" s="541"/>
      <c r="L100" s="541"/>
      <c r="M100" s="541"/>
      <c r="N100" s="541"/>
      <c r="O100" s="541"/>
      <c r="P100" s="541"/>
      <c r="Q100" s="541"/>
      <c r="R100" s="541"/>
      <c r="S100" s="541"/>
      <c r="T100" s="541"/>
      <c r="U100" s="541"/>
      <c r="V100" s="541"/>
      <c r="W100" s="541"/>
      <c r="X100" s="541"/>
      <c r="Y100" s="541"/>
      <c r="Z100" s="541"/>
      <c r="AA100" s="541"/>
      <c r="AB100" s="541"/>
      <c r="AC100" s="541"/>
      <c r="AD100" s="541"/>
      <c r="AE100" s="541"/>
      <c r="AF100" s="541"/>
      <c r="AG100" s="541"/>
      <c r="AH100" s="541"/>
      <c r="AI100" s="541"/>
      <c r="AJ100" s="541"/>
    </row>
    <row r="101" spans="1:36">
      <c r="A101" s="628"/>
      <c r="B101" s="807"/>
      <c r="C101" s="807"/>
      <c r="D101" s="807"/>
      <c r="E101" s="807"/>
      <c r="F101" s="807"/>
      <c r="G101" s="807"/>
      <c r="H101" s="807"/>
      <c r="I101" s="807"/>
      <c r="J101" s="541"/>
      <c r="K101" s="541"/>
      <c r="L101" s="541"/>
      <c r="M101" s="541"/>
      <c r="N101" s="541"/>
      <c r="O101" s="541"/>
      <c r="P101" s="541"/>
      <c r="Q101" s="541"/>
      <c r="R101" s="541"/>
      <c r="S101" s="541"/>
      <c r="T101" s="541"/>
      <c r="U101" s="541"/>
      <c r="V101" s="541"/>
      <c r="W101" s="541"/>
      <c r="X101" s="541"/>
      <c r="Y101" s="541"/>
      <c r="Z101" s="541"/>
      <c r="AA101" s="541"/>
      <c r="AB101" s="541"/>
      <c r="AC101" s="541"/>
      <c r="AD101" s="541"/>
      <c r="AE101" s="541"/>
      <c r="AF101" s="541"/>
      <c r="AG101" s="541"/>
      <c r="AH101" s="541"/>
      <c r="AI101" s="541"/>
      <c r="AJ101" s="541"/>
    </row>
    <row r="102" spans="1:36">
      <c r="A102" s="628"/>
      <c r="B102" s="807"/>
      <c r="C102" s="807"/>
      <c r="D102" s="807"/>
      <c r="E102" s="807"/>
      <c r="F102" s="807"/>
      <c r="G102" s="807"/>
      <c r="H102" s="807"/>
      <c r="I102" s="807"/>
      <c r="J102" s="541"/>
      <c r="K102" s="541"/>
      <c r="L102" s="541"/>
      <c r="M102" s="541"/>
      <c r="N102" s="541"/>
      <c r="O102" s="541"/>
      <c r="P102" s="541"/>
      <c r="Q102" s="541"/>
      <c r="R102" s="541"/>
      <c r="S102" s="541"/>
      <c r="T102" s="541"/>
      <c r="U102" s="541"/>
      <c r="V102" s="541"/>
      <c r="W102" s="541"/>
      <c r="X102" s="541"/>
      <c r="Y102" s="541"/>
      <c r="Z102" s="541"/>
      <c r="AA102" s="541"/>
      <c r="AB102" s="541"/>
      <c r="AC102" s="541"/>
      <c r="AD102" s="541"/>
      <c r="AE102" s="541"/>
      <c r="AF102" s="541"/>
      <c r="AG102" s="541"/>
      <c r="AH102" s="541"/>
      <c r="AI102" s="541"/>
      <c r="AJ102" s="541"/>
    </row>
    <row r="103" spans="1:36">
      <c r="A103" s="628"/>
      <c r="B103" s="807"/>
      <c r="C103" s="807"/>
      <c r="D103" s="807"/>
      <c r="E103" s="807"/>
      <c r="F103" s="807"/>
      <c r="G103" s="807"/>
      <c r="H103" s="807"/>
      <c r="I103" s="807"/>
      <c r="J103" s="541"/>
      <c r="K103" s="541"/>
      <c r="L103" s="541"/>
      <c r="M103" s="541"/>
      <c r="N103" s="541"/>
      <c r="O103" s="541"/>
      <c r="P103" s="541"/>
      <c r="Q103" s="541"/>
      <c r="R103" s="541"/>
      <c r="S103" s="541"/>
      <c r="T103" s="541"/>
      <c r="U103" s="541"/>
      <c r="V103" s="541"/>
      <c r="W103" s="541"/>
      <c r="X103" s="541"/>
      <c r="Y103" s="541"/>
      <c r="Z103" s="541"/>
      <c r="AA103" s="541"/>
      <c r="AB103" s="541"/>
      <c r="AC103" s="541"/>
      <c r="AD103" s="541"/>
      <c r="AE103" s="541"/>
      <c r="AF103" s="541"/>
      <c r="AG103" s="541"/>
      <c r="AH103" s="541"/>
      <c r="AI103" s="541"/>
      <c r="AJ103" s="541"/>
    </row>
    <row r="104" spans="1:36">
      <c r="A104" s="628"/>
      <c r="B104" s="807"/>
      <c r="C104" s="807"/>
      <c r="D104" s="807"/>
      <c r="E104" s="807"/>
      <c r="F104" s="807"/>
      <c r="G104" s="807"/>
      <c r="H104" s="807"/>
      <c r="I104" s="807"/>
      <c r="J104" s="541"/>
      <c r="K104" s="541"/>
      <c r="L104" s="541"/>
      <c r="M104" s="541"/>
      <c r="N104" s="541"/>
      <c r="O104" s="541"/>
      <c r="P104" s="541"/>
      <c r="Q104" s="541"/>
      <c r="R104" s="541"/>
      <c r="S104" s="541"/>
      <c r="T104" s="541"/>
      <c r="U104" s="541"/>
      <c r="V104" s="541"/>
      <c r="W104" s="541"/>
      <c r="X104" s="541"/>
      <c r="Y104" s="541"/>
      <c r="Z104" s="541"/>
      <c r="AA104" s="541"/>
      <c r="AB104" s="541"/>
      <c r="AC104" s="541"/>
      <c r="AD104" s="541"/>
      <c r="AE104" s="541"/>
      <c r="AF104" s="541"/>
      <c r="AG104" s="541"/>
      <c r="AH104" s="541"/>
      <c r="AI104" s="541"/>
      <c r="AJ104" s="541"/>
    </row>
    <row r="105" spans="1:36">
      <c r="A105" s="628"/>
      <c r="B105" s="807"/>
      <c r="C105" s="807"/>
      <c r="D105" s="807"/>
      <c r="E105" s="807"/>
      <c r="F105" s="807"/>
      <c r="G105" s="807"/>
      <c r="H105" s="807"/>
      <c r="I105" s="807"/>
      <c r="J105" s="541"/>
      <c r="K105" s="541"/>
      <c r="L105" s="541"/>
      <c r="M105" s="541"/>
      <c r="N105" s="541"/>
      <c r="O105" s="541"/>
      <c r="P105" s="541"/>
      <c r="Q105" s="541"/>
      <c r="R105" s="541"/>
      <c r="S105" s="541"/>
      <c r="T105" s="541"/>
      <c r="U105" s="541"/>
      <c r="V105" s="541"/>
      <c r="W105" s="541"/>
      <c r="X105" s="541"/>
      <c r="Y105" s="541"/>
      <c r="Z105" s="541"/>
      <c r="AA105" s="541"/>
      <c r="AB105" s="541"/>
      <c r="AC105" s="541"/>
      <c r="AD105" s="541"/>
      <c r="AE105" s="541"/>
      <c r="AF105" s="541"/>
      <c r="AG105" s="541"/>
      <c r="AH105" s="541"/>
      <c r="AI105" s="541"/>
      <c r="AJ105" s="541"/>
    </row>
    <row r="106" spans="1:36">
      <c r="A106" s="628"/>
      <c r="B106" s="807"/>
      <c r="C106" s="807"/>
      <c r="D106" s="807"/>
      <c r="E106" s="807"/>
      <c r="F106" s="807"/>
      <c r="G106" s="807"/>
      <c r="H106" s="807"/>
      <c r="I106" s="807"/>
      <c r="J106" s="541"/>
      <c r="K106" s="541"/>
      <c r="L106" s="541"/>
      <c r="M106" s="541"/>
      <c r="N106" s="541"/>
      <c r="O106" s="541"/>
      <c r="P106" s="541"/>
      <c r="Q106" s="541"/>
      <c r="R106" s="541"/>
      <c r="S106" s="541"/>
      <c r="T106" s="541"/>
      <c r="U106" s="541"/>
      <c r="V106" s="541"/>
      <c r="W106" s="541"/>
      <c r="X106" s="541"/>
      <c r="Y106" s="541"/>
      <c r="Z106" s="541"/>
      <c r="AA106" s="541"/>
      <c r="AB106" s="541"/>
      <c r="AC106" s="541"/>
      <c r="AD106" s="541"/>
      <c r="AE106" s="541"/>
      <c r="AF106" s="541"/>
      <c r="AG106" s="541"/>
      <c r="AH106" s="541"/>
      <c r="AI106" s="541"/>
      <c r="AJ106" s="541"/>
    </row>
    <row r="107" spans="1:36">
      <c r="A107" s="628"/>
      <c r="B107" s="807"/>
      <c r="C107" s="807"/>
      <c r="D107" s="807"/>
      <c r="E107" s="807"/>
      <c r="F107" s="807"/>
      <c r="G107" s="807"/>
      <c r="H107" s="807"/>
      <c r="I107" s="807"/>
      <c r="J107" s="541"/>
      <c r="K107" s="541"/>
      <c r="L107" s="541"/>
      <c r="M107" s="541"/>
      <c r="N107" s="541"/>
      <c r="O107" s="541"/>
      <c r="P107" s="541"/>
      <c r="Q107" s="541"/>
      <c r="R107" s="541"/>
      <c r="S107" s="541"/>
      <c r="T107" s="541"/>
      <c r="U107" s="541"/>
      <c r="V107" s="541"/>
      <c r="W107" s="541"/>
      <c r="X107" s="541"/>
      <c r="Y107" s="541"/>
      <c r="Z107" s="541"/>
      <c r="AA107" s="541"/>
      <c r="AB107" s="541"/>
      <c r="AC107" s="541"/>
      <c r="AD107" s="541"/>
      <c r="AE107" s="541"/>
      <c r="AF107" s="541"/>
      <c r="AG107" s="541"/>
      <c r="AH107" s="541"/>
      <c r="AI107" s="541"/>
      <c r="AJ107" s="541"/>
    </row>
    <row r="108" spans="1:36">
      <c r="A108" s="628"/>
      <c r="B108" s="807"/>
      <c r="C108" s="807"/>
      <c r="D108" s="807"/>
      <c r="E108" s="807"/>
      <c r="F108" s="807"/>
      <c r="G108" s="807"/>
      <c r="H108" s="807"/>
      <c r="I108" s="807"/>
      <c r="J108" s="541"/>
      <c r="K108" s="541"/>
      <c r="L108" s="541"/>
      <c r="M108" s="541"/>
      <c r="N108" s="541"/>
      <c r="O108" s="541"/>
      <c r="P108" s="541"/>
      <c r="Q108" s="541"/>
      <c r="R108" s="541"/>
      <c r="S108" s="541"/>
      <c r="T108" s="541"/>
      <c r="U108" s="541"/>
      <c r="V108" s="541"/>
      <c r="W108" s="541"/>
      <c r="X108" s="541"/>
      <c r="Y108" s="541"/>
      <c r="Z108" s="541"/>
      <c r="AA108" s="541"/>
      <c r="AB108" s="541"/>
      <c r="AC108" s="541"/>
      <c r="AD108" s="541"/>
      <c r="AE108" s="541"/>
      <c r="AF108" s="541"/>
      <c r="AG108" s="541"/>
      <c r="AH108" s="541"/>
      <c r="AI108" s="541"/>
      <c r="AJ108" s="541"/>
    </row>
    <row r="109" spans="1:36">
      <c r="A109" s="628"/>
      <c r="B109" s="807"/>
      <c r="C109" s="807"/>
      <c r="D109" s="807"/>
      <c r="E109" s="807"/>
      <c r="F109" s="807"/>
      <c r="G109" s="807"/>
      <c r="H109" s="807"/>
      <c r="I109" s="807"/>
      <c r="J109" s="541"/>
      <c r="K109" s="541"/>
      <c r="L109" s="541"/>
      <c r="M109" s="541"/>
      <c r="N109" s="541"/>
      <c r="O109" s="541"/>
      <c r="P109" s="541"/>
      <c r="Q109" s="541"/>
      <c r="R109" s="541"/>
      <c r="S109" s="541"/>
      <c r="T109" s="541"/>
      <c r="U109" s="541"/>
      <c r="V109" s="541"/>
      <c r="W109" s="541"/>
      <c r="X109" s="541"/>
      <c r="Y109" s="541"/>
      <c r="Z109" s="541"/>
      <c r="AA109" s="541"/>
      <c r="AB109" s="541"/>
      <c r="AC109" s="541"/>
      <c r="AD109" s="541"/>
      <c r="AE109" s="541"/>
      <c r="AF109" s="541"/>
      <c r="AG109" s="541"/>
      <c r="AH109" s="541"/>
      <c r="AI109" s="541"/>
      <c r="AJ109" s="541"/>
    </row>
    <row r="110" spans="1:36">
      <c r="A110" s="628"/>
      <c r="B110" s="807"/>
      <c r="C110" s="807"/>
      <c r="D110" s="807"/>
      <c r="E110" s="807"/>
      <c r="F110" s="807"/>
      <c r="G110" s="807"/>
      <c r="H110" s="807"/>
      <c r="I110" s="807"/>
      <c r="J110" s="541"/>
      <c r="K110" s="541"/>
      <c r="L110" s="541"/>
      <c r="M110" s="541"/>
      <c r="N110" s="541"/>
      <c r="O110" s="541"/>
      <c r="P110" s="541"/>
      <c r="Q110" s="541"/>
      <c r="R110" s="541"/>
      <c r="S110" s="541"/>
      <c r="T110" s="541"/>
      <c r="U110" s="541"/>
      <c r="V110" s="541"/>
      <c r="W110" s="541"/>
      <c r="X110" s="541"/>
      <c r="Y110" s="541"/>
      <c r="Z110" s="541"/>
      <c r="AA110" s="541"/>
      <c r="AB110" s="541"/>
      <c r="AC110" s="541"/>
      <c r="AD110" s="541"/>
      <c r="AE110" s="541"/>
      <c r="AF110" s="541"/>
      <c r="AG110" s="541"/>
      <c r="AH110" s="541"/>
      <c r="AI110" s="541"/>
      <c r="AJ110" s="541"/>
    </row>
    <row r="111" spans="1:36">
      <c r="A111" s="628"/>
      <c r="B111" s="807"/>
      <c r="C111" s="807"/>
      <c r="D111" s="807"/>
      <c r="E111" s="807"/>
      <c r="F111" s="807"/>
      <c r="G111" s="807"/>
      <c r="H111" s="807"/>
      <c r="I111" s="807"/>
      <c r="J111" s="541"/>
      <c r="K111" s="541"/>
      <c r="L111" s="541"/>
      <c r="M111" s="541"/>
      <c r="N111" s="541"/>
      <c r="O111" s="541"/>
      <c r="P111" s="541"/>
      <c r="Q111" s="541"/>
      <c r="R111" s="541"/>
      <c r="S111" s="541"/>
      <c r="T111" s="541"/>
      <c r="U111" s="541"/>
      <c r="V111" s="541"/>
      <c r="W111" s="541"/>
      <c r="X111" s="541"/>
      <c r="Y111" s="541"/>
      <c r="Z111" s="541"/>
      <c r="AA111" s="541"/>
      <c r="AB111" s="541"/>
      <c r="AC111" s="541"/>
      <c r="AD111" s="541"/>
      <c r="AE111" s="541"/>
      <c r="AF111" s="541"/>
      <c r="AG111" s="541"/>
      <c r="AH111" s="541"/>
      <c r="AI111" s="541"/>
      <c r="AJ111" s="541"/>
    </row>
    <row r="112" spans="1:36">
      <c r="A112" s="628"/>
      <c r="B112" s="807"/>
      <c r="C112" s="807"/>
      <c r="D112" s="807"/>
      <c r="E112" s="807"/>
      <c r="F112" s="807"/>
      <c r="G112" s="807"/>
      <c r="H112" s="807"/>
      <c r="I112" s="807"/>
      <c r="J112" s="541"/>
      <c r="K112" s="541"/>
      <c r="L112" s="541"/>
      <c r="M112" s="541"/>
      <c r="N112" s="541"/>
      <c r="O112" s="541"/>
      <c r="P112" s="541"/>
      <c r="Q112" s="541"/>
      <c r="R112" s="541"/>
      <c r="S112" s="541"/>
      <c r="T112" s="541"/>
      <c r="U112" s="541"/>
      <c r="V112" s="541"/>
      <c r="W112" s="541"/>
      <c r="X112" s="541"/>
      <c r="Y112" s="541"/>
      <c r="Z112" s="541"/>
      <c r="AA112" s="541"/>
      <c r="AB112" s="541"/>
      <c r="AC112" s="541"/>
      <c r="AD112" s="541"/>
      <c r="AE112" s="541"/>
      <c r="AF112" s="541"/>
      <c r="AG112" s="541"/>
      <c r="AH112" s="541"/>
      <c r="AI112" s="541"/>
      <c r="AJ112" s="541"/>
    </row>
    <row r="113" spans="1:36">
      <c r="A113" s="628"/>
      <c r="B113" s="807"/>
      <c r="C113" s="807"/>
      <c r="D113" s="807"/>
      <c r="E113" s="807"/>
      <c r="F113" s="807"/>
      <c r="G113" s="807"/>
      <c r="H113" s="807"/>
      <c r="I113" s="807"/>
      <c r="J113" s="541"/>
      <c r="K113" s="541"/>
      <c r="L113" s="541"/>
      <c r="M113" s="541"/>
      <c r="N113" s="541"/>
      <c r="O113" s="541"/>
      <c r="P113" s="541"/>
      <c r="Q113" s="541"/>
      <c r="R113" s="541"/>
      <c r="S113" s="541"/>
      <c r="T113" s="541"/>
      <c r="U113" s="541"/>
      <c r="V113" s="541"/>
      <c r="W113" s="541"/>
      <c r="X113" s="541"/>
      <c r="Y113" s="541"/>
      <c r="Z113" s="541"/>
      <c r="AA113" s="541"/>
      <c r="AB113" s="541"/>
      <c r="AC113" s="541"/>
      <c r="AD113" s="541"/>
      <c r="AE113" s="541"/>
      <c r="AF113" s="541"/>
      <c r="AG113" s="541"/>
      <c r="AH113" s="541"/>
      <c r="AI113" s="541"/>
      <c r="AJ113" s="541"/>
    </row>
    <row r="114" spans="1:36">
      <c r="A114" s="628"/>
      <c r="B114" s="807"/>
      <c r="C114" s="807"/>
      <c r="D114" s="807"/>
      <c r="E114" s="807"/>
      <c r="F114" s="807"/>
      <c r="G114" s="807"/>
      <c r="H114" s="807"/>
      <c r="I114" s="807"/>
      <c r="J114" s="541"/>
      <c r="K114" s="541"/>
      <c r="L114" s="541"/>
      <c r="M114" s="541"/>
      <c r="N114" s="541"/>
      <c r="O114" s="541"/>
      <c r="P114" s="541"/>
      <c r="Q114" s="541"/>
      <c r="R114" s="541"/>
      <c r="S114" s="541"/>
      <c r="T114" s="541"/>
      <c r="U114" s="541"/>
      <c r="V114" s="541"/>
      <c r="W114" s="541"/>
      <c r="X114" s="541"/>
      <c r="Y114" s="541"/>
      <c r="Z114" s="541"/>
      <c r="AA114" s="541"/>
      <c r="AB114" s="541"/>
      <c r="AC114" s="541"/>
      <c r="AD114" s="541"/>
      <c r="AE114" s="541"/>
      <c r="AF114" s="541"/>
      <c r="AG114" s="541"/>
      <c r="AH114" s="541"/>
      <c r="AI114" s="541"/>
      <c r="AJ114" s="541"/>
    </row>
    <row r="115" spans="1:36">
      <c r="A115" s="628"/>
      <c r="B115" s="807"/>
      <c r="C115" s="807"/>
      <c r="D115" s="807"/>
      <c r="E115" s="807"/>
      <c r="F115" s="807"/>
      <c r="G115" s="807"/>
      <c r="H115" s="807"/>
      <c r="I115" s="807"/>
      <c r="J115" s="541"/>
      <c r="K115" s="541"/>
      <c r="L115" s="541"/>
      <c r="M115" s="541"/>
      <c r="N115" s="541"/>
      <c r="O115" s="541"/>
      <c r="P115" s="541"/>
      <c r="Q115" s="541"/>
      <c r="R115" s="541"/>
      <c r="S115" s="541"/>
      <c r="T115" s="541"/>
      <c r="U115" s="541"/>
      <c r="V115" s="541"/>
      <c r="W115" s="541"/>
      <c r="X115" s="541"/>
      <c r="Y115" s="541"/>
      <c r="Z115" s="541"/>
      <c r="AA115" s="541"/>
      <c r="AB115" s="541"/>
      <c r="AC115" s="541"/>
      <c r="AD115" s="541"/>
      <c r="AE115" s="541"/>
      <c r="AF115" s="541"/>
      <c r="AG115" s="541"/>
      <c r="AH115" s="541"/>
      <c r="AI115" s="541"/>
      <c r="AJ115" s="541"/>
    </row>
    <row r="116" spans="1:36">
      <c r="A116" s="628"/>
      <c r="B116" s="807"/>
      <c r="C116" s="807"/>
      <c r="D116" s="807"/>
      <c r="E116" s="807"/>
      <c r="F116" s="807"/>
      <c r="G116" s="807"/>
      <c r="H116" s="807"/>
      <c r="I116" s="807"/>
      <c r="J116" s="541"/>
      <c r="K116" s="541"/>
      <c r="L116" s="541"/>
      <c r="M116" s="541"/>
      <c r="N116" s="541"/>
      <c r="O116" s="541"/>
      <c r="P116" s="541"/>
      <c r="Q116" s="541"/>
      <c r="R116" s="541"/>
      <c r="S116" s="541"/>
      <c r="T116" s="541"/>
      <c r="U116" s="541"/>
      <c r="V116" s="541"/>
      <c r="W116" s="541"/>
      <c r="X116" s="541"/>
      <c r="Y116" s="541"/>
      <c r="Z116" s="541"/>
      <c r="AA116" s="541"/>
      <c r="AB116" s="541"/>
      <c r="AC116" s="541"/>
      <c r="AD116" s="541"/>
      <c r="AE116" s="541"/>
      <c r="AF116" s="541"/>
      <c r="AG116" s="541"/>
      <c r="AH116" s="541"/>
      <c r="AI116" s="541"/>
      <c r="AJ116" s="541"/>
    </row>
    <row r="117" spans="1:36">
      <c r="A117" s="628"/>
      <c r="B117" s="807"/>
      <c r="C117" s="807"/>
      <c r="D117" s="807"/>
      <c r="E117" s="807"/>
      <c r="F117" s="807"/>
      <c r="G117" s="807"/>
      <c r="H117" s="807"/>
      <c r="I117" s="807"/>
      <c r="J117" s="541"/>
      <c r="K117" s="541"/>
      <c r="L117" s="541"/>
      <c r="M117" s="541"/>
      <c r="N117" s="541"/>
      <c r="O117" s="541"/>
      <c r="P117" s="541"/>
      <c r="Q117" s="541"/>
      <c r="R117" s="541"/>
      <c r="S117" s="541"/>
      <c r="T117" s="541"/>
      <c r="U117" s="541"/>
      <c r="V117" s="541"/>
      <c r="W117" s="541"/>
      <c r="X117" s="541"/>
      <c r="Y117" s="541"/>
      <c r="Z117" s="541"/>
      <c r="AA117" s="541"/>
      <c r="AB117" s="541"/>
      <c r="AC117" s="541"/>
      <c r="AD117" s="541"/>
      <c r="AE117" s="541"/>
      <c r="AF117" s="541"/>
      <c r="AG117" s="541"/>
      <c r="AH117" s="541"/>
      <c r="AI117" s="541"/>
      <c r="AJ117" s="541"/>
    </row>
    <row r="118" spans="1:36">
      <c r="A118" s="628"/>
      <c r="B118" s="807"/>
      <c r="C118" s="807"/>
      <c r="D118" s="807"/>
      <c r="E118" s="807"/>
      <c r="F118" s="807"/>
      <c r="G118" s="807"/>
      <c r="H118" s="807"/>
      <c r="I118" s="807"/>
      <c r="J118" s="541"/>
      <c r="K118" s="541"/>
      <c r="L118" s="541"/>
      <c r="M118" s="541"/>
      <c r="N118" s="541"/>
      <c r="O118" s="541"/>
      <c r="P118" s="541"/>
      <c r="Q118" s="541"/>
      <c r="R118" s="541"/>
      <c r="S118" s="541"/>
      <c r="T118" s="541"/>
      <c r="U118" s="541"/>
      <c r="V118" s="541"/>
      <c r="W118" s="541"/>
      <c r="X118" s="541"/>
      <c r="Y118" s="541"/>
      <c r="Z118" s="541"/>
      <c r="AA118" s="541"/>
      <c r="AB118" s="541"/>
      <c r="AC118" s="541"/>
      <c r="AD118" s="541"/>
      <c r="AE118" s="541"/>
      <c r="AF118" s="541"/>
      <c r="AG118" s="541"/>
      <c r="AH118" s="541"/>
      <c r="AI118" s="541"/>
      <c r="AJ118" s="541"/>
    </row>
    <row r="119" spans="1:36">
      <c r="A119" s="628"/>
      <c r="B119" s="807"/>
      <c r="C119" s="807"/>
      <c r="D119" s="807"/>
      <c r="E119" s="807"/>
      <c r="F119" s="807"/>
      <c r="G119" s="807"/>
      <c r="H119" s="807"/>
      <c r="I119" s="807"/>
      <c r="J119" s="541"/>
      <c r="K119" s="541"/>
      <c r="L119" s="541"/>
      <c r="M119" s="541"/>
      <c r="N119" s="541"/>
      <c r="O119" s="541"/>
      <c r="P119" s="541"/>
      <c r="Q119" s="541"/>
      <c r="R119" s="541"/>
      <c r="S119" s="541"/>
      <c r="T119" s="541"/>
      <c r="U119" s="541"/>
      <c r="V119" s="541"/>
      <c r="W119" s="541"/>
      <c r="X119" s="541"/>
      <c r="Y119" s="541"/>
      <c r="Z119" s="541"/>
      <c r="AA119" s="541"/>
      <c r="AB119" s="541"/>
      <c r="AC119" s="541"/>
      <c r="AD119" s="541"/>
      <c r="AE119" s="541"/>
      <c r="AF119" s="541"/>
      <c r="AG119" s="541"/>
      <c r="AH119" s="541"/>
      <c r="AI119" s="541"/>
      <c r="AJ119" s="541"/>
    </row>
    <row r="120" spans="1:36">
      <c r="A120" s="628"/>
      <c r="B120" s="807"/>
      <c r="C120" s="807"/>
      <c r="D120" s="807"/>
      <c r="E120" s="807"/>
      <c r="F120" s="807"/>
      <c r="G120" s="807"/>
      <c r="H120" s="807"/>
      <c r="I120" s="807"/>
      <c r="J120" s="541"/>
      <c r="K120" s="541"/>
      <c r="L120" s="541"/>
      <c r="M120" s="541"/>
      <c r="N120" s="541"/>
      <c r="O120" s="541"/>
      <c r="P120" s="541"/>
      <c r="Q120" s="541"/>
      <c r="R120" s="541"/>
      <c r="S120" s="541"/>
      <c r="T120" s="541"/>
      <c r="U120" s="541"/>
      <c r="V120" s="541"/>
      <c r="W120" s="541"/>
      <c r="X120" s="541"/>
      <c r="Y120" s="541"/>
      <c r="Z120" s="541"/>
      <c r="AA120" s="541"/>
      <c r="AB120" s="541"/>
      <c r="AC120" s="541"/>
      <c r="AD120" s="541"/>
      <c r="AE120" s="541"/>
      <c r="AF120" s="541"/>
      <c r="AG120" s="541"/>
      <c r="AH120" s="541"/>
      <c r="AI120" s="541"/>
      <c r="AJ120" s="541"/>
    </row>
    <row r="121" spans="1:36">
      <c r="A121" s="628"/>
      <c r="B121" s="807"/>
      <c r="C121" s="807"/>
      <c r="D121" s="807"/>
      <c r="E121" s="807"/>
      <c r="F121" s="807"/>
      <c r="G121" s="807"/>
      <c r="H121" s="807"/>
      <c r="I121" s="807"/>
      <c r="J121" s="541"/>
      <c r="K121" s="541"/>
      <c r="L121" s="541"/>
      <c r="M121" s="541"/>
      <c r="N121" s="541"/>
      <c r="O121" s="541"/>
      <c r="P121" s="541"/>
      <c r="Q121" s="541"/>
      <c r="R121" s="541"/>
      <c r="S121" s="541"/>
      <c r="T121" s="541"/>
      <c r="U121" s="541"/>
      <c r="V121" s="541"/>
      <c r="W121" s="541"/>
      <c r="X121" s="541"/>
      <c r="Y121" s="541"/>
      <c r="Z121" s="541"/>
      <c r="AA121" s="541"/>
      <c r="AB121" s="541"/>
      <c r="AC121" s="541"/>
      <c r="AD121" s="541"/>
      <c r="AE121" s="541"/>
      <c r="AF121" s="541"/>
      <c r="AG121" s="541"/>
      <c r="AH121" s="541"/>
      <c r="AI121" s="541"/>
      <c r="AJ121" s="541"/>
    </row>
    <row r="122" spans="1:36">
      <c r="A122" s="628"/>
      <c r="B122" s="807"/>
      <c r="C122" s="807"/>
      <c r="D122" s="807"/>
      <c r="E122" s="807"/>
      <c r="F122" s="807"/>
      <c r="G122" s="807"/>
      <c r="H122" s="807"/>
      <c r="I122" s="807"/>
      <c r="J122" s="541"/>
      <c r="K122" s="541"/>
      <c r="L122" s="541"/>
      <c r="M122" s="541"/>
      <c r="N122" s="541"/>
      <c r="O122" s="541"/>
      <c r="P122" s="541"/>
      <c r="Q122" s="541"/>
      <c r="R122" s="541"/>
      <c r="S122" s="541"/>
      <c r="T122" s="541"/>
      <c r="U122" s="541"/>
      <c r="V122" s="541"/>
      <c r="W122" s="541"/>
      <c r="X122" s="541"/>
      <c r="Y122" s="541"/>
      <c r="Z122" s="541"/>
      <c r="AA122" s="541"/>
      <c r="AB122" s="541"/>
      <c r="AC122" s="541"/>
      <c r="AD122" s="541"/>
      <c r="AE122" s="541"/>
      <c r="AF122" s="541"/>
      <c r="AG122" s="541"/>
      <c r="AH122" s="541"/>
      <c r="AI122" s="541"/>
      <c r="AJ122" s="541"/>
    </row>
    <row r="123" spans="1:36">
      <c r="A123" s="628"/>
      <c r="B123" s="807"/>
      <c r="C123" s="807"/>
      <c r="D123" s="807"/>
      <c r="E123" s="807"/>
      <c r="F123" s="807"/>
      <c r="G123" s="807"/>
      <c r="H123" s="807"/>
      <c r="I123" s="807"/>
      <c r="J123" s="541"/>
      <c r="K123" s="541"/>
      <c r="L123" s="541"/>
      <c r="M123" s="541"/>
      <c r="N123" s="541"/>
      <c r="O123" s="541"/>
      <c r="P123" s="541"/>
      <c r="Q123" s="541"/>
      <c r="R123" s="541"/>
      <c r="S123" s="541"/>
      <c r="T123" s="541"/>
      <c r="U123" s="541"/>
      <c r="V123" s="541"/>
      <c r="W123" s="541"/>
      <c r="X123" s="541"/>
      <c r="Y123" s="541"/>
      <c r="Z123" s="541"/>
      <c r="AA123" s="541"/>
      <c r="AB123" s="541"/>
      <c r="AC123" s="541"/>
      <c r="AD123" s="541"/>
      <c r="AE123" s="541"/>
      <c r="AF123" s="541"/>
      <c r="AG123" s="541"/>
      <c r="AH123" s="541"/>
      <c r="AI123" s="541"/>
      <c r="AJ123" s="541"/>
    </row>
    <row r="124" spans="1:36">
      <c r="A124" s="628"/>
      <c r="B124" s="807"/>
      <c r="C124" s="807"/>
      <c r="D124" s="807"/>
      <c r="E124" s="807"/>
      <c r="F124" s="807"/>
      <c r="G124" s="807"/>
      <c r="H124" s="807"/>
      <c r="I124" s="807"/>
      <c r="J124" s="541"/>
      <c r="K124" s="541"/>
      <c r="L124" s="541"/>
      <c r="M124" s="541"/>
      <c r="N124" s="541"/>
      <c r="O124" s="541"/>
      <c r="P124" s="541"/>
      <c r="Q124" s="541"/>
      <c r="R124" s="541"/>
      <c r="S124" s="541"/>
      <c r="T124" s="541"/>
      <c r="U124" s="541"/>
      <c r="V124" s="541"/>
      <c r="W124" s="541"/>
      <c r="X124" s="541"/>
      <c r="Y124" s="541"/>
      <c r="Z124" s="541"/>
      <c r="AA124" s="541"/>
      <c r="AB124" s="541"/>
      <c r="AC124" s="541"/>
      <c r="AD124" s="541"/>
      <c r="AE124" s="541"/>
      <c r="AF124" s="541"/>
      <c r="AG124" s="541"/>
      <c r="AH124" s="541"/>
      <c r="AI124" s="541"/>
      <c r="AJ124" s="541"/>
    </row>
    <row r="125" spans="1:36">
      <c r="A125" s="628"/>
      <c r="B125" s="807"/>
      <c r="C125" s="807"/>
      <c r="D125" s="807"/>
      <c r="E125" s="807"/>
      <c r="F125" s="807"/>
      <c r="G125" s="807"/>
      <c r="H125" s="807"/>
      <c r="I125" s="807"/>
      <c r="J125" s="541"/>
      <c r="K125" s="541"/>
      <c r="L125" s="541"/>
      <c r="M125" s="541"/>
      <c r="N125" s="541"/>
      <c r="O125" s="541"/>
      <c r="P125" s="541"/>
      <c r="Q125" s="541"/>
      <c r="R125" s="541"/>
      <c r="S125" s="541"/>
      <c r="T125" s="541"/>
      <c r="U125" s="541"/>
      <c r="V125" s="541"/>
      <c r="W125" s="541"/>
      <c r="X125" s="541"/>
      <c r="Y125" s="541"/>
      <c r="Z125" s="541"/>
      <c r="AA125" s="541"/>
      <c r="AB125" s="541"/>
      <c r="AC125" s="541"/>
      <c r="AD125" s="541"/>
      <c r="AE125" s="541"/>
      <c r="AF125" s="541"/>
      <c r="AG125" s="541"/>
      <c r="AH125" s="541"/>
      <c r="AI125" s="541"/>
      <c r="AJ125" s="541"/>
    </row>
    <row r="126" spans="1:36">
      <c r="A126" s="628"/>
      <c r="B126" s="807"/>
      <c r="C126" s="807"/>
      <c r="D126" s="807"/>
      <c r="E126" s="807"/>
      <c r="F126" s="807"/>
      <c r="G126" s="807"/>
      <c r="H126" s="807"/>
      <c r="I126" s="807"/>
      <c r="J126" s="541"/>
      <c r="K126" s="541"/>
      <c r="L126" s="541"/>
      <c r="M126" s="541"/>
      <c r="N126" s="541"/>
      <c r="O126" s="541"/>
      <c r="P126" s="541"/>
      <c r="Q126" s="541"/>
      <c r="R126" s="541"/>
      <c r="S126" s="541"/>
      <c r="T126" s="541"/>
      <c r="U126" s="541"/>
      <c r="V126" s="541"/>
      <c r="W126" s="541"/>
      <c r="X126" s="541"/>
      <c r="Y126" s="541"/>
      <c r="Z126" s="541"/>
      <c r="AA126" s="541"/>
      <c r="AB126" s="541"/>
      <c r="AC126" s="541"/>
      <c r="AD126" s="541"/>
      <c r="AE126" s="541"/>
      <c r="AF126" s="541"/>
      <c r="AG126" s="541"/>
      <c r="AH126" s="541"/>
      <c r="AI126" s="541"/>
      <c r="AJ126" s="541"/>
    </row>
    <row r="127" spans="1:36">
      <c r="A127" s="628"/>
      <c r="B127" s="807"/>
      <c r="C127" s="807"/>
      <c r="D127" s="807"/>
      <c r="E127" s="807"/>
      <c r="F127" s="807"/>
      <c r="G127" s="807"/>
      <c r="H127" s="807"/>
      <c r="I127" s="807"/>
      <c r="J127" s="541"/>
      <c r="K127" s="541"/>
      <c r="L127" s="541"/>
      <c r="M127" s="541"/>
      <c r="N127" s="541"/>
      <c r="O127" s="541"/>
      <c r="P127" s="541"/>
      <c r="Q127" s="541"/>
      <c r="R127" s="541"/>
      <c r="S127" s="541"/>
      <c r="T127" s="541"/>
      <c r="U127" s="541"/>
      <c r="V127" s="541"/>
      <c r="W127" s="541"/>
      <c r="X127" s="541"/>
      <c r="Y127" s="541"/>
      <c r="Z127" s="541"/>
      <c r="AA127" s="541"/>
      <c r="AB127" s="541"/>
      <c r="AC127" s="541"/>
      <c r="AD127" s="541"/>
      <c r="AE127" s="541"/>
      <c r="AF127" s="541"/>
      <c r="AG127" s="541"/>
      <c r="AH127" s="541"/>
      <c r="AI127" s="541"/>
      <c r="AJ127" s="541"/>
    </row>
    <row r="128" spans="1:36">
      <c r="A128" s="628"/>
      <c r="B128" s="807"/>
      <c r="C128" s="807"/>
      <c r="D128" s="807"/>
      <c r="E128" s="807"/>
      <c r="F128" s="807"/>
      <c r="G128" s="807"/>
      <c r="H128" s="807"/>
      <c r="I128" s="807"/>
      <c r="J128" s="541"/>
      <c r="K128" s="541"/>
      <c r="L128" s="541"/>
      <c r="M128" s="541"/>
      <c r="N128" s="541"/>
      <c r="O128" s="541"/>
      <c r="P128" s="541"/>
      <c r="Q128" s="541"/>
      <c r="R128" s="541"/>
      <c r="S128" s="541"/>
      <c r="T128" s="541"/>
      <c r="U128" s="541"/>
      <c r="V128" s="541"/>
      <c r="W128" s="541"/>
      <c r="X128" s="541"/>
      <c r="Y128" s="541"/>
      <c r="Z128" s="541"/>
      <c r="AA128" s="541"/>
      <c r="AB128" s="541"/>
      <c r="AC128" s="541"/>
      <c r="AD128" s="541"/>
      <c r="AE128" s="541"/>
      <c r="AF128" s="541"/>
      <c r="AG128" s="541"/>
      <c r="AH128" s="541"/>
      <c r="AI128" s="541"/>
      <c r="AJ128" s="541"/>
    </row>
    <row r="129" spans="1:106">
      <c r="A129" s="629" t="s">
        <v>2053</v>
      </c>
      <c r="B129" s="959"/>
    </row>
    <row r="130" spans="1:106">
      <c r="C130" s="959"/>
      <c r="D130" s="959"/>
      <c r="E130" s="959"/>
      <c r="F130" s="959"/>
      <c r="G130" s="959"/>
      <c r="H130" s="959"/>
      <c r="I130" s="959"/>
    </row>
    <row r="131" spans="1:106">
      <c r="A131" s="629"/>
      <c r="C131" s="944">
        <f>C61-C28</f>
        <v>-1.9921862985938787E-6</v>
      </c>
      <c r="D131" s="944">
        <f>D61-D28</f>
        <v>-1.7823913367465138E-6</v>
      </c>
      <c r="E131" s="944">
        <f t="shared" ref="E131:BP131" si="1">E61-E28</f>
        <v>-2.6919988158624619E-6</v>
      </c>
      <c r="F131" s="944">
        <f t="shared" si="1"/>
        <v>4.922003427054733E-7</v>
      </c>
      <c r="G131" s="944">
        <f t="shared" si="1"/>
        <v>1.5855912351980805E-6</v>
      </c>
      <c r="H131" s="944">
        <f t="shared" si="1"/>
        <v>2.8698195819742978E-7</v>
      </c>
      <c r="I131" s="944">
        <f t="shared" si="1"/>
        <v>9.10476956050843E-8</v>
      </c>
      <c r="J131" s="944">
        <f t="shared" si="1"/>
        <v>1.9955405150540173E-7</v>
      </c>
      <c r="K131" s="944">
        <f t="shared" si="1"/>
        <v>3.8879807107150555E-7</v>
      </c>
      <c r="L131" s="944">
        <f t="shared" si="1"/>
        <v>6.8786903284490108E-8</v>
      </c>
      <c r="M131" s="944">
        <f t="shared" si="1"/>
        <v>-4.5836604840587825E-6</v>
      </c>
      <c r="N131" s="944">
        <f t="shared" si="1"/>
        <v>-5.4012343753129244E-7</v>
      </c>
      <c r="O131" s="944">
        <f t="shared" si="1"/>
        <v>1.0467192623764277E-7</v>
      </c>
      <c r="P131" s="944">
        <f t="shared" si="1"/>
        <v>-9.1131369117647409E-9</v>
      </c>
      <c r="Q131" s="944">
        <f t="shared" si="1"/>
        <v>-3.6903984437230974E-6</v>
      </c>
      <c r="R131" s="944">
        <f t="shared" si="1"/>
        <v>2.5979788915719837E-6</v>
      </c>
      <c r="S131" s="944">
        <f t="shared" si="1"/>
        <v>2.3260508896782994E-7</v>
      </c>
      <c r="T131" s="944">
        <f t="shared" si="1"/>
        <v>-8.3607665146701038E-7</v>
      </c>
      <c r="U131" s="944">
        <f t="shared" si="1"/>
        <v>-2.227581717306748E-6</v>
      </c>
      <c r="V131" s="944">
        <f t="shared" si="1"/>
        <v>-3.5185075830668211E-7</v>
      </c>
      <c r="W131" s="944">
        <f t="shared" si="1"/>
        <v>-2.6157067622989416E-7</v>
      </c>
      <c r="X131" s="944">
        <f t="shared" si="1"/>
        <v>2.7911119104828686E-6</v>
      </c>
      <c r="Y131" s="944">
        <f t="shared" si="1"/>
        <v>1.5722907846793532E-6</v>
      </c>
      <c r="Z131" s="944">
        <f t="shared" si="1"/>
        <v>7.0579335442744195E-7</v>
      </c>
      <c r="AA131" s="944">
        <f t="shared" si="1"/>
        <v>1.9979779608547688E-7</v>
      </c>
      <c r="AB131" s="944">
        <f t="shared" si="1"/>
        <v>-4.0090526454150677E-7</v>
      </c>
      <c r="AC131" s="944">
        <f t="shared" si="1"/>
        <v>-6.89135049469769E-7</v>
      </c>
      <c r="AD131" s="944">
        <f t="shared" si="1"/>
        <v>-6.1457103583961725E-7</v>
      </c>
      <c r="AE131" s="944">
        <f t="shared" si="1"/>
        <v>-5.7456782087683678E-7</v>
      </c>
      <c r="AF131" s="944">
        <f t="shared" si="1"/>
        <v>-1.1785814422182739E-6</v>
      </c>
      <c r="AG131" s="944">
        <f t="shared" si="1"/>
        <v>-9.9879252957180142E-7</v>
      </c>
      <c r="AH131" s="944">
        <f t="shared" si="1"/>
        <v>-1.6173507901839912E-6</v>
      </c>
      <c r="AI131" s="944">
        <f t="shared" si="1"/>
        <v>-1.7190541257150471E-6</v>
      </c>
      <c r="AJ131" s="944">
        <f t="shared" si="1"/>
        <v>-9.9357566796243191E-7</v>
      </c>
      <c r="AK131" s="944">
        <f t="shared" si="1"/>
        <v>-1.4663892216049135E-6</v>
      </c>
      <c r="AL131" s="944">
        <f t="shared" si="1"/>
        <v>-2.148248313460499E-6</v>
      </c>
      <c r="AM131" s="944">
        <f t="shared" si="1"/>
        <v>-1.18556636152789E-6</v>
      </c>
      <c r="AN131" s="944">
        <f t="shared" si="1"/>
        <v>-2.0152147044427693E-6</v>
      </c>
      <c r="AO131" s="944">
        <f t="shared" si="1"/>
        <v>-2.2206586436368525E-6</v>
      </c>
      <c r="AP131" s="944">
        <f t="shared" si="1"/>
        <v>-1.5723126125521958E-6</v>
      </c>
      <c r="AQ131" s="944">
        <f t="shared" si="1"/>
        <v>-1.7147831385955215E-6</v>
      </c>
      <c r="AR131" s="944">
        <f t="shared" si="1"/>
        <v>-1.5238329069688916E-6</v>
      </c>
      <c r="AS131" s="944">
        <f t="shared" si="1"/>
        <v>-1.3778480933979154E-6</v>
      </c>
      <c r="AT131" s="944">
        <f t="shared" si="1"/>
        <v>-5.5254349717870355E-7</v>
      </c>
      <c r="AU131" s="944">
        <f t="shared" si="1"/>
        <v>-7.4182025855407119E-7</v>
      </c>
      <c r="AV131" s="944">
        <f t="shared" si="1"/>
        <v>-8.634597179479897E-7</v>
      </c>
      <c r="AW131" s="944">
        <f t="shared" si="1"/>
        <v>-4.3878389988094568E-7</v>
      </c>
      <c r="AX131" s="944">
        <f t="shared" si="1"/>
        <v>-8.3897612057626247E-7</v>
      </c>
      <c r="AY131" s="944">
        <f t="shared" si="1"/>
        <v>-2.1238010958768427E-6</v>
      </c>
      <c r="AZ131" s="944">
        <f t="shared" si="1"/>
        <v>-9.7094743978232145E-7</v>
      </c>
      <c r="BA131" s="944">
        <f t="shared" si="1"/>
        <v>-4.9597292672842741E-7</v>
      </c>
      <c r="BB131" s="944">
        <f t="shared" si="1"/>
        <v>-1.0542935342527926E-6</v>
      </c>
      <c r="BC131" s="944">
        <f t="shared" si="1"/>
        <v>-1.9979779608547688E-7</v>
      </c>
      <c r="BD131" s="944">
        <f t="shared" si="1"/>
        <v>-1.4243778423406184E-6</v>
      </c>
      <c r="BE131" s="944">
        <f t="shared" si="1"/>
        <v>-1.0724106687121093E-6</v>
      </c>
      <c r="BF131" s="944">
        <f t="shared" si="1"/>
        <v>-3.5836274037137628E-7</v>
      </c>
      <c r="BG131" s="944">
        <f t="shared" si="1"/>
        <v>2.7328496798872948E-7</v>
      </c>
      <c r="BH131" s="944">
        <f t="shared" si="1"/>
        <v>3.0834053177386522E-7</v>
      </c>
      <c r="BI131" s="944">
        <f t="shared" si="1"/>
        <v>-2.100052370224148E-6</v>
      </c>
      <c r="BJ131" s="944">
        <f t="shared" si="1"/>
        <v>3.9231963455677032E-8</v>
      </c>
      <c r="BK131" s="944">
        <f t="shared" si="1"/>
        <v>-1.8833816284313798E-7</v>
      </c>
      <c r="BL131" s="944">
        <f t="shared" si="1"/>
        <v>1.1968950275331736E-8</v>
      </c>
      <c r="BM131" s="944">
        <f t="shared" si="1"/>
        <v>-5.6916178436949849E-7</v>
      </c>
      <c r="BN131" s="944">
        <f t="shared" si="1"/>
        <v>3.016320988535881E-7</v>
      </c>
      <c r="BO131" s="944">
        <f t="shared" si="1"/>
        <v>-1.0193398338742554E-6</v>
      </c>
      <c r="BP131" s="944">
        <f t="shared" si="1"/>
        <v>-1.8116115825250745E-6</v>
      </c>
      <c r="BQ131" s="944">
        <f t="shared" ref="BQ131:CX131" si="2">BQ61-BQ28</f>
        <v>-4.3534964788705111E-7</v>
      </c>
      <c r="BR131" s="944">
        <f t="shared" si="2"/>
        <v>-2.585853508207947E-6</v>
      </c>
      <c r="BS131" s="944">
        <f t="shared" si="2"/>
        <v>-2.2458480088971555E-6</v>
      </c>
      <c r="BT131" s="944">
        <f t="shared" si="2"/>
        <v>-1.6729245544411242E-6</v>
      </c>
      <c r="BU131" s="944">
        <f t="shared" si="2"/>
        <v>-8.931383490562439E-7</v>
      </c>
      <c r="BV131" s="944">
        <f t="shared" si="2"/>
        <v>8.3113263826817274E-8</v>
      </c>
      <c r="BW131" s="944">
        <f t="shared" si="2"/>
        <v>-1.9028739188797772E-6</v>
      </c>
      <c r="BX131" s="944">
        <f t="shared" si="2"/>
        <v>-1.7811398720368743E-6</v>
      </c>
      <c r="BY131" s="944">
        <f t="shared" si="2"/>
        <v>-6.3161132857203484E-7</v>
      </c>
      <c r="BZ131" s="944">
        <f t="shared" si="2"/>
        <v>-1.2353921192698181E-6</v>
      </c>
      <c r="CA131" s="944">
        <f t="shared" si="2"/>
        <v>-1.5319747035391629E-6</v>
      </c>
      <c r="CB131" s="944">
        <f t="shared" si="2"/>
        <v>-2.2063904907554388E-6</v>
      </c>
      <c r="CC131" s="944">
        <f t="shared" si="2"/>
        <v>-4.5044725993648171E-7</v>
      </c>
      <c r="CD131" s="944">
        <f t="shared" si="2"/>
        <v>-3.8652069633826613E-7</v>
      </c>
      <c r="CE131" s="944">
        <f t="shared" si="2"/>
        <v>-1.2850068742409348E-7</v>
      </c>
      <c r="CF131" s="944">
        <f t="shared" si="2"/>
        <v>2.9549119062721729E-7</v>
      </c>
      <c r="CG131" s="944">
        <f t="shared" si="2"/>
        <v>-9.4399001682177186E-7</v>
      </c>
      <c r="CH131" s="944">
        <f t="shared" si="2"/>
        <v>-1.0095973266288638E-6</v>
      </c>
      <c r="CI131" s="944">
        <f t="shared" si="2"/>
        <v>-6.9335510488599539E-7</v>
      </c>
      <c r="CJ131" s="944">
        <f t="shared" si="2"/>
        <v>-2.3119428078643978E-6</v>
      </c>
      <c r="CK131" s="944">
        <f t="shared" si="2"/>
        <v>-1.7989877960644662E-6</v>
      </c>
      <c r="CL131" s="944">
        <f t="shared" si="2"/>
        <v>-1.0983931133523583E-6</v>
      </c>
      <c r="CM131" s="944">
        <f t="shared" si="2"/>
        <v>-1.3608660083264112E-6</v>
      </c>
      <c r="CN131" s="944">
        <f t="shared" si="2"/>
        <v>-7.3130649980157614E-7</v>
      </c>
      <c r="CO131" s="944">
        <f t="shared" si="2"/>
        <v>-8.6711952462792397E-7</v>
      </c>
      <c r="CP131" s="944">
        <f t="shared" si="2"/>
        <v>-8.5976353147998452E-7</v>
      </c>
      <c r="CQ131" s="944">
        <f t="shared" si="2"/>
        <v>-9.8798773251473904E-7</v>
      </c>
      <c r="CR131" s="944">
        <f t="shared" si="2"/>
        <v>-1.2875098036602139E-6</v>
      </c>
      <c r="CS131" s="944">
        <f t="shared" si="2"/>
        <v>-2.1160012693144381E-6</v>
      </c>
      <c r="CT131" s="944">
        <f t="shared" si="2"/>
        <v>-1.5998957678675652E-6</v>
      </c>
      <c r="CU131" s="944">
        <f t="shared" si="2"/>
        <v>-8.8473461801186204E-7</v>
      </c>
      <c r="CV131" s="944">
        <f t="shared" si="2"/>
        <v>-5.8931618696078658E-7</v>
      </c>
      <c r="CW131" s="944">
        <f t="shared" si="2"/>
        <v>-8.517381502315402E-7</v>
      </c>
      <c r="CX131" s="944">
        <f t="shared" si="2"/>
        <v>-7.7299046097323298E-7</v>
      </c>
      <c r="CY131" s="944"/>
      <c r="CZ131" s="944"/>
      <c r="DA131" s="944"/>
      <c r="DB131" s="944"/>
    </row>
    <row r="133" spans="1:106">
      <c r="C133" s="944">
        <f>[40]Sheet1!$S$463/1000000</f>
        <v>25474.471452395435</v>
      </c>
      <c r="D133" s="944">
        <f>[8]Sheet2!$C$433/1000000</f>
        <v>26072.063895684201</v>
      </c>
      <c r="E133" s="944">
        <f>[9]Sheet2!$C$433/1000000</f>
        <v>26415.344452919999</v>
      </c>
      <c r="F133" s="944">
        <f>[10]Sheet2!$C$433/1000000</f>
        <v>26856.4152350242</v>
      </c>
      <c r="G133" s="944">
        <f>[11]Sheet2!$C$433/1000000</f>
        <v>27494.964101177593</v>
      </c>
      <c r="H133" s="944">
        <f>[12]Sheet2!$C$433/1000000</f>
        <v>27955.940532792596</v>
      </c>
      <c r="I133" s="944">
        <f>[13]Sheet2!$C$433/1000000</f>
        <v>28194.361602293327</v>
      </c>
      <c r="J133" s="944">
        <f>[14]Sheet2!$C$433/1000000</f>
        <v>28336.892915349788</v>
      </c>
      <c r="K133" s="944">
        <f>[15]Sheet2!$C$433/1000000</f>
        <v>28563.364929485931</v>
      </c>
      <c r="L133" s="944">
        <f>[16]Sheet2!$C$433/1000000</f>
        <v>28740.361376723944</v>
      </c>
      <c r="M133" s="944">
        <f>[17]Sheet2!$C$433/1000000</f>
        <v>29096.352207255881</v>
      </c>
      <c r="N133" s="944">
        <f>[18]Sheet2!$C$433/1000000</f>
        <v>29423.313250309962</v>
      </c>
      <c r="O133" s="944">
        <f>[19]Sheet2!$C$433/1000000</f>
        <v>29904.420293369949</v>
      </c>
      <c r="P133" s="944">
        <f>[20]Sheet2!$C$433/1000000</f>
        <v>30192.423819521264</v>
      </c>
      <c r="Q133" s="944">
        <f>[21]Sheet2!$C$433/1000000</f>
        <v>30534.515536923256</v>
      </c>
      <c r="R133" s="944">
        <f>[22]Sheet2!$C$433/1000000</f>
        <v>30645.306166036935</v>
      </c>
      <c r="S133" s="944">
        <f>[23]Sheet2!$C$433/1000000</f>
        <v>30723.1428050094</v>
      </c>
      <c r="T133" s="944">
        <f>[24]Sheet2!$C$433/1000000</f>
        <v>30582.685570265083</v>
      </c>
      <c r="U133" s="944">
        <f>[25]Sheet2!$C$433/1000000</f>
        <v>31026.051213552906</v>
      </c>
      <c r="V133" s="944">
        <f>[26]Sheet2!$C$433/1000000</f>
        <v>31204.967849636963</v>
      </c>
      <c r="W133" s="944">
        <f>[27]Sheet2!$C$433/1000000</f>
        <v>31436.78875257288</v>
      </c>
      <c r="X133" s="944">
        <f>[28]Sheet2!$C$433/1000000</f>
        <v>31766.227604989108</v>
      </c>
      <c r="Y133" s="944">
        <f>[29]Sheet2!$C$433/1000000</f>
        <v>32105.986535472326</v>
      </c>
      <c r="Z133" s="944">
        <f>[30]Sheet2!$C$433/1000000</f>
        <v>32381.205792838249</v>
      </c>
      <c r="AA133" s="944">
        <f>[31]Sheet2!$C$433/1000000</f>
        <v>32750.688683894692</v>
      </c>
      <c r="AB133" s="944">
        <f>[32]Sheet2!$C$433/1000000</f>
        <v>33028.065470894588</v>
      </c>
      <c r="AC133" s="944">
        <f>[33]Sheet2!$C$433/1000000</f>
        <v>33597.285546806248</v>
      </c>
      <c r="AD133" s="944">
        <f>[34]Sheet2!$C$433/1000000</f>
        <v>33479.612832110332</v>
      </c>
      <c r="AE133" s="944">
        <f>[35]Sheet2!$C$433/1000000</f>
        <v>33528.234725332208</v>
      </c>
      <c r="AF133" s="944">
        <f>[36]Sheet2!$C$433/1000000</f>
        <v>33945.252423109217</v>
      </c>
      <c r="AG133" s="944">
        <f>[37]Sheet2!$C$433/1000000</f>
        <v>34531.168337755749</v>
      </c>
      <c r="AH133" s="944">
        <f>[38]Sheet2!$C$433/1000000</f>
        <v>35377.395748930103</v>
      </c>
      <c r="AI133" s="944">
        <f>[39]Sheet2!$C$433/1000000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S133"/>
  <sheetViews>
    <sheetView zoomScaleNormal="100" workbookViewId="0">
      <pane xSplit="105" ySplit="4" topLeftCell="DG5" activePane="bottomRight" state="frozen"/>
      <selection pane="topRight" activeCell="DB1" sqref="DB1"/>
      <selection pane="bottomLeft" activeCell="A5" sqref="A5"/>
      <selection pane="bottomRight" activeCell="DY53" sqref="DY53"/>
    </sheetView>
  </sheetViews>
  <sheetFormatPr defaultRowHeight="15"/>
  <cols>
    <col min="1" max="1" width="5.85546875" style="894" customWidth="1"/>
    <col min="2" max="2" width="54.28515625" style="894" customWidth="1"/>
    <col min="3" max="43" width="9.140625" style="894" hidden="1" customWidth="1"/>
    <col min="44" max="55" width="9.28515625" style="894" hidden="1" customWidth="1"/>
    <col min="56" max="56" width="9.42578125" style="894" hidden="1" customWidth="1"/>
    <col min="57" max="57" width="8.28515625" style="894" hidden="1" customWidth="1"/>
    <col min="58" max="61" width="9.28515625" style="894" hidden="1" customWidth="1"/>
    <col min="62" max="64" width="10.7109375" style="894" hidden="1" customWidth="1"/>
    <col min="65" max="65" width="10.5703125" style="894" hidden="1" customWidth="1"/>
    <col min="66" max="95" width="10.7109375" style="894" hidden="1" customWidth="1"/>
    <col min="96" max="96" width="11.85546875" style="894" hidden="1" customWidth="1"/>
    <col min="97" max="110" width="12.7109375" style="894" hidden="1" customWidth="1"/>
    <col min="111" max="123" width="12.7109375" style="894" customWidth="1"/>
    <col min="124" max="266" width="9.140625" style="894"/>
    <col min="267" max="267" width="5.85546875" style="894" customWidth="1"/>
    <col min="268" max="268" width="54.28515625" style="894" customWidth="1"/>
    <col min="269" max="361" width="0" style="894" hidden="1" customWidth="1"/>
    <col min="362" max="372" width="10.7109375" style="894" customWidth="1"/>
    <col min="373" max="373" width="10.42578125" style="894" customWidth="1"/>
    <col min="374" max="374" width="11" style="894" bestFit="1" customWidth="1"/>
    <col min="375" max="522" width="9.140625" style="894"/>
    <col min="523" max="523" width="5.85546875" style="894" customWidth="1"/>
    <col min="524" max="524" width="54.28515625" style="894" customWidth="1"/>
    <col min="525" max="617" width="0" style="894" hidden="1" customWidth="1"/>
    <col min="618" max="628" width="10.7109375" style="894" customWidth="1"/>
    <col min="629" max="629" width="10.42578125" style="894" customWidth="1"/>
    <col min="630" max="630" width="11" style="894" bestFit="1" customWidth="1"/>
    <col min="631" max="778" width="9.140625" style="894"/>
    <col min="779" max="779" width="5.85546875" style="894" customWidth="1"/>
    <col min="780" max="780" width="54.28515625" style="894" customWidth="1"/>
    <col min="781" max="873" width="0" style="894" hidden="1" customWidth="1"/>
    <col min="874" max="884" width="10.7109375" style="894" customWidth="1"/>
    <col min="885" max="885" width="10.42578125" style="894" customWidth="1"/>
    <col min="886" max="886" width="11" style="894" bestFit="1" customWidth="1"/>
    <col min="887" max="1034" width="9.140625" style="894"/>
    <col min="1035" max="1035" width="5.85546875" style="894" customWidth="1"/>
    <col min="1036" max="1036" width="54.28515625" style="894" customWidth="1"/>
    <col min="1037" max="1129" width="0" style="894" hidden="1" customWidth="1"/>
    <col min="1130" max="1140" width="10.7109375" style="894" customWidth="1"/>
    <col min="1141" max="1141" width="10.42578125" style="894" customWidth="1"/>
    <col min="1142" max="1142" width="11" style="894" bestFit="1" customWidth="1"/>
    <col min="1143" max="1290" width="9.140625" style="894"/>
    <col min="1291" max="1291" width="5.85546875" style="894" customWidth="1"/>
    <col min="1292" max="1292" width="54.28515625" style="894" customWidth="1"/>
    <col min="1293" max="1385" width="0" style="894" hidden="1" customWidth="1"/>
    <col min="1386" max="1396" width="10.7109375" style="894" customWidth="1"/>
    <col min="1397" max="1397" width="10.42578125" style="894" customWidth="1"/>
    <col min="1398" max="1398" width="11" style="894" bestFit="1" customWidth="1"/>
    <col min="1399" max="1546" width="9.140625" style="894"/>
    <col min="1547" max="1547" width="5.85546875" style="894" customWidth="1"/>
    <col min="1548" max="1548" width="54.28515625" style="894" customWidth="1"/>
    <col min="1549" max="1641" width="0" style="894" hidden="1" customWidth="1"/>
    <col min="1642" max="1652" width="10.7109375" style="894" customWidth="1"/>
    <col min="1653" max="1653" width="10.42578125" style="894" customWidth="1"/>
    <col min="1654" max="1654" width="11" style="894" bestFit="1" customWidth="1"/>
    <col min="1655" max="1802" width="9.140625" style="894"/>
    <col min="1803" max="1803" width="5.85546875" style="894" customWidth="1"/>
    <col min="1804" max="1804" width="54.28515625" style="894" customWidth="1"/>
    <col min="1805" max="1897" width="0" style="894" hidden="1" customWidth="1"/>
    <col min="1898" max="1908" width="10.7109375" style="894" customWidth="1"/>
    <col min="1909" max="1909" width="10.42578125" style="894" customWidth="1"/>
    <col min="1910" max="1910" width="11" style="894" bestFit="1" customWidth="1"/>
    <col min="1911" max="2058" width="9.140625" style="894"/>
    <col min="2059" max="2059" width="5.85546875" style="894" customWidth="1"/>
    <col min="2060" max="2060" width="54.28515625" style="894" customWidth="1"/>
    <col min="2061" max="2153" width="0" style="894" hidden="1" customWidth="1"/>
    <col min="2154" max="2164" width="10.7109375" style="894" customWidth="1"/>
    <col min="2165" max="2165" width="10.42578125" style="894" customWidth="1"/>
    <col min="2166" max="2166" width="11" style="894" bestFit="1" customWidth="1"/>
    <col min="2167" max="2314" width="9.140625" style="894"/>
    <col min="2315" max="2315" width="5.85546875" style="894" customWidth="1"/>
    <col min="2316" max="2316" width="54.28515625" style="894" customWidth="1"/>
    <col min="2317" max="2409" width="0" style="894" hidden="1" customWidth="1"/>
    <col min="2410" max="2420" width="10.7109375" style="894" customWidth="1"/>
    <col min="2421" max="2421" width="10.42578125" style="894" customWidth="1"/>
    <col min="2422" max="2422" width="11" style="894" bestFit="1" customWidth="1"/>
    <col min="2423" max="2570" width="9.140625" style="894"/>
    <col min="2571" max="2571" width="5.85546875" style="894" customWidth="1"/>
    <col min="2572" max="2572" width="54.28515625" style="894" customWidth="1"/>
    <col min="2573" max="2665" width="0" style="894" hidden="1" customWidth="1"/>
    <col min="2666" max="2676" width="10.7109375" style="894" customWidth="1"/>
    <col min="2677" max="2677" width="10.42578125" style="894" customWidth="1"/>
    <col min="2678" max="2678" width="11" style="894" bestFit="1" customWidth="1"/>
    <col min="2679" max="2826" width="9.140625" style="894"/>
    <col min="2827" max="2827" width="5.85546875" style="894" customWidth="1"/>
    <col min="2828" max="2828" width="54.28515625" style="894" customWidth="1"/>
    <col min="2829" max="2921" width="0" style="894" hidden="1" customWidth="1"/>
    <col min="2922" max="2932" width="10.7109375" style="894" customWidth="1"/>
    <col min="2933" max="2933" width="10.42578125" style="894" customWidth="1"/>
    <col min="2934" max="2934" width="11" style="894" bestFit="1" customWidth="1"/>
    <col min="2935" max="3082" width="9.140625" style="894"/>
    <col min="3083" max="3083" width="5.85546875" style="894" customWidth="1"/>
    <col min="3084" max="3084" width="54.28515625" style="894" customWidth="1"/>
    <col min="3085" max="3177" width="0" style="894" hidden="1" customWidth="1"/>
    <col min="3178" max="3188" width="10.7109375" style="894" customWidth="1"/>
    <col min="3189" max="3189" width="10.42578125" style="894" customWidth="1"/>
    <col min="3190" max="3190" width="11" style="894" bestFit="1" customWidth="1"/>
    <col min="3191" max="3338" width="9.140625" style="894"/>
    <col min="3339" max="3339" width="5.85546875" style="894" customWidth="1"/>
    <col min="3340" max="3340" width="54.28515625" style="894" customWidth="1"/>
    <col min="3341" max="3433" width="0" style="894" hidden="1" customWidth="1"/>
    <col min="3434" max="3444" width="10.7109375" style="894" customWidth="1"/>
    <col min="3445" max="3445" width="10.42578125" style="894" customWidth="1"/>
    <col min="3446" max="3446" width="11" style="894" bestFit="1" customWidth="1"/>
    <col min="3447" max="3594" width="9.140625" style="894"/>
    <col min="3595" max="3595" width="5.85546875" style="894" customWidth="1"/>
    <col min="3596" max="3596" width="54.28515625" style="894" customWidth="1"/>
    <col min="3597" max="3689" width="0" style="894" hidden="1" customWidth="1"/>
    <col min="3690" max="3700" width="10.7109375" style="894" customWidth="1"/>
    <col min="3701" max="3701" width="10.42578125" style="894" customWidth="1"/>
    <col min="3702" max="3702" width="11" style="894" bestFit="1" customWidth="1"/>
    <col min="3703" max="3850" width="9.140625" style="894"/>
    <col min="3851" max="3851" width="5.85546875" style="894" customWidth="1"/>
    <col min="3852" max="3852" width="54.28515625" style="894" customWidth="1"/>
    <col min="3853" max="3945" width="0" style="894" hidden="1" customWidth="1"/>
    <col min="3946" max="3956" width="10.7109375" style="894" customWidth="1"/>
    <col min="3957" max="3957" width="10.42578125" style="894" customWidth="1"/>
    <col min="3958" max="3958" width="11" style="894" bestFit="1" customWidth="1"/>
    <col min="3959" max="4106" width="9.140625" style="894"/>
    <col min="4107" max="4107" width="5.85546875" style="894" customWidth="1"/>
    <col min="4108" max="4108" width="54.28515625" style="894" customWidth="1"/>
    <col min="4109" max="4201" width="0" style="894" hidden="1" customWidth="1"/>
    <col min="4202" max="4212" width="10.7109375" style="894" customWidth="1"/>
    <col min="4213" max="4213" width="10.42578125" style="894" customWidth="1"/>
    <col min="4214" max="4214" width="11" style="894" bestFit="1" customWidth="1"/>
    <col min="4215" max="4362" width="9.140625" style="894"/>
    <col min="4363" max="4363" width="5.85546875" style="894" customWidth="1"/>
    <col min="4364" max="4364" width="54.28515625" style="894" customWidth="1"/>
    <col min="4365" max="4457" width="0" style="894" hidden="1" customWidth="1"/>
    <col min="4458" max="4468" width="10.7109375" style="894" customWidth="1"/>
    <col min="4469" max="4469" width="10.42578125" style="894" customWidth="1"/>
    <col min="4470" max="4470" width="11" style="894" bestFit="1" customWidth="1"/>
    <col min="4471" max="4618" width="9.140625" style="894"/>
    <col min="4619" max="4619" width="5.85546875" style="894" customWidth="1"/>
    <col min="4620" max="4620" width="54.28515625" style="894" customWidth="1"/>
    <col min="4621" max="4713" width="0" style="894" hidden="1" customWidth="1"/>
    <col min="4714" max="4724" width="10.7109375" style="894" customWidth="1"/>
    <col min="4725" max="4725" width="10.42578125" style="894" customWidth="1"/>
    <col min="4726" max="4726" width="11" style="894" bestFit="1" customWidth="1"/>
    <col min="4727" max="4874" width="9.140625" style="894"/>
    <col min="4875" max="4875" width="5.85546875" style="894" customWidth="1"/>
    <col min="4876" max="4876" width="54.28515625" style="894" customWidth="1"/>
    <col min="4877" max="4969" width="0" style="894" hidden="1" customWidth="1"/>
    <col min="4970" max="4980" width="10.7109375" style="894" customWidth="1"/>
    <col min="4981" max="4981" width="10.42578125" style="894" customWidth="1"/>
    <col min="4982" max="4982" width="11" style="894" bestFit="1" customWidth="1"/>
    <col min="4983" max="5130" width="9.140625" style="894"/>
    <col min="5131" max="5131" width="5.85546875" style="894" customWidth="1"/>
    <col min="5132" max="5132" width="54.28515625" style="894" customWidth="1"/>
    <col min="5133" max="5225" width="0" style="894" hidden="1" customWidth="1"/>
    <col min="5226" max="5236" width="10.7109375" style="894" customWidth="1"/>
    <col min="5237" max="5237" width="10.42578125" style="894" customWidth="1"/>
    <col min="5238" max="5238" width="11" style="894" bestFit="1" customWidth="1"/>
    <col min="5239" max="5386" width="9.140625" style="894"/>
    <col min="5387" max="5387" width="5.85546875" style="894" customWidth="1"/>
    <col min="5388" max="5388" width="54.28515625" style="894" customWidth="1"/>
    <col min="5389" max="5481" width="0" style="894" hidden="1" customWidth="1"/>
    <col min="5482" max="5492" width="10.7109375" style="894" customWidth="1"/>
    <col min="5493" max="5493" width="10.42578125" style="894" customWidth="1"/>
    <col min="5494" max="5494" width="11" style="894" bestFit="1" customWidth="1"/>
    <col min="5495" max="5642" width="9.140625" style="894"/>
    <col min="5643" max="5643" width="5.85546875" style="894" customWidth="1"/>
    <col min="5644" max="5644" width="54.28515625" style="894" customWidth="1"/>
    <col min="5645" max="5737" width="0" style="894" hidden="1" customWidth="1"/>
    <col min="5738" max="5748" width="10.7109375" style="894" customWidth="1"/>
    <col min="5749" max="5749" width="10.42578125" style="894" customWidth="1"/>
    <col min="5750" max="5750" width="11" style="894" bestFit="1" customWidth="1"/>
    <col min="5751" max="5898" width="9.140625" style="894"/>
    <col min="5899" max="5899" width="5.85546875" style="894" customWidth="1"/>
    <col min="5900" max="5900" width="54.28515625" style="894" customWidth="1"/>
    <col min="5901" max="5993" width="0" style="894" hidden="1" customWidth="1"/>
    <col min="5994" max="6004" width="10.7109375" style="894" customWidth="1"/>
    <col min="6005" max="6005" width="10.42578125" style="894" customWidth="1"/>
    <col min="6006" max="6006" width="11" style="894" bestFit="1" customWidth="1"/>
    <col min="6007" max="6154" width="9.140625" style="894"/>
    <col min="6155" max="6155" width="5.85546875" style="894" customWidth="1"/>
    <col min="6156" max="6156" width="54.28515625" style="894" customWidth="1"/>
    <col min="6157" max="6249" width="0" style="894" hidden="1" customWidth="1"/>
    <col min="6250" max="6260" width="10.7109375" style="894" customWidth="1"/>
    <col min="6261" max="6261" width="10.42578125" style="894" customWidth="1"/>
    <col min="6262" max="6262" width="11" style="894" bestFit="1" customWidth="1"/>
    <col min="6263" max="6410" width="9.140625" style="894"/>
    <col min="6411" max="6411" width="5.85546875" style="894" customWidth="1"/>
    <col min="6412" max="6412" width="54.28515625" style="894" customWidth="1"/>
    <col min="6413" max="6505" width="0" style="894" hidden="1" customWidth="1"/>
    <col min="6506" max="6516" width="10.7109375" style="894" customWidth="1"/>
    <col min="6517" max="6517" width="10.42578125" style="894" customWidth="1"/>
    <col min="6518" max="6518" width="11" style="894" bestFit="1" customWidth="1"/>
    <col min="6519" max="6666" width="9.140625" style="894"/>
    <col min="6667" max="6667" width="5.85546875" style="894" customWidth="1"/>
    <col min="6668" max="6668" width="54.28515625" style="894" customWidth="1"/>
    <col min="6669" max="6761" width="0" style="894" hidden="1" customWidth="1"/>
    <col min="6762" max="6772" width="10.7109375" style="894" customWidth="1"/>
    <col min="6773" max="6773" width="10.42578125" style="894" customWidth="1"/>
    <col min="6774" max="6774" width="11" style="894" bestFit="1" customWidth="1"/>
    <col min="6775" max="6922" width="9.140625" style="894"/>
    <col min="6923" max="6923" width="5.85546875" style="894" customWidth="1"/>
    <col min="6924" max="6924" width="54.28515625" style="894" customWidth="1"/>
    <col min="6925" max="7017" width="0" style="894" hidden="1" customWidth="1"/>
    <col min="7018" max="7028" width="10.7109375" style="894" customWidth="1"/>
    <col min="7029" max="7029" width="10.42578125" style="894" customWidth="1"/>
    <col min="7030" max="7030" width="11" style="894" bestFit="1" customWidth="1"/>
    <col min="7031" max="7178" width="9.140625" style="894"/>
    <col min="7179" max="7179" width="5.85546875" style="894" customWidth="1"/>
    <col min="7180" max="7180" width="54.28515625" style="894" customWidth="1"/>
    <col min="7181" max="7273" width="0" style="894" hidden="1" customWidth="1"/>
    <col min="7274" max="7284" width="10.7109375" style="894" customWidth="1"/>
    <col min="7285" max="7285" width="10.42578125" style="894" customWidth="1"/>
    <col min="7286" max="7286" width="11" style="894" bestFit="1" customWidth="1"/>
    <col min="7287" max="7434" width="9.140625" style="894"/>
    <col min="7435" max="7435" width="5.85546875" style="894" customWidth="1"/>
    <col min="7436" max="7436" width="54.28515625" style="894" customWidth="1"/>
    <col min="7437" max="7529" width="0" style="894" hidden="1" customWidth="1"/>
    <col min="7530" max="7540" width="10.7109375" style="894" customWidth="1"/>
    <col min="7541" max="7541" width="10.42578125" style="894" customWidth="1"/>
    <col min="7542" max="7542" width="11" style="894" bestFit="1" customWidth="1"/>
    <col min="7543" max="7690" width="9.140625" style="894"/>
    <col min="7691" max="7691" width="5.85546875" style="894" customWidth="1"/>
    <col min="7692" max="7692" width="54.28515625" style="894" customWidth="1"/>
    <col min="7693" max="7785" width="0" style="894" hidden="1" customWidth="1"/>
    <col min="7786" max="7796" width="10.7109375" style="894" customWidth="1"/>
    <col min="7797" max="7797" width="10.42578125" style="894" customWidth="1"/>
    <col min="7798" max="7798" width="11" style="894" bestFit="1" customWidth="1"/>
    <col min="7799" max="7946" width="9.140625" style="894"/>
    <col min="7947" max="7947" width="5.85546875" style="894" customWidth="1"/>
    <col min="7948" max="7948" width="54.28515625" style="894" customWidth="1"/>
    <col min="7949" max="8041" width="0" style="894" hidden="1" customWidth="1"/>
    <col min="8042" max="8052" width="10.7109375" style="894" customWidth="1"/>
    <col min="8053" max="8053" width="10.42578125" style="894" customWidth="1"/>
    <col min="8054" max="8054" width="11" style="894" bestFit="1" customWidth="1"/>
    <col min="8055" max="8202" width="9.140625" style="894"/>
    <col min="8203" max="8203" width="5.85546875" style="894" customWidth="1"/>
    <col min="8204" max="8204" width="54.28515625" style="894" customWidth="1"/>
    <col min="8205" max="8297" width="0" style="894" hidden="1" customWidth="1"/>
    <col min="8298" max="8308" width="10.7109375" style="894" customWidth="1"/>
    <col min="8309" max="8309" width="10.42578125" style="894" customWidth="1"/>
    <col min="8310" max="8310" width="11" style="894" bestFit="1" customWidth="1"/>
    <col min="8311" max="8458" width="9.140625" style="894"/>
    <col min="8459" max="8459" width="5.85546875" style="894" customWidth="1"/>
    <col min="8460" max="8460" width="54.28515625" style="894" customWidth="1"/>
    <col min="8461" max="8553" width="0" style="894" hidden="1" customWidth="1"/>
    <col min="8554" max="8564" width="10.7109375" style="894" customWidth="1"/>
    <col min="8565" max="8565" width="10.42578125" style="894" customWidth="1"/>
    <col min="8566" max="8566" width="11" style="894" bestFit="1" customWidth="1"/>
    <col min="8567" max="8714" width="9.140625" style="894"/>
    <col min="8715" max="8715" width="5.85546875" style="894" customWidth="1"/>
    <col min="8716" max="8716" width="54.28515625" style="894" customWidth="1"/>
    <col min="8717" max="8809" width="0" style="894" hidden="1" customWidth="1"/>
    <col min="8810" max="8820" width="10.7109375" style="894" customWidth="1"/>
    <col min="8821" max="8821" width="10.42578125" style="894" customWidth="1"/>
    <col min="8822" max="8822" width="11" style="894" bestFit="1" customWidth="1"/>
    <col min="8823" max="8970" width="9.140625" style="894"/>
    <col min="8971" max="8971" width="5.85546875" style="894" customWidth="1"/>
    <col min="8972" max="8972" width="54.28515625" style="894" customWidth="1"/>
    <col min="8973" max="9065" width="0" style="894" hidden="1" customWidth="1"/>
    <col min="9066" max="9076" width="10.7109375" style="894" customWidth="1"/>
    <col min="9077" max="9077" width="10.42578125" style="894" customWidth="1"/>
    <col min="9078" max="9078" width="11" style="894" bestFit="1" customWidth="1"/>
    <col min="9079" max="9226" width="9.140625" style="894"/>
    <col min="9227" max="9227" width="5.85546875" style="894" customWidth="1"/>
    <col min="9228" max="9228" width="54.28515625" style="894" customWidth="1"/>
    <col min="9229" max="9321" width="0" style="894" hidden="1" customWidth="1"/>
    <col min="9322" max="9332" width="10.7109375" style="894" customWidth="1"/>
    <col min="9333" max="9333" width="10.42578125" style="894" customWidth="1"/>
    <col min="9334" max="9334" width="11" style="894" bestFit="1" customWidth="1"/>
    <col min="9335" max="9482" width="9.140625" style="894"/>
    <col min="9483" max="9483" width="5.85546875" style="894" customWidth="1"/>
    <col min="9484" max="9484" width="54.28515625" style="894" customWidth="1"/>
    <col min="9485" max="9577" width="0" style="894" hidden="1" customWidth="1"/>
    <col min="9578" max="9588" width="10.7109375" style="894" customWidth="1"/>
    <col min="9589" max="9589" width="10.42578125" style="894" customWidth="1"/>
    <col min="9590" max="9590" width="11" style="894" bestFit="1" customWidth="1"/>
    <col min="9591" max="9738" width="9.140625" style="894"/>
    <col min="9739" max="9739" width="5.85546875" style="894" customWidth="1"/>
    <col min="9740" max="9740" width="54.28515625" style="894" customWidth="1"/>
    <col min="9741" max="9833" width="0" style="894" hidden="1" customWidth="1"/>
    <col min="9834" max="9844" width="10.7109375" style="894" customWidth="1"/>
    <col min="9845" max="9845" width="10.42578125" style="894" customWidth="1"/>
    <col min="9846" max="9846" width="11" style="894" bestFit="1" customWidth="1"/>
    <col min="9847" max="9994" width="9.140625" style="894"/>
    <col min="9995" max="9995" width="5.85546875" style="894" customWidth="1"/>
    <col min="9996" max="9996" width="54.28515625" style="894" customWidth="1"/>
    <col min="9997" max="10089" width="0" style="894" hidden="1" customWidth="1"/>
    <col min="10090" max="10100" width="10.7109375" style="894" customWidth="1"/>
    <col min="10101" max="10101" width="10.42578125" style="894" customWidth="1"/>
    <col min="10102" max="10102" width="11" style="894" bestFit="1" customWidth="1"/>
    <col min="10103" max="10250" width="9.140625" style="894"/>
    <col min="10251" max="10251" width="5.85546875" style="894" customWidth="1"/>
    <col min="10252" max="10252" width="54.28515625" style="894" customWidth="1"/>
    <col min="10253" max="10345" width="0" style="894" hidden="1" customWidth="1"/>
    <col min="10346" max="10356" width="10.7109375" style="894" customWidth="1"/>
    <col min="10357" max="10357" width="10.42578125" style="894" customWidth="1"/>
    <col min="10358" max="10358" width="11" style="894" bestFit="1" customWidth="1"/>
    <col min="10359" max="10506" width="9.140625" style="894"/>
    <col min="10507" max="10507" width="5.85546875" style="894" customWidth="1"/>
    <col min="10508" max="10508" width="54.28515625" style="894" customWidth="1"/>
    <col min="10509" max="10601" width="0" style="894" hidden="1" customWidth="1"/>
    <col min="10602" max="10612" width="10.7109375" style="894" customWidth="1"/>
    <col min="10613" max="10613" width="10.42578125" style="894" customWidth="1"/>
    <col min="10614" max="10614" width="11" style="894" bestFit="1" customWidth="1"/>
    <col min="10615" max="10762" width="9.140625" style="894"/>
    <col min="10763" max="10763" width="5.85546875" style="894" customWidth="1"/>
    <col min="10764" max="10764" width="54.28515625" style="894" customWidth="1"/>
    <col min="10765" max="10857" width="0" style="894" hidden="1" customWidth="1"/>
    <col min="10858" max="10868" width="10.7109375" style="894" customWidth="1"/>
    <col min="10869" max="10869" width="10.42578125" style="894" customWidth="1"/>
    <col min="10870" max="10870" width="11" style="894" bestFit="1" customWidth="1"/>
    <col min="10871" max="11018" width="9.140625" style="894"/>
    <col min="11019" max="11019" width="5.85546875" style="894" customWidth="1"/>
    <col min="11020" max="11020" width="54.28515625" style="894" customWidth="1"/>
    <col min="11021" max="11113" width="0" style="894" hidden="1" customWidth="1"/>
    <col min="11114" max="11124" width="10.7109375" style="894" customWidth="1"/>
    <col min="11125" max="11125" width="10.42578125" style="894" customWidth="1"/>
    <col min="11126" max="11126" width="11" style="894" bestFit="1" customWidth="1"/>
    <col min="11127" max="11274" width="9.140625" style="894"/>
    <col min="11275" max="11275" width="5.85546875" style="894" customWidth="1"/>
    <col min="11276" max="11276" width="54.28515625" style="894" customWidth="1"/>
    <col min="11277" max="11369" width="0" style="894" hidden="1" customWidth="1"/>
    <col min="11370" max="11380" width="10.7109375" style="894" customWidth="1"/>
    <col min="11381" max="11381" width="10.42578125" style="894" customWidth="1"/>
    <col min="11382" max="11382" width="11" style="894" bestFit="1" customWidth="1"/>
    <col min="11383" max="11530" width="9.140625" style="894"/>
    <col min="11531" max="11531" width="5.85546875" style="894" customWidth="1"/>
    <col min="11532" max="11532" width="54.28515625" style="894" customWidth="1"/>
    <col min="11533" max="11625" width="0" style="894" hidden="1" customWidth="1"/>
    <col min="11626" max="11636" width="10.7109375" style="894" customWidth="1"/>
    <col min="11637" max="11637" width="10.42578125" style="894" customWidth="1"/>
    <col min="11638" max="11638" width="11" style="894" bestFit="1" customWidth="1"/>
    <col min="11639" max="11786" width="9.140625" style="894"/>
    <col min="11787" max="11787" width="5.85546875" style="894" customWidth="1"/>
    <col min="11788" max="11788" width="54.28515625" style="894" customWidth="1"/>
    <col min="11789" max="11881" width="0" style="894" hidden="1" customWidth="1"/>
    <col min="11882" max="11892" width="10.7109375" style="894" customWidth="1"/>
    <col min="11893" max="11893" width="10.42578125" style="894" customWidth="1"/>
    <col min="11894" max="11894" width="11" style="894" bestFit="1" customWidth="1"/>
    <col min="11895" max="12042" width="9.140625" style="894"/>
    <col min="12043" max="12043" width="5.85546875" style="894" customWidth="1"/>
    <col min="12044" max="12044" width="54.28515625" style="894" customWidth="1"/>
    <col min="12045" max="12137" width="0" style="894" hidden="1" customWidth="1"/>
    <col min="12138" max="12148" width="10.7109375" style="894" customWidth="1"/>
    <col min="12149" max="12149" width="10.42578125" style="894" customWidth="1"/>
    <col min="12150" max="12150" width="11" style="894" bestFit="1" customWidth="1"/>
    <col min="12151" max="12298" width="9.140625" style="894"/>
    <col min="12299" max="12299" width="5.85546875" style="894" customWidth="1"/>
    <col min="12300" max="12300" width="54.28515625" style="894" customWidth="1"/>
    <col min="12301" max="12393" width="0" style="894" hidden="1" customWidth="1"/>
    <col min="12394" max="12404" width="10.7109375" style="894" customWidth="1"/>
    <col min="12405" max="12405" width="10.42578125" style="894" customWidth="1"/>
    <col min="12406" max="12406" width="11" style="894" bestFit="1" customWidth="1"/>
    <col min="12407" max="12554" width="9.140625" style="894"/>
    <col min="12555" max="12555" width="5.85546875" style="894" customWidth="1"/>
    <col min="12556" max="12556" width="54.28515625" style="894" customWidth="1"/>
    <col min="12557" max="12649" width="0" style="894" hidden="1" customWidth="1"/>
    <col min="12650" max="12660" width="10.7109375" style="894" customWidth="1"/>
    <col min="12661" max="12661" width="10.42578125" style="894" customWidth="1"/>
    <col min="12662" max="12662" width="11" style="894" bestFit="1" customWidth="1"/>
    <col min="12663" max="12810" width="9.140625" style="894"/>
    <col min="12811" max="12811" width="5.85546875" style="894" customWidth="1"/>
    <col min="12812" max="12812" width="54.28515625" style="894" customWidth="1"/>
    <col min="12813" max="12905" width="0" style="894" hidden="1" customWidth="1"/>
    <col min="12906" max="12916" width="10.7109375" style="894" customWidth="1"/>
    <col min="12917" max="12917" width="10.42578125" style="894" customWidth="1"/>
    <col min="12918" max="12918" width="11" style="894" bestFit="1" customWidth="1"/>
    <col min="12919" max="13066" width="9.140625" style="894"/>
    <col min="13067" max="13067" width="5.85546875" style="894" customWidth="1"/>
    <col min="13068" max="13068" width="54.28515625" style="894" customWidth="1"/>
    <col min="13069" max="13161" width="0" style="894" hidden="1" customWidth="1"/>
    <col min="13162" max="13172" width="10.7109375" style="894" customWidth="1"/>
    <col min="13173" max="13173" width="10.42578125" style="894" customWidth="1"/>
    <col min="13174" max="13174" width="11" style="894" bestFit="1" customWidth="1"/>
    <col min="13175" max="13322" width="9.140625" style="894"/>
    <col min="13323" max="13323" width="5.85546875" style="894" customWidth="1"/>
    <col min="13324" max="13324" width="54.28515625" style="894" customWidth="1"/>
    <col min="13325" max="13417" width="0" style="894" hidden="1" customWidth="1"/>
    <col min="13418" max="13428" width="10.7109375" style="894" customWidth="1"/>
    <col min="13429" max="13429" width="10.42578125" style="894" customWidth="1"/>
    <col min="13430" max="13430" width="11" style="894" bestFit="1" customWidth="1"/>
    <col min="13431" max="13578" width="9.140625" style="894"/>
    <col min="13579" max="13579" width="5.85546875" style="894" customWidth="1"/>
    <col min="13580" max="13580" width="54.28515625" style="894" customWidth="1"/>
    <col min="13581" max="13673" width="0" style="894" hidden="1" customWidth="1"/>
    <col min="13674" max="13684" width="10.7109375" style="894" customWidth="1"/>
    <col min="13685" max="13685" width="10.42578125" style="894" customWidth="1"/>
    <col min="13686" max="13686" width="11" style="894" bestFit="1" customWidth="1"/>
    <col min="13687" max="13834" width="9.140625" style="894"/>
    <col min="13835" max="13835" width="5.85546875" style="894" customWidth="1"/>
    <col min="13836" max="13836" width="54.28515625" style="894" customWidth="1"/>
    <col min="13837" max="13929" width="0" style="894" hidden="1" customWidth="1"/>
    <col min="13930" max="13940" width="10.7109375" style="894" customWidth="1"/>
    <col min="13941" max="13941" width="10.42578125" style="894" customWidth="1"/>
    <col min="13942" max="13942" width="11" style="894" bestFit="1" customWidth="1"/>
    <col min="13943" max="14090" width="9.140625" style="894"/>
    <col min="14091" max="14091" width="5.85546875" style="894" customWidth="1"/>
    <col min="14092" max="14092" width="54.28515625" style="894" customWidth="1"/>
    <col min="14093" max="14185" width="0" style="894" hidden="1" customWidth="1"/>
    <col min="14186" max="14196" width="10.7109375" style="894" customWidth="1"/>
    <col min="14197" max="14197" width="10.42578125" style="894" customWidth="1"/>
    <col min="14198" max="14198" width="11" style="894" bestFit="1" customWidth="1"/>
    <col min="14199" max="14346" width="9.140625" style="894"/>
    <col min="14347" max="14347" width="5.85546875" style="894" customWidth="1"/>
    <col min="14348" max="14348" width="54.28515625" style="894" customWidth="1"/>
    <col min="14349" max="14441" width="0" style="894" hidden="1" customWidth="1"/>
    <col min="14442" max="14452" width="10.7109375" style="894" customWidth="1"/>
    <col min="14453" max="14453" width="10.42578125" style="894" customWidth="1"/>
    <col min="14454" max="14454" width="11" style="894" bestFit="1" customWidth="1"/>
    <col min="14455" max="14602" width="9.140625" style="894"/>
    <col min="14603" max="14603" width="5.85546875" style="894" customWidth="1"/>
    <col min="14604" max="14604" width="54.28515625" style="894" customWidth="1"/>
    <col min="14605" max="14697" width="0" style="894" hidden="1" customWidth="1"/>
    <col min="14698" max="14708" width="10.7109375" style="894" customWidth="1"/>
    <col min="14709" max="14709" width="10.42578125" style="894" customWidth="1"/>
    <col min="14710" max="14710" width="11" style="894" bestFit="1" customWidth="1"/>
    <col min="14711" max="14858" width="9.140625" style="894"/>
    <col min="14859" max="14859" width="5.85546875" style="894" customWidth="1"/>
    <col min="14860" max="14860" width="54.28515625" style="894" customWidth="1"/>
    <col min="14861" max="14953" width="0" style="894" hidden="1" customWidth="1"/>
    <col min="14954" max="14964" width="10.7109375" style="894" customWidth="1"/>
    <col min="14965" max="14965" width="10.42578125" style="894" customWidth="1"/>
    <col min="14966" max="14966" width="11" style="894" bestFit="1" customWidth="1"/>
    <col min="14967" max="15114" width="9.140625" style="894"/>
    <col min="15115" max="15115" width="5.85546875" style="894" customWidth="1"/>
    <col min="15116" max="15116" width="54.28515625" style="894" customWidth="1"/>
    <col min="15117" max="15209" width="0" style="894" hidden="1" customWidth="1"/>
    <col min="15210" max="15220" width="10.7109375" style="894" customWidth="1"/>
    <col min="15221" max="15221" width="10.42578125" style="894" customWidth="1"/>
    <col min="15222" max="15222" width="11" style="894" bestFit="1" customWidth="1"/>
    <col min="15223" max="15370" width="9.140625" style="894"/>
    <col min="15371" max="15371" width="5.85546875" style="894" customWidth="1"/>
    <col min="15372" max="15372" width="54.28515625" style="894" customWidth="1"/>
    <col min="15373" max="15465" width="0" style="894" hidden="1" customWidth="1"/>
    <col min="15466" max="15476" width="10.7109375" style="894" customWidth="1"/>
    <col min="15477" max="15477" width="10.42578125" style="894" customWidth="1"/>
    <col min="15478" max="15478" width="11" style="894" bestFit="1" customWidth="1"/>
    <col min="15479" max="15626" width="9.140625" style="894"/>
    <col min="15627" max="15627" width="5.85546875" style="894" customWidth="1"/>
    <col min="15628" max="15628" width="54.28515625" style="894" customWidth="1"/>
    <col min="15629" max="15721" width="0" style="894" hidden="1" customWidth="1"/>
    <col min="15722" max="15732" width="10.7109375" style="894" customWidth="1"/>
    <col min="15733" max="15733" width="10.42578125" style="894" customWidth="1"/>
    <col min="15734" max="15734" width="11" style="894" bestFit="1" customWidth="1"/>
    <col min="15735" max="15882" width="9.140625" style="894"/>
    <col min="15883" max="15883" width="5.85546875" style="894" customWidth="1"/>
    <col min="15884" max="15884" width="54.28515625" style="894" customWidth="1"/>
    <col min="15885" max="15977" width="0" style="894" hidden="1" customWidth="1"/>
    <col min="15978" max="15988" width="10.7109375" style="894" customWidth="1"/>
    <col min="15989" max="15989" width="10.42578125" style="894" customWidth="1"/>
    <col min="15990" max="15990" width="11" style="894" bestFit="1" customWidth="1"/>
    <col min="15991" max="16138" width="9.140625" style="894"/>
    <col min="16139" max="16139" width="5.85546875" style="894" customWidth="1"/>
    <col min="16140" max="16140" width="54.28515625" style="894" customWidth="1"/>
    <col min="16141" max="16233" width="0" style="894" hidden="1" customWidth="1"/>
    <col min="16234" max="16244" width="10.7109375" style="894" customWidth="1"/>
    <col min="16245" max="16245" width="10.42578125" style="894" customWidth="1"/>
    <col min="16246" max="16246" width="11" style="894" bestFit="1" customWidth="1"/>
    <col min="16247" max="16384" width="9.140625" style="894"/>
  </cols>
  <sheetData>
    <row r="1" spans="1:123" ht="18.75">
      <c r="A1" s="834" t="s">
        <v>2558</v>
      </c>
      <c r="B1" s="892"/>
      <c r="C1" s="893"/>
      <c r="D1" s="541"/>
      <c r="E1" s="541"/>
      <c r="F1" s="541"/>
      <c r="G1" s="541"/>
      <c r="H1" s="541"/>
      <c r="I1" s="541"/>
      <c r="J1" s="541"/>
      <c r="K1" s="541"/>
      <c r="L1" s="541"/>
      <c r="M1" s="541"/>
      <c r="N1" s="541"/>
      <c r="O1" s="541"/>
      <c r="P1" s="541"/>
      <c r="Q1" s="541"/>
      <c r="R1" s="541"/>
      <c r="S1" s="541"/>
      <c r="T1" s="541"/>
      <c r="U1" s="541"/>
      <c r="V1" s="541"/>
      <c r="W1" s="541"/>
      <c r="X1" s="541"/>
      <c r="Y1" s="541"/>
      <c r="Z1" s="541"/>
      <c r="AA1" s="541"/>
      <c r="AB1" s="541"/>
    </row>
    <row r="2" spans="1:123" hidden="1">
      <c r="A2" s="895"/>
      <c r="B2" s="896"/>
      <c r="C2" s="897"/>
      <c r="D2" s="541"/>
      <c r="E2" s="541"/>
      <c r="F2" s="541"/>
      <c r="G2" s="541"/>
      <c r="H2" s="541"/>
      <c r="I2" s="541"/>
      <c r="J2" s="541"/>
      <c r="K2" s="541"/>
      <c r="L2" s="541"/>
      <c r="M2" s="541"/>
      <c r="N2" s="541"/>
      <c r="O2" s="541"/>
      <c r="P2" s="541"/>
      <c r="Q2" s="541"/>
      <c r="R2" s="541"/>
      <c r="S2" s="541"/>
      <c r="T2" s="541"/>
      <c r="U2" s="541"/>
      <c r="V2" s="541"/>
      <c r="W2" s="541"/>
      <c r="X2" s="541"/>
      <c r="Y2" s="541"/>
      <c r="Z2" s="541"/>
      <c r="AA2" s="541"/>
      <c r="AB2" s="541"/>
    </row>
    <row r="3" spans="1:123" ht="17.25" customHeight="1" thickBot="1">
      <c r="A3" s="837"/>
      <c r="B3" s="837"/>
      <c r="C3" s="541"/>
      <c r="D3" s="541"/>
      <c r="E3" s="541"/>
      <c r="F3" s="541"/>
      <c r="G3" s="541"/>
      <c r="H3" s="541"/>
      <c r="I3" s="541"/>
      <c r="J3" s="541"/>
      <c r="K3" s="541"/>
      <c r="L3" s="541"/>
      <c r="M3" s="541"/>
      <c r="N3" s="541"/>
      <c r="O3" s="541"/>
      <c r="P3" s="541"/>
      <c r="Q3" s="541"/>
      <c r="R3" s="541"/>
      <c r="S3" s="541"/>
      <c r="T3" s="541"/>
      <c r="V3" s="541"/>
      <c r="W3" s="541"/>
      <c r="X3" s="541"/>
      <c r="Y3" s="541"/>
      <c r="Z3" s="541"/>
      <c r="AA3" s="541"/>
      <c r="AB3" s="541"/>
      <c r="AC3" s="629"/>
      <c r="AD3" s="629"/>
      <c r="AG3" s="629"/>
      <c r="AN3" s="3164"/>
      <c r="AO3" s="3164"/>
      <c r="AQ3" s="3164"/>
      <c r="AR3" s="3164"/>
      <c r="AT3" s="3164"/>
      <c r="AU3" s="3164"/>
      <c r="AZ3" s="3164"/>
      <c r="BA3" s="3164"/>
      <c r="BB3" s="3164"/>
      <c r="BC3" s="3164"/>
      <c r="BI3" s="3164"/>
      <c r="BJ3" s="3164"/>
      <c r="BK3" s="898"/>
      <c r="BL3" s="898"/>
      <c r="BM3" s="773"/>
      <c r="BN3" s="773"/>
      <c r="BO3" s="3164"/>
      <c r="BP3" s="3164"/>
      <c r="BQ3" s="773"/>
      <c r="BR3" s="773"/>
      <c r="BV3" s="960"/>
      <c r="BX3" s="961"/>
      <c r="BY3" s="961"/>
      <c r="BZ3" s="961"/>
      <c r="CA3" s="961"/>
      <c r="CB3" s="961"/>
      <c r="CC3" s="961"/>
      <c r="CD3" s="961"/>
      <c r="CE3" s="961"/>
      <c r="CF3" s="961"/>
      <c r="CG3" s="961"/>
      <c r="CH3" s="961"/>
      <c r="CI3" s="961"/>
      <c r="CJ3" s="961"/>
      <c r="CK3" s="961"/>
      <c r="CL3" s="961"/>
      <c r="CM3" s="961"/>
      <c r="CN3" s="961"/>
      <c r="CO3" s="961"/>
      <c r="CP3" s="961"/>
      <c r="CQ3" s="961"/>
      <c r="CR3" s="961"/>
      <c r="CS3" s="961"/>
      <c r="CT3" s="961"/>
      <c r="CU3" s="961"/>
      <c r="CV3" s="961"/>
      <c r="CW3" s="961"/>
      <c r="CY3" s="961"/>
      <c r="CZ3" s="961"/>
      <c r="DA3" s="961"/>
      <c r="DE3" s="949"/>
      <c r="DF3" s="949"/>
      <c r="DG3" s="949"/>
      <c r="DH3" s="949"/>
      <c r="DI3" s="949"/>
      <c r="DJ3" s="949"/>
      <c r="DK3" s="949"/>
      <c r="DL3" s="949"/>
      <c r="DM3" s="949"/>
      <c r="DN3" s="949"/>
      <c r="DO3" s="949"/>
      <c r="DP3" s="949"/>
      <c r="DQ3" s="949"/>
      <c r="DR3" s="949"/>
      <c r="DS3" s="949" t="s">
        <v>2559</v>
      </c>
    </row>
    <row r="4" spans="1:123" ht="23.25" customHeight="1" thickTop="1" thickBot="1">
      <c r="A4" s="839" t="s">
        <v>2488</v>
      </c>
      <c r="B4" s="840" t="s">
        <v>2489</v>
      </c>
      <c r="C4" s="843">
        <v>38504</v>
      </c>
      <c r="D4" s="843">
        <v>38534</v>
      </c>
      <c r="E4" s="843">
        <v>38565</v>
      </c>
      <c r="F4" s="901">
        <v>38596</v>
      </c>
      <c r="G4" s="843">
        <v>38626</v>
      </c>
      <c r="H4" s="902">
        <v>38657</v>
      </c>
      <c r="I4" s="843">
        <v>38687</v>
      </c>
      <c r="J4" s="843">
        <v>38718</v>
      </c>
      <c r="K4" s="843">
        <v>38749</v>
      </c>
      <c r="L4" s="843">
        <v>38777</v>
      </c>
      <c r="M4" s="901">
        <v>38808</v>
      </c>
      <c r="N4" s="843">
        <v>38838</v>
      </c>
      <c r="O4" s="843">
        <v>38869</v>
      </c>
      <c r="P4" s="843">
        <v>38899</v>
      </c>
      <c r="Q4" s="843">
        <v>38930</v>
      </c>
      <c r="R4" s="843">
        <v>38961</v>
      </c>
      <c r="S4" s="843">
        <v>38991</v>
      </c>
      <c r="T4" s="843">
        <v>39022</v>
      </c>
      <c r="U4" s="843">
        <v>39052</v>
      </c>
      <c r="V4" s="843">
        <v>39083</v>
      </c>
      <c r="W4" s="843">
        <v>39114</v>
      </c>
      <c r="X4" s="843">
        <v>39142</v>
      </c>
      <c r="Y4" s="843">
        <v>39173</v>
      </c>
      <c r="Z4" s="843">
        <v>39203</v>
      </c>
      <c r="AA4" s="843">
        <v>39234</v>
      </c>
      <c r="AB4" s="843">
        <v>39264</v>
      </c>
      <c r="AC4" s="843">
        <v>39295</v>
      </c>
      <c r="AD4" s="843">
        <v>39326</v>
      </c>
      <c r="AE4" s="843">
        <v>39356</v>
      </c>
      <c r="AF4" s="843">
        <v>39387</v>
      </c>
      <c r="AG4" s="843">
        <v>39417</v>
      </c>
      <c r="AH4" s="843">
        <v>39448</v>
      </c>
      <c r="AI4" s="843">
        <v>39479</v>
      </c>
      <c r="AJ4" s="843">
        <v>39508</v>
      </c>
      <c r="AK4" s="843">
        <v>39539</v>
      </c>
      <c r="AL4" s="843">
        <v>39569</v>
      </c>
      <c r="AM4" s="843">
        <v>39600</v>
      </c>
      <c r="AN4" s="843">
        <v>39630</v>
      </c>
      <c r="AO4" s="843">
        <v>39661</v>
      </c>
      <c r="AP4" s="902">
        <v>39692</v>
      </c>
      <c r="AQ4" s="902">
        <v>39722</v>
      </c>
      <c r="AR4" s="843">
        <v>39753</v>
      </c>
      <c r="AS4" s="843">
        <v>39783</v>
      </c>
      <c r="AT4" s="843">
        <v>39814</v>
      </c>
      <c r="AU4" s="843">
        <v>39845</v>
      </c>
      <c r="AV4" s="843">
        <v>39881</v>
      </c>
      <c r="AW4" s="843">
        <v>39904</v>
      </c>
      <c r="AX4" s="843">
        <v>39934</v>
      </c>
      <c r="AY4" s="843">
        <v>39965</v>
      </c>
      <c r="AZ4" s="843">
        <v>39995</v>
      </c>
      <c r="BA4" s="843">
        <v>40026</v>
      </c>
      <c r="BB4" s="843">
        <v>40057</v>
      </c>
      <c r="BC4" s="843">
        <v>40087</v>
      </c>
      <c r="BD4" s="843">
        <v>40118</v>
      </c>
      <c r="BE4" s="843">
        <v>40148</v>
      </c>
      <c r="BF4" s="843">
        <v>40179</v>
      </c>
      <c r="BG4" s="843">
        <v>40210</v>
      </c>
      <c r="BH4" s="843">
        <v>40238</v>
      </c>
      <c r="BI4" s="843">
        <v>40269</v>
      </c>
      <c r="BJ4" s="843">
        <v>40299</v>
      </c>
      <c r="BK4" s="843">
        <v>40330</v>
      </c>
      <c r="BL4" s="843">
        <v>40360</v>
      </c>
      <c r="BM4" s="843">
        <v>40391</v>
      </c>
      <c r="BN4" s="843">
        <v>40422</v>
      </c>
      <c r="BO4" s="843">
        <v>40452</v>
      </c>
      <c r="BP4" s="843">
        <v>40483</v>
      </c>
      <c r="BQ4" s="843">
        <v>40513</v>
      </c>
      <c r="BR4" s="843">
        <v>40544</v>
      </c>
      <c r="BS4" s="843">
        <v>40575</v>
      </c>
      <c r="BT4" s="843">
        <v>40603</v>
      </c>
      <c r="BU4" s="843">
        <v>40634</v>
      </c>
      <c r="BV4" s="843">
        <v>40664</v>
      </c>
      <c r="BW4" s="843">
        <v>40695</v>
      </c>
      <c r="BX4" s="843">
        <v>40725</v>
      </c>
      <c r="BY4" s="843">
        <v>40756</v>
      </c>
      <c r="BZ4" s="843">
        <v>40787</v>
      </c>
      <c r="CA4" s="843">
        <v>40817</v>
      </c>
      <c r="CB4" s="843">
        <v>40848</v>
      </c>
      <c r="CC4" s="843">
        <v>40878</v>
      </c>
      <c r="CD4" s="843">
        <v>40909</v>
      </c>
      <c r="CE4" s="843">
        <v>40940</v>
      </c>
      <c r="CF4" s="843">
        <v>40969</v>
      </c>
      <c r="CG4" s="843">
        <v>41000</v>
      </c>
      <c r="CH4" s="843">
        <v>41030</v>
      </c>
      <c r="CI4" s="843">
        <v>41061</v>
      </c>
      <c r="CJ4" s="843">
        <v>41091</v>
      </c>
      <c r="CK4" s="843">
        <v>41122</v>
      </c>
      <c r="CL4" s="843">
        <v>41153</v>
      </c>
      <c r="CM4" s="843">
        <v>41183</v>
      </c>
      <c r="CN4" s="843">
        <v>41214</v>
      </c>
      <c r="CO4" s="843">
        <v>41244</v>
      </c>
      <c r="CP4" s="843">
        <v>41275</v>
      </c>
      <c r="CQ4" s="843">
        <v>41306</v>
      </c>
      <c r="CR4" s="843">
        <v>41334</v>
      </c>
      <c r="CS4" s="843">
        <v>41365</v>
      </c>
      <c r="CT4" s="843">
        <v>41395</v>
      </c>
      <c r="CU4" s="843">
        <v>41426</v>
      </c>
      <c r="CV4" s="843">
        <v>41456</v>
      </c>
      <c r="CW4" s="843">
        <v>41487</v>
      </c>
      <c r="CX4" s="843">
        <v>41518</v>
      </c>
      <c r="CY4" s="843">
        <v>41548</v>
      </c>
      <c r="CZ4" s="843">
        <v>41579</v>
      </c>
      <c r="DA4" s="843">
        <v>41609</v>
      </c>
      <c r="DB4" s="843">
        <v>41640</v>
      </c>
      <c r="DC4" s="843">
        <v>41671</v>
      </c>
      <c r="DD4" s="841">
        <v>41699</v>
      </c>
      <c r="DE4" s="841">
        <v>41730</v>
      </c>
      <c r="DF4" s="841">
        <v>41760</v>
      </c>
      <c r="DG4" s="841">
        <v>41791</v>
      </c>
      <c r="DH4" s="841">
        <v>41821</v>
      </c>
      <c r="DI4" s="841">
        <v>41852</v>
      </c>
      <c r="DJ4" s="841">
        <v>41883</v>
      </c>
      <c r="DK4" s="841">
        <v>41913</v>
      </c>
      <c r="DL4" s="841">
        <v>41944</v>
      </c>
      <c r="DM4" s="841">
        <v>41974</v>
      </c>
      <c r="DN4" s="841">
        <v>42005</v>
      </c>
      <c r="DO4" s="841">
        <v>42036</v>
      </c>
      <c r="DP4" s="841">
        <v>42064</v>
      </c>
      <c r="DQ4" s="841">
        <v>42095</v>
      </c>
      <c r="DR4" s="841">
        <v>42125</v>
      </c>
      <c r="DS4" s="841">
        <v>42156</v>
      </c>
    </row>
    <row r="5" spans="1:123" ht="9" customHeight="1" thickTop="1">
      <c r="A5" s="950"/>
      <c r="B5" s="951"/>
      <c r="C5" s="952"/>
      <c r="D5" s="952"/>
      <c r="E5" s="952"/>
      <c r="F5" s="807"/>
      <c r="G5" s="952"/>
      <c r="H5" s="953"/>
      <c r="I5" s="952"/>
      <c r="J5" s="952"/>
      <c r="K5" s="952"/>
      <c r="L5" s="952"/>
      <c r="M5" s="807"/>
      <c r="N5" s="952"/>
      <c r="O5" s="952"/>
      <c r="P5" s="952"/>
      <c r="Q5" s="952"/>
      <c r="R5" s="952"/>
      <c r="S5" s="952"/>
      <c r="T5" s="952"/>
      <c r="U5" s="952"/>
      <c r="V5" s="952"/>
      <c r="W5" s="952"/>
      <c r="X5" s="952"/>
      <c r="Y5" s="952"/>
      <c r="Z5" s="952"/>
      <c r="AA5" s="952"/>
      <c r="AB5" s="952"/>
      <c r="AC5" s="952"/>
      <c r="AD5" s="952"/>
      <c r="AE5" s="952"/>
      <c r="AF5" s="952"/>
      <c r="AG5" s="952"/>
      <c r="AH5" s="952"/>
      <c r="AI5" s="952"/>
      <c r="AJ5" s="952"/>
      <c r="AK5" s="952"/>
      <c r="AL5" s="952"/>
      <c r="AM5" s="952"/>
      <c r="AN5" s="952"/>
      <c r="AO5" s="952"/>
      <c r="AP5" s="954"/>
      <c r="AQ5" s="954"/>
      <c r="AR5" s="952"/>
      <c r="AS5" s="952"/>
      <c r="AT5" s="952"/>
      <c r="AU5" s="952"/>
      <c r="AV5" s="952"/>
      <c r="AW5" s="952"/>
      <c r="AX5" s="952"/>
      <c r="AY5" s="952"/>
      <c r="AZ5" s="952"/>
      <c r="BA5" s="952"/>
      <c r="BB5" s="962"/>
      <c r="BC5" s="962"/>
      <c r="BD5" s="962"/>
      <c r="BE5" s="962"/>
      <c r="BF5" s="962"/>
      <c r="BG5" s="962"/>
      <c r="BH5" s="962"/>
      <c r="BI5" s="962"/>
      <c r="BJ5" s="962"/>
      <c r="BK5" s="962"/>
      <c r="BL5" s="962"/>
      <c r="BM5" s="962"/>
      <c r="BN5" s="962"/>
      <c r="BO5" s="962"/>
      <c r="BP5" s="962"/>
      <c r="BQ5" s="962"/>
      <c r="BR5" s="962"/>
      <c r="BS5" s="955"/>
      <c r="BT5" s="955"/>
      <c r="BU5" s="955"/>
      <c r="BV5" s="955"/>
      <c r="BW5" s="955"/>
      <c r="BX5" s="955"/>
      <c r="BY5" s="955"/>
      <c r="BZ5" s="955"/>
      <c r="CA5" s="955"/>
      <c r="CB5" s="955"/>
      <c r="CC5" s="955"/>
      <c r="CD5" s="955"/>
      <c r="CE5" s="955"/>
      <c r="CF5" s="955"/>
      <c r="CG5" s="955"/>
      <c r="CH5" s="955"/>
      <c r="CI5" s="955"/>
      <c r="CJ5" s="955"/>
      <c r="CK5" s="955"/>
      <c r="CL5" s="955"/>
      <c r="CM5" s="955"/>
      <c r="CN5" s="955"/>
      <c r="CO5" s="955"/>
      <c r="CP5" s="955"/>
      <c r="CQ5" s="955"/>
      <c r="CR5" s="955"/>
      <c r="CS5" s="955"/>
      <c r="CT5" s="955"/>
      <c r="CU5" s="955"/>
      <c r="CV5" s="955"/>
      <c r="CW5" s="955"/>
      <c r="CX5" s="955"/>
      <c r="CY5" s="955"/>
      <c r="CZ5" s="955"/>
      <c r="DA5" s="955"/>
      <c r="DB5" s="955"/>
      <c r="DC5" s="955"/>
      <c r="DD5" s="956"/>
      <c r="DE5" s="956"/>
      <c r="DF5" s="956"/>
      <c r="DG5" s="956"/>
      <c r="DH5" s="956"/>
      <c r="DI5" s="956"/>
      <c r="DJ5" s="956"/>
      <c r="DK5" s="956"/>
      <c r="DL5" s="956"/>
      <c r="DM5" s="956"/>
      <c r="DN5" s="956"/>
      <c r="DO5" s="956"/>
      <c r="DP5" s="956"/>
      <c r="DQ5" s="956"/>
      <c r="DR5" s="956"/>
      <c r="DS5" s="956"/>
    </row>
    <row r="6" spans="1:123" ht="17.25" customHeight="1">
      <c r="A6" s="963" t="s">
        <v>2490</v>
      </c>
      <c r="B6" s="854" t="s">
        <v>2491</v>
      </c>
      <c r="C6" s="909">
        <v>0</v>
      </c>
      <c r="D6" s="909">
        <v>0</v>
      </c>
      <c r="E6" s="909">
        <v>0</v>
      </c>
      <c r="F6" s="910">
        <v>0</v>
      </c>
      <c r="G6" s="909">
        <v>0</v>
      </c>
      <c r="H6" s="911">
        <v>0</v>
      </c>
      <c r="I6" s="909">
        <v>0</v>
      </c>
      <c r="J6" s="909">
        <v>0</v>
      </c>
      <c r="K6" s="909">
        <v>0</v>
      </c>
      <c r="L6" s="909">
        <v>0</v>
      </c>
      <c r="M6" s="910">
        <v>0</v>
      </c>
      <c r="N6" s="909">
        <v>0</v>
      </c>
      <c r="O6" s="909">
        <v>0</v>
      </c>
      <c r="P6" s="909">
        <v>0</v>
      </c>
      <c r="Q6" s="909">
        <v>0</v>
      </c>
      <c r="R6" s="909">
        <v>0</v>
      </c>
      <c r="S6" s="909">
        <v>0</v>
      </c>
      <c r="T6" s="909">
        <v>0</v>
      </c>
      <c r="U6" s="909">
        <v>0</v>
      </c>
      <c r="V6" s="909">
        <v>0</v>
      </c>
      <c r="W6" s="909">
        <v>0</v>
      </c>
      <c r="X6" s="909">
        <v>0</v>
      </c>
      <c r="Y6" s="909">
        <v>0</v>
      </c>
      <c r="Z6" s="909">
        <v>0</v>
      </c>
      <c r="AA6" s="909">
        <v>0</v>
      </c>
      <c r="AB6" s="909">
        <v>0</v>
      </c>
      <c r="AC6" s="909">
        <v>0</v>
      </c>
      <c r="AD6" s="909">
        <v>0</v>
      </c>
      <c r="AE6" s="909">
        <v>0</v>
      </c>
      <c r="AF6" s="909">
        <v>0</v>
      </c>
      <c r="AG6" s="909">
        <v>0</v>
      </c>
      <c r="AH6" s="909">
        <v>0</v>
      </c>
      <c r="AI6" s="909">
        <v>0</v>
      </c>
      <c r="AJ6" s="909">
        <v>0</v>
      </c>
      <c r="AK6" s="909">
        <v>0</v>
      </c>
      <c r="AL6" s="909">
        <v>0</v>
      </c>
      <c r="AM6" s="909">
        <v>0</v>
      </c>
      <c r="AN6" s="909">
        <v>0</v>
      </c>
      <c r="AO6" s="909">
        <v>0</v>
      </c>
      <c r="AP6" s="909">
        <v>0</v>
      </c>
      <c r="AQ6" s="909">
        <v>0</v>
      </c>
      <c r="AR6" s="909">
        <v>0</v>
      </c>
      <c r="AS6" s="909">
        <v>0</v>
      </c>
      <c r="AT6" s="909">
        <v>0</v>
      </c>
      <c r="AU6" s="909">
        <v>0</v>
      </c>
      <c r="AV6" s="909">
        <v>0</v>
      </c>
      <c r="AW6" s="909">
        <v>0</v>
      </c>
      <c r="AX6" s="909">
        <v>0</v>
      </c>
      <c r="AY6" s="909">
        <v>0</v>
      </c>
      <c r="AZ6" s="909">
        <v>0</v>
      </c>
      <c r="BA6" s="909">
        <v>0</v>
      </c>
      <c r="BB6" s="909">
        <v>0</v>
      </c>
      <c r="BC6" s="909">
        <v>0</v>
      </c>
      <c r="BD6" s="909">
        <v>0</v>
      </c>
      <c r="BE6" s="909">
        <v>0</v>
      </c>
      <c r="BF6" s="909">
        <v>0</v>
      </c>
      <c r="BG6" s="909">
        <v>0</v>
      </c>
      <c r="BH6" s="909">
        <v>0</v>
      </c>
      <c r="BI6" s="909">
        <v>0</v>
      </c>
      <c r="BJ6" s="909">
        <v>0</v>
      </c>
      <c r="BK6" s="909">
        <v>0</v>
      </c>
      <c r="BL6" s="909">
        <v>0</v>
      </c>
      <c r="BM6" s="909">
        <v>0</v>
      </c>
      <c r="BN6" s="909">
        <v>0</v>
      </c>
      <c r="BO6" s="909">
        <v>0</v>
      </c>
      <c r="BP6" s="909">
        <v>0</v>
      </c>
      <c r="BQ6" s="909">
        <v>0</v>
      </c>
      <c r="BR6" s="909">
        <v>0</v>
      </c>
      <c r="BS6" s="909">
        <v>0</v>
      </c>
      <c r="BT6" s="909">
        <v>0</v>
      </c>
      <c r="BU6" s="909">
        <v>0</v>
      </c>
      <c r="BV6" s="909">
        <v>0</v>
      </c>
      <c r="BW6" s="909">
        <v>0</v>
      </c>
      <c r="BX6" s="909">
        <v>0</v>
      </c>
      <c r="BY6" s="909">
        <v>0</v>
      </c>
      <c r="BZ6" s="909">
        <v>0</v>
      </c>
      <c r="CA6" s="909">
        <v>0</v>
      </c>
      <c r="CB6" s="909">
        <v>0</v>
      </c>
      <c r="CC6" s="909">
        <v>0</v>
      </c>
      <c r="CD6" s="909">
        <v>0</v>
      </c>
      <c r="CE6" s="909">
        <v>0</v>
      </c>
      <c r="CF6" s="909">
        <v>0</v>
      </c>
      <c r="CG6" s="909">
        <v>0</v>
      </c>
      <c r="CH6" s="909">
        <v>0</v>
      </c>
      <c r="CI6" s="909">
        <v>0</v>
      </c>
      <c r="CJ6" s="909">
        <v>0</v>
      </c>
      <c r="CK6" s="909">
        <v>0</v>
      </c>
      <c r="CL6" s="909">
        <v>0</v>
      </c>
      <c r="CM6" s="909">
        <v>0</v>
      </c>
      <c r="CN6" s="909">
        <v>0</v>
      </c>
      <c r="CO6" s="909">
        <v>0</v>
      </c>
      <c r="CP6" s="909">
        <v>0</v>
      </c>
      <c r="CQ6" s="909">
        <v>0</v>
      </c>
      <c r="CR6" s="909">
        <v>0</v>
      </c>
      <c r="CS6" s="909">
        <v>0</v>
      </c>
      <c r="CT6" s="909">
        <v>0</v>
      </c>
      <c r="CU6" s="909">
        <v>0</v>
      </c>
      <c r="CV6" s="909">
        <v>0</v>
      </c>
      <c r="CW6" s="909">
        <v>0</v>
      </c>
      <c r="CX6" s="909">
        <v>0</v>
      </c>
      <c r="CY6" s="909">
        <v>0</v>
      </c>
      <c r="CZ6" s="909">
        <v>0</v>
      </c>
      <c r="DA6" s="909">
        <v>0</v>
      </c>
      <c r="DB6" s="909">
        <v>0</v>
      </c>
      <c r="DC6" s="909">
        <v>0</v>
      </c>
      <c r="DD6" s="855">
        <v>0</v>
      </c>
      <c r="DE6" s="855">
        <v>0</v>
      </c>
      <c r="DF6" s="855">
        <v>0</v>
      </c>
      <c r="DG6" s="855">
        <v>0</v>
      </c>
      <c r="DH6" s="855">
        <v>0</v>
      </c>
      <c r="DI6" s="855">
        <v>0</v>
      </c>
      <c r="DJ6" s="855">
        <v>0</v>
      </c>
      <c r="DK6" s="855">
        <v>0</v>
      </c>
      <c r="DL6" s="855">
        <v>0</v>
      </c>
      <c r="DM6" s="855">
        <v>0</v>
      </c>
      <c r="DN6" s="855">
        <v>0</v>
      </c>
      <c r="DO6" s="855">
        <v>0</v>
      </c>
      <c r="DP6" s="855">
        <v>0</v>
      </c>
      <c r="DQ6" s="855">
        <v>0</v>
      </c>
      <c r="DR6" s="855">
        <v>0</v>
      </c>
      <c r="DS6" s="855">
        <v>0</v>
      </c>
    </row>
    <row r="7" spans="1:123" ht="17.25" customHeight="1">
      <c r="A7" s="964"/>
      <c r="B7" s="858"/>
      <c r="C7" s="913"/>
      <c r="D7" s="913"/>
      <c r="E7" s="913"/>
      <c r="F7" s="914"/>
      <c r="G7" s="913"/>
      <c r="H7" s="915"/>
      <c r="I7" s="913"/>
      <c r="J7" s="913"/>
      <c r="K7" s="913"/>
      <c r="L7" s="913"/>
      <c r="M7" s="914"/>
      <c r="N7" s="913"/>
      <c r="O7" s="913"/>
      <c r="P7" s="913"/>
      <c r="Q7" s="913"/>
      <c r="R7" s="913"/>
      <c r="S7" s="913"/>
      <c r="T7" s="913"/>
      <c r="U7" s="913"/>
      <c r="V7" s="913"/>
      <c r="W7" s="913"/>
      <c r="X7" s="913"/>
      <c r="Y7" s="913"/>
      <c r="Z7" s="913"/>
      <c r="AA7" s="913"/>
      <c r="AB7" s="913"/>
      <c r="AC7" s="913"/>
      <c r="AD7" s="913"/>
      <c r="AE7" s="913"/>
      <c r="AF7" s="913"/>
      <c r="AG7" s="913"/>
      <c r="AH7" s="913"/>
      <c r="AI7" s="913"/>
      <c r="AJ7" s="913"/>
      <c r="AK7" s="913"/>
      <c r="AL7" s="913"/>
      <c r="AM7" s="913"/>
      <c r="AN7" s="913"/>
      <c r="AO7" s="913"/>
      <c r="AP7" s="913"/>
      <c r="AQ7" s="913"/>
      <c r="AR7" s="913"/>
      <c r="AS7" s="913"/>
      <c r="AT7" s="913"/>
      <c r="AU7" s="913"/>
      <c r="AV7" s="913"/>
      <c r="AW7" s="913"/>
      <c r="AX7" s="913"/>
      <c r="AY7" s="913"/>
      <c r="AZ7" s="913"/>
      <c r="BA7" s="913"/>
      <c r="BB7" s="913"/>
      <c r="BC7" s="913"/>
      <c r="BD7" s="913"/>
      <c r="BE7" s="913"/>
      <c r="BF7" s="913"/>
      <c r="BG7" s="913"/>
      <c r="BH7" s="913"/>
      <c r="BI7" s="913"/>
      <c r="BJ7" s="913"/>
      <c r="BK7" s="913"/>
      <c r="BL7" s="913"/>
      <c r="BM7" s="913"/>
      <c r="BN7" s="913"/>
      <c r="BO7" s="913"/>
      <c r="BP7" s="913"/>
      <c r="BQ7" s="913"/>
      <c r="BR7" s="913"/>
      <c r="BS7" s="913"/>
      <c r="BT7" s="913"/>
      <c r="BU7" s="913"/>
      <c r="BV7" s="913"/>
      <c r="BW7" s="913"/>
      <c r="BX7" s="913"/>
      <c r="BY7" s="913"/>
      <c r="BZ7" s="913"/>
      <c r="CA7" s="913"/>
      <c r="CB7" s="913"/>
      <c r="CC7" s="913"/>
      <c r="CD7" s="913"/>
      <c r="CE7" s="913"/>
      <c r="CF7" s="913"/>
      <c r="CG7" s="913"/>
      <c r="CH7" s="913"/>
      <c r="CI7" s="913"/>
      <c r="CJ7" s="913"/>
      <c r="CK7" s="913"/>
      <c r="CL7" s="913"/>
      <c r="CM7" s="913"/>
      <c r="CN7" s="913"/>
      <c r="CO7" s="913"/>
      <c r="CP7" s="913"/>
      <c r="CQ7" s="913"/>
      <c r="CR7" s="913"/>
      <c r="CS7" s="913"/>
      <c r="CT7" s="913"/>
      <c r="CU7" s="913"/>
      <c r="CV7" s="913"/>
      <c r="CW7" s="913"/>
      <c r="CX7" s="913"/>
      <c r="CY7" s="913"/>
      <c r="CZ7" s="913"/>
      <c r="DA7" s="913"/>
      <c r="DB7" s="913"/>
      <c r="DC7" s="913"/>
      <c r="DD7" s="859"/>
      <c r="DE7" s="859"/>
      <c r="DF7" s="859"/>
      <c r="DG7" s="859"/>
      <c r="DH7" s="859"/>
      <c r="DI7" s="859"/>
      <c r="DJ7" s="859"/>
      <c r="DK7" s="859"/>
      <c r="DL7" s="859"/>
      <c r="DM7" s="859"/>
      <c r="DN7" s="859"/>
      <c r="DO7" s="859"/>
      <c r="DP7" s="859"/>
      <c r="DQ7" s="859"/>
      <c r="DR7" s="859"/>
      <c r="DS7" s="859"/>
    </row>
    <row r="8" spans="1:123" ht="17.25" customHeight="1">
      <c r="A8" s="963" t="s">
        <v>2492</v>
      </c>
      <c r="B8" s="854" t="s">
        <v>2493</v>
      </c>
      <c r="C8" s="909">
        <v>137386.0341277422</v>
      </c>
      <c r="D8" s="909">
        <v>117399.348093801</v>
      </c>
      <c r="E8" s="909">
        <v>131125.28454545111</v>
      </c>
      <c r="F8" s="910">
        <v>140720.59705364634</v>
      </c>
      <c r="G8" s="909">
        <v>141011.62746160629</v>
      </c>
      <c r="H8" s="911">
        <v>159497.48855781881</v>
      </c>
      <c r="I8" s="909">
        <v>145285.62479737948</v>
      </c>
      <c r="J8" s="909">
        <v>150117.14150413964</v>
      </c>
      <c r="K8" s="909">
        <v>180139.24913477548</v>
      </c>
      <c r="L8" s="909">
        <v>185596.64168305803</v>
      </c>
      <c r="M8" s="910">
        <v>171768.35285375925</v>
      </c>
      <c r="N8" s="909">
        <v>197853.7032548814</v>
      </c>
      <c r="O8" s="909">
        <v>189741.42472981042</v>
      </c>
      <c r="P8" s="909">
        <v>201220.75243668648</v>
      </c>
      <c r="Q8" s="909">
        <v>207376.85327395448</v>
      </c>
      <c r="R8" s="909">
        <v>232379.02466321187</v>
      </c>
      <c r="S8" s="909">
        <v>235220.29024859404</v>
      </c>
      <c r="T8" s="909">
        <v>253038.36976652572</v>
      </c>
      <c r="U8" s="909">
        <v>278446.37739369058</v>
      </c>
      <c r="V8" s="909">
        <v>245272.14790840913</v>
      </c>
      <c r="W8" s="909">
        <v>242442.3100011294</v>
      </c>
      <c r="X8" s="909">
        <v>241406.61946127925</v>
      </c>
      <c r="Y8" s="909">
        <v>230874.92979168013</v>
      </c>
      <c r="Z8" s="909">
        <v>229179.90703698719</v>
      </c>
      <c r="AA8" s="909">
        <v>236414.29466614086</v>
      </c>
      <c r="AB8" s="909">
        <v>262561.77986380341</v>
      </c>
      <c r="AC8" s="909">
        <v>275642.83616328746</v>
      </c>
      <c r="AD8" s="909">
        <v>279192.4884326607</v>
      </c>
      <c r="AE8" s="909">
        <v>266967.41221147869</v>
      </c>
      <c r="AF8" s="909">
        <v>298101.25039353222</v>
      </c>
      <c r="AG8" s="909">
        <v>280388.48017139942</v>
      </c>
      <c r="AH8" s="909">
        <v>297271.43602694536</v>
      </c>
      <c r="AI8" s="909">
        <v>272698.01819091185</v>
      </c>
      <c r="AJ8" s="909">
        <v>263998.76533190883</v>
      </c>
      <c r="AK8" s="909">
        <v>241307.58789939963</v>
      </c>
      <c r="AL8" s="909">
        <v>248295.76869701056</v>
      </c>
      <c r="AM8" s="909">
        <v>260348.38627041283</v>
      </c>
      <c r="AN8" s="909">
        <v>284965.82628359669</v>
      </c>
      <c r="AO8" s="909">
        <v>262508.99074876745</v>
      </c>
      <c r="AP8" s="909">
        <v>240133.13641787361</v>
      </c>
      <c r="AQ8" s="909">
        <v>247172.15100666095</v>
      </c>
      <c r="AR8" s="909">
        <v>247318.16636269708</v>
      </c>
      <c r="AS8" s="909">
        <v>226472.68194759256</v>
      </c>
      <c r="AT8" s="909">
        <v>248498.39609261439</v>
      </c>
      <c r="AU8" s="909">
        <v>255750.81632148125</v>
      </c>
      <c r="AV8" s="909">
        <v>261668.2340031841</v>
      </c>
      <c r="AW8" s="909">
        <v>250963.08280641586</v>
      </c>
      <c r="AX8" s="909">
        <v>247165.85171388794</v>
      </c>
      <c r="AY8" s="909">
        <v>239066.4802707693</v>
      </c>
      <c r="AZ8" s="909">
        <v>222235.0930853264</v>
      </c>
      <c r="BA8" s="909">
        <v>213157.40076199675</v>
      </c>
      <c r="BB8" s="909">
        <v>221243.51232874728</v>
      </c>
      <c r="BC8" s="909">
        <v>230038.60302393045</v>
      </c>
      <c r="BD8" s="909">
        <v>225281.30221427255</v>
      </c>
      <c r="BE8" s="909">
        <v>242699.68803018064</v>
      </c>
      <c r="BF8" s="909">
        <v>252608.18815209827</v>
      </c>
      <c r="BG8" s="909">
        <v>246450.13653262565</v>
      </c>
      <c r="BH8" s="909">
        <v>257805.51736637356</v>
      </c>
      <c r="BI8" s="909">
        <v>240144.475173174</v>
      </c>
      <c r="BJ8" s="909">
        <v>273052.42501328693</v>
      </c>
      <c r="BK8" s="909">
        <v>258250.54107368217</v>
      </c>
      <c r="BL8" s="909">
        <v>213353.58345542761</v>
      </c>
      <c r="BM8" s="909">
        <v>240985.29380027275</v>
      </c>
      <c r="BN8" s="909">
        <v>244599.46316346692</v>
      </c>
      <c r="BO8" s="909">
        <v>251201.50909209871</v>
      </c>
      <c r="BP8" s="909">
        <v>257937.35828741209</v>
      </c>
      <c r="BQ8" s="909">
        <v>254678.39536562684</v>
      </c>
      <c r="BR8" s="909">
        <v>255903.56181570969</v>
      </c>
      <c r="BS8" s="909">
        <v>256948.65902961243</v>
      </c>
      <c r="BT8" s="909">
        <v>216110.11891233135</v>
      </c>
      <c r="BU8" s="909">
        <v>252412.87371397743</v>
      </c>
      <c r="BV8" s="909">
        <v>211799.71538531585</v>
      </c>
      <c r="BW8" s="909">
        <v>243411.21701593651</v>
      </c>
      <c r="BX8" s="909">
        <v>218376.56731882371</v>
      </c>
      <c r="BY8" s="909">
        <v>205178.3766125745</v>
      </c>
      <c r="BZ8" s="909">
        <v>217597.39724131243</v>
      </c>
      <c r="CA8" s="909">
        <v>217877.85670702509</v>
      </c>
      <c r="CB8" s="909">
        <v>264835.77243650565</v>
      </c>
      <c r="CC8" s="909">
        <v>214652.98685543862</v>
      </c>
      <c r="CD8" s="909">
        <v>175112.90033093217</v>
      </c>
      <c r="CE8" s="909">
        <v>196333.64010481746</v>
      </c>
      <c r="CF8" s="909">
        <v>245776.2354906844</v>
      </c>
      <c r="CG8" s="909">
        <v>243471.86069752497</v>
      </c>
      <c r="CH8" s="909">
        <v>250375.97247934691</v>
      </c>
      <c r="CI8" s="909">
        <v>191631.19084373233</v>
      </c>
      <c r="CJ8" s="909">
        <v>234311.0357581196</v>
      </c>
      <c r="CK8" s="909">
        <v>203931.27148979629</v>
      </c>
      <c r="CL8" s="909">
        <v>213939.94777051674</v>
      </c>
      <c r="CM8" s="909">
        <v>222561.47313528575</v>
      </c>
      <c r="CN8" s="909">
        <v>222971.41418918199</v>
      </c>
      <c r="CO8" s="909">
        <v>246823.32745835738</v>
      </c>
      <c r="CP8" s="909">
        <v>261840.31835304777</v>
      </c>
      <c r="CQ8" s="909">
        <v>215643.19264672711</v>
      </c>
      <c r="CR8" s="909">
        <v>253630.18403316487</v>
      </c>
      <c r="CS8" s="909">
        <v>255781.11688117657</v>
      </c>
      <c r="CT8" s="909">
        <v>278848.96760224138</v>
      </c>
      <c r="CU8" s="909">
        <v>259194.77186890645</v>
      </c>
      <c r="CV8" s="909">
        <v>277408.43667797395</v>
      </c>
      <c r="CW8" s="909">
        <v>250762.62740113301</v>
      </c>
      <c r="CX8" s="909">
        <v>248287.181337691</v>
      </c>
      <c r="CY8" s="909">
        <v>243315.283596783</v>
      </c>
      <c r="CZ8" s="909">
        <v>250895.80286462622</v>
      </c>
      <c r="DA8" s="909">
        <v>298861.06407877535</v>
      </c>
      <c r="DB8" s="909">
        <v>266446.31054302875</v>
      </c>
      <c r="DC8" s="909">
        <v>276911.55744731298</v>
      </c>
      <c r="DD8" s="855">
        <v>294091.43711811712</v>
      </c>
      <c r="DE8" s="855">
        <v>281590.62893361552</v>
      </c>
      <c r="DF8" s="855">
        <v>251634.25020283967</v>
      </c>
      <c r="DG8" s="855">
        <v>245249.35824401345</v>
      </c>
      <c r="DH8" s="855">
        <v>266539.52802206227</v>
      </c>
      <c r="DI8" s="855">
        <v>270974.50854947395</v>
      </c>
      <c r="DJ8" s="855">
        <v>298694.25647171494</v>
      </c>
      <c r="DK8" s="855">
        <v>344723.72345148132</v>
      </c>
      <c r="DL8" s="855">
        <v>305485.81360896304</v>
      </c>
      <c r="DM8" s="855">
        <v>325356.16338523262</v>
      </c>
      <c r="DN8" s="855">
        <v>347797.16931810044</v>
      </c>
      <c r="DO8" s="855">
        <v>340838.32364080468</v>
      </c>
      <c r="DP8" s="855">
        <v>387289.11317275709</v>
      </c>
      <c r="DQ8" s="855">
        <v>403573.51387649274</v>
      </c>
      <c r="DR8" s="855">
        <v>357590.5337754041</v>
      </c>
      <c r="DS8" s="855">
        <v>345910.41564563499</v>
      </c>
    </row>
    <row r="9" spans="1:123" ht="17.25" customHeight="1">
      <c r="A9" s="964" t="s">
        <v>2494</v>
      </c>
      <c r="B9" s="858" t="s">
        <v>2362</v>
      </c>
      <c r="C9" s="878">
        <v>2411.6448719245864</v>
      </c>
      <c r="D9" s="878">
        <v>2374.4042479120635</v>
      </c>
      <c r="E9" s="878">
        <v>2689.557767122385</v>
      </c>
      <c r="F9" s="917">
        <v>2609.4719283896675</v>
      </c>
      <c r="G9" s="878">
        <v>2830.1345873619593</v>
      </c>
      <c r="H9" s="918">
        <v>3422.5043247995222</v>
      </c>
      <c r="I9" s="878">
        <v>3857.1887310018651</v>
      </c>
      <c r="J9" s="878">
        <v>2834.8099402158277</v>
      </c>
      <c r="K9" s="878">
        <v>2471.336450793483</v>
      </c>
      <c r="L9" s="878">
        <v>2243.0124421296227</v>
      </c>
      <c r="M9" s="917">
        <v>2325.8836747241262</v>
      </c>
      <c r="N9" s="878">
        <v>2201.271461872574</v>
      </c>
      <c r="O9" s="878">
        <v>2000.5660083582759</v>
      </c>
      <c r="P9" s="878">
        <v>2248.3279587485636</v>
      </c>
      <c r="Q9" s="878">
        <v>2611.3851675302876</v>
      </c>
      <c r="R9" s="878">
        <v>2145.5334598244067</v>
      </c>
      <c r="S9" s="878">
        <v>2471.2829387531992</v>
      </c>
      <c r="T9" s="878">
        <v>2775.8332068863997</v>
      </c>
      <c r="U9" s="878">
        <v>3733.53284045079</v>
      </c>
      <c r="V9" s="878">
        <v>2768.4633993110911</v>
      </c>
      <c r="W9" s="878">
        <v>2662.2735426748309</v>
      </c>
      <c r="X9" s="878">
        <v>2443.9914995117688</v>
      </c>
      <c r="Y9" s="878">
        <v>2448.4930247718553</v>
      </c>
      <c r="Z9" s="878">
        <v>2350.2080557019381</v>
      </c>
      <c r="AA9" s="878">
        <v>2179.9660078971137</v>
      </c>
      <c r="AB9" s="878">
        <v>2431.050977735094</v>
      </c>
      <c r="AC9" s="878">
        <v>2273.008936529533</v>
      </c>
      <c r="AD9" s="878">
        <v>2236.9975068954045</v>
      </c>
      <c r="AE9" s="878">
        <v>2654.2667859085932</v>
      </c>
      <c r="AF9" s="878">
        <v>2637.1692764746685</v>
      </c>
      <c r="AG9" s="878">
        <v>4080.571408117969</v>
      </c>
      <c r="AH9" s="878">
        <v>3184.2296227115567</v>
      </c>
      <c r="AI9" s="878">
        <v>2678.3764082254934</v>
      </c>
      <c r="AJ9" s="878">
        <v>2471.1708194960197</v>
      </c>
      <c r="AK9" s="878">
        <v>2611.5033620126337</v>
      </c>
      <c r="AL9" s="878">
        <v>2543.5802629821205</v>
      </c>
      <c r="AM9" s="878">
        <v>2419.5564327564121</v>
      </c>
      <c r="AN9" s="878">
        <v>2828.8218833200708</v>
      </c>
      <c r="AO9" s="878">
        <v>2636.1945565999749</v>
      </c>
      <c r="AP9" s="878">
        <v>2433.2374582085795</v>
      </c>
      <c r="AQ9" s="878">
        <v>2728.3825553319652</v>
      </c>
      <c r="AR9" s="878">
        <v>2743.7347612636531</v>
      </c>
      <c r="AS9" s="878">
        <v>4920.3742663607209</v>
      </c>
      <c r="AT9" s="878">
        <v>3158.0098267541052</v>
      </c>
      <c r="AU9" s="878">
        <v>2932.2880551760159</v>
      </c>
      <c r="AV9" s="878">
        <v>2636.3657891956341</v>
      </c>
      <c r="AW9" s="878">
        <v>2803.1081531132422</v>
      </c>
      <c r="AX9" s="878">
        <v>2501.6318487829526</v>
      </c>
      <c r="AY9" s="878">
        <v>2639.8834569233595</v>
      </c>
      <c r="AZ9" s="878">
        <v>2766.7236381778416</v>
      </c>
      <c r="BA9" s="878">
        <v>2763.7267800536069</v>
      </c>
      <c r="BB9" s="878">
        <v>2588.0230722182687</v>
      </c>
      <c r="BC9" s="878">
        <v>2616.4069659249826</v>
      </c>
      <c r="BD9" s="878">
        <v>2906.4401303405753</v>
      </c>
      <c r="BE9" s="878">
        <v>4540.8459481838481</v>
      </c>
      <c r="BF9" s="878">
        <v>3193.9353958894894</v>
      </c>
      <c r="BG9" s="878">
        <v>3014.0849166912244</v>
      </c>
      <c r="BH9" s="878">
        <v>3331.4921098954283</v>
      </c>
      <c r="BI9" s="878">
        <v>3034.892107271859</v>
      </c>
      <c r="BJ9" s="878">
        <v>3058.530793599246</v>
      </c>
      <c r="BK9" s="878">
        <v>3044.7412596029767</v>
      </c>
      <c r="BL9" s="878">
        <v>2922.8846427241333</v>
      </c>
      <c r="BM9" s="878">
        <v>3204.4366829432884</v>
      </c>
      <c r="BN9" s="878">
        <v>3270.9799411855515</v>
      </c>
      <c r="BO9" s="878">
        <v>3170.9120614312574</v>
      </c>
      <c r="BP9" s="878">
        <v>3235.7485965076662</v>
      </c>
      <c r="BQ9" s="878">
        <v>4206.4172802693201</v>
      </c>
      <c r="BR9" s="878">
        <v>3861.5959101247977</v>
      </c>
      <c r="BS9" s="878">
        <v>3248.3862172234908</v>
      </c>
      <c r="BT9" s="878">
        <v>3401.9818232472849</v>
      </c>
      <c r="BU9" s="878">
        <v>3143.5539530932256</v>
      </c>
      <c r="BV9" s="878">
        <v>3348.1496243326078</v>
      </c>
      <c r="BW9" s="878">
        <v>3196.0201372805332</v>
      </c>
      <c r="BX9" s="878">
        <v>3271.0530970156478</v>
      </c>
      <c r="BY9" s="878">
        <v>3723.4052513859419</v>
      </c>
      <c r="BZ9" s="878">
        <v>3523.040140670726</v>
      </c>
      <c r="CA9" s="878">
        <v>3952.8994427882349</v>
      </c>
      <c r="CB9" s="878">
        <v>3990.452736690575</v>
      </c>
      <c r="CC9" s="878">
        <v>4740.9176379585651</v>
      </c>
      <c r="CD9" s="878">
        <v>3776.1984780613684</v>
      </c>
      <c r="CE9" s="878">
        <v>3640.6363961059837</v>
      </c>
      <c r="CF9" s="878">
        <v>3312.0465586532928</v>
      </c>
      <c r="CG9" s="878">
        <v>3394.6748425060241</v>
      </c>
      <c r="CH9" s="878">
        <v>3669.5814846955191</v>
      </c>
      <c r="CI9" s="878">
        <v>3071.6160394472058</v>
      </c>
      <c r="CJ9" s="878">
        <v>3325.7167871601114</v>
      </c>
      <c r="CK9" s="878">
        <v>3592.0347304622965</v>
      </c>
      <c r="CL9" s="878">
        <v>3576.0201575213905</v>
      </c>
      <c r="CM9" s="878">
        <v>4228.9072712417847</v>
      </c>
      <c r="CN9" s="878">
        <v>3980.6171380319374</v>
      </c>
      <c r="CO9" s="878">
        <v>5632.117172286582</v>
      </c>
      <c r="CP9" s="878">
        <v>4741.4006917473353</v>
      </c>
      <c r="CQ9" s="878">
        <v>4118.0065336866073</v>
      </c>
      <c r="CR9" s="878">
        <v>4351.0623698149129</v>
      </c>
      <c r="CS9" s="878">
        <v>4596.3606216431745</v>
      </c>
      <c r="CT9" s="878">
        <v>4329.2837483554204</v>
      </c>
      <c r="CU9" s="878">
        <v>4266.0397142115489</v>
      </c>
      <c r="CV9" s="878">
        <v>4925.9016351455193</v>
      </c>
      <c r="CW9" s="878">
        <v>4658.7204731614402</v>
      </c>
      <c r="CX9" s="878">
        <v>4654.4669752292812</v>
      </c>
      <c r="CY9" s="878">
        <v>5259.4821673398319</v>
      </c>
      <c r="CZ9" s="878">
        <v>5001.5660718872232</v>
      </c>
      <c r="DA9" s="878">
        <v>7542.0020901580083</v>
      </c>
      <c r="DB9" s="878">
        <v>5697.5715944966496</v>
      </c>
      <c r="DC9" s="878">
        <v>5343.9951523647906</v>
      </c>
      <c r="DD9" s="860">
        <v>5083.3654926177778</v>
      </c>
      <c r="DE9" s="860">
        <v>5535.5682916965552</v>
      </c>
      <c r="DF9" s="860">
        <v>4747.4852326913342</v>
      </c>
      <c r="DG9" s="860">
        <v>5116.8642503795218</v>
      </c>
      <c r="DH9" s="860">
        <v>5683.8817326832032</v>
      </c>
      <c r="DI9" s="860">
        <v>5273.9525791407996</v>
      </c>
      <c r="DJ9" s="860">
        <v>5126.786030658146</v>
      </c>
      <c r="DK9" s="860">
        <v>4865.9541095494242</v>
      </c>
      <c r="DL9" s="860">
        <v>5200.0388666676427</v>
      </c>
      <c r="DM9" s="860">
        <v>7838.4591535342952</v>
      </c>
      <c r="DN9" s="860">
        <v>5087.7204574955331</v>
      </c>
      <c r="DO9" s="860">
        <v>5054.7909690630349</v>
      </c>
      <c r="DP9" s="860">
        <v>5055.754935800609</v>
      </c>
      <c r="DQ9" s="860">
        <v>5380.4048518875634</v>
      </c>
      <c r="DR9" s="860">
        <v>4600.6769141470777</v>
      </c>
      <c r="DS9" s="860">
        <v>4835.0287433737039</v>
      </c>
    </row>
    <row r="10" spans="1:123" ht="17.25" customHeight="1">
      <c r="A10" s="964" t="s">
        <v>2496</v>
      </c>
      <c r="B10" s="858" t="s">
        <v>2547</v>
      </c>
      <c r="C10" s="878">
        <v>19975.080293458301</v>
      </c>
      <c r="D10" s="878">
        <v>22346.902759003209</v>
      </c>
      <c r="E10" s="878">
        <v>20475.947543321927</v>
      </c>
      <c r="F10" s="917">
        <v>22877.597539004928</v>
      </c>
      <c r="G10" s="878">
        <v>21847.663648703674</v>
      </c>
      <c r="H10" s="918">
        <v>34663.355402387118</v>
      </c>
      <c r="I10" s="878">
        <v>17902.909454611141</v>
      </c>
      <c r="J10" s="878">
        <v>25677.515168207792</v>
      </c>
      <c r="K10" s="878">
        <v>21561.612577053904</v>
      </c>
      <c r="L10" s="878">
        <v>22323.829189218744</v>
      </c>
      <c r="M10" s="917">
        <v>21509.83215564246</v>
      </c>
      <c r="N10" s="878">
        <v>22200.380501133372</v>
      </c>
      <c r="O10" s="878">
        <v>30343.168662323718</v>
      </c>
      <c r="P10" s="878">
        <v>73088.583959607771</v>
      </c>
      <c r="Q10" s="878">
        <v>20138.284316349331</v>
      </c>
      <c r="R10" s="878">
        <v>24953.663398915643</v>
      </c>
      <c r="S10" s="878">
        <v>24222.421543240973</v>
      </c>
      <c r="T10" s="878">
        <v>79514.592170465985</v>
      </c>
      <c r="U10" s="878">
        <v>90611.003020587581</v>
      </c>
      <c r="V10" s="878">
        <v>85868.06333871161</v>
      </c>
      <c r="W10" s="878">
        <v>86225.300003184399</v>
      </c>
      <c r="X10" s="878">
        <v>87306.730941753791</v>
      </c>
      <c r="Y10" s="878">
        <v>73307.135789904234</v>
      </c>
      <c r="Z10" s="878">
        <v>75156.728640008048</v>
      </c>
      <c r="AA10" s="878">
        <v>85896.07315991525</v>
      </c>
      <c r="AB10" s="878">
        <v>95706.061487670566</v>
      </c>
      <c r="AC10" s="878">
        <v>100024.42352192786</v>
      </c>
      <c r="AD10" s="878">
        <v>106983.1036179873</v>
      </c>
      <c r="AE10" s="878">
        <v>105272.22278386854</v>
      </c>
      <c r="AF10" s="878">
        <v>128581.35657862392</v>
      </c>
      <c r="AG10" s="878">
        <v>119614.38863466259</v>
      </c>
      <c r="AH10" s="878">
        <v>116901.70349935519</v>
      </c>
      <c r="AI10" s="878">
        <v>122889.85854175108</v>
      </c>
      <c r="AJ10" s="878">
        <v>116413.52518368076</v>
      </c>
      <c r="AK10" s="878">
        <v>104087.51083708563</v>
      </c>
      <c r="AL10" s="878">
        <v>116160.66223781955</v>
      </c>
      <c r="AM10" s="878">
        <v>117149.00051827468</v>
      </c>
      <c r="AN10" s="878">
        <v>125242.36273515598</v>
      </c>
      <c r="AO10" s="878">
        <v>123449.53393194849</v>
      </c>
      <c r="AP10" s="878">
        <v>103228.08979591788</v>
      </c>
      <c r="AQ10" s="878">
        <v>106145.31807003192</v>
      </c>
      <c r="AR10" s="878">
        <v>111695.80547703271</v>
      </c>
      <c r="AS10" s="878">
        <v>94127.095238527792</v>
      </c>
      <c r="AT10" s="878">
        <v>109408.71932217915</v>
      </c>
      <c r="AU10" s="878">
        <v>116582.52539816564</v>
      </c>
      <c r="AV10" s="878">
        <v>121635.64622612936</v>
      </c>
      <c r="AW10" s="878">
        <v>116678.60981528788</v>
      </c>
      <c r="AX10" s="878">
        <v>129243.60248592439</v>
      </c>
      <c r="AY10" s="878">
        <v>116942.44460790638</v>
      </c>
      <c r="AZ10" s="878">
        <v>113403.86664098399</v>
      </c>
      <c r="BA10" s="878">
        <v>93559.366855159329</v>
      </c>
      <c r="BB10" s="878">
        <v>112313.31301834264</v>
      </c>
      <c r="BC10" s="878">
        <v>127555.66274654098</v>
      </c>
      <c r="BD10" s="878">
        <v>118620.74633788063</v>
      </c>
      <c r="BE10" s="878">
        <v>132849.31107179535</v>
      </c>
      <c r="BF10" s="878">
        <v>85469.596649490719</v>
      </c>
      <c r="BG10" s="878">
        <v>111904.64422547795</v>
      </c>
      <c r="BH10" s="878">
        <v>117164.47701259931</v>
      </c>
      <c r="BI10" s="878">
        <v>124509.89209567537</v>
      </c>
      <c r="BJ10" s="878">
        <v>130066.30620843144</v>
      </c>
      <c r="BK10" s="878">
        <v>120171.29273877224</v>
      </c>
      <c r="BL10" s="878">
        <v>107286.74789194504</v>
      </c>
      <c r="BM10" s="878">
        <v>112166.31690164335</v>
      </c>
      <c r="BN10" s="878">
        <v>126786.72434546983</v>
      </c>
      <c r="BO10" s="878">
        <v>121092.10067095078</v>
      </c>
      <c r="BP10" s="878">
        <v>141326.79744404394</v>
      </c>
      <c r="BQ10" s="878">
        <v>131412.7484882109</v>
      </c>
      <c r="BR10" s="878">
        <v>113844.89811462261</v>
      </c>
      <c r="BS10" s="878">
        <v>127472.02314959349</v>
      </c>
      <c r="BT10" s="878">
        <v>106409.80316978128</v>
      </c>
      <c r="BU10" s="878">
        <v>100178.15867654752</v>
      </c>
      <c r="BV10" s="878">
        <v>95285.305464231365</v>
      </c>
      <c r="BW10" s="878">
        <v>112379.86962005035</v>
      </c>
      <c r="BX10" s="878">
        <v>96368.938647299103</v>
      </c>
      <c r="BY10" s="878">
        <v>97993.702883231395</v>
      </c>
      <c r="BZ10" s="878">
        <v>95265.289534892945</v>
      </c>
      <c r="CA10" s="878">
        <v>76726.773073888238</v>
      </c>
      <c r="CB10" s="878">
        <v>89010.888355937175</v>
      </c>
      <c r="CC10" s="878">
        <v>81702.210347968896</v>
      </c>
      <c r="CD10" s="878">
        <v>75748.717375522581</v>
      </c>
      <c r="CE10" s="878">
        <v>96946.295553742704</v>
      </c>
      <c r="CF10" s="878">
        <v>153645.87541378877</v>
      </c>
      <c r="CG10" s="878">
        <v>139707.75868664263</v>
      </c>
      <c r="CH10" s="878">
        <v>160857.2852431722</v>
      </c>
      <c r="CI10" s="878">
        <v>102410.46502473236</v>
      </c>
      <c r="CJ10" s="878">
        <v>141983.86840759171</v>
      </c>
      <c r="CK10" s="878">
        <v>101094.19029405949</v>
      </c>
      <c r="CL10" s="878">
        <v>114787.49756484</v>
      </c>
      <c r="CM10" s="878">
        <v>122996.08724202342</v>
      </c>
      <c r="CN10" s="878">
        <v>124265.81529070709</v>
      </c>
      <c r="CO10" s="878">
        <v>143331.1175241709</v>
      </c>
      <c r="CP10" s="878">
        <v>152212.84297757698</v>
      </c>
      <c r="CQ10" s="878">
        <v>104857.82785965674</v>
      </c>
      <c r="CR10" s="878">
        <v>122722.59521257292</v>
      </c>
      <c r="CS10" s="878">
        <v>126916.34748882419</v>
      </c>
      <c r="CT10" s="878">
        <v>139663.68233417126</v>
      </c>
      <c r="CU10" s="878">
        <v>131439.39612011795</v>
      </c>
      <c r="CV10" s="878">
        <v>131609.89199681405</v>
      </c>
      <c r="CW10" s="878">
        <v>126086.54356509868</v>
      </c>
      <c r="CX10" s="878">
        <v>126079.10050486807</v>
      </c>
      <c r="CY10" s="878">
        <v>124894.59331730337</v>
      </c>
      <c r="CZ10" s="878">
        <v>139588.10234629267</v>
      </c>
      <c r="DA10" s="878">
        <v>168583.42046297353</v>
      </c>
      <c r="DB10" s="878">
        <v>130482.78209013322</v>
      </c>
      <c r="DC10" s="878">
        <v>127093.03286621736</v>
      </c>
      <c r="DD10" s="860">
        <v>131561.0166720773</v>
      </c>
      <c r="DE10" s="860">
        <v>138847.11918340626</v>
      </c>
      <c r="DF10" s="860">
        <v>114062.96360885935</v>
      </c>
      <c r="DG10" s="860">
        <v>117536.28898080392</v>
      </c>
      <c r="DH10" s="860">
        <v>143085.66745809998</v>
      </c>
      <c r="DI10" s="860">
        <v>139069.36715490193</v>
      </c>
      <c r="DJ10" s="860">
        <v>155363.09246706343</v>
      </c>
      <c r="DK10" s="860">
        <v>202416.77084625143</v>
      </c>
      <c r="DL10" s="860">
        <v>186099.03419739526</v>
      </c>
      <c r="DM10" s="860">
        <v>207393.04285103054</v>
      </c>
      <c r="DN10" s="860">
        <v>223523.07603733239</v>
      </c>
      <c r="DO10" s="860">
        <v>209898.84847013044</v>
      </c>
      <c r="DP10" s="860">
        <v>252432.00200720425</v>
      </c>
      <c r="DQ10" s="860">
        <v>239606.62484859527</v>
      </c>
      <c r="DR10" s="860">
        <v>210616.30863563064</v>
      </c>
      <c r="DS10" s="860">
        <v>187799.00155882473</v>
      </c>
    </row>
    <row r="11" spans="1:123" ht="17.25" customHeight="1">
      <c r="A11" s="964" t="s">
        <v>2498</v>
      </c>
      <c r="B11" s="858" t="s">
        <v>2555</v>
      </c>
      <c r="C11" s="878">
        <v>218.78021294999994</v>
      </c>
      <c r="D11" s="878">
        <v>479.12523298420001</v>
      </c>
      <c r="E11" s="878">
        <v>701.29248116420001</v>
      </c>
      <c r="F11" s="917">
        <v>385.54954311239999</v>
      </c>
      <c r="G11" s="878">
        <v>361.83599612679996</v>
      </c>
      <c r="H11" s="918">
        <v>1017.6780878194</v>
      </c>
      <c r="I11" s="878">
        <v>892.30805765639991</v>
      </c>
      <c r="J11" s="878">
        <v>1636.4558734556001</v>
      </c>
      <c r="K11" s="878">
        <v>918.29561470860006</v>
      </c>
      <c r="L11" s="878">
        <v>583.53288016479996</v>
      </c>
      <c r="M11" s="917">
        <v>797.90734200079999</v>
      </c>
      <c r="N11" s="878">
        <v>567.79508362299998</v>
      </c>
      <c r="O11" s="878">
        <v>404.05200875619988</v>
      </c>
      <c r="P11" s="878">
        <v>670.92330815859975</v>
      </c>
      <c r="Q11" s="878">
        <v>351.8244658915998</v>
      </c>
      <c r="R11" s="878">
        <v>360.95612798829973</v>
      </c>
      <c r="S11" s="878">
        <v>419.07166179979976</v>
      </c>
      <c r="T11" s="878">
        <v>407.1469993419999</v>
      </c>
      <c r="U11" s="878">
        <v>253.83415127499975</v>
      </c>
      <c r="V11" s="878">
        <v>398.89524168839989</v>
      </c>
      <c r="W11" s="878">
        <v>422.57914170369997</v>
      </c>
      <c r="X11" s="878">
        <v>344.25226376949979</v>
      </c>
      <c r="Y11" s="878">
        <v>327.54693126949985</v>
      </c>
      <c r="Z11" s="878">
        <v>345.70045700549986</v>
      </c>
      <c r="AA11" s="878">
        <v>415.78733357549993</v>
      </c>
      <c r="AB11" s="878">
        <v>322.57316390549983</v>
      </c>
      <c r="AC11" s="878">
        <v>381.24796877549994</v>
      </c>
      <c r="AD11" s="878">
        <v>342.66218756549989</v>
      </c>
      <c r="AE11" s="878">
        <v>415.11937078549983</v>
      </c>
      <c r="AF11" s="878">
        <v>463.51516345549982</v>
      </c>
      <c r="AG11" s="878">
        <v>415.43479584749974</v>
      </c>
      <c r="AH11" s="878">
        <v>815.05812312750004</v>
      </c>
      <c r="AI11" s="878">
        <v>802.83032962549987</v>
      </c>
      <c r="AJ11" s="878">
        <v>1135.1767810254998</v>
      </c>
      <c r="AK11" s="878">
        <v>886.41189388749979</v>
      </c>
      <c r="AL11" s="878">
        <v>840.51549616949967</v>
      </c>
      <c r="AM11" s="878">
        <v>970.02344611949979</v>
      </c>
      <c r="AN11" s="878">
        <v>891.52603242949999</v>
      </c>
      <c r="AO11" s="878">
        <v>895.08640470949979</v>
      </c>
      <c r="AP11" s="878">
        <v>670.43637266999997</v>
      </c>
      <c r="AQ11" s="878">
        <v>671.15422126999988</v>
      </c>
      <c r="AR11" s="878">
        <v>820.21852910999985</v>
      </c>
      <c r="AS11" s="878">
        <v>679.80989671999976</v>
      </c>
      <c r="AT11" s="878">
        <v>708.72556519999978</v>
      </c>
      <c r="AU11" s="878">
        <v>358.72875690999996</v>
      </c>
      <c r="AV11" s="878">
        <v>519.43095133999998</v>
      </c>
      <c r="AW11" s="878">
        <v>564.67693534000023</v>
      </c>
      <c r="AX11" s="878">
        <v>574.11750810000024</v>
      </c>
      <c r="AY11" s="878">
        <v>714.27319077120444</v>
      </c>
      <c r="AZ11" s="878">
        <v>901.16196808000018</v>
      </c>
      <c r="BA11" s="878">
        <v>943.81252893999977</v>
      </c>
      <c r="BB11" s="878">
        <v>703.73942211999997</v>
      </c>
      <c r="BC11" s="878">
        <v>930.61532617000012</v>
      </c>
      <c r="BD11" s="878">
        <v>769.33369759000016</v>
      </c>
      <c r="BE11" s="878">
        <v>874.56711007299998</v>
      </c>
      <c r="BF11" s="878">
        <v>731.51162923300001</v>
      </c>
      <c r="BG11" s="878">
        <v>1090.8223261130004</v>
      </c>
      <c r="BH11" s="878">
        <v>1327.5394631030001</v>
      </c>
      <c r="BI11" s="878">
        <v>1112.3969502259999</v>
      </c>
      <c r="BJ11" s="878">
        <v>1296.6844534877525</v>
      </c>
      <c r="BK11" s="878">
        <v>1198.1438791159997</v>
      </c>
      <c r="BL11" s="878">
        <v>981.85332459775259</v>
      </c>
      <c r="BM11" s="878">
        <v>1058.9843746860001</v>
      </c>
      <c r="BN11" s="878">
        <v>1092.9500498259999</v>
      </c>
      <c r="BO11" s="878">
        <v>1516.8234844930005</v>
      </c>
      <c r="BP11" s="878">
        <v>910.01958114300021</v>
      </c>
      <c r="BQ11" s="878">
        <v>879.76789356300003</v>
      </c>
      <c r="BR11" s="878">
        <v>1102.2721801730004</v>
      </c>
      <c r="BS11" s="878">
        <v>1165.3789722830002</v>
      </c>
      <c r="BT11" s="878">
        <v>1379.4388065599999</v>
      </c>
      <c r="BU11" s="878">
        <v>1828.9585669699998</v>
      </c>
      <c r="BV11" s="878">
        <v>1846.1887993699995</v>
      </c>
      <c r="BW11" s="878">
        <v>1020.9280029099999</v>
      </c>
      <c r="BX11" s="878">
        <v>1489.1784517899998</v>
      </c>
      <c r="BY11" s="878">
        <v>1295.146992332787</v>
      </c>
      <c r="BZ11" s="878">
        <v>1236.6824080599997</v>
      </c>
      <c r="CA11" s="878">
        <v>1188.6795859400006</v>
      </c>
      <c r="CB11" s="878">
        <v>1147.8261792799999</v>
      </c>
      <c r="CC11" s="878">
        <v>1151.2427044000001</v>
      </c>
      <c r="CD11" s="878">
        <v>1167.7523538799999</v>
      </c>
      <c r="CE11" s="878">
        <v>1052.5402204800002</v>
      </c>
      <c r="CF11" s="878">
        <v>1165.4846706000008</v>
      </c>
      <c r="CG11" s="878">
        <v>1374.7085454199998</v>
      </c>
      <c r="CH11" s="878">
        <v>904.32682813999952</v>
      </c>
      <c r="CI11" s="878">
        <v>1243.4650270600007</v>
      </c>
      <c r="CJ11" s="878">
        <v>893.48213018000001</v>
      </c>
      <c r="CK11" s="878">
        <v>930.23218397999926</v>
      </c>
      <c r="CL11" s="878">
        <v>960.76329350999958</v>
      </c>
      <c r="CM11" s="878">
        <v>998.74835851000023</v>
      </c>
      <c r="CN11" s="878">
        <v>887.46812767155393</v>
      </c>
      <c r="CO11" s="878">
        <v>891.35222507000015</v>
      </c>
      <c r="CP11" s="878">
        <v>742.26391527000021</v>
      </c>
      <c r="CQ11" s="878">
        <v>841.32659916999944</v>
      </c>
      <c r="CR11" s="878">
        <v>909.71778108249976</v>
      </c>
      <c r="CS11" s="878">
        <v>924.12947358000019</v>
      </c>
      <c r="CT11" s="878">
        <v>891.18874602999983</v>
      </c>
      <c r="CU11" s="878">
        <v>868.42660398999908</v>
      </c>
      <c r="CV11" s="878">
        <v>1091.3549138400003</v>
      </c>
      <c r="CW11" s="878">
        <v>1105.8538156299996</v>
      </c>
      <c r="CX11" s="878">
        <v>1102.8760863800005</v>
      </c>
      <c r="CY11" s="878">
        <v>1208.7891288799997</v>
      </c>
      <c r="CZ11" s="878">
        <v>973.80052544000125</v>
      </c>
      <c r="DA11" s="878">
        <v>982.85475648999943</v>
      </c>
      <c r="DB11" s="878">
        <v>903.75075932000038</v>
      </c>
      <c r="DC11" s="878">
        <v>922.91814051000097</v>
      </c>
      <c r="DD11" s="860">
        <v>956.55295500000011</v>
      </c>
      <c r="DE11" s="860">
        <v>1291.2759329700007</v>
      </c>
      <c r="DF11" s="860">
        <v>1050.364744583733</v>
      </c>
      <c r="DG11" s="860">
        <v>1131.5947210700003</v>
      </c>
      <c r="DH11" s="860">
        <v>1161.3309750700016</v>
      </c>
      <c r="DI11" s="860">
        <v>985.58970046000024</v>
      </c>
      <c r="DJ11" s="860">
        <v>1045.42153452</v>
      </c>
      <c r="DK11" s="860">
        <v>816.49197700000093</v>
      </c>
      <c r="DL11" s="860">
        <v>860.61857010999893</v>
      </c>
      <c r="DM11" s="860">
        <v>639.82458026999996</v>
      </c>
      <c r="DN11" s="860">
        <v>521.16269042999932</v>
      </c>
      <c r="DO11" s="860">
        <v>895.92869341000005</v>
      </c>
      <c r="DP11" s="860">
        <v>997.70517627999948</v>
      </c>
      <c r="DQ11" s="860">
        <v>1170.5282021280989</v>
      </c>
      <c r="DR11" s="860">
        <v>1298.5262800800001</v>
      </c>
      <c r="DS11" s="860">
        <v>1153.3410769699988</v>
      </c>
    </row>
    <row r="12" spans="1:123" ht="17.25" customHeight="1">
      <c r="A12" s="964" t="s">
        <v>2500</v>
      </c>
      <c r="B12" s="858" t="s">
        <v>2556</v>
      </c>
      <c r="C12" s="878">
        <v>114780.52874940931</v>
      </c>
      <c r="D12" s="878">
        <v>92198.915853901533</v>
      </c>
      <c r="E12" s="878">
        <v>107258.48675384259</v>
      </c>
      <c r="F12" s="917">
        <v>114847.97804313936</v>
      </c>
      <c r="G12" s="878">
        <v>115971.99322941387</v>
      </c>
      <c r="H12" s="918">
        <v>120393.95074281278</v>
      </c>
      <c r="I12" s="878">
        <v>122633.21855411009</v>
      </c>
      <c r="J12" s="878">
        <v>119968.36052226041</v>
      </c>
      <c r="K12" s="878">
        <v>155188.00449221951</v>
      </c>
      <c r="L12" s="878">
        <v>160446.26717154487</v>
      </c>
      <c r="M12" s="917">
        <v>147134.72968139185</v>
      </c>
      <c r="N12" s="878">
        <v>172884.25620825245</v>
      </c>
      <c r="O12" s="878">
        <v>156993.63805037222</v>
      </c>
      <c r="P12" s="878">
        <v>125212.91721017154</v>
      </c>
      <c r="Q12" s="878">
        <v>184275.35932418326</v>
      </c>
      <c r="R12" s="878">
        <v>204918.87167648351</v>
      </c>
      <c r="S12" s="878">
        <v>208107.51410480007</v>
      </c>
      <c r="T12" s="878">
        <v>170340.79738983134</v>
      </c>
      <c r="U12" s="878">
        <v>183848.00738137719</v>
      </c>
      <c r="V12" s="878">
        <v>156236.72592869803</v>
      </c>
      <c r="W12" s="878">
        <v>153132.15731356648</v>
      </c>
      <c r="X12" s="878">
        <v>151311.64475624418</v>
      </c>
      <c r="Y12" s="878">
        <v>154791.75404573453</v>
      </c>
      <c r="Z12" s="878">
        <v>151327.26988427169</v>
      </c>
      <c r="AA12" s="878">
        <v>147922.46816475302</v>
      </c>
      <c r="AB12" s="878">
        <v>164102.09423449222</v>
      </c>
      <c r="AC12" s="878">
        <v>172964.15573605456</v>
      </c>
      <c r="AD12" s="878">
        <v>169629.7251202125</v>
      </c>
      <c r="AE12" s="878">
        <v>158625.80327091605</v>
      </c>
      <c r="AF12" s="878">
        <v>166419.20937497812</v>
      </c>
      <c r="AG12" s="878">
        <v>156278.08533277138</v>
      </c>
      <c r="AH12" s="878">
        <v>176370.44478175111</v>
      </c>
      <c r="AI12" s="878">
        <v>146326.95291130981</v>
      </c>
      <c r="AJ12" s="878">
        <v>143978.89254770655</v>
      </c>
      <c r="AK12" s="878">
        <v>133722.16180641385</v>
      </c>
      <c r="AL12" s="878">
        <v>128751.01070003939</v>
      </c>
      <c r="AM12" s="878">
        <v>139809.80587326223</v>
      </c>
      <c r="AN12" s="878">
        <v>156003.11563269113</v>
      </c>
      <c r="AO12" s="878">
        <v>135528.1758555095</v>
      </c>
      <c r="AP12" s="878">
        <v>133801.37279107716</v>
      </c>
      <c r="AQ12" s="878">
        <v>137627.29616002706</v>
      </c>
      <c r="AR12" s="878">
        <v>132058.40759529072</v>
      </c>
      <c r="AS12" s="878">
        <v>126745.40254598403</v>
      </c>
      <c r="AT12" s="878">
        <v>135222.94137848113</v>
      </c>
      <c r="AU12" s="878">
        <v>135877.27411122961</v>
      </c>
      <c r="AV12" s="878">
        <v>136876.79103651911</v>
      </c>
      <c r="AW12" s="878">
        <v>130916.68790267475</v>
      </c>
      <c r="AX12" s="878">
        <v>114846.4998710806</v>
      </c>
      <c r="AY12" s="878">
        <v>118769.87901516836</v>
      </c>
      <c r="AZ12" s="878">
        <v>105163.34083808456</v>
      </c>
      <c r="BA12" s="878">
        <v>115890.49459784379</v>
      </c>
      <c r="BB12" s="878">
        <v>105638.43681606637</v>
      </c>
      <c r="BC12" s="878">
        <v>98935.917985294494</v>
      </c>
      <c r="BD12" s="878">
        <v>102984.78204846136</v>
      </c>
      <c r="BE12" s="878">
        <v>104434.96390012844</v>
      </c>
      <c r="BF12" s="878">
        <v>163213.14447748504</v>
      </c>
      <c r="BG12" s="878">
        <v>130440.58506434348</v>
      </c>
      <c r="BH12" s="878">
        <v>135982.00878077582</v>
      </c>
      <c r="BI12" s="878">
        <v>111487.29402000074</v>
      </c>
      <c r="BJ12" s="878">
        <v>138630.9035577685</v>
      </c>
      <c r="BK12" s="878">
        <v>133836.36319619094</v>
      </c>
      <c r="BL12" s="878">
        <v>102162.09759616066</v>
      </c>
      <c r="BM12" s="878">
        <v>124555.55584100011</v>
      </c>
      <c r="BN12" s="878">
        <v>113448.80882698554</v>
      </c>
      <c r="BO12" s="878">
        <v>125421.67287522368</v>
      </c>
      <c r="BP12" s="878">
        <v>112464.7926657175</v>
      </c>
      <c r="BQ12" s="878">
        <v>118179.46170358364</v>
      </c>
      <c r="BR12" s="878">
        <v>137094.79561078927</v>
      </c>
      <c r="BS12" s="878">
        <v>125062.87069051244</v>
      </c>
      <c r="BT12" s="878">
        <v>104918.89511274277</v>
      </c>
      <c r="BU12" s="878">
        <v>147262.20251736668</v>
      </c>
      <c r="BV12" s="878">
        <v>111320.07149738188</v>
      </c>
      <c r="BW12" s="878">
        <v>126814.39925569562</v>
      </c>
      <c r="BX12" s="878">
        <v>117247.39712271896</v>
      </c>
      <c r="BY12" s="878">
        <v>102166.1214856244</v>
      </c>
      <c r="BZ12" s="878">
        <v>117572.38515768877</v>
      </c>
      <c r="CA12" s="878">
        <v>136009.50460440863</v>
      </c>
      <c r="CB12" s="878">
        <v>170686.60516459792</v>
      </c>
      <c r="CC12" s="878">
        <v>127058.61616511113</v>
      </c>
      <c r="CD12" s="878">
        <v>94420.232123468231</v>
      </c>
      <c r="CE12" s="878">
        <v>94694.167934488767</v>
      </c>
      <c r="CF12" s="878">
        <v>87652.828847642333</v>
      </c>
      <c r="CG12" s="878">
        <v>98994.718622956323</v>
      </c>
      <c r="CH12" s="878">
        <v>84944.778923339196</v>
      </c>
      <c r="CI12" s="878">
        <v>84905.64475249275</v>
      </c>
      <c r="CJ12" s="878">
        <v>88107.968433187765</v>
      </c>
      <c r="CK12" s="878">
        <v>98314.814281294501</v>
      </c>
      <c r="CL12" s="878">
        <v>94615.666754645339</v>
      </c>
      <c r="CM12" s="878">
        <v>94337.730263510544</v>
      </c>
      <c r="CN12" s="878">
        <v>93837.513632771414</v>
      </c>
      <c r="CO12" s="878">
        <v>96968.740536829879</v>
      </c>
      <c r="CP12" s="878">
        <v>104143.81076845342</v>
      </c>
      <c r="CQ12" s="878">
        <v>105826.03165421376</v>
      </c>
      <c r="CR12" s="878">
        <v>125646.80866969452</v>
      </c>
      <c r="CS12" s="878">
        <v>123344.27929712922</v>
      </c>
      <c r="CT12" s="878">
        <v>133964.81277368468</v>
      </c>
      <c r="CU12" s="878">
        <v>122620.90943058695</v>
      </c>
      <c r="CV12" s="878">
        <v>139781.28813217438</v>
      </c>
      <c r="CW12" s="878">
        <v>118911.50954724291</v>
      </c>
      <c r="CX12" s="878">
        <v>116450.73777121364</v>
      </c>
      <c r="CY12" s="878">
        <v>111952.41898325982</v>
      </c>
      <c r="CZ12" s="878">
        <v>105332.33392100636</v>
      </c>
      <c r="DA12" s="878">
        <v>121752.78676915383</v>
      </c>
      <c r="DB12" s="878">
        <v>129362.20609907889</v>
      </c>
      <c r="DC12" s="878">
        <v>143551.6112882208</v>
      </c>
      <c r="DD12" s="860">
        <v>156490.50199842203</v>
      </c>
      <c r="DE12" s="860">
        <v>135916.66552554272</v>
      </c>
      <c r="DF12" s="860">
        <v>131773.43661670526</v>
      </c>
      <c r="DG12" s="860">
        <v>121464.61029176002</v>
      </c>
      <c r="DH12" s="860">
        <v>116608.64785620906</v>
      </c>
      <c r="DI12" s="860">
        <v>125645.59911497121</v>
      </c>
      <c r="DJ12" s="860">
        <v>137158.9564394734</v>
      </c>
      <c r="DK12" s="860">
        <v>136624.50651868049</v>
      </c>
      <c r="DL12" s="860">
        <v>113326.12197479018</v>
      </c>
      <c r="DM12" s="860">
        <v>109484.83680039777</v>
      </c>
      <c r="DN12" s="860">
        <v>118665.21013284252</v>
      </c>
      <c r="DO12" s="860">
        <v>124988.75550820121</v>
      </c>
      <c r="DP12" s="860">
        <v>128803.65105347223</v>
      </c>
      <c r="DQ12" s="860">
        <v>157415.95597388179</v>
      </c>
      <c r="DR12" s="860">
        <v>141075.02194554641</v>
      </c>
      <c r="DS12" s="860">
        <v>152123.04426646655</v>
      </c>
    </row>
    <row r="13" spans="1:123" ht="17.25" customHeight="1">
      <c r="A13" s="964"/>
      <c r="B13" s="858"/>
      <c r="C13" s="913"/>
      <c r="D13" s="913"/>
      <c r="E13" s="913"/>
      <c r="F13" s="914"/>
      <c r="G13" s="913"/>
      <c r="H13" s="915"/>
      <c r="I13" s="913"/>
      <c r="J13" s="913"/>
      <c r="K13" s="913"/>
      <c r="L13" s="913"/>
      <c r="M13" s="914"/>
      <c r="N13" s="913"/>
      <c r="O13" s="913"/>
      <c r="P13" s="913"/>
      <c r="Q13" s="913"/>
      <c r="R13" s="913"/>
      <c r="S13" s="913"/>
      <c r="T13" s="913"/>
      <c r="U13" s="913"/>
      <c r="V13" s="913"/>
      <c r="W13" s="913"/>
      <c r="X13" s="913"/>
      <c r="Y13" s="913"/>
      <c r="Z13" s="913"/>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859"/>
      <c r="DE13" s="859"/>
      <c r="DF13" s="859"/>
      <c r="DG13" s="859"/>
      <c r="DH13" s="859"/>
      <c r="DI13" s="859"/>
      <c r="DJ13" s="859"/>
      <c r="DK13" s="859"/>
      <c r="DL13" s="859"/>
      <c r="DM13" s="859"/>
      <c r="DN13" s="859"/>
      <c r="DO13" s="859"/>
      <c r="DP13" s="859"/>
      <c r="DQ13" s="859"/>
      <c r="DR13" s="859"/>
      <c r="DS13" s="859"/>
    </row>
    <row r="14" spans="1:123" ht="17.25" customHeight="1">
      <c r="A14" s="963" t="s">
        <v>2502</v>
      </c>
      <c r="B14" s="854" t="s">
        <v>2503</v>
      </c>
      <c r="C14" s="909">
        <v>85768.101618001616</v>
      </c>
      <c r="D14" s="909">
        <v>86725.799356485091</v>
      </c>
      <c r="E14" s="909">
        <v>84956.440768187036</v>
      </c>
      <c r="F14" s="910">
        <v>81904.329046623796</v>
      </c>
      <c r="G14" s="909">
        <v>81098.844307442909</v>
      </c>
      <c r="H14" s="911">
        <v>77922.091213270891</v>
      </c>
      <c r="I14" s="909">
        <v>77836.155041532154</v>
      </c>
      <c r="J14" s="909">
        <v>81628.329868855144</v>
      </c>
      <c r="K14" s="909">
        <v>80483.982146845359</v>
      </c>
      <c r="L14" s="909">
        <v>79601.826141637634</v>
      </c>
      <c r="M14" s="910">
        <v>77293.845814212837</v>
      </c>
      <c r="N14" s="909">
        <v>81197.003264282714</v>
      </c>
      <c r="O14" s="909">
        <v>80414.083177176522</v>
      </c>
      <c r="P14" s="909">
        <v>82165.709417242309</v>
      </c>
      <c r="Q14" s="909">
        <v>81879.003795156183</v>
      </c>
      <c r="R14" s="909">
        <v>77790.34492112766</v>
      </c>
      <c r="S14" s="909">
        <v>75679.422153171807</v>
      </c>
      <c r="T14" s="909">
        <v>75242.739826202829</v>
      </c>
      <c r="U14" s="909">
        <v>74950.694285117264</v>
      </c>
      <c r="V14" s="909">
        <v>73817.490238368322</v>
      </c>
      <c r="W14" s="909">
        <v>73793.102170893326</v>
      </c>
      <c r="X14" s="909">
        <v>76649.205505761129</v>
      </c>
      <c r="Y14" s="909">
        <v>82416.771496184316</v>
      </c>
      <c r="Z14" s="909">
        <v>82709.379905860493</v>
      </c>
      <c r="AA14" s="909">
        <v>83753.22513865566</v>
      </c>
      <c r="AB14" s="909">
        <v>82097.369034867952</v>
      </c>
      <c r="AC14" s="909">
        <v>84682.888815698796</v>
      </c>
      <c r="AD14" s="909">
        <v>83395.484899504401</v>
      </c>
      <c r="AE14" s="909">
        <v>82814.570828131255</v>
      </c>
      <c r="AF14" s="909">
        <v>86235.736855679963</v>
      </c>
      <c r="AG14" s="909">
        <v>85592.699238705725</v>
      </c>
      <c r="AH14" s="909">
        <v>86847.866583002033</v>
      </c>
      <c r="AI14" s="909">
        <v>87935.646434789407</v>
      </c>
      <c r="AJ14" s="909">
        <v>75792.299272587217</v>
      </c>
      <c r="AK14" s="909">
        <v>82780.492313511859</v>
      </c>
      <c r="AL14" s="909">
        <v>92953.9536492482</v>
      </c>
      <c r="AM14" s="909">
        <v>98168.8645630721</v>
      </c>
      <c r="AN14" s="909">
        <v>87532.163223141804</v>
      </c>
      <c r="AO14" s="909">
        <v>83537.093903936533</v>
      </c>
      <c r="AP14" s="909">
        <v>81121.660092495367</v>
      </c>
      <c r="AQ14" s="909">
        <v>78695.590004808691</v>
      </c>
      <c r="AR14" s="909">
        <v>77595.451426086671</v>
      </c>
      <c r="AS14" s="909">
        <v>95724.537910414336</v>
      </c>
      <c r="AT14" s="909">
        <v>79497.849259822455</v>
      </c>
      <c r="AU14" s="909">
        <v>80101.791451565427</v>
      </c>
      <c r="AV14" s="909">
        <v>81027.962760390219</v>
      </c>
      <c r="AW14" s="909">
        <v>86810.682307831783</v>
      </c>
      <c r="AX14" s="909">
        <v>88311.381266260389</v>
      </c>
      <c r="AY14" s="909">
        <v>98378.730677803658</v>
      </c>
      <c r="AZ14" s="909">
        <v>106751.2103873233</v>
      </c>
      <c r="BA14" s="909">
        <v>105095.83186605357</v>
      </c>
      <c r="BB14" s="909">
        <v>102090.4187805697</v>
      </c>
      <c r="BC14" s="909">
        <v>104504.09536311703</v>
      </c>
      <c r="BD14" s="909">
        <v>107636.63077667206</v>
      </c>
      <c r="BE14" s="909">
        <v>112580.29737774999</v>
      </c>
      <c r="BF14" s="909">
        <v>113283.95283699065</v>
      </c>
      <c r="BG14" s="909">
        <v>123425.61055936545</v>
      </c>
      <c r="BH14" s="909">
        <v>125147.82091468478</v>
      </c>
      <c r="BI14" s="909">
        <v>131099.95932432913</v>
      </c>
      <c r="BJ14" s="909">
        <v>149411.28451591876</v>
      </c>
      <c r="BK14" s="909">
        <v>145894.76729189398</v>
      </c>
      <c r="BL14" s="909">
        <v>140521.48015151516</v>
      </c>
      <c r="BM14" s="909">
        <v>141984.81507186859</v>
      </c>
      <c r="BN14" s="909">
        <v>148152.31360519517</v>
      </c>
      <c r="BO14" s="909">
        <v>145244.71763102073</v>
      </c>
      <c r="BP14" s="909">
        <v>145300.04737531042</v>
      </c>
      <c r="BQ14" s="909">
        <v>142236.58001312456</v>
      </c>
      <c r="BR14" s="909">
        <v>133650.78699992941</v>
      </c>
      <c r="BS14" s="909">
        <v>129806.03437077765</v>
      </c>
      <c r="BT14" s="909">
        <v>130737.22348823029</v>
      </c>
      <c r="BU14" s="909">
        <v>129580.16269868378</v>
      </c>
      <c r="BV14" s="909">
        <v>122182.56104689998</v>
      </c>
      <c r="BW14" s="909">
        <v>132378.82492657253</v>
      </c>
      <c r="BX14" s="909">
        <v>136296.67640350119</v>
      </c>
      <c r="BY14" s="909">
        <v>138176.53691638046</v>
      </c>
      <c r="BZ14" s="909">
        <v>134900.86854621588</v>
      </c>
      <c r="CA14" s="909">
        <v>136433.58327222336</v>
      </c>
      <c r="CB14" s="909">
        <v>129162.57147044834</v>
      </c>
      <c r="CC14" s="909">
        <v>125800.19534152022</v>
      </c>
      <c r="CD14" s="909">
        <v>137594.30727903513</v>
      </c>
      <c r="CE14" s="909">
        <v>132341.8026527745</v>
      </c>
      <c r="CF14" s="909">
        <v>135432.31771875036</v>
      </c>
      <c r="CG14" s="909">
        <v>139169.0883524252</v>
      </c>
      <c r="CH14" s="909">
        <v>135179.96924033374</v>
      </c>
      <c r="CI14" s="909">
        <v>145398.66199286413</v>
      </c>
      <c r="CJ14" s="909">
        <v>137592.6133651961</v>
      </c>
      <c r="CK14" s="909">
        <v>142779.8234122046</v>
      </c>
      <c r="CL14" s="909">
        <v>145313.72486497837</v>
      </c>
      <c r="CM14" s="909">
        <v>146552.84723938318</v>
      </c>
      <c r="CN14" s="909">
        <v>153501.3643928185</v>
      </c>
      <c r="CO14" s="909">
        <v>133773.74684271324</v>
      </c>
      <c r="CP14" s="909">
        <v>138524.56655245015</v>
      </c>
      <c r="CQ14" s="909">
        <v>143343.46704574098</v>
      </c>
      <c r="CR14" s="909">
        <v>151675.06701490912</v>
      </c>
      <c r="CS14" s="909">
        <v>151292.84146505498</v>
      </c>
      <c r="CT14" s="909">
        <v>152942.65517575535</v>
      </c>
      <c r="CU14" s="909">
        <v>149372.17086628088</v>
      </c>
      <c r="CV14" s="909">
        <v>159673.53533067036</v>
      </c>
      <c r="CW14" s="909">
        <v>158089.45567560461</v>
      </c>
      <c r="CX14" s="909">
        <v>162306.6078591843</v>
      </c>
      <c r="CY14" s="909">
        <v>150458.80137371802</v>
      </c>
      <c r="CZ14" s="909">
        <v>156918.44334227438</v>
      </c>
      <c r="DA14" s="909">
        <v>150458.92853299854</v>
      </c>
      <c r="DB14" s="909">
        <v>155067.06359033793</v>
      </c>
      <c r="DC14" s="909">
        <v>154661.32788848877</v>
      </c>
      <c r="DD14" s="855">
        <v>159063.34399853015</v>
      </c>
      <c r="DE14" s="855">
        <v>154812.7137783498</v>
      </c>
      <c r="DF14" s="855">
        <v>160866.07027832422</v>
      </c>
      <c r="DG14" s="855">
        <v>166143.56734609968</v>
      </c>
      <c r="DH14" s="855">
        <v>164673.81095214363</v>
      </c>
      <c r="DI14" s="855">
        <v>165010.05409671264</v>
      </c>
      <c r="DJ14" s="855">
        <v>186742.58692603617</v>
      </c>
      <c r="DK14" s="855">
        <v>181274.42390325438</v>
      </c>
      <c r="DL14" s="855">
        <v>185520.87421890977</v>
      </c>
      <c r="DM14" s="855">
        <v>180365.57511765067</v>
      </c>
      <c r="DN14" s="855">
        <v>178991.09800846624</v>
      </c>
      <c r="DO14" s="855">
        <v>177983.65285118969</v>
      </c>
      <c r="DP14" s="855">
        <v>191580.93501207433</v>
      </c>
      <c r="DQ14" s="855">
        <v>189374.37597531194</v>
      </c>
      <c r="DR14" s="855">
        <v>193942.45147726033</v>
      </c>
      <c r="DS14" s="855">
        <v>195174.71629779032</v>
      </c>
    </row>
    <row r="15" spans="1:123" ht="17.25" customHeight="1">
      <c r="A15" s="964"/>
      <c r="B15" s="858"/>
      <c r="C15" s="913"/>
      <c r="D15" s="913"/>
      <c r="E15" s="913"/>
      <c r="F15" s="914"/>
      <c r="G15" s="913"/>
      <c r="H15" s="915"/>
      <c r="I15" s="913"/>
      <c r="J15" s="913"/>
      <c r="K15" s="913"/>
      <c r="L15" s="913"/>
      <c r="M15" s="914"/>
      <c r="N15" s="913"/>
      <c r="O15" s="913"/>
      <c r="P15" s="913"/>
      <c r="Q15" s="913"/>
      <c r="R15" s="913"/>
      <c r="S15" s="913"/>
      <c r="T15" s="913"/>
      <c r="U15" s="913"/>
      <c r="V15" s="913"/>
      <c r="W15" s="913"/>
      <c r="X15" s="913"/>
      <c r="Y15" s="913"/>
      <c r="Z15" s="913"/>
      <c r="AA15" s="913"/>
      <c r="AB15" s="913"/>
      <c r="AC15" s="913"/>
      <c r="AD15" s="913"/>
      <c r="AE15" s="913"/>
      <c r="AF15" s="913"/>
      <c r="AG15" s="913"/>
      <c r="AH15" s="913"/>
      <c r="AI15" s="913"/>
      <c r="AJ15" s="913"/>
      <c r="AK15" s="913"/>
      <c r="AL15" s="913"/>
      <c r="AM15" s="913"/>
      <c r="AN15" s="913"/>
      <c r="AO15" s="913"/>
      <c r="AP15" s="913"/>
      <c r="AQ15" s="913"/>
      <c r="AR15" s="913"/>
      <c r="AS15" s="913"/>
      <c r="AT15" s="913"/>
      <c r="AU15" s="913"/>
      <c r="AV15" s="913"/>
      <c r="AW15" s="913"/>
      <c r="AX15" s="913"/>
      <c r="AY15" s="913"/>
      <c r="AZ15" s="913"/>
      <c r="BA15" s="913"/>
      <c r="BB15" s="913"/>
      <c r="BC15" s="913"/>
      <c r="BD15" s="913"/>
      <c r="BE15" s="913"/>
      <c r="BF15" s="913"/>
      <c r="BG15" s="913"/>
      <c r="BH15" s="913"/>
      <c r="BI15" s="913"/>
      <c r="BJ15" s="913"/>
      <c r="BK15" s="913"/>
      <c r="BL15" s="913"/>
      <c r="BM15" s="913"/>
      <c r="BN15" s="913"/>
      <c r="BO15" s="913"/>
      <c r="BP15" s="913"/>
      <c r="BQ15" s="913"/>
      <c r="BR15" s="913"/>
      <c r="BS15" s="913"/>
      <c r="BT15" s="913"/>
      <c r="BU15" s="913"/>
      <c r="BV15" s="913"/>
      <c r="BW15" s="913"/>
      <c r="BX15" s="913"/>
      <c r="BY15" s="913"/>
      <c r="BZ15" s="913"/>
      <c r="CA15" s="913"/>
      <c r="CB15" s="913"/>
      <c r="CC15" s="913"/>
      <c r="CD15" s="913"/>
      <c r="CE15" s="913"/>
      <c r="CF15" s="913"/>
      <c r="CG15" s="913"/>
      <c r="CH15" s="913"/>
      <c r="CI15" s="913"/>
      <c r="CJ15" s="913"/>
      <c r="CK15" s="913"/>
      <c r="CL15" s="913"/>
      <c r="CM15" s="913"/>
      <c r="CN15" s="913"/>
      <c r="CO15" s="913"/>
      <c r="CP15" s="913"/>
      <c r="CQ15" s="913"/>
      <c r="CR15" s="913"/>
      <c r="CS15" s="913"/>
      <c r="CT15" s="913"/>
      <c r="CU15" s="913"/>
      <c r="CV15" s="913"/>
      <c r="CW15" s="913"/>
      <c r="CX15" s="913"/>
      <c r="CY15" s="913"/>
      <c r="CZ15" s="913"/>
      <c r="DA15" s="913"/>
      <c r="DB15" s="913"/>
      <c r="DC15" s="913"/>
      <c r="DD15" s="859"/>
      <c r="DE15" s="859"/>
      <c r="DF15" s="859"/>
      <c r="DG15" s="859"/>
      <c r="DH15" s="859"/>
      <c r="DI15" s="859"/>
      <c r="DJ15" s="859"/>
      <c r="DK15" s="859"/>
      <c r="DL15" s="859"/>
      <c r="DM15" s="859"/>
      <c r="DN15" s="859"/>
      <c r="DO15" s="859"/>
      <c r="DP15" s="859"/>
      <c r="DQ15" s="859"/>
      <c r="DR15" s="859"/>
      <c r="DS15" s="859"/>
    </row>
    <row r="16" spans="1:123" ht="17.25" customHeight="1">
      <c r="A16" s="963" t="s">
        <v>2504</v>
      </c>
      <c r="B16" s="854" t="s">
        <v>2312</v>
      </c>
      <c r="C16" s="909">
        <v>199044.86807115094</v>
      </c>
      <c r="D16" s="909">
        <v>199273.87546531469</v>
      </c>
      <c r="E16" s="909">
        <v>200495.96875494719</v>
      </c>
      <c r="F16" s="910">
        <v>211374.12298909877</v>
      </c>
      <c r="G16" s="909">
        <v>209511.00246092153</v>
      </c>
      <c r="H16" s="911">
        <v>214380.85127147011</v>
      </c>
      <c r="I16" s="909">
        <v>216970.39499971044</v>
      </c>
      <c r="J16" s="909">
        <v>213131.13359317151</v>
      </c>
      <c r="K16" s="909">
        <v>210940.86692220892</v>
      </c>
      <c r="L16" s="909">
        <v>213698.30339226313</v>
      </c>
      <c r="M16" s="910">
        <v>222588.12279015593</v>
      </c>
      <c r="N16" s="909">
        <v>224021.10441421121</v>
      </c>
      <c r="O16" s="909">
        <v>224723.73570730275</v>
      </c>
      <c r="P16" s="909">
        <v>229838.18915842168</v>
      </c>
      <c r="Q16" s="909">
        <v>235868.75987431384</v>
      </c>
      <c r="R16" s="909">
        <v>240171.76476980947</v>
      </c>
      <c r="S16" s="909">
        <v>244440.67127370514</v>
      </c>
      <c r="T16" s="909">
        <v>252325.20331988618</v>
      </c>
      <c r="U16" s="909">
        <v>257409.18419898144</v>
      </c>
      <c r="V16" s="909">
        <v>262165.68204397318</v>
      </c>
      <c r="W16" s="909">
        <v>267493.53941010131</v>
      </c>
      <c r="X16" s="909">
        <v>281565.6706634998</v>
      </c>
      <c r="Y16" s="909">
        <v>286015.18726825056</v>
      </c>
      <c r="Z16" s="909">
        <v>293370.46462622704</v>
      </c>
      <c r="AA16" s="909">
        <v>304210.65120580251</v>
      </c>
      <c r="AB16" s="909">
        <v>302206.42017566657</v>
      </c>
      <c r="AC16" s="909">
        <v>304231.07448118116</v>
      </c>
      <c r="AD16" s="909">
        <v>311040.32277567685</v>
      </c>
      <c r="AE16" s="909">
        <v>320397.54983698472</v>
      </c>
      <c r="AF16" s="909">
        <v>331158.09054063866</v>
      </c>
      <c r="AG16" s="909">
        <v>331584.08298876742</v>
      </c>
      <c r="AH16" s="909">
        <v>342869.78521438804</v>
      </c>
      <c r="AI16" s="909">
        <v>348051.61166220682</v>
      </c>
      <c r="AJ16" s="909">
        <v>351947.5163436741</v>
      </c>
      <c r="AK16" s="909">
        <v>361502.89571217826</v>
      </c>
      <c r="AL16" s="909">
        <v>381153.23289374856</v>
      </c>
      <c r="AM16" s="909">
        <v>372472.46521316923</v>
      </c>
      <c r="AN16" s="909">
        <v>379003.75121309294</v>
      </c>
      <c r="AO16" s="909">
        <v>395775.9335207729</v>
      </c>
      <c r="AP16" s="909">
        <v>406834.60189462733</v>
      </c>
      <c r="AQ16" s="909">
        <v>436364.27636165597</v>
      </c>
      <c r="AR16" s="909">
        <v>438699.17790112528</v>
      </c>
      <c r="AS16" s="909">
        <v>437685.23793102987</v>
      </c>
      <c r="AT16" s="909">
        <v>437963.12173500529</v>
      </c>
      <c r="AU16" s="909">
        <v>439346.65455416957</v>
      </c>
      <c r="AV16" s="909">
        <v>424656.87682331202</v>
      </c>
      <c r="AW16" s="909">
        <v>419404.1463423876</v>
      </c>
      <c r="AX16" s="909">
        <v>414458.31451376568</v>
      </c>
      <c r="AY16" s="909">
        <v>410554.79309852852</v>
      </c>
      <c r="AZ16" s="909">
        <v>416485.54505075578</v>
      </c>
      <c r="BA16" s="909">
        <v>424937.65203636384</v>
      </c>
      <c r="BB16" s="909">
        <v>422625.32893888786</v>
      </c>
      <c r="BC16" s="909">
        <v>407640.50574806577</v>
      </c>
      <c r="BD16" s="909">
        <v>401543.06341815571</v>
      </c>
      <c r="BE16" s="909">
        <v>401376.81859416811</v>
      </c>
      <c r="BF16" s="909">
        <v>399243.52598673524</v>
      </c>
      <c r="BG16" s="909">
        <v>405466.44113927928</v>
      </c>
      <c r="BH16" s="909">
        <v>400972.46744072455</v>
      </c>
      <c r="BI16" s="909">
        <v>406537.31378205703</v>
      </c>
      <c r="BJ16" s="909">
        <v>433189.61248306325</v>
      </c>
      <c r="BK16" s="909">
        <v>442087.62024915137</v>
      </c>
      <c r="BL16" s="909">
        <v>441283.6088587023</v>
      </c>
      <c r="BM16" s="909">
        <v>450408.83801341825</v>
      </c>
      <c r="BN16" s="909">
        <v>445690.54504195182</v>
      </c>
      <c r="BO16" s="909">
        <v>443414.1225878126</v>
      </c>
      <c r="BP16" s="909">
        <v>446137.76658484689</v>
      </c>
      <c r="BQ16" s="909">
        <v>459466.78179734439</v>
      </c>
      <c r="BR16" s="909">
        <v>454961.55947965285</v>
      </c>
      <c r="BS16" s="909">
        <v>460404.29006142786</v>
      </c>
      <c r="BT16" s="909">
        <v>464652.66967792017</v>
      </c>
      <c r="BU16" s="909">
        <v>462654.02410401317</v>
      </c>
      <c r="BV16" s="909">
        <v>479648.43227309361</v>
      </c>
      <c r="BW16" s="909">
        <v>488435.90139164717</v>
      </c>
      <c r="BX16" s="909">
        <v>493550.4179817565</v>
      </c>
      <c r="BY16" s="909">
        <v>502263.41366293386</v>
      </c>
      <c r="BZ16" s="909">
        <v>509989.11698373855</v>
      </c>
      <c r="CA16" s="909">
        <v>512171.04834408086</v>
      </c>
      <c r="CB16" s="909">
        <v>521216.10183510539</v>
      </c>
      <c r="CC16" s="909">
        <v>533230.02726011456</v>
      </c>
      <c r="CD16" s="909">
        <v>536867.2763463913</v>
      </c>
      <c r="CE16" s="909">
        <v>525394.7975881641</v>
      </c>
      <c r="CF16" s="909">
        <v>526865.93319035333</v>
      </c>
      <c r="CG16" s="909">
        <v>527549.37775482878</v>
      </c>
      <c r="CH16" s="909">
        <v>536956.54280896531</v>
      </c>
      <c r="CI16" s="909">
        <v>557198.28514259751</v>
      </c>
      <c r="CJ16" s="909">
        <v>549969.14302484749</v>
      </c>
      <c r="CK16" s="909">
        <v>542636.02177314542</v>
      </c>
      <c r="CL16" s="909">
        <v>547270.4549938601</v>
      </c>
      <c r="CM16" s="909">
        <v>562688.6582219745</v>
      </c>
      <c r="CN16" s="909">
        <v>573128.48870609084</v>
      </c>
      <c r="CO16" s="909">
        <v>572836.64611042477</v>
      </c>
      <c r="CP16" s="909">
        <v>567285.89485305955</v>
      </c>
      <c r="CQ16" s="909">
        <v>576052.60663343885</v>
      </c>
      <c r="CR16" s="909">
        <v>565986.73899171792</v>
      </c>
      <c r="CS16" s="909">
        <v>575598.77089072135</v>
      </c>
      <c r="CT16" s="909">
        <v>577173.94285986328</v>
      </c>
      <c r="CU16" s="909">
        <v>580687.38346187875</v>
      </c>
      <c r="CV16" s="909">
        <v>586519.62847970054</v>
      </c>
      <c r="CW16" s="909">
        <v>595701.36300285079</v>
      </c>
      <c r="CX16" s="909">
        <v>588717.21137349878</v>
      </c>
      <c r="CY16" s="909">
        <v>588161.50215942971</v>
      </c>
      <c r="CZ16" s="909">
        <v>595968.39827161573</v>
      </c>
      <c r="DA16" s="909">
        <v>590129.46080587571</v>
      </c>
      <c r="DB16" s="909">
        <v>587569.69376326213</v>
      </c>
      <c r="DC16" s="909">
        <v>586919.09243850491</v>
      </c>
      <c r="DD16" s="855">
        <v>583219.23576268775</v>
      </c>
      <c r="DE16" s="855">
        <v>595577.4291535907</v>
      </c>
      <c r="DF16" s="855">
        <v>602736.20708928129</v>
      </c>
      <c r="DG16" s="855">
        <v>603841.48757523263</v>
      </c>
      <c r="DH16" s="855">
        <v>600239.45313483907</v>
      </c>
      <c r="DI16" s="855">
        <v>609034.50684880477</v>
      </c>
      <c r="DJ16" s="855">
        <v>617477.66437426326</v>
      </c>
      <c r="DK16" s="855">
        <v>627422.99513192452</v>
      </c>
      <c r="DL16" s="855">
        <v>648332.51590198616</v>
      </c>
      <c r="DM16" s="855">
        <v>652051.62483870215</v>
      </c>
      <c r="DN16" s="855">
        <v>649743.91469364008</v>
      </c>
      <c r="DO16" s="855">
        <v>658530.8891699824</v>
      </c>
      <c r="DP16" s="855">
        <v>680706.59086098475</v>
      </c>
      <c r="DQ16" s="855">
        <v>655409.81340131792</v>
      </c>
      <c r="DR16" s="855">
        <v>644279.41312078887</v>
      </c>
      <c r="DS16" s="855">
        <v>642244.30361891037</v>
      </c>
    </row>
    <row r="17" spans="1:123" ht="17.25" customHeight="1">
      <c r="A17" s="964"/>
      <c r="B17" s="858"/>
      <c r="C17" s="913"/>
      <c r="D17" s="913"/>
      <c r="E17" s="913"/>
      <c r="F17" s="914"/>
      <c r="G17" s="913"/>
      <c r="H17" s="915"/>
      <c r="I17" s="913"/>
      <c r="J17" s="913"/>
      <c r="K17" s="913"/>
      <c r="L17" s="913"/>
      <c r="M17" s="914"/>
      <c r="N17" s="913"/>
      <c r="O17" s="913"/>
      <c r="P17" s="913"/>
      <c r="Q17" s="913"/>
      <c r="R17" s="913"/>
      <c r="S17" s="913"/>
      <c r="T17" s="913"/>
      <c r="U17" s="913"/>
      <c r="V17" s="913"/>
      <c r="W17" s="913"/>
      <c r="X17" s="913"/>
      <c r="Y17" s="913"/>
      <c r="Z17" s="913"/>
      <c r="AA17" s="913"/>
      <c r="AB17" s="913"/>
      <c r="AC17" s="913"/>
      <c r="AD17" s="913"/>
      <c r="AE17" s="913"/>
      <c r="AF17" s="913"/>
      <c r="AG17" s="913"/>
      <c r="AH17" s="913"/>
      <c r="AI17" s="913"/>
      <c r="AJ17" s="913"/>
      <c r="AK17" s="913"/>
      <c r="AL17" s="913"/>
      <c r="AM17" s="913"/>
      <c r="AN17" s="913"/>
      <c r="AO17" s="913"/>
      <c r="AP17" s="913"/>
      <c r="AQ17" s="913"/>
      <c r="AR17" s="913"/>
      <c r="AS17" s="913"/>
      <c r="AT17" s="913"/>
      <c r="AU17" s="913"/>
      <c r="AV17" s="913"/>
      <c r="AW17" s="913"/>
      <c r="AX17" s="913"/>
      <c r="AY17" s="913"/>
      <c r="AZ17" s="913"/>
      <c r="BA17" s="913"/>
      <c r="BB17" s="913"/>
      <c r="BC17" s="913"/>
      <c r="BD17" s="913"/>
      <c r="BE17" s="913"/>
      <c r="BF17" s="913"/>
      <c r="BG17" s="913"/>
      <c r="BH17" s="913"/>
      <c r="BI17" s="913"/>
      <c r="BJ17" s="913"/>
      <c r="BK17" s="913"/>
      <c r="BL17" s="913"/>
      <c r="BM17" s="913"/>
      <c r="BN17" s="913"/>
      <c r="BO17" s="913"/>
      <c r="BP17" s="913"/>
      <c r="BQ17" s="913"/>
      <c r="BR17" s="913"/>
      <c r="BS17" s="913"/>
      <c r="BT17" s="913"/>
      <c r="BU17" s="913"/>
      <c r="BV17" s="913"/>
      <c r="BW17" s="913"/>
      <c r="BX17" s="913"/>
      <c r="BY17" s="913"/>
      <c r="BZ17" s="913"/>
      <c r="CA17" s="913"/>
      <c r="CB17" s="913"/>
      <c r="CC17" s="913"/>
      <c r="CD17" s="913"/>
      <c r="CE17" s="913"/>
      <c r="CF17" s="913"/>
      <c r="CG17" s="913"/>
      <c r="CH17" s="913"/>
      <c r="CI17" s="913"/>
      <c r="CJ17" s="913"/>
      <c r="CK17" s="913"/>
      <c r="CL17" s="913"/>
      <c r="CM17" s="913"/>
      <c r="CN17" s="913"/>
      <c r="CO17" s="913"/>
      <c r="CP17" s="913"/>
      <c r="CQ17" s="913"/>
      <c r="CR17" s="913"/>
      <c r="CS17" s="913"/>
      <c r="CT17" s="913"/>
      <c r="CU17" s="913"/>
      <c r="CV17" s="913"/>
      <c r="CW17" s="913"/>
      <c r="CX17" s="913"/>
      <c r="CY17" s="913"/>
      <c r="CZ17" s="913"/>
      <c r="DA17" s="913"/>
      <c r="DB17" s="913"/>
      <c r="DC17" s="913"/>
      <c r="DD17" s="859"/>
      <c r="DE17" s="859"/>
      <c r="DF17" s="859"/>
      <c r="DG17" s="859"/>
      <c r="DH17" s="859"/>
      <c r="DI17" s="859"/>
      <c r="DJ17" s="859"/>
      <c r="DK17" s="859"/>
      <c r="DL17" s="859"/>
      <c r="DM17" s="859"/>
      <c r="DN17" s="859"/>
      <c r="DO17" s="859"/>
      <c r="DP17" s="859"/>
      <c r="DQ17" s="859"/>
      <c r="DR17" s="859"/>
      <c r="DS17" s="859"/>
    </row>
    <row r="18" spans="1:123" ht="17.25" customHeight="1">
      <c r="A18" s="963" t="s">
        <v>2505</v>
      </c>
      <c r="B18" s="854" t="s">
        <v>2506</v>
      </c>
      <c r="C18" s="909">
        <v>5531.3803072675273</v>
      </c>
      <c r="D18" s="909">
        <v>6387.5791570814499</v>
      </c>
      <c r="E18" s="909">
        <v>6435.8123346383036</v>
      </c>
      <c r="F18" s="910">
        <v>6358.3726471190885</v>
      </c>
      <c r="G18" s="909">
        <v>6542.0766587614062</v>
      </c>
      <c r="H18" s="911">
        <v>6668.0273447598711</v>
      </c>
      <c r="I18" s="909">
        <v>6894.7895552277487</v>
      </c>
      <c r="J18" s="909">
        <v>6210.6469639805737</v>
      </c>
      <c r="K18" s="909">
        <v>6506.7939579539252</v>
      </c>
      <c r="L18" s="909">
        <v>6725.2691993683256</v>
      </c>
      <c r="M18" s="910">
        <v>6598.1875387907567</v>
      </c>
      <c r="N18" s="909">
        <v>6278.6362166460058</v>
      </c>
      <c r="O18" s="909">
        <v>7148.2176707650815</v>
      </c>
      <c r="P18" s="909">
        <v>7908.8866773073569</v>
      </c>
      <c r="Q18" s="909">
        <v>8262.1763758011475</v>
      </c>
      <c r="R18" s="909">
        <v>8439.8508473656493</v>
      </c>
      <c r="S18" s="909">
        <v>8876.5765234594801</v>
      </c>
      <c r="T18" s="909">
        <v>9159.1296191671809</v>
      </c>
      <c r="U18" s="909">
        <v>9227.589290234595</v>
      </c>
      <c r="V18" s="909">
        <v>8978.897620083173</v>
      </c>
      <c r="W18" s="909">
        <v>8949.6615872760776</v>
      </c>
      <c r="X18" s="909">
        <v>9163.1837597375415</v>
      </c>
      <c r="Y18" s="909">
        <v>9007.7821756606354</v>
      </c>
      <c r="Z18" s="909">
        <v>9274.506712431059</v>
      </c>
      <c r="AA18" s="909">
        <v>9830.2076527208119</v>
      </c>
      <c r="AB18" s="909">
        <v>9838.630834851343</v>
      </c>
      <c r="AC18" s="909">
        <v>9756.1844034573533</v>
      </c>
      <c r="AD18" s="909">
        <v>10025.473527816757</v>
      </c>
      <c r="AE18" s="909">
        <v>10193.467147840891</v>
      </c>
      <c r="AF18" s="909">
        <v>10055.262286736246</v>
      </c>
      <c r="AG18" s="909">
        <v>9654.0002269930301</v>
      </c>
      <c r="AH18" s="909">
        <v>9300.7369838365121</v>
      </c>
      <c r="AI18" s="909">
        <v>9242.7451026681883</v>
      </c>
      <c r="AJ18" s="909">
        <v>9192.6543237565475</v>
      </c>
      <c r="AK18" s="909">
        <v>9730.5789755466085</v>
      </c>
      <c r="AL18" s="909">
        <v>10188.353875013227</v>
      </c>
      <c r="AM18" s="909">
        <v>10558.961892640469</v>
      </c>
      <c r="AN18" s="909">
        <v>10430.709256339031</v>
      </c>
      <c r="AO18" s="909">
        <v>10420.232326054505</v>
      </c>
      <c r="AP18" s="909">
        <v>10283.576908598152</v>
      </c>
      <c r="AQ18" s="909">
        <v>10541.917578099252</v>
      </c>
      <c r="AR18" s="909">
        <v>10406.70067774412</v>
      </c>
      <c r="AS18" s="909">
        <v>10191.067582308317</v>
      </c>
      <c r="AT18" s="909">
        <v>10658.039614393652</v>
      </c>
      <c r="AU18" s="909">
        <v>10623.769803176141</v>
      </c>
      <c r="AV18" s="909">
        <v>10520.695410769431</v>
      </c>
      <c r="AW18" s="909">
        <v>10959.411512755578</v>
      </c>
      <c r="AX18" s="909">
        <v>11109.244786260213</v>
      </c>
      <c r="AY18" s="909">
        <v>11333.925216700934</v>
      </c>
      <c r="AZ18" s="909">
        <v>11142.604930165548</v>
      </c>
      <c r="BA18" s="909">
        <v>11197.881889352053</v>
      </c>
      <c r="BB18" s="909">
        <v>11521.457824656423</v>
      </c>
      <c r="BC18" s="909">
        <v>11428.483071625669</v>
      </c>
      <c r="BD18" s="909">
        <v>10972.59682197724</v>
      </c>
      <c r="BE18" s="909">
        <v>10744.865053888021</v>
      </c>
      <c r="BF18" s="909">
        <v>10824.733215237027</v>
      </c>
      <c r="BG18" s="909">
        <v>10314.152701945242</v>
      </c>
      <c r="BH18" s="909">
        <v>10598.433889664768</v>
      </c>
      <c r="BI18" s="909">
        <v>10538.736307325125</v>
      </c>
      <c r="BJ18" s="909">
        <v>10865.438622063248</v>
      </c>
      <c r="BK18" s="909">
        <v>11011.583328469778</v>
      </c>
      <c r="BL18" s="909">
        <v>10717.871770146487</v>
      </c>
      <c r="BM18" s="909">
        <v>10656.442933645629</v>
      </c>
      <c r="BN18" s="909">
        <v>10802.052404263091</v>
      </c>
      <c r="BO18" s="909">
        <v>10651.057622400416</v>
      </c>
      <c r="BP18" s="909">
        <v>10829.986002679034</v>
      </c>
      <c r="BQ18" s="909">
        <v>11359.467919985384</v>
      </c>
      <c r="BR18" s="909">
        <v>11304.982898396216</v>
      </c>
      <c r="BS18" s="909">
        <v>14357.840949577105</v>
      </c>
      <c r="BT18" s="909">
        <v>14343.210789106744</v>
      </c>
      <c r="BU18" s="909">
        <v>14222.00636356217</v>
      </c>
      <c r="BV18" s="909">
        <v>14480.126228350526</v>
      </c>
      <c r="BW18" s="909">
        <v>14898.04368517014</v>
      </c>
      <c r="BX18" s="909">
        <v>14758.578493405426</v>
      </c>
      <c r="BY18" s="909">
        <v>14517.367938910365</v>
      </c>
      <c r="BZ18" s="909">
        <v>15764.188411157973</v>
      </c>
      <c r="CA18" s="909">
        <v>15580.806845007333</v>
      </c>
      <c r="CB18" s="909">
        <v>15687.677436771995</v>
      </c>
      <c r="CC18" s="909">
        <v>13019.25104160525</v>
      </c>
      <c r="CD18" s="909">
        <v>12516.397201959582</v>
      </c>
      <c r="CE18" s="909">
        <v>13010.489896758496</v>
      </c>
      <c r="CF18" s="909">
        <v>14424.495194139741</v>
      </c>
      <c r="CG18" s="909">
        <v>15094.444195205204</v>
      </c>
      <c r="CH18" s="909">
        <v>15158.76710254092</v>
      </c>
      <c r="CI18" s="909">
        <v>15562.900465170398</v>
      </c>
      <c r="CJ18" s="909">
        <v>13910.043776192188</v>
      </c>
      <c r="CK18" s="909">
        <v>14241.144984327355</v>
      </c>
      <c r="CL18" s="909">
        <v>13492.500500712837</v>
      </c>
      <c r="CM18" s="909">
        <v>14024.466817268953</v>
      </c>
      <c r="CN18" s="909">
        <v>13762.226982812961</v>
      </c>
      <c r="CO18" s="909">
        <v>14506.032264859767</v>
      </c>
      <c r="CP18" s="909">
        <v>14008.857242580611</v>
      </c>
      <c r="CQ18" s="909">
        <v>13964.903900511505</v>
      </c>
      <c r="CR18" s="909">
        <v>14731.668035126782</v>
      </c>
      <c r="CS18" s="909">
        <v>15675.746735911605</v>
      </c>
      <c r="CT18" s="909">
        <v>17427.129096901157</v>
      </c>
      <c r="CU18" s="909">
        <v>16388.295159861784</v>
      </c>
      <c r="CV18" s="909">
        <v>15684.912529701458</v>
      </c>
      <c r="CW18" s="909">
        <v>14633.007551274062</v>
      </c>
      <c r="CX18" s="909">
        <v>15043.772992744618</v>
      </c>
      <c r="CY18" s="909">
        <v>15907.734889215501</v>
      </c>
      <c r="CZ18" s="909">
        <v>15738.582291339371</v>
      </c>
      <c r="DA18" s="909">
        <v>15373.211958661608</v>
      </c>
      <c r="DB18" s="909">
        <v>15327.034943849416</v>
      </c>
      <c r="DC18" s="909">
        <v>15340.378772302898</v>
      </c>
      <c r="DD18" s="855">
        <v>15795.325884716456</v>
      </c>
      <c r="DE18" s="855">
        <v>16213.914816034627</v>
      </c>
      <c r="DF18" s="855">
        <v>18601.116393538407</v>
      </c>
      <c r="DG18" s="855">
        <v>15283.691793063517</v>
      </c>
      <c r="DH18" s="855">
        <v>17113.54867804559</v>
      </c>
      <c r="DI18" s="855">
        <v>16333.511758810044</v>
      </c>
      <c r="DJ18" s="855">
        <v>15594.449729505366</v>
      </c>
      <c r="DK18" s="855">
        <v>16158.583665514321</v>
      </c>
      <c r="DL18" s="855">
        <v>16403.615938519375</v>
      </c>
      <c r="DM18" s="855">
        <v>16538.728900531834</v>
      </c>
      <c r="DN18" s="855">
        <v>17862.010553343509</v>
      </c>
      <c r="DO18" s="855">
        <v>19291.447846781586</v>
      </c>
      <c r="DP18" s="855">
        <v>20981.512444979417</v>
      </c>
      <c r="DQ18" s="855">
        <v>20499.936429927839</v>
      </c>
      <c r="DR18" s="855">
        <v>20739.10726062227</v>
      </c>
      <c r="DS18" s="855">
        <v>20144.481818450826</v>
      </c>
    </row>
    <row r="19" spans="1:123" ht="17.25" customHeight="1">
      <c r="A19" s="964"/>
      <c r="B19" s="862"/>
      <c r="C19" s="913"/>
      <c r="D19" s="913"/>
      <c r="E19" s="913"/>
      <c r="F19" s="914"/>
      <c r="G19" s="913"/>
      <c r="H19" s="915"/>
      <c r="I19" s="913"/>
      <c r="J19" s="913"/>
      <c r="K19" s="913"/>
      <c r="L19" s="913"/>
      <c r="M19" s="914"/>
      <c r="N19" s="913"/>
      <c r="O19" s="913"/>
      <c r="P19" s="913"/>
      <c r="Q19" s="913"/>
      <c r="R19" s="913"/>
      <c r="S19" s="913"/>
      <c r="T19" s="913"/>
      <c r="U19" s="913"/>
      <c r="V19" s="913"/>
      <c r="W19" s="913"/>
      <c r="X19" s="913"/>
      <c r="Y19" s="913"/>
      <c r="Z19" s="913"/>
      <c r="AA19" s="913"/>
      <c r="AB19" s="913"/>
      <c r="AC19" s="913"/>
      <c r="AD19" s="913"/>
      <c r="AE19" s="913"/>
      <c r="AF19" s="913"/>
      <c r="AG19" s="913"/>
      <c r="AH19" s="913"/>
      <c r="AI19" s="913"/>
      <c r="AJ19" s="913"/>
      <c r="AK19" s="913"/>
      <c r="AL19" s="913"/>
      <c r="AM19" s="913"/>
      <c r="AN19" s="913"/>
      <c r="AO19" s="913"/>
      <c r="AP19" s="913"/>
      <c r="AQ19" s="913"/>
      <c r="AR19" s="913"/>
      <c r="AS19" s="913"/>
      <c r="AT19" s="913"/>
      <c r="AU19" s="913"/>
      <c r="AV19" s="913"/>
      <c r="AW19" s="913"/>
      <c r="AX19" s="913"/>
      <c r="AY19" s="913"/>
      <c r="AZ19" s="913"/>
      <c r="BA19" s="913"/>
      <c r="BB19" s="913"/>
      <c r="BC19" s="913"/>
      <c r="BD19" s="913"/>
      <c r="BE19" s="913"/>
      <c r="BF19" s="913"/>
      <c r="BG19" s="913"/>
      <c r="BH19" s="913"/>
      <c r="BI19" s="913"/>
      <c r="BJ19" s="913"/>
      <c r="BK19" s="913"/>
      <c r="BL19" s="913"/>
      <c r="BM19" s="913"/>
      <c r="BN19" s="913"/>
      <c r="BO19" s="913"/>
      <c r="BP19" s="913"/>
      <c r="BQ19" s="913"/>
      <c r="BR19" s="913"/>
      <c r="BS19" s="913"/>
      <c r="BT19" s="913"/>
      <c r="BU19" s="913"/>
      <c r="BV19" s="913"/>
      <c r="BW19" s="913"/>
      <c r="BX19" s="913"/>
      <c r="BY19" s="913"/>
      <c r="BZ19" s="913"/>
      <c r="CA19" s="913"/>
      <c r="CB19" s="913"/>
      <c r="CC19" s="913"/>
      <c r="CD19" s="913"/>
      <c r="CE19" s="913"/>
      <c r="CF19" s="913"/>
      <c r="CG19" s="913"/>
      <c r="CH19" s="913"/>
      <c r="CI19" s="913"/>
      <c r="CJ19" s="913"/>
      <c r="CK19" s="913"/>
      <c r="CL19" s="913"/>
      <c r="CM19" s="913"/>
      <c r="CN19" s="913"/>
      <c r="CO19" s="913"/>
      <c r="CP19" s="913"/>
      <c r="CQ19" s="913"/>
      <c r="CR19" s="913"/>
      <c r="CS19" s="913"/>
      <c r="CT19" s="913"/>
      <c r="CU19" s="913"/>
      <c r="CV19" s="913"/>
      <c r="CW19" s="913"/>
      <c r="CX19" s="913"/>
      <c r="CY19" s="913"/>
      <c r="CZ19" s="913"/>
      <c r="DA19" s="913"/>
      <c r="DB19" s="913"/>
      <c r="DC19" s="913"/>
      <c r="DD19" s="859"/>
      <c r="DE19" s="859"/>
      <c r="DF19" s="859"/>
      <c r="DG19" s="859"/>
      <c r="DH19" s="859"/>
      <c r="DI19" s="859"/>
      <c r="DJ19" s="859"/>
      <c r="DK19" s="859"/>
      <c r="DL19" s="859"/>
      <c r="DM19" s="859"/>
      <c r="DN19" s="859"/>
      <c r="DO19" s="859"/>
      <c r="DP19" s="859"/>
      <c r="DQ19" s="859"/>
      <c r="DR19" s="859"/>
      <c r="DS19" s="859"/>
    </row>
    <row r="20" spans="1:123" ht="17.25" customHeight="1">
      <c r="A20" s="963" t="s">
        <v>2507</v>
      </c>
      <c r="B20" s="854" t="s">
        <v>2508</v>
      </c>
      <c r="C20" s="909">
        <v>0</v>
      </c>
      <c r="D20" s="909">
        <v>0</v>
      </c>
      <c r="E20" s="909">
        <v>0</v>
      </c>
      <c r="F20" s="910">
        <v>0</v>
      </c>
      <c r="G20" s="909">
        <v>0</v>
      </c>
      <c r="H20" s="911">
        <v>0</v>
      </c>
      <c r="I20" s="909">
        <v>0</v>
      </c>
      <c r="J20" s="909">
        <v>0</v>
      </c>
      <c r="K20" s="909">
        <v>0</v>
      </c>
      <c r="L20" s="909">
        <v>0</v>
      </c>
      <c r="M20" s="910">
        <v>0</v>
      </c>
      <c r="N20" s="909">
        <v>0</v>
      </c>
      <c r="O20" s="909">
        <v>0</v>
      </c>
      <c r="P20" s="909">
        <v>0</v>
      </c>
      <c r="Q20" s="909">
        <v>0</v>
      </c>
      <c r="R20" s="909">
        <v>0</v>
      </c>
      <c r="S20" s="909">
        <v>0</v>
      </c>
      <c r="T20" s="909">
        <v>0</v>
      </c>
      <c r="U20" s="909">
        <v>0</v>
      </c>
      <c r="V20" s="909">
        <v>0</v>
      </c>
      <c r="W20" s="909">
        <v>0</v>
      </c>
      <c r="X20" s="909">
        <v>0</v>
      </c>
      <c r="Y20" s="909">
        <v>0</v>
      </c>
      <c r="Z20" s="909">
        <v>0</v>
      </c>
      <c r="AA20" s="909">
        <v>0</v>
      </c>
      <c r="AB20" s="909">
        <v>0</v>
      </c>
      <c r="AC20" s="909">
        <v>0</v>
      </c>
      <c r="AD20" s="909">
        <v>0</v>
      </c>
      <c r="AE20" s="909">
        <v>0</v>
      </c>
      <c r="AF20" s="909">
        <v>0</v>
      </c>
      <c r="AG20" s="909">
        <v>0</v>
      </c>
      <c r="AH20" s="909">
        <v>0</v>
      </c>
      <c r="AI20" s="909">
        <v>0</v>
      </c>
      <c r="AJ20" s="909">
        <v>0</v>
      </c>
      <c r="AK20" s="909">
        <v>0</v>
      </c>
      <c r="AL20" s="909">
        <v>0</v>
      </c>
      <c r="AM20" s="909">
        <v>0</v>
      </c>
      <c r="AN20" s="909">
        <v>0</v>
      </c>
      <c r="AO20" s="909">
        <v>0</v>
      </c>
      <c r="AP20" s="909">
        <v>0</v>
      </c>
      <c r="AQ20" s="909">
        <v>0</v>
      </c>
      <c r="AR20" s="909">
        <v>0</v>
      </c>
      <c r="AS20" s="909">
        <v>0</v>
      </c>
      <c r="AT20" s="909">
        <v>0</v>
      </c>
      <c r="AU20" s="909">
        <v>0</v>
      </c>
      <c r="AV20" s="909">
        <v>0</v>
      </c>
      <c r="AW20" s="909">
        <v>0</v>
      </c>
      <c r="AX20" s="909">
        <v>0</v>
      </c>
      <c r="AY20" s="909">
        <v>0</v>
      </c>
      <c r="AZ20" s="909">
        <v>0</v>
      </c>
      <c r="BA20" s="909">
        <v>0</v>
      </c>
      <c r="BB20" s="909">
        <v>0</v>
      </c>
      <c r="BC20" s="909">
        <v>0</v>
      </c>
      <c r="BD20" s="909">
        <v>0</v>
      </c>
      <c r="BE20" s="909">
        <v>0</v>
      </c>
      <c r="BF20" s="909">
        <v>0</v>
      </c>
      <c r="BG20" s="909">
        <v>0</v>
      </c>
      <c r="BH20" s="909">
        <v>0</v>
      </c>
      <c r="BI20" s="909">
        <v>0</v>
      </c>
      <c r="BJ20" s="909">
        <v>0</v>
      </c>
      <c r="BK20" s="909">
        <v>0</v>
      </c>
      <c r="BL20" s="909">
        <v>0</v>
      </c>
      <c r="BM20" s="909">
        <v>0</v>
      </c>
      <c r="BN20" s="909">
        <v>0</v>
      </c>
      <c r="BO20" s="909">
        <v>0</v>
      </c>
      <c r="BP20" s="909">
        <v>0</v>
      </c>
      <c r="BQ20" s="909">
        <v>0</v>
      </c>
      <c r="BR20" s="909">
        <v>0</v>
      </c>
      <c r="BS20" s="909">
        <v>0</v>
      </c>
      <c r="BT20" s="909">
        <v>0</v>
      </c>
      <c r="BU20" s="909">
        <v>0</v>
      </c>
      <c r="BV20" s="909">
        <v>0</v>
      </c>
      <c r="BW20" s="909">
        <v>0</v>
      </c>
      <c r="BX20" s="909">
        <v>0</v>
      </c>
      <c r="BY20" s="909">
        <v>0</v>
      </c>
      <c r="BZ20" s="909">
        <v>0</v>
      </c>
      <c r="CA20" s="909">
        <v>0</v>
      </c>
      <c r="CB20" s="909">
        <v>0</v>
      </c>
      <c r="CC20" s="909">
        <v>0</v>
      </c>
      <c r="CD20" s="909">
        <v>0</v>
      </c>
      <c r="CE20" s="909">
        <v>0</v>
      </c>
      <c r="CF20" s="909">
        <v>0</v>
      </c>
      <c r="CG20" s="909">
        <v>0</v>
      </c>
      <c r="CH20" s="909">
        <v>0</v>
      </c>
      <c r="CI20" s="909">
        <v>0</v>
      </c>
      <c r="CJ20" s="909">
        <v>0</v>
      </c>
      <c r="CK20" s="909">
        <v>0</v>
      </c>
      <c r="CL20" s="909">
        <v>0</v>
      </c>
      <c r="CM20" s="909">
        <v>0</v>
      </c>
      <c r="CN20" s="909">
        <v>0</v>
      </c>
      <c r="CO20" s="909">
        <v>0</v>
      </c>
      <c r="CP20" s="909">
        <v>0</v>
      </c>
      <c r="CQ20" s="909">
        <v>0</v>
      </c>
      <c r="CR20" s="909">
        <v>0</v>
      </c>
      <c r="CS20" s="909">
        <v>0</v>
      </c>
      <c r="CT20" s="909">
        <v>0</v>
      </c>
      <c r="CU20" s="909">
        <v>0</v>
      </c>
      <c r="CV20" s="909">
        <v>0</v>
      </c>
      <c r="CW20" s="909">
        <v>0</v>
      </c>
      <c r="CX20" s="909">
        <v>0</v>
      </c>
      <c r="CY20" s="909">
        <v>0</v>
      </c>
      <c r="CZ20" s="909">
        <v>0</v>
      </c>
      <c r="DA20" s="909">
        <v>0</v>
      </c>
      <c r="DB20" s="909">
        <v>0</v>
      </c>
      <c r="DC20" s="909">
        <v>0</v>
      </c>
      <c r="DD20" s="855">
        <v>0</v>
      </c>
      <c r="DE20" s="855">
        <v>0</v>
      </c>
      <c r="DF20" s="855">
        <v>0</v>
      </c>
      <c r="DG20" s="855">
        <v>0</v>
      </c>
      <c r="DH20" s="855">
        <v>0</v>
      </c>
      <c r="DI20" s="855">
        <v>0</v>
      </c>
      <c r="DJ20" s="855">
        <v>0</v>
      </c>
      <c r="DK20" s="855">
        <v>0</v>
      </c>
      <c r="DL20" s="855">
        <v>0</v>
      </c>
      <c r="DM20" s="855">
        <v>0</v>
      </c>
      <c r="DN20" s="855">
        <v>0</v>
      </c>
      <c r="DO20" s="855">
        <v>0</v>
      </c>
      <c r="DP20" s="855">
        <v>0</v>
      </c>
      <c r="DQ20" s="855">
        <v>0</v>
      </c>
      <c r="DR20" s="855">
        <v>0</v>
      </c>
      <c r="DS20" s="855">
        <v>0</v>
      </c>
    </row>
    <row r="21" spans="1:123" ht="17.25" customHeight="1">
      <c r="A21" s="964"/>
      <c r="B21" s="858"/>
      <c r="C21" s="913"/>
      <c r="D21" s="913"/>
      <c r="E21" s="913"/>
      <c r="F21" s="914"/>
      <c r="G21" s="913"/>
      <c r="H21" s="915"/>
      <c r="I21" s="913"/>
      <c r="J21" s="913"/>
      <c r="K21" s="913"/>
      <c r="L21" s="913"/>
      <c r="M21" s="914"/>
      <c r="N21" s="913"/>
      <c r="O21" s="913"/>
      <c r="P21" s="913"/>
      <c r="Q21" s="913"/>
      <c r="R21" s="913"/>
      <c r="S21" s="913"/>
      <c r="T21" s="913"/>
      <c r="U21" s="913"/>
      <c r="V21" s="913"/>
      <c r="W21" s="913"/>
      <c r="X21" s="913"/>
      <c r="Y21" s="913"/>
      <c r="Z21" s="913"/>
      <c r="AA21" s="913"/>
      <c r="AB21" s="913"/>
      <c r="AC21" s="913"/>
      <c r="AD21" s="913"/>
      <c r="AE21" s="913"/>
      <c r="AF21" s="913"/>
      <c r="AG21" s="913"/>
      <c r="AH21" s="913"/>
      <c r="AI21" s="913"/>
      <c r="AJ21" s="913"/>
      <c r="AK21" s="913"/>
      <c r="AL21" s="913"/>
      <c r="AM21" s="913"/>
      <c r="AN21" s="913"/>
      <c r="AO21" s="913"/>
      <c r="AP21" s="913"/>
      <c r="AQ21" s="913"/>
      <c r="AR21" s="913"/>
      <c r="AS21" s="913"/>
      <c r="AT21" s="913"/>
      <c r="AU21" s="913"/>
      <c r="AV21" s="913"/>
      <c r="AW21" s="913"/>
      <c r="AX21" s="913"/>
      <c r="AY21" s="913"/>
      <c r="AZ21" s="913"/>
      <c r="BA21" s="913"/>
      <c r="BB21" s="913"/>
      <c r="BC21" s="913"/>
      <c r="BD21" s="913"/>
      <c r="BE21" s="913"/>
      <c r="BF21" s="913"/>
      <c r="BG21" s="913"/>
      <c r="BH21" s="913"/>
      <c r="BI21" s="913"/>
      <c r="BJ21" s="913"/>
      <c r="BK21" s="913"/>
      <c r="BL21" s="913"/>
      <c r="BM21" s="913"/>
      <c r="BN21" s="913"/>
      <c r="BO21" s="913"/>
      <c r="BP21" s="913"/>
      <c r="BQ21" s="913"/>
      <c r="BR21" s="913"/>
      <c r="BS21" s="913"/>
      <c r="BT21" s="913"/>
      <c r="BU21" s="913"/>
      <c r="BV21" s="913"/>
      <c r="BW21" s="913"/>
      <c r="BX21" s="913"/>
      <c r="BY21" s="913"/>
      <c r="BZ21" s="913"/>
      <c r="CA21" s="913"/>
      <c r="CB21" s="913"/>
      <c r="CC21" s="913"/>
      <c r="CD21" s="913"/>
      <c r="CE21" s="913"/>
      <c r="CF21" s="913"/>
      <c r="CG21" s="913"/>
      <c r="CH21" s="913"/>
      <c r="CI21" s="913"/>
      <c r="CJ21" s="913"/>
      <c r="CK21" s="913"/>
      <c r="CL21" s="913"/>
      <c r="CM21" s="913"/>
      <c r="CN21" s="913"/>
      <c r="CO21" s="913"/>
      <c r="CP21" s="913"/>
      <c r="CQ21" s="913"/>
      <c r="CR21" s="913"/>
      <c r="CS21" s="913"/>
      <c r="CT21" s="913"/>
      <c r="CU21" s="913"/>
      <c r="CV21" s="913"/>
      <c r="CW21" s="913"/>
      <c r="CX21" s="913"/>
      <c r="CY21" s="913"/>
      <c r="CZ21" s="913"/>
      <c r="DA21" s="913"/>
      <c r="DB21" s="913"/>
      <c r="DC21" s="913"/>
      <c r="DD21" s="859"/>
      <c r="DE21" s="859"/>
      <c r="DF21" s="859"/>
      <c r="DG21" s="859"/>
      <c r="DH21" s="859"/>
      <c r="DI21" s="859"/>
      <c r="DJ21" s="859"/>
      <c r="DK21" s="859"/>
      <c r="DL21" s="859"/>
      <c r="DM21" s="859"/>
      <c r="DN21" s="859"/>
      <c r="DO21" s="859"/>
      <c r="DP21" s="859"/>
      <c r="DQ21" s="859"/>
      <c r="DR21" s="859"/>
      <c r="DS21" s="859"/>
    </row>
    <row r="22" spans="1:123" ht="17.25" customHeight="1">
      <c r="A22" s="963" t="s">
        <v>2509</v>
      </c>
      <c r="B22" s="854" t="s">
        <v>2510</v>
      </c>
      <c r="C22" s="909">
        <v>26183.901282920287</v>
      </c>
      <c r="D22" s="909">
        <v>30920.629340638301</v>
      </c>
      <c r="E22" s="909">
        <v>30127.544491920886</v>
      </c>
      <c r="F22" s="910">
        <v>27572.021538983245</v>
      </c>
      <c r="G22" s="909">
        <v>33933.736539922735</v>
      </c>
      <c r="H22" s="911">
        <v>32760.140197956243</v>
      </c>
      <c r="I22" s="909">
        <v>30932.200626476388</v>
      </c>
      <c r="J22" s="909">
        <v>36789.194293661276</v>
      </c>
      <c r="K22" s="909">
        <v>38716.69300264043</v>
      </c>
      <c r="L22" s="909">
        <v>35113.899233169977</v>
      </c>
      <c r="M22" s="910">
        <v>38261.367843577915</v>
      </c>
      <c r="N22" s="909">
        <v>35373.730196793753</v>
      </c>
      <c r="O22" s="909">
        <v>30702.881672898991</v>
      </c>
      <c r="P22" s="909">
        <v>24608.514195546501</v>
      </c>
      <c r="Q22" s="909">
        <v>23590.456271051909</v>
      </c>
      <c r="R22" s="909">
        <v>26051.634146052649</v>
      </c>
      <c r="S22" s="909">
        <v>23754.468337843799</v>
      </c>
      <c r="T22" s="909">
        <v>26204.682153106383</v>
      </c>
      <c r="U22" s="909">
        <v>20675.033267786333</v>
      </c>
      <c r="V22" s="909">
        <v>22950.153968386727</v>
      </c>
      <c r="W22" s="909">
        <v>23418.528605273306</v>
      </c>
      <c r="X22" s="909">
        <v>25423.366629636468</v>
      </c>
      <c r="Y22" s="909">
        <v>29513.872719127681</v>
      </c>
      <c r="Z22" s="909">
        <v>23818.396172333396</v>
      </c>
      <c r="AA22" s="909">
        <v>34451.741724165789</v>
      </c>
      <c r="AB22" s="909">
        <v>33222.715717653664</v>
      </c>
      <c r="AC22" s="909">
        <v>30110.290967177945</v>
      </c>
      <c r="AD22" s="909">
        <v>28922.717702781105</v>
      </c>
      <c r="AE22" s="909">
        <v>34532.161147931627</v>
      </c>
      <c r="AF22" s="909">
        <v>30103.844928940875</v>
      </c>
      <c r="AG22" s="909">
        <v>26603.276718278383</v>
      </c>
      <c r="AH22" s="909">
        <v>26714.359443100075</v>
      </c>
      <c r="AI22" s="909">
        <v>40370.62161006096</v>
      </c>
      <c r="AJ22" s="909">
        <v>42571.506750741144</v>
      </c>
      <c r="AK22" s="909">
        <v>34963.558149141951</v>
      </c>
      <c r="AL22" s="909">
        <v>38700.580017500237</v>
      </c>
      <c r="AM22" s="909">
        <v>38769.383876147826</v>
      </c>
      <c r="AN22" s="909">
        <v>38750.924156272849</v>
      </c>
      <c r="AO22" s="909">
        <v>41982.447517360888</v>
      </c>
      <c r="AP22" s="909">
        <v>37091.78975061958</v>
      </c>
      <c r="AQ22" s="909">
        <v>57479.341437148803</v>
      </c>
      <c r="AR22" s="909">
        <v>42436.091494125823</v>
      </c>
      <c r="AS22" s="909">
        <v>48467.510631874728</v>
      </c>
      <c r="AT22" s="909">
        <v>43766.19374855388</v>
      </c>
      <c r="AU22" s="909">
        <v>43751.220261671922</v>
      </c>
      <c r="AV22" s="909">
        <v>43168.524312416805</v>
      </c>
      <c r="AW22" s="909">
        <v>54777.149352958186</v>
      </c>
      <c r="AX22" s="909">
        <v>56565.334847755534</v>
      </c>
      <c r="AY22" s="909">
        <v>70806.799089933018</v>
      </c>
      <c r="AZ22" s="909">
        <v>90527.344397130335</v>
      </c>
      <c r="BA22" s="909">
        <v>96028.651392077169</v>
      </c>
      <c r="BB22" s="909">
        <v>76118.656717261925</v>
      </c>
      <c r="BC22" s="909">
        <v>80474.430639867147</v>
      </c>
      <c r="BD22" s="909">
        <v>77218.847195249997</v>
      </c>
      <c r="BE22" s="909">
        <v>98721.071718576917</v>
      </c>
      <c r="BF22" s="909">
        <v>111246.1864692542</v>
      </c>
      <c r="BG22" s="909">
        <v>123630.10038815008</v>
      </c>
      <c r="BH22" s="909">
        <v>137628.01191243459</v>
      </c>
      <c r="BI22" s="909">
        <v>145174.68787323617</v>
      </c>
      <c r="BJ22" s="909">
        <v>179768.03997429187</v>
      </c>
      <c r="BK22" s="909">
        <v>170478.7823330292</v>
      </c>
      <c r="BL22" s="909">
        <v>161000.1806050069</v>
      </c>
      <c r="BM22" s="909">
        <v>164772.99928111248</v>
      </c>
      <c r="BN22" s="909">
        <v>180117.91477136695</v>
      </c>
      <c r="BO22" s="909">
        <v>196966.81957067244</v>
      </c>
      <c r="BP22" s="909">
        <v>164974.35568354317</v>
      </c>
      <c r="BQ22" s="909">
        <v>205532.71512867292</v>
      </c>
      <c r="BR22" s="909">
        <v>233615.43440302191</v>
      </c>
      <c r="BS22" s="909">
        <v>237429.01184841729</v>
      </c>
      <c r="BT22" s="909">
        <v>229439.60619730927</v>
      </c>
      <c r="BU22" s="909">
        <v>264086.64914514747</v>
      </c>
      <c r="BV22" s="909">
        <v>227132.10828651127</v>
      </c>
      <c r="BW22" s="909">
        <v>243937.36260248709</v>
      </c>
      <c r="BX22" s="909">
        <v>234468.511852241</v>
      </c>
      <c r="BY22" s="909">
        <v>223431.57729376826</v>
      </c>
      <c r="BZ22" s="909">
        <v>280749.98540102836</v>
      </c>
      <c r="CA22" s="909">
        <v>259276.10367702376</v>
      </c>
      <c r="CB22" s="909">
        <v>238813.20075755485</v>
      </c>
      <c r="CC22" s="909">
        <v>291326.19892175758</v>
      </c>
      <c r="CD22" s="909">
        <v>332228.6903683822</v>
      </c>
      <c r="CE22" s="909">
        <v>366057.60420105705</v>
      </c>
      <c r="CF22" s="909">
        <v>332692.92225448351</v>
      </c>
      <c r="CG22" s="909">
        <v>306885.93879038072</v>
      </c>
      <c r="CH22" s="909">
        <v>326897.43717744708</v>
      </c>
      <c r="CI22" s="909">
        <v>345977.21981359209</v>
      </c>
      <c r="CJ22" s="909">
        <v>356196.03470418812</v>
      </c>
      <c r="CK22" s="909">
        <v>345138.7756166319</v>
      </c>
      <c r="CL22" s="909">
        <v>352278.96527660429</v>
      </c>
      <c r="CM22" s="909">
        <v>331072.12614123517</v>
      </c>
      <c r="CN22" s="909">
        <v>288516.44618739793</v>
      </c>
      <c r="CO22" s="909">
        <v>281109.40385980502</v>
      </c>
      <c r="CP22" s="909">
        <v>298079.43139751867</v>
      </c>
      <c r="CQ22" s="909">
        <v>298951.46021708444</v>
      </c>
      <c r="CR22" s="909">
        <v>308166.34326273529</v>
      </c>
      <c r="CS22" s="909">
        <v>284867.13106017641</v>
      </c>
      <c r="CT22" s="909">
        <v>297357.83912524022</v>
      </c>
      <c r="CU22" s="909">
        <v>295323.93049225374</v>
      </c>
      <c r="CV22" s="909">
        <v>314515.56371994573</v>
      </c>
      <c r="CW22" s="909">
        <v>370297.8490114939</v>
      </c>
      <c r="CX22" s="909">
        <v>363107.71730177087</v>
      </c>
      <c r="CY22" s="909">
        <v>312843.50544339872</v>
      </c>
      <c r="CZ22" s="909">
        <v>290773.28742760501</v>
      </c>
      <c r="DA22" s="909">
        <v>245961.29706358048</v>
      </c>
      <c r="DB22" s="909">
        <v>228788.83545939447</v>
      </c>
      <c r="DC22" s="909">
        <v>236889.84815945203</v>
      </c>
      <c r="DD22" s="855">
        <v>224507.99969644891</v>
      </c>
      <c r="DE22" s="855">
        <v>216242.61411776507</v>
      </c>
      <c r="DF22" s="855">
        <v>210178.16381137507</v>
      </c>
      <c r="DG22" s="855">
        <v>199296.28029635065</v>
      </c>
      <c r="DH22" s="855">
        <v>162926.06365316006</v>
      </c>
      <c r="DI22" s="855">
        <v>137350.36057499834</v>
      </c>
      <c r="DJ22" s="855">
        <v>168027.54636504498</v>
      </c>
      <c r="DK22" s="855">
        <v>151683.13655269722</v>
      </c>
      <c r="DL22" s="855">
        <v>140420.28511015893</v>
      </c>
      <c r="DM22" s="855">
        <v>146732.48401225373</v>
      </c>
      <c r="DN22" s="855">
        <v>145309.89309986381</v>
      </c>
      <c r="DO22" s="855">
        <v>146940.14293640625</v>
      </c>
      <c r="DP22" s="855">
        <v>181061.12408194668</v>
      </c>
      <c r="DQ22" s="855">
        <v>183160.03853034083</v>
      </c>
      <c r="DR22" s="855">
        <v>174470.07187032959</v>
      </c>
      <c r="DS22" s="855">
        <v>146450.01639286181</v>
      </c>
    </row>
    <row r="23" spans="1:123" ht="17.25" customHeight="1">
      <c r="A23" s="964"/>
      <c r="B23" s="858"/>
      <c r="C23" s="913"/>
      <c r="D23" s="913"/>
      <c r="E23" s="913"/>
      <c r="F23" s="914"/>
      <c r="G23" s="913"/>
      <c r="H23" s="915"/>
      <c r="I23" s="913"/>
      <c r="J23" s="913"/>
      <c r="K23" s="913"/>
      <c r="L23" s="913"/>
      <c r="M23" s="914"/>
      <c r="N23" s="913"/>
      <c r="O23" s="913"/>
      <c r="P23" s="913"/>
      <c r="Q23" s="913"/>
      <c r="R23" s="913"/>
      <c r="S23" s="913"/>
      <c r="T23" s="913"/>
      <c r="U23" s="913"/>
      <c r="V23" s="913"/>
      <c r="W23" s="913"/>
      <c r="X23" s="913"/>
      <c r="Y23" s="913"/>
      <c r="Z23" s="913"/>
      <c r="AA23" s="913"/>
      <c r="AB23" s="913"/>
      <c r="AC23" s="913"/>
      <c r="AD23" s="913"/>
      <c r="AE23" s="913"/>
      <c r="AF23" s="913"/>
      <c r="AG23" s="913"/>
      <c r="AH23" s="913"/>
      <c r="AI23" s="913"/>
      <c r="AJ23" s="913"/>
      <c r="AK23" s="913"/>
      <c r="AL23" s="913"/>
      <c r="AM23" s="913"/>
      <c r="AN23" s="913"/>
      <c r="AO23" s="913"/>
      <c r="AP23" s="913"/>
      <c r="AQ23" s="913"/>
      <c r="AR23" s="913"/>
      <c r="AS23" s="913"/>
      <c r="AT23" s="913"/>
      <c r="AU23" s="913"/>
      <c r="AV23" s="913"/>
      <c r="AW23" s="913"/>
      <c r="AX23" s="913"/>
      <c r="AY23" s="913"/>
      <c r="AZ23" s="913"/>
      <c r="BA23" s="913"/>
      <c r="BB23" s="913"/>
      <c r="BC23" s="913"/>
      <c r="BD23" s="913"/>
      <c r="BE23" s="913"/>
      <c r="BF23" s="913"/>
      <c r="BG23" s="913"/>
      <c r="BH23" s="913"/>
      <c r="BI23" s="913"/>
      <c r="BJ23" s="913"/>
      <c r="BK23" s="913"/>
      <c r="BL23" s="913"/>
      <c r="BM23" s="913"/>
      <c r="BN23" s="913"/>
      <c r="BO23" s="913"/>
      <c r="BP23" s="913"/>
      <c r="BQ23" s="913"/>
      <c r="BR23" s="913"/>
      <c r="BS23" s="913"/>
      <c r="BT23" s="913"/>
      <c r="BU23" s="913"/>
      <c r="BV23" s="913"/>
      <c r="BW23" s="913"/>
      <c r="BX23" s="913"/>
      <c r="BY23" s="913"/>
      <c r="BZ23" s="913"/>
      <c r="CA23" s="913"/>
      <c r="CB23" s="913"/>
      <c r="CC23" s="913"/>
      <c r="CD23" s="913"/>
      <c r="CE23" s="913"/>
      <c r="CF23" s="913"/>
      <c r="CG23" s="913"/>
      <c r="CH23" s="913"/>
      <c r="CI23" s="913"/>
      <c r="CJ23" s="913"/>
      <c r="CK23" s="913"/>
      <c r="CL23" s="913"/>
      <c r="CM23" s="913"/>
      <c r="CN23" s="913"/>
      <c r="CO23" s="913"/>
      <c r="CP23" s="913"/>
      <c r="CQ23" s="913"/>
      <c r="CR23" s="913"/>
      <c r="CS23" s="913"/>
      <c r="CT23" s="913"/>
      <c r="CU23" s="913"/>
      <c r="CV23" s="913"/>
      <c r="CW23" s="913"/>
      <c r="CX23" s="913"/>
      <c r="CY23" s="913"/>
      <c r="CZ23" s="913"/>
      <c r="DA23" s="913"/>
      <c r="DB23" s="913"/>
      <c r="DC23" s="913"/>
      <c r="DD23" s="859"/>
      <c r="DE23" s="859"/>
      <c r="DF23" s="859"/>
      <c r="DG23" s="859"/>
      <c r="DH23" s="859"/>
      <c r="DI23" s="859"/>
      <c r="DJ23" s="859"/>
      <c r="DK23" s="859"/>
      <c r="DL23" s="859"/>
      <c r="DM23" s="859"/>
      <c r="DN23" s="859"/>
      <c r="DO23" s="859"/>
      <c r="DP23" s="859"/>
      <c r="DQ23" s="859"/>
      <c r="DR23" s="859"/>
      <c r="DS23" s="859"/>
    </row>
    <row r="24" spans="1:123" ht="17.25" customHeight="1">
      <c r="A24" s="963" t="s">
        <v>2511</v>
      </c>
      <c r="B24" s="854" t="s">
        <v>2512</v>
      </c>
      <c r="C24" s="909">
        <v>6383.2490385549081</v>
      </c>
      <c r="D24" s="909">
        <v>6649.8405896661707</v>
      </c>
      <c r="E24" s="909">
        <v>7114.2721878804759</v>
      </c>
      <c r="F24" s="910">
        <v>8514.2723916826089</v>
      </c>
      <c r="G24" s="909">
        <v>7303.9531977657052</v>
      </c>
      <c r="H24" s="911">
        <v>6915.06683532226</v>
      </c>
      <c r="I24" s="909">
        <v>7351.6898221375768</v>
      </c>
      <c r="J24" s="909">
        <v>7413.8849713734871</v>
      </c>
      <c r="K24" s="909">
        <v>7834.4323220745764</v>
      </c>
      <c r="L24" s="909">
        <v>7607.2765266712577</v>
      </c>
      <c r="M24" s="910">
        <v>8447.5385416162244</v>
      </c>
      <c r="N24" s="909">
        <v>8554.2135511803626</v>
      </c>
      <c r="O24" s="909">
        <v>9073.511018862926</v>
      </c>
      <c r="P24" s="909">
        <v>5899.4864869296798</v>
      </c>
      <c r="Q24" s="909">
        <v>6416.5738889620161</v>
      </c>
      <c r="R24" s="909">
        <v>8286.586384338043</v>
      </c>
      <c r="S24" s="909">
        <v>8298.6934993518025</v>
      </c>
      <c r="T24" s="909">
        <v>8975.7309610712982</v>
      </c>
      <c r="U24" s="909">
        <v>8215.2288523839616</v>
      </c>
      <c r="V24" s="909">
        <v>7728.3014778496608</v>
      </c>
      <c r="W24" s="909">
        <v>8629.2179477669088</v>
      </c>
      <c r="X24" s="909">
        <v>9340.7354288686456</v>
      </c>
      <c r="Y24" s="909">
        <v>12455.983672407905</v>
      </c>
      <c r="Z24" s="909">
        <v>13814.342736707898</v>
      </c>
      <c r="AA24" s="909">
        <v>14568.723427268338</v>
      </c>
      <c r="AB24" s="909">
        <v>12229.331331489073</v>
      </c>
      <c r="AC24" s="909">
        <v>12616.693411344611</v>
      </c>
      <c r="AD24" s="909">
        <v>11780.312898310107</v>
      </c>
      <c r="AE24" s="909">
        <v>12642.616229038504</v>
      </c>
      <c r="AF24" s="909">
        <v>11514.791850246491</v>
      </c>
      <c r="AG24" s="909">
        <v>11408.89432211054</v>
      </c>
      <c r="AH24" s="909">
        <v>12066.10625621072</v>
      </c>
      <c r="AI24" s="909">
        <v>12795.007061236227</v>
      </c>
      <c r="AJ24" s="909">
        <v>13327.70138321153</v>
      </c>
      <c r="AK24" s="909">
        <v>12470.688510267537</v>
      </c>
      <c r="AL24" s="909">
        <v>12401.375957310336</v>
      </c>
      <c r="AM24" s="909">
        <v>16578.990062358636</v>
      </c>
      <c r="AN24" s="909">
        <v>14233.110935510573</v>
      </c>
      <c r="AO24" s="909">
        <v>11871.338927178003</v>
      </c>
      <c r="AP24" s="909">
        <v>13742.275090813202</v>
      </c>
      <c r="AQ24" s="909">
        <v>16301.614131301429</v>
      </c>
      <c r="AR24" s="909">
        <v>14028.447093499477</v>
      </c>
      <c r="AS24" s="909">
        <v>14139.58602274734</v>
      </c>
      <c r="AT24" s="909">
        <v>11506.650629684891</v>
      </c>
      <c r="AU24" s="909">
        <v>12165.676450732737</v>
      </c>
      <c r="AV24" s="909">
        <v>13579.916542724737</v>
      </c>
      <c r="AW24" s="909">
        <v>12725.279247709694</v>
      </c>
      <c r="AX24" s="909">
        <v>12737.41604833714</v>
      </c>
      <c r="AY24" s="909">
        <v>12124.612961108782</v>
      </c>
      <c r="AZ24" s="909">
        <v>11017.24773704162</v>
      </c>
      <c r="BA24" s="909">
        <v>11875.871985426129</v>
      </c>
      <c r="BB24" s="909">
        <v>11104.933083112432</v>
      </c>
      <c r="BC24" s="909">
        <v>10153.916028146237</v>
      </c>
      <c r="BD24" s="909">
        <v>10149.670348070938</v>
      </c>
      <c r="BE24" s="909">
        <v>12306.792525007198</v>
      </c>
      <c r="BF24" s="909">
        <v>12112.721526070703</v>
      </c>
      <c r="BG24" s="909">
        <v>11582.558207341845</v>
      </c>
      <c r="BH24" s="909">
        <v>9518.4790455101702</v>
      </c>
      <c r="BI24" s="909">
        <v>8681.0042345374677</v>
      </c>
      <c r="BJ24" s="909">
        <v>7713.9847456788284</v>
      </c>
      <c r="BK24" s="909">
        <v>10163.115702151084</v>
      </c>
      <c r="BL24" s="909">
        <v>12977.486856481886</v>
      </c>
      <c r="BM24" s="909">
        <v>9168.8171159211252</v>
      </c>
      <c r="BN24" s="909">
        <v>8811.5464913536125</v>
      </c>
      <c r="BO24" s="909">
        <v>11821.644279738002</v>
      </c>
      <c r="BP24" s="909">
        <v>13645.589335515086</v>
      </c>
      <c r="BQ24" s="909">
        <v>13612.214057874427</v>
      </c>
      <c r="BR24" s="909">
        <v>13680.717392060966</v>
      </c>
      <c r="BS24" s="909">
        <v>12760.772569695599</v>
      </c>
      <c r="BT24" s="909">
        <v>24013.506030372882</v>
      </c>
      <c r="BU24" s="909">
        <v>23013.201073529097</v>
      </c>
      <c r="BV24" s="909">
        <v>18677.003819306119</v>
      </c>
      <c r="BW24" s="909">
        <v>16736.971253524825</v>
      </c>
      <c r="BX24" s="909">
        <v>16341.12426787452</v>
      </c>
      <c r="BY24" s="909">
        <v>8331.8106840226228</v>
      </c>
      <c r="BZ24" s="909">
        <v>18461.318596219749</v>
      </c>
      <c r="CA24" s="909">
        <v>18557.850228962649</v>
      </c>
      <c r="CB24" s="909">
        <v>20120.93315196945</v>
      </c>
      <c r="CC24" s="909">
        <v>21892.161488708211</v>
      </c>
      <c r="CD24" s="909">
        <v>19769.976753474097</v>
      </c>
      <c r="CE24" s="909">
        <v>19424.047709338327</v>
      </c>
      <c r="CF24" s="909">
        <v>18861.794187661322</v>
      </c>
      <c r="CG24" s="909">
        <v>20053.202827854817</v>
      </c>
      <c r="CH24" s="909">
        <v>25084.961723414857</v>
      </c>
      <c r="CI24" s="909">
        <v>24469.048413259949</v>
      </c>
      <c r="CJ24" s="909">
        <v>23530.975873098447</v>
      </c>
      <c r="CK24" s="909">
        <v>22241.974738439789</v>
      </c>
      <c r="CL24" s="909">
        <v>21840.044962163753</v>
      </c>
      <c r="CM24" s="909">
        <v>20331.502870957593</v>
      </c>
      <c r="CN24" s="909">
        <v>19280.85071621116</v>
      </c>
      <c r="CO24" s="909">
        <v>27604.694450787036</v>
      </c>
      <c r="CP24" s="909">
        <v>26935.272888946314</v>
      </c>
      <c r="CQ24" s="909">
        <v>26263.908825751721</v>
      </c>
      <c r="CR24" s="909">
        <v>23970.443309422441</v>
      </c>
      <c r="CS24" s="909">
        <v>24072.447682477483</v>
      </c>
      <c r="CT24" s="909">
        <v>21775.253964864623</v>
      </c>
      <c r="CU24" s="909">
        <v>23393.112546856104</v>
      </c>
      <c r="CV24" s="909">
        <v>25576.786002686127</v>
      </c>
      <c r="CW24" s="909">
        <v>26435.227941971436</v>
      </c>
      <c r="CX24" s="909">
        <v>25675.635647600808</v>
      </c>
      <c r="CY24" s="909">
        <v>22615.936895204573</v>
      </c>
      <c r="CZ24" s="909">
        <v>14873.142389816247</v>
      </c>
      <c r="DA24" s="909">
        <v>14760.620502544829</v>
      </c>
      <c r="DB24" s="909">
        <v>14726.619122892487</v>
      </c>
      <c r="DC24" s="909">
        <v>16138.105107426947</v>
      </c>
      <c r="DD24" s="855">
        <v>13998.813096603109</v>
      </c>
      <c r="DE24" s="855">
        <v>14965.689715532197</v>
      </c>
      <c r="DF24" s="855">
        <v>15091.165610121518</v>
      </c>
      <c r="DG24" s="855">
        <v>16380.913855891731</v>
      </c>
      <c r="DH24" s="855">
        <v>15437.529762923561</v>
      </c>
      <c r="DI24" s="855">
        <v>16929.732938862195</v>
      </c>
      <c r="DJ24" s="855">
        <v>18409.350164106458</v>
      </c>
      <c r="DK24" s="855">
        <v>16625.771401019141</v>
      </c>
      <c r="DL24" s="855">
        <v>17474.593291096346</v>
      </c>
      <c r="DM24" s="855">
        <v>17038.991399696199</v>
      </c>
      <c r="DN24" s="855">
        <v>18456.822239132885</v>
      </c>
      <c r="DO24" s="855">
        <v>17768.908608686761</v>
      </c>
      <c r="DP24" s="855">
        <v>18592.736764077152</v>
      </c>
      <c r="DQ24" s="855">
        <v>18909.718441675181</v>
      </c>
      <c r="DR24" s="855">
        <v>18055.551455303881</v>
      </c>
      <c r="DS24" s="855">
        <v>18153.567145530498</v>
      </c>
    </row>
    <row r="25" spans="1:123" ht="17.25" customHeight="1">
      <c r="A25" s="964"/>
      <c r="B25" s="858"/>
      <c r="C25" s="913"/>
      <c r="D25" s="913"/>
      <c r="E25" s="913"/>
      <c r="F25" s="914"/>
      <c r="G25" s="913"/>
      <c r="H25" s="915"/>
      <c r="I25" s="913"/>
      <c r="J25" s="913"/>
      <c r="K25" s="913"/>
      <c r="L25" s="913"/>
      <c r="M25" s="914"/>
      <c r="N25" s="913"/>
      <c r="O25" s="913"/>
      <c r="P25" s="913"/>
      <c r="Q25" s="913"/>
      <c r="R25" s="913"/>
      <c r="S25" s="913"/>
      <c r="T25" s="913"/>
      <c r="U25" s="913"/>
      <c r="V25" s="913"/>
      <c r="W25" s="913"/>
      <c r="X25" s="913"/>
      <c r="Y25" s="913"/>
      <c r="Z25" s="913"/>
      <c r="AA25" s="913"/>
      <c r="AB25" s="913"/>
      <c r="AC25" s="913"/>
      <c r="AD25" s="913"/>
      <c r="AE25" s="913"/>
      <c r="AF25" s="913"/>
      <c r="AG25" s="913"/>
      <c r="AH25" s="913"/>
      <c r="AI25" s="913"/>
      <c r="AJ25" s="913"/>
      <c r="AK25" s="913"/>
      <c r="AL25" s="913"/>
      <c r="AM25" s="913"/>
      <c r="AN25" s="913"/>
      <c r="AO25" s="913"/>
      <c r="AP25" s="913"/>
      <c r="AQ25" s="913"/>
      <c r="AR25" s="913"/>
      <c r="AS25" s="913"/>
      <c r="AT25" s="913"/>
      <c r="AU25" s="913"/>
      <c r="AV25" s="913"/>
      <c r="AW25" s="913"/>
      <c r="AX25" s="913"/>
      <c r="AY25" s="913"/>
      <c r="AZ25" s="913"/>
      <c r="BA25" s="913"/>
      <c r="BB25" s="913"/>
      <c r="BC25" s="913"/>
      <c r="BD25" s="913"/>
      <c r="BE25" s="913"/>
      <c r="BF25" s="913"/>
      <c r="BG25" s="913"/>
      <c r="BH25" s="913"/>
      <c r="BI25" s="913"/>
      <c r="BJ25" s="913"/>
      <c r="BK25" s="913"/>
      <c r="BL25" s="913"/>
      <c r="BM25" s="913"/>
      <c r="BN25" s="913"/>
      <c r="BO25" s="913"/>
      <c r="BP25" s="913"/>
      <c r="BQ25" s="913"/>
      <c r="BR25" s="913"/>
      <c r="BS25" s="913"/>
      <c r="BT25" s="913"/>
      <c r="BU25" s="913"/>
      <c r="BV25" s="913"/>
      <c r="BW25" s="913"/>
      <c r="BX25" s="913"/>
      <c r="BY25" s="913"/>
      <c r="BZ25" s="913"/>
      <c r="CA25" s="913"/>
      <c r="CB25" s="913"/>
      <c r="CC25" s="913"/>
      <c r="CD25" s="913"/>
      <c r="CE25" s="913"/>
      <c r="CF25" s="913"/>
      <c r="CG25" s="913"/>
      <c r="CH25" s="913"/>
      <c r="CI25" s="913"/>
      <c r="CJ25" s="913"/>
      <c r="CK25" s="913"/>
      <c r="CL25" s="913"/>
      <c r="CM25" s="913"/>
      <c r="CN25" s="913"/>
      <c r="CO25" s="913"/>
      <c r="CP25" s="913"/>
      <c r="CQ25" s="913"/>
      <c r="CR25" s="913"/>
      <c r="CS25" s="913"/>
      <c r="CT25" s="913"/>
      <c r="CU25" s="913"/>
      <c r="CV25" s="913"/>
      <c r="CW25" s="913"/>
      <c r="CX25" s="913"/>
      <c r="CY25" s="913"/>
      <c r="CZ25" s="913"/>
      <c r="DA25" s="913"/>
      <c r="DB25" s="913"/>
      <c r="DC25" s="913"/>
      <c r="DD25" s="859"/>
      <c r="DE25" s="859"/>
      <c r="DF25" s="859"/>
      <c r="DG25" s="859"/>
      <c r="DH25" s="859"/>
      <c r="DI25" s="859"/>
      <c r="DJ25" s="859"/>
      <c r="DK25" s="859"/>
      <c r="DL25" s="859"/>
      <c r="DM25" s="859"/>
      <c r="DN25" s="859"/>
      <c r="DO25" s="859"/>
      <c r="DP25" s="859"/>
      <c r="DQ25" s="859"/>
      <c r="DR25" s="859"/>
      <c r="DS25" s="859"/>
    </row>
    <row r="26" spans="1:123" ht="17.25" customHeight="1">
      <c r="A26" s="963" t="s">
        <v>2513</v>
      </c>
      <c r="B26" s="854" t="s">
        <v>2514</v>
      </c>
      <c r="C26" s="909">
        <v>11014.033481526913</v>
      </c>
      <c r="D26" s="909">
        <v>11048.727608207602</v>
      </c>
      <c r="E26" s="909">
        <v>11113.043092204985</v>
      </c>
      <c r="F26" s="910">
        <v>11153.496667586149</v>
      </c>
      <c r="G26" s="909">
        <v>11298.29312364251</v>
      </c>
      <c r="H26" s="911">
        <v>11278.38058623231</v>
      </c>
      <c r="I26" s="909">
        <v>11519.591591549974</v>
      </c>
      <c r="J26" s="909">
        <v>11540.759456266354</v>
      </c>
      <c r="K26" s="909">
        <v>11567.307409254552</v>
      </c>
      <c r="L26" s="909">
        <v>11603.499793669256</v>
      </c>
      <c r="M26" s="910">
        <v>11633.93335772253</v>
      </c>
      <c r="N26" s="909">
        <v>11807.799435036495</v>
      </c>
      <c r="O26" s="909">
        <v>11950.837410409435</v>
      </c>
      <c r="P26" s="909">
        <v>11977.17019824984</v>
      </c>
      <c r="Q26" s="909">
        <v>12000.18354502578</v>
      </c>
      <c r="R26" s="909">
        <v>12139.855507300956</v>
      </c>
      <c r="S26" s="909">
        <v>12169.938106646932</v>
      </c>
      <c r="T26" s="909">
        <v>12150.793829544418</v>
      </c>
      <c r="U26" s="909">
        <v>12221.782184337251</v>
      </c>
      <c r="V26" s="909">
        <v>12246.514085820239</v>
      </c>
      <c r="W26" s="909">
        <v>12221.421608163026</v>
      </c>
      <c r="X26" s="909">
        <v>12295.28914683382</v>
      </c>
      <c r="Y26" s="909">
        <v>12382.660895437844</v>
      </c>
      <c r="Z26" s="909">
        <v>12461.038735059528</v>
      </c>
      <c r="AA26" s="909">
        <v>12616.279351228695</v>
      </c>
      <c r="AB26" s="909">
        <v>12624.981711947359</v>
      </c>
      <c r="AC26" s="909">
        <v>12635.224624657145</v>
      </c>
      <c r="AD26" s="909">
        <v>12732.488328174561</v>
      </c>
      <c r="AE26" s="909">
        <v>12803.934268793244</v>
      </c>
      <c r="AF26" s="909">
        <v>12914.352655954235</v>
      </c>
      <c r="AG26" s="909">
        <v>13034.980613430849</v>
      </c>
      <c r="AH26" s="909">
        <v>13065.772707911896</v>
      </c>
      <c r="AI26" s="909">
        <v>13111.795636254179</v>
      </c>
      <c r="AJ26" s="909">
        <v>13135.517572718358</v>
      </c>
      <c r="AK26" s="909">
        <v>13340.71964781003</v>
      </c>
      <c r="AL26" s="909">
        <v>13385.633625959959</v>
      </c>
      <c r="AM26" s="909">
        <v>13497.897804176378</v>
      </c>
      <c r="AN26" s="909">
        <v>13542.863819914795</v>
      </c>
      <c r="AO26" s="909">
        <v>13847.265824195511</v>
      </c>
      <c r="AP26" s="909">
        <v>13895.378361877878</v>
      </c>
      <c r="AQ26" s="909">
        <v>14061.225677049795</v>
      </c>
      <c r="AR26" s="909">
        <v>14129.948875812004</v>
      </c>
      <c r="AS26" s="909">
        <v>14867.49662544334</v>
      </c>
      <c r="AT26" s="909">
        <v>15016.376592499861</v>
      </c>
      <c r="AU26" s="909">
        <v>14883.294521875829</v>
      </c>
      <c r="AV26" s="909">
        <v>15041.956249365756</v>
      </c>
      <c r="AW26" s="909">
        <v>15235.583839148105</v>
      </c>
      <c r="AX26" s="909">
        <v>15416.093372723208</v>
      </c>
      <c r="AY26" s="909">
        <v>15511.952693063038</v>
      </c>
      <c r="AZ26" s="909">
        <v>15628.316686064878</v>
      </c>
      <c r="BA26" s="909">
        <v>15724.480587961425</v>
      </c>
      <c r="BB26" s="909">
        <v>15728.165902294089</v>
      </c>
      <c r="BC26" s="909">
        <v>15948.920227210907</v>
      </c>
      <c r="BD26" s="909">
        <v>16046.530928559725</v>
      </c>
      <c r="BE26" s="909">
        <v>16179.164306182563</v>
      </c>
      <c r="BF26" s="909">
        <v>16186.430466736743</v>
      </c>
      <c r="BG26" s="909">
        <v>16268.813904278057</v>
      </c>
      <c r="BH26" s="909">
        <v>16370.446699364229</v>
      </c>
      <c r="BI26" s="909">
        <v>16665.968852907914</v>
      </c>
      <c r="BJ26" s="909">
        <v>16991.67181004403</v>
      </c>
      <c r="BK26" s="909">
        <v>17384.710621928669</v>
      </c>
      <c r="BL26" s="909">
        <v>17365.152191463854</v>
      </c>
      <c r="BM26" s="909">
        <v>17523.195378059605</v>
      </c>
      <c r="BN26" s="909">
        <v>17892.213160755415</v>
      </c>
      <c r="BO26" s="909">
        <v>17974.062573762763</v>
      </c>
      <c r="BP26" s="909">
        <v>19541.268493632055</v>
      </c>
      <c r="BQ26" s="909">
        <v>19839.07444869414</v>
      </c>
      <c r="BR26" s="909">
        <v>19881.415035014634</v>
      </c>
      <c r="BS26" s="909">
        <v>19895.270451295564</v>
      </c>
      <c r="BT26" s="909">
        <v>20065.058771296935</v>
      </c>
      <c r="BU26" s="909">
        <v>20064.027496214749</v>
      </c>
      <c r="BV26" s="909">
        <v>20196.003639849067</v>
      </c>
      <c r="BW26" s="909">
        <v>20558.658169025657</v>
      </c>
      <c r="BX26" s="909">
        <v>20793.085392956549</v>
      </c>
      <c r="BY26" s="909">
        <v>21056.009486298484</v>
      </c>
      <c r="BZ26" s="909">
        <v>21211.197226594864</v>
      </c>
      <c r="CA26" s="909">
        <v>21326.651264443</v>
      </c>
      <c r="CB26" s="909">
        <v>21456.918350381893</v>
      </c>
      <c r="CC26" s="909">
        <v>21790.382353207417</v>
      </c>
      <c r="CD26" s="909">
        <v>21813.765446692763</v>
      </c>
      <c r="CE26" s="909">
        <v>21821.621603021606</v>
      </c>
      <c r="CF26" s="909">
        <v>21858.585494262614</v>
      </c>
      <c r="CG26" s="909">
        <v>21896.466863457536</v>
      </c>
      <c r="CH26" s="909">
        <v>22339.695730386007</v>
      </c>
      <c r="CI26" s="909">
        <v>22562.627234666605</v>
      </c>
      <c r="CJ26" s="909">
        <v>21198.993556181529</v>
      </c>
      <c r="CK26" s="909">
        <v>20989.900446220578</v>
      </c>
      <c r="CL26" s="909">
        <v>20999.00918223854</v>
      </c>
      <c r="CM26" s="909">
        <v>21074.540085685647</v>
      </c>
      <c r="CN26" s="909">
        <v>21108.568285388013</v>
      </c>
      <c r="CO26" s="909">
        <v>21466.921812800294</v>
      </c>
      <c r="CP26" s="909">
        <v>21670.397031735833</v>
      </c>
      <c r="CQ26" s="909">
        <v>21722.483108871726</v>
      </c>
      <c r="CR26" s="909">
        <v>21755.276499939078</v>
      </c>
      <c r="CS26" s="909">
        <v>21693.701409915764</v>
      </c>
      <c r="CT26" s="909">
        <v>21773.99069525153</v>
      </c>
      <c r="CU26" s="909">
        <v>21767.139061038757</v>
      </c>
      <c r="CV26" s="909">
        <v>21768.024056184444</v>
      </c>
      <c r="CW26" s="909">
        <v>21789.667662884174</v>
      </c>
      <c r="CX26" s="909">
        <v>21919.728767470304</v>
      </c>
      <c r="CY26" s="909">
        <v>21922.52917172237</v>
      </c>
      <c r="CZ26" s="909">
        <v>21899.189093248657</v>
      </c>
      <c r="DA26" s="909">
        <v>22030.605270988261</v>
      </c>
      <c r="DB26" s="909">
        <v>22142.547430580122</v>
      </c>
      <c r="DC26" s="909">
        <v>22110.232217238514</v>
      </c>
      <c r="DD26" s="855">
        <v>22011.968287195839</v>
      </c>
      <c r="DE26" s="855">
        <v>21973.051377668962</v>
      </c>
      <c r="DF26" s="855">
        <v>22022.779691456803</v>
      </c>
      <c r="DG26" s="855">
        <v>22198.046125911344</v>
      </c>
      <c r="DH26" s="855">
        <v>22250.094945873188</v>
      </c>
      <c r="DI26" s="855">
        <v>22451.788501331364</v>
      </c>
      <c r="DJ26" s="855">
        <v>23806.14403392691</v>
      </c>
      <c r="DK26" s="855">
        <v>23978.770974241517</v>
      </c>
      <c r="DL26" s="855">
        <v>24017.583107453953</v>
      </c>
      <c r="DM26" s="855">
        <v>24137.343537317305</v>
      </c>
      <c r="DN26" s="855">
        <v>24140.564619004457</v>
      </c>
      <c r="DO26" s="855">
        <v>24141.564087079951</v>
      </c>
      <c r="DP26" s="855">
        <v>24221.549891363655</v>
      </c>
      <c r="DQ26" s="855">
        <v>24242.067375324197</v>
      </c>
      <c r="DR26" s="855">
        <v>24273.205548110891</v>
      </c>
      <c r="DS26" s="855">
        <v>24283.40577055372</v>
      </c>
    </row>
    <row r="27" spans="1:123" ht="17.25" customHeight="1">
      <c r="A27" s="964"/>
      <c r="B27" s="858"/>
      <c r="C27" s="878"/>
      <c r="D27" s="878"/>
      <c r="E27" s="878"/>
      <c r="F27" s="917"/>
      <c r="G27" s="878"/>
      <c r="H27" s="918"/>
      <c r="I27" s="878"/>
      <c r="J27" s="878"/>
      <c r="K27" s="878"/>
      <c r="L27" s="878"/>
      <c r="M27" s="917"/>
      <c r="N27" s="878"/>
      <c r="O27" s="878"/>
      <c r="P27" s="878"/>
      <c r="Q27" s="878"/>
      <c r="R27" s="878"/>
      <c r="S27" s="878"/>
      <c r="T27" s="878"/>
      <c r="U27" s="878"/>
      <c r="V27" s="878"/>
      <c r="W27" s="878"/>
      <c r="X27" s="878"/>
      <c r="Y27" s="878"/>
      <c r="Z27" s="878"/>
      <c r="AA27" s="878"/>
      <c r="AB27" s="878"/>
      <c r="AC27" s="878"/>
      <c r="AD27" s="878"/>
      <c r="AE27" s="878"/>
      <c r="AF27" s="878"/>
      <c r="AG27" s="878"/>
      <c r="AH27" s="878"/>
      <c r="AI27" s="878"/>
      <c r="AJ27" s="878"/>
      <c r="AK27" s="878"/>
      <c r="AL27" s="878"/>
      <c r="AM27" s="878"/>
      <c r="AN27" s="878"/>
      <c r="AO27" s="878"/>
      <c r="AP27" s="878"/>
      <c r="AQ27" s="878"/>
      <c r="AR27" s="878"/>
      <c r="AS27" s="878"/>
      <c r="AT27" s="878"/>
      <c r="AU27" s="878"/>
      <c r="AV27" s="878"/>
      <c r="AW27" s="878"/>
      <c r="AX27" s="878"/>
      <c r="AY27" s="878"/>
      <c r="AZ27" s="878"/>
      <c r="BA27" s="878"/>
      <c r="BB27" s="878"/>
      <c r="BC27" s="878"/>
      <c r="BD27" s="878"/>
      <c r="BE27" s="878"/>
      <c r="BF27" s="878"/>
      <c r="BG27" s="878"/>
      <c r="BH27" s="878"/>
      <c r="BI27" s="878"/>
      <c r="BJ27" s="878"/>
      <c r="BK27" s="878"/>
      <c r="BL27" s="878"/>
      <c r="BM27" s="878"/>
      <c r="BN27" s="878"/>
      <c r="BO27" s="878"/>
      <c r="BP27" s="878"/>
      <c r="BQ27" s="878"/>
      <c r="BR27" s="878"/>
      <c r="BS27" s="878"/>
      <c r="BT27" s="878"/>
      <c r="BU27" s="878"/>
      <c r="BV27" s="878"/>
      <c r="BW27" s="878"/>
      <c r="BX27" s="878"/>
      <c r="BY27" s="878"/>
      <c r="BZ27" s="878"/>
      <c r="CA27" s="878"/>
      <c r="CB27" s="878"/>
      <c r="CC27" s="878"/>
      <c r="CD27" s="878"/>
      <c r="CE27" s="878"/>
      <c r="CF27" s="878"/>
      <c r="CG27" s="878"/>
      <c r="CH27" s="878"/>
      <c r="CI27" s="878"/>
      <c r="CJ27" s="878"/>
      <c r="CK27" s="878"/>
      <c r="CL27" s="878"/>
      <c r="CM27" s="878"/>
      <c r="CN27" s="878"/>
      <c r="CO27" s="878"/>
      <c r="CP27" s="878"/>
      <c r="CQ27" s="878"/>
      <c r="CR27" s="878"/>
      <c r="CS27" s="878"/>
      <c r="CT27" s="878"/>
      <c r="CU27" s="878"/>
      <c r="CV27" s="878"/>
      <c r="CW27" s="878"/>
      <c r="CX27" s="878"/>
      <c r="CY27" s="878"/>
      <c r="CZ27" s="878"/>
      <c r="DA27" s="878"/>
      <c r="DB27" s="878"/>
      <c r="DC27" s="878"/>
      <c r="DD27" s="860"/>
      <c r="DE27" s="860"/>
      <c r="DF27" s="860"/>
      <c r="DG27" s="860"/>
      <c r="DH27" s="860"/>
      <c r="DI27" s="860"/>
      <c r="DJ27" s="860"/>
      <c r="DK27" s="860"/>
      <c r="DL27" s="860"/>
      <c r="DM27" s="860"/>
      <c r="DN27" s="860"/>
      <c r="DO27" s="860"/>
      <c r="DP27" s="860"/>
      <c r="DQ27" s="860"/>
      <c r="DR27" s="860"/>
      <c r="DS27" s="860"/>
    </row>
    <row r="28" spans="1:123" ht="17.25" customHeight="1">
      <c r="A28" s="963"/>
      <c r="B28" s="854" t="s">
        <v>2515</v>
      </c>
      <c r="C28" s="909">
        <v>471311.56792716432</v>
      </c>
      <c r="D28" s="909">
        <v>458405.79961119429</v>
      </c>
      <c r="E28" s="909">
        <v>471368.36617523001</v>
      </c>
      <c r="F28" s="910">
        <v>487597.21233473998</v>
      </c>
      <c r="G28" s="909">
        <v>490699.53375006304</v>
      </c>
      <c r="H28" s="911">
        <v>509422.04600683041</v>
      </c>
      <c r="I28" s="909">
        <v>496790.44643401378</v>
      </c>
      <c r="J28" s="909">
        <v>506831.090651448</v>
      </c>
      <c r="K28" s="909">
        <v>536189.32489575329</v>
      </c>
      <c r="L28" s="909">
        <v>539946.7159698375</v>
      </c>
      <c r="M28" s="910">
        <v>536591.34873983543</v>
      </c>
      <c r="N28" s="909">
        <v>565086.19033303193</v>
      </c>
      <c r="O28" s="909">
        <v>553754.69138722611</v>
      </c>
      <c r="P28" s="909">
        <v>563618.70857038384</v>
      </c>
      <c r="Q28" s="909">
        <v>575394.00702426536</v>
      </c>
      <c r="R28" s="909">
        <v>605259.06123920635</v>
      </c>
      <c r="S28" s="909">
        <v>608440.06014277297</v>
      </c>
      <c r="T28" s="909">
        <v>637096.64947550418</v>
      </c>
      <c r="U28" s="909">
        <v>661145.8894725315</v>
      </c>
      <c r="V28" s="909">
        <v>633159.18734289054</v>
      </c>
      <c r="W28" s="909">
        <v>636947.78133060329</v>
      </c>
      <c r="X28" s="909">
        <v>655844.07059561671</v>
      </c>
      <c r="Y28" s="909">
        <v>662667.18801874912</v>
      </c>
      <c r="Z28" s="909">
        <v>664628.03592560661</v>
      </c>
      <c r="AA28" s="909">
        <v>695845.12316598266</v>
      </c>
      <c r="AB28" s="909">
        <v>714781.22867027926</v>
      </c>
      <c r="AC28" s="909">
        <v>729675.19286680454</v>
      </c>
      <c r="AD28" s="909">
        <v>737089.28856492438</v>
      </c>
      <c r="AE28" s="909">
        <v>740351.71167019883</v>
      </c>
      <c r="AF28" s="909">
        <v>780083.3295117286</v>
      </c>
      <c r="AG28" s="909">
        <v>758266.41427968536</v>
      </c>
      <c r="AH28" s="909">
        <v>788136.06321539462</v>
      </c>
      <c r="AI28" s="909">
        <v>784205.4456981275</v>
      </c>
      <c r="AJ28" s="909">
        <v>769965.96097859775</v>
      </c>
      <c r="AK28" s="909">
        <v>756096.5212078559</v>
      </c>
      <c r="AL28" s="909">
        <v>797078.89871579094</v>
      </c>
      <c r="AM28" s="909">
        <v>810394.94968197751</v>
      </c>
      <c r="AN28" s="909">
        <v>828459.34888786869</v>
      </c>
      <c r="AO28" s="909">
        <v>819943.30276826583</v>
      </c>
      <c r="AP28" s="909">
        <v>803102.41851690516</v>
      </c>
      <c r="AQ28" s="909">
        <v>860616.11619672494</v>
      </c>
      <c r="AR28" s="909">
        <v>844613.98383109039</v>
      </c>
      <c r="AS28" s="909">
        <v>847548.11865141056</v>
      </c>
      <c r="AT28" s="909">
        <v>846906.62767257448</v>
      </c>
      <c r="AU28" s="909">
        <v>856623.22336467297</v>
      </c>
      <c r="AV28" s="909">
        <v>849664.16610216291</v>
      </c>
      <c r="AW28" s="909">
        <v>850875.33540920669</v>
      </c>
      <c r="AX28" s="909">
        <v>845763.63654899003</v>
      </c>
      <c r="AY28" s="909">
        <v>857777.29400790727</v>
      </c>
      <c r="AZ28" s="909">
        <v>873787.36227380787</v>
      </c>
      <c r="BA28" s="909">
        <v>878017.7705192311</v>
      </c>
      <c r="BB28" s="909">
        <v>860432.47357552964</v>
      </c>
      <c r="BC28" s="909">
        <v>860188.9541019632</v>
      </c>
      <c r="BD28" s="909">
        <v>848848.64170295815</v>
      </c>
      <c r="BE28" s="909">
        <v>894608.69760575343</v>
      </c>
      <c r="BF28" s="909">
        <v>915505.73865312291</v>
      </c>
      <c r="BG28" s="909">
        <v>937137.81343298568</v>
      </c>
      <c r="BH28" s="909">
        <v>958041.17726875655</v>
      </c>
      <c r="BI28" s="909">
        <v>958842.1455475667</v>
      </c>
      <c r="BJ28" s="909">
        <v>1070992.4571643467</v>
      </c>
      <c r="BK28" s="909">
        <v>1055271.1206003062</v>
      </c>
      <c r="BL28" s="909">
        <v>997219.36388874415</v>
      </c>
      <c r="BM28" s="909">
        <v>1035500.4015942985</v>
      </c>
      <c r="BN28" s="909">
        <v>1056066.0486383529</v>
      </c>
      <c r="BO28" s="909">
        <v>1077273.9333575058</v>
      </c>
      <c r="BP28" s="909">
        <v>1058366.3717629386</v>
      </c>
      <c r="BQ28" s="909">
        <v>1106725.2287313228</v>
      </c>
      <c r="BR28" s="909">
        <v>1122998.4580237856</v>
      </c>
      <c r="BS28" s="909">
        <v>1131601.8792808035</v>
      </c>
      <c r="BT28" s="909">
        <v>1099361.3938665676</v>
      </c>
      <c r="BU28" s="909">
        <v>1166032.9445951278</v>
      </c>
      <c r="BV28" s="909">
        <v>1094115.9506793264</v>
      </c>
      <c r="BW28" s="909">
        <v>1160356.9790443636</v>
      </c>
      <c r="BX28" s="909">
        <v>1134584.961710559</v>
      </c>
      <c r="BY28" s="909">
        <v>1112955.0925948888</v>
      </c>
      <c r="BZ28" s="909">
        <v>1198674.0724062677</v>
      </c>
      <c r="CA28" s="909">
        <v>1181223.9003387662</v>
      </c>
      <c r="CB28" s="909">
        <v>1211293.1754387375</v>
      </c>
      <c r="CC28" s="909">
        <v>1221711.2032623517</v>
      </c>
      <c r="CD28" s="909">
        <v>1235903.3137268671</v>
      </c>
      <c r="CE28" s="909">
        <v>1274384.0037559315</v>
      </c>
      <c r="CF28" s="909">
        <v>1295912.2835303352</v>
      </c>
      <c r="CG28" s="909">
        <v>1274120.3794816772</v>
      </c>
      <c r="CH28" s="909">
        <v>1311993.346262435</v>
      </c>
      <c r="CI28" s="909">
        <v>1302799.933905883</v>
      </c>
      <c r="CJ28" s="909">
        <v>1336708.8400578236</v>
      </c>
      <c r="CK28" s="909">
        <v>1291958.9124607658</v>
      </c>
      <c r="CL28" s="909">
        <v>1315134.6475510746</v>
      </c>
      <c r="CM28" s="909">
        <v>1318305.6145117909</v>
      </c>
      <c r="CN28" s="909">
        <v>1292269.3594599015</v>
      </c>
      <c r="CO28" s="909">
        <v>1298120.7727997475</v>
      </c>
      <c r="CP28" s="909">
        <v>1328344.738319339</v>
      </c>
      <c r="CQ28" s="909">
        <v>1295942.0223781262</v>
      </c>
      <c r="CR28" s="909">
        <v>1339915.7211470155</v>
      </c>
      <c r="CS28" s="909">
        <v>1328981.7561254341</v>
      </c>
      <c r="CT28" s="909">
        <v>1367299.7785201175</v>
      </c>
      <c r="CU28" s="909">
        <v>1346126.8034570767</v>
      </c>
      <c r="CV28" s="909">
        <v>1401146.8867968624</v>
      </c>
      <c r="CW28" s="909">
        <v>1437709.198247212</v>
      </c>
      <c r="CX28" s="909">
        <v>1425057.8552799604</v>
      </c>
      <c r="CY28" s="909">
        <v>1355225.2935294721</v>
      </c>
      <c r="CZ28" s="909">
        <v>1347066.8456805258</v>
      </c>
      <c r="DA28" s="909">
        <v>1337575.1882134248</v>
      </c>
      <c r="DB28" s="909">
        <v>1290068.1048533451</v>
      </c>
      <c r="DC28" s="909">
        <v>1308970.542030727</v>
      </c>
      <c r="DD28" s="855">
        <v>1312688.1238442992</v>
      </c>
      <c r="DE28" s="855">
        <v>1301376.0418925567</v>
      </c>
      <c r="DF28" s="855">
        <v>1281129.753076937</v>
      </c>
      <c r="DG28" s="855">
        <v>1268393.3452365631</v>
      </c>
      <c r="DH28" s="855">
        <v>1249180.0291490473</v>
      </c>
      <c r="DI28" s="855">
        <v>1238084.4632689934</v>
      </c>
      <c r="DJ28" s="855">
        <v>1328751.9980645983</v>
      </c>
      <c r="DK28" s="855">
        <v>1361867.4050801324</v>
      </c>
      <c r="DL28" s="855">
        <v>1337655.2811770877</v>
      </c>
      <c r="DM28" s="855">
        <v>1362220.9111913845</v>
      </c>
      <c r="DN28" s="855">
        <v>1382301.4725315513</v>
      </c>
      <c r="DO28" s="855">
        <v>1385494.9291409315</v>
      </c>
      <c r="DP28" s="855">
        <v>1504433.562228183</v>
      </c>
      <c r="DQ28" s="855">
        <v>1495169.4640303906</v>
      </c>
      <c r="DR28" s="855">
        <v>1433350.33450782</v>
      </c>
      <c r="DS28" s="855">
        <v>1392360.9066897326</v>
      </c>
    </row>
    <row r="29" spans="1:123" ht="16.5" thickBot="1">
      <c r="A29" s="965"/>
      <c r="B29" s="864"/>
      <c r="C29" s="920"/>
      <c r="D29" s="920"/>
      <c r="E29" s="920"/>
      <c r="F29" s="921"/>
      <c r="G29" s="920"/>
      <c r="H29" s="922"/>
      <c r="I29" s="920"/>
      <c r="J29" s="920"/>
      <c r="K29" s="920"/>
      <c r="L29" s="920"/>
      <c r="M29" s="921"/>
      <c r="N29" s="920"/>
      <c r="O29" s="920"/>
      <c r="P29" s="920"/>
      <c r="Q29" s="920"/>
      <c r="R29" s="920"/>
      <c r="S29" s="920"/>
      <c r="T29" s="920"/>
      <c r="U29" s="920"/>
      <c r="V29" s="920"/>
      <c r="W29" s="920"/>
      <c r="X29" s="920"/>
      <c r="Y29" s="920"/>
      <c r="Z29" s="920"/>
      <c r="AA29" s="920"/>
      <c r="AB29" s="920"/>
      <c r="AC29" s="920"/>
      <c r="AD29" s="920"/>
      <c r="AE29" s="920"/>
      <c r="AF29" s="920"/>
      <c r="AG29" s="920"/>
      <c r="AH29" s="920"/>
      <c r="AI29" s="920"/>
      <c r="AJ29" s="920"/>
      <c r="AK29" s="920"/>
      <c r="AL29" s="920"/>
      <c r="AM29" s="920"/>
      <c r="AN29" s="920"/>
      <c r="AO29" s="920"/>
      <c r="AP29" s="920"/>
      <c r="AQ29" s="920"/>
      <c r="AR29" s="920"/>
      <c r="AS29" s="920"/>
      <c r="AT29" s="920"/>
      <c r="AU29" s="920"/>
      <c r="AV29" s="920"/>
      <c r="AW29" s="920"/>
      <c r="AX29" s="920"/>
      <c r="AY29" s="920"/>
      <c r="AZ29" s="920"/>
      <c r="BA29" s="920"/>
      <c r="BB29" s="920"/>
      <c r="BC29" s="920"/>
      <c r="BD29" s="920"/>
      <c r="BE29" s="920"/>
      <c r="BF29" s="920"/>
      <c r="BG29" s="920"/>
      <c r="BH29" s="920"/>
      <c r="BI29" s="920"/>
      <c r="BJ29" s="920"/>
      <c r="BK29" s="920"/>
      <c r="BL29" s="920"/>
      <c r="BM29" s="920"/>
      <c r="BN29" s="920"/>
      <c r="BO29" s="920"/>
      <c r="BP29" s="920"/>
      <c r="BQ29" s="920"/>
      <c r="BR29" s="920"/>
      <c r="BS29" s="920"/>
      <c r="BT29" s="920"/>
      <c r="BU29" s="920"/>
      <c r="BV29" s="920"/>
      <c r="BW29" s="920"/>
      <c r="BX29" s="920"/>
      <c r="BY29" s="920"/>
      <c r="BZ29" s="920"/>
      <c r="CA29" s="920"/>
      <c r="CB29" s="920"/>
      <c r="CC29" s="920"/>
      <c r="CD29" s="920"/>
      <c r="CE29" s="920"/>
      <c r="CF29" s="920"/>
      <c r="CG29" s="920"/>
      <c r="CH29" s="920"/>
      <c r="CI29" s="920"/>
      <c r="CJ29" s="920"/>
      <c r="CK29" s="920"/>
      <c r="CL29" s="920"/>
      <c r="CM29" s="920"/>
      <c r="CN29" s="920"/>
      <c r="CO29" s="920"/>
      <c r="CP29" s="920"/>
      <c r="CQ29" s="920"/>
      <c r="CR29" s="920"/>
      <c r="CS29" s="920"/>
      <c r="CT29" s="920"/>
      <c r="CU29" s="920"/>
      <c r="CV29" s="920"/>
      <c r="CW29" s="920"/>
      <c r="CX29" s="920"/>
      <c r="CY29" s="920"/>
      <c r="CZ29" s="920"/>
      <c r="DA29" s="920"/>
      <c r="DB29" s="920"/>
      <c r="DC29" s="920"/>
      <c r="DD29" s="924"/>
      <c r="DE29" s="924"/>
      <c r="DF29" s="924"/>
      <c r="DG29" s="924"/>
      <c r="DH29" s="924"/>
      <c r="DI29" s="924"/>
      <c r="DJ29" s="924"/>
      <c r="DK29" s="924"/>
      <c r="DL29" s="924"/>
      <c r="DM29" s="924"/>
      <c r="DN29" s="924"/>
      <c r="DO29" s="924"/>
      <c r="DP29" s="924"/>
      <c r="DQ29" s="924"/>
      <c r="DR29" s="924"/>
      <c r="DS29" s="924"/>
    </row>
    <row r="30" spans="1:123" s="541" customFormat="1" ht="16.5" hidden="1" thickTop="1">
      <c r="A30" s="966"/>
      <c r="B30" s="925"/>
      <c r="C30" s="926"/>
      <c r="D30" s="926"/>
      <c r="E30" s="926"/>
      <c r="F30" s="926"/>
      <c r="G30" s="926"/>
      <c r="H30" s="927"/>
      <c r="I30" s="926"/>
      <c r="J30" s="926"/>
      <c r="K30" s="926"/>
      <c r="L30" s="926"/>
      <c r="M30" s="926"/>
      <c r="N30" s="926"/>
      <c r="O30" s="926"/>
      <c r="P30" s="926"/>
      <c r="Q30" s="926"/>
      <c r="R30" s="926"/>
      <c r="S30" s="926"/>
      <c r="T30" s="926"/>
      <c r="U30" s="926"/>
      <c r="V30" s="926"/>
      <c r="W30" s="926"/>
      <c r="X30" s="926"/>
      <c r="Y30" s="926"/>
      <c r="Z30" s="926"/>
      <c r="AA30" s="926"/>
      <c r="AB30" s="926"/>
      <c r="AC30" s="926"/>
      <c r="AD30" s="926"/>
      <c r="AE30" s="926"/>
      <c r="AF30" s="926"/>
      <c r="AG30" s="926"/>
      <c r="AH30" s="926"/>
      <c r="AI30" s="926"/>
      <c r="AJ30" s="926"/>
      <c r="AK30" s="926"/>
      <c r="AL30" s="926"/>
      <c r="AM30" s="926"/>
      <c r="AN30" s="926"/>
      <c r="AO30" s="926"/>
      <c r="AP30" s="926"/>
      <c r="AQ30" s="926"/>
      <c r="AR30" s="926"/>
      <c r="AS30" s="926"/>
      <c r="AT30" s="926"/>
      <c r="AU30" s="926"/>
      <c r="AV30" s="870"/>
      <c r="AW30" s="926"/>
      <c r="AX30" s="926"/>
      <c r="AY30" s="926"/>
      <c r="AZ30" s="926"/>
      <c r="BA30" s="926"/>
      <c r="BB30" s="926"/>
      <c r="BC30" s="926"/>
      <c r="BD30" s="926"/>
      <c r="BE30" s="926"/>
      <c r="BF30" s="926"/>
      <c r="BG30" s="926"/>
      <c r="BH30" s="926"/>
      <c r="BI30" s="926"/>
      <c r="BJ30" s="926"/>
      <c r="BK30" s="926"/>
      <c r="BL30" s="926"/>
      <c r="BM30" s="926"/>
      <c r="BN30" s="926"/>
      <c r="BO30" s="926"/>
      <c r="BP30" s="926"/>
      <c r="BQ30" s="926"/>
      <c r="BR30" s="926"/>
      <c r="BS30" s="926"/>
      <c r="BT30" s="926"/>
      <c r="BU30" s="926"/>
      <c r="BV30" s="926"/>
      <c r="BW30" s="926"/>
      <c r="BX30" s="926"/>
      <c r="BY30" s="926"/>
      <c r="BZ30" s="926"/>
      <c r="CA30" s="926"/>
      <c r="CB30" s="926"/>
      <c r="CC30" s="926"/>
      <c r="CD30" s="926"/>
      <c r="CE30" s="926"/>
      <c r="CF30" s="926"/>
      <c r="CG30" s="926"/>
      <c r="CH30" s="926"/>
      <c r="CI30" s="926"/>
      <c r="CJ30" s="926"/>
      <c r="CK30" s="926"/>
      <c r="CL30" s="926"/>
      <c r="CM30" s="926"/>
      <c r="CN30" s="926"/>
      <c r="CO30" s="926"/>
      <c r="CP30" s="926"/>
      <c r="CQ30" s="926"/>
      <c r="CR30" s="926"/>
      <c r="CS30" s="926"/>
      <c r="CT30" s="926"/>
      <c r="CU30" s="926"/>
      <c r="CV30" s="926"/>
      <c r="CW30" s="926"/>
      <c r="CX30" s="926"/>
      <c r="CY30" s="926"/>
      <c r="CZ30" s="926"/>
      <c r="DA30" s="926"/>
      <c r="DB30" s="926"/>
      <c r="DC30" s="926"/>
      <c r="DD30" s="870"/>
      <c r="DE30" s="870"/>
      <c r="DF30" s="870"/>
      <c r="DG30" s="870"/>
      <c r="DH30" s="870"/>
      <c r="DI30" s="870"/>
      <c r="DJ30" s="870"/>
      <c r="DK30" s="870"/>
      <c r="DL30" s="870"/>
      <c r="DM30" s="870"/>
      <c r="DN30" s="870"/>
      <c r="DO30" s="870"/>
      <c r="DP30" s="870"/>
      <c r="DQ30" s="870"/>
      <c r="DR30" s="870"/>
      <c r="DS30" s="870"/>
    </row>
    <row r="31" spans="1:123" s="541" customFormat="1" ht="16.5" thickTop="1">
      <c r="A31" s="926"/>
      <c r="B31" s="926"/>
      <c r="C31" s="926"/>
      <c r="D31" s="926"/>
      <c r="E31" s="926"/>
      <c r="F31" s="926"/>
      <c r="G31" s="926"/>
      <c r="H31" s="928"/>
      <c r="I31" s="926"/>
      <c r="J31" s="926"/>
      <c r="K31" s="926"/>
      <c r="L31" s="926"/>
      <c r="M31" s="926"/>
      <c r="N31" s="926"/>
      <c r="O31" s="926"/>
      <c r="P31" s="926"/>
      <c r="Q31" s="926"/>
      <c r="R31" s="926"/>
      <c r="S31" s="926"/>
      <c r="T31" s="926"/>
      <c r="U31" s="926"/>
      <c r="V31" s="926"/>
      <c r="W31" s="926"/>
      <c r="X31" s="926"/>
      <c r="Y31" s="926"/>
      <c r="Z31" s="926"/>
      <c r="AA31" s="926"/>
      <c r="AB31" s="926"/>
      <c r="AC31" s="926"/>
      <c r="AD31" s="926"/>
      <c r="AE31" s="926"/>
      <c r="AF31" s="926"/>
      <c r="AG31" s="926"/>
      <c r="AH31" s="926"/>
      <c r="AI31" s="926"/>
      <c r="AJ31" s="926"/>
      <c r="AK31" s="926"/>
      <c r="AL31" s="926"/>
      <c r="AM31" s="926"/>
      <c r="AN31" s="926"/>
      <c r="AO31" s="926"/>
      <c r="AP31" s="926"/>
      <c r="AQ31" s="926"/>
      <c r="AR31" s="926"/>
      <c r="AS31" s="926"/>
      <c r="AT31" s="926"/>
      <c r="AU31" s="926"/>
      <c r="AV31" s="870"/>
      <c r="AW31" s="926"/>
      <c r="AX31" s="926"/>
      <c r="AY31" s="926"/>
      <c r="AZ31" s="926"/>
      <c r="BA31" s="926"/>
      <c r="BB31" s="926"/>
      <c r="BC31" s="926"/>
      <c r="BD31" s="926"/>
      <c r="BE31" s="926"/>
      <c r="BF31" s="926"/>
      <c r="BG31" s="926"/>
      <c r="BH31" s="926"/>
      <c r="BI31" s="926"/>
      <c r="BJ31" s="926"/>
      <c r="BK31" s="926"/>
      <c r="BL31" s="926"/>
      <c r="BM31" s="926"/>
      <c r="BN31" s="926"/>
      <c r="BO31" s="926"/>
      <c r="BP31" s="926"/>
      <c r="BQ31" s="926"/>
      <c r="BR31" s="926"/>
      <c r="BS31" s="926"/>
      <c r="BT31" s="926"/>
      <c r="BU31" s="926"/>
      <c r="BV31" s="926"/>
      <c r="BW31" s="926"/>
      <c r="BX31" s="926"/>
      <c r="BY31" s="926"/>
      <c r="BZ31" s="926"/>
      <c r="CA31" s="926"/>
      <c r="CB31" s="926"/>
      <c r="CC31" s="926"/>
      <c r="CD31" s="926"/>
      <c r="CE31" s="926"/>
      <c r="CF31" s="926"/>
      <c r="CG31" s="926"/>
      <c r="CH31" s="926"/>
      <c r="CI31" s="926"/>
      <c r="CJ31" s="926"/>
      <c r="CK31" s="926"/>
      <c r="CL31" s="926"/>
      <c r="CM31" s="926"/>
      <c r="CN31" s="926"/>
      <c r="CO31" s="926"/>
      <c r="CP31" s="926"/>
      <c r="CQ31" s="926"/>
      <c r="CR31" s="926"/>
      <c r="CS31" s="926"/>
      <c r="CT31" s="926"/>
      <c r="CU31" s="926"/>
      <c r="CV31" s="926"/>
      <c r="CW31" s="926"/>
      <c r="CX31" s="926"/>
      <c r="CY31" s="926"/>
      <c r="CZ31" s="926"/>
      <c r="DA31" s="926"/>
      <c r="DB31" s="926"/>
      <c r="DC31" s="926"/>
      <c r="DD31" s="870"/>
      <c r="DE31" s="870"/>
      <c r="DF31" s="870"/>
      <c r="DG31" s="870"/>
      <c r="DH31" s="870"/>
      <c r="DI31" s="870"/>
      <c r="DJ31" s="870"/>
      <c r="DK31" s="870"/>
      <c r="DL31" s="870"/>
      <c r="DM31" s="870"/>
      <c r="DN31" s="870"/>
      <c r="DO31" s="870"/>
      <c r="DP31" s="870"/>
      <c r="DQ31" s="870"/>
      <c r="DR31" s="870"/>
      <c r="DS31" s="870"/>
    </row>
    <row r="32" spans="1:123" s="541" customFormat="1" ht="16.5" thickBot="1">
      <c r="A32" s="929"/>
      <c r="B32" s="929"/>
      <c r="C32" s="929"/>
      <c r="D32" s="929"/>
      <c r="E32" s="929"/>
      <c r="F32" s="929"/>
      <c r="G32" s="929"/>
      <c r="H32" s="930"/>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9"/>
      <c r="AO32" s="929"/>
      <c r="AP32" s="929"/>
      <c r="AQ32" s="929"/>
      <c r="AR32" s="929"/>
      <c r="AS32" s="929"/>
      <c r="AT32" s="929"/>
      <c r="AU32" s="929"/>
      <c r="AV32" s="931"/>
      <c r="AW32" s="929"/>
      <c r="AX32" s="929"/>
      <c r="AY32" s="929"/>
      <c r="AZ32" s="929"/>
      <c r="BA32" s="929"/>
      <c r="BB32" s="929"/>
      <c r="BC32" s="929"/>
      <c r="BD32" s="929"/>
      <c r="BE32" s="929"/>
      <c r="BF32" s="929"/>
      <c r="BG32" s="929"/>
      <c r="BH32" s="929"/>
      <c r="BI32" s="929"/>
      <c r="BJ32" s="929"/>
      <c r="BK32" s="929"/>
      <c r="BL32" s="929"/>
      <c r="BM32" s="929"/>
      <c r="BN32" s="929"/>
      <c r="BO32" s="929"/>
      <c r="BP32" s="929"/>
      <c r="BQ32" s="929"/>
      <c r="BR32" s="929"/>
      <c r="BS32" s="929"/>
      <c r="BT32" s="929"/>
      <c r="BU32" s="929"/>
      <c r="BV32" s="929"/>
      <c r="BW32" s="929"/>
      <c r="BX32" s="929"/>
      <c r="BY32" s="929"/>
      <c r="BZ32" s="929"/>
      <c r="CA32" s="929"/>
      <c r="CB32" s="929"/>
      <c r="CC32" s="929"/>
      <c r="CD32" s="929"/>
      <c r="CE32" s="929"/>
      <c r="CF32" s="929"/>
      <c r="CG32" s="929"/>
      <c r="CH32" s="929"/>
      <c r="CI32" s="929"/>
      <c r="CJ32" s="929"/>
      <c r="CK32" s="929"/>
      <c r="CL32" s="929"/>
      <c r="CM32" s="929"/>
      <c r="CN32" s="929"/>
      <c r="CO32" s="929"/>
      <c r="CP32" s="929"/>
      <c r="CQ32" s="929"/>
      <c r="CR32" s="929"/>
      <c r="CS32" s="929"/>
      <c r="CT32" s="929"/>
      <c r="CU32" s="929"/>
      <c r="CV32" s="929"/>
      <c r="CW32" s="929"/>
      <c r="CX32" s="929"/>
      <c r="CY32" s="929"/>
      <c r="CZ32" s="929"/>
      <c r="DA32" s="929"/>
      <c r="DB32" s="929"/>
      <c r="DC32" s="929"/>
      <c r="DD32" s="870"/>
      <c r="DE32" s="870"/>
      <c r="DF32" s="870"/>
      <c r="DG32" s="870"/>
      <c r="DH32" s="870"/>
      <c r="DI32" s="870"/>
      <c r="DJ32" s="870"/>
      <c r="DK32" s="870"/>
      <c r="DL32" s="870"/>
      <c r="DM32" s="870"/>
      <c r="DN32" s="870"/>
      <c r="DO32" s="870"/>
      <c r="DP32" s="870"/>
      <c r="DQ32" s="870"/>
      <c r="DR32" s="870"/>
      <c r="DS32" s="870"/>
    </row>
    <row r="33" spans="1:123" ht="23.25" customHeight="1" thickTop="1" thickBot="1">
      <c r="A33" s="967" t="s">
        <v>2488</v>
      </c>
      <c r="B33" s="840" t="s">
        <v>2516</v>
      </c>
      <c r="C33" s="873">
        <f t="shared" ref="C33:AR33" si="0">C4</f>
        <v>38504</v>
      </c>
      <c r="D33" s="873">
        <f t="shared" si="0"/>
        <v>38534</v>
      </c>
      <c r="E33" s="873">
        <f t="shared" si="0"/>
        <v>38565</v>
      </c>
      <c r="F33" s="932">
        <f t="shared" si="0"/>
        <v>38596</v>
      </c>
      <c r="G33" s="873">
        <f t="shared" si="0"/>
        <v>38626</v>
      </c>
      <c r="H33" s="933">
        <f t="shared" si="0"/>
        <v>38657</v>
      </c>
      <c r="I33" s="873">
        <f t="shared" si="0"/>
        <v>38687</v>
      </c>
      <c r="J33" s="873">
        <f t="shared" si="0"/>
        <v>38718</v>
      </c>
      <c r="K33" s="873">
        <f t="shared" si="0"/>
        <v>38749</v>
      </c>
      <c r="L33" s="873">
        <f t="shared" si="0"/>
        <v>38777</v>
      </c>
      <c r="M33" s="932">
        <f t="shared" si="0"/>
        <v>38808</v>
      </c>
      <c r="N33" s="873">
        <f t="shared" si="0"/>
        <v>38838</v>
      </c>
      <c r="O33" s="873">
        <f t="shared" si="0"/>
        <v>38869</v>
      </c>
      <c r="P33" s="873">
        <f t="shared" si="0"/>
        <v>38899</v>
      </c>
      <c r="Q33" s="873">
        <f t="shared" si="0"/>
        <v>38930</v>
      </c>
      <c r="R33" s="873">
        <f t="shared" si="0"/>
        <v>38961</v>
      </c>
      <c r="S33" s="873">
        <f t="shared" si="0"/>
        <v>38991</v>
      </c>
      <c r="T33" s="873">
        <f t="shared" si="0"/>
        <v>39022</v>
      </c>
      <c r="U33" s="873">
        <f t="shared" si="0"/>
        <v>39052</v>
      </c>
      <c r="V33" s="873">
        <f t="shared" si="0"/>
        <v>39083</v>
      </c>
      <c r="W33" s="873">
        <f t="shared" si="0"/>
        <v>39114</v>
      </c>
      <c r="X33" s="873">
        <f t="shared" si="0"/>
        <v>39142</v>
      </c>
      <c r="Y33" s="873">
        <f t="shared" si="0"/>
        <v>39173</v>
      </c>
      <c r="Z33" s="873">
        <f t="shared" si="0"/>
        <v>39203</v>
      </c>
      <c r="AA33" s="873">
        <f t="shared" si="0"/>
        <v>39234</v>
      </c>
      <c r="AB33" s="873">
        <f t="shared" si="0"/>
        <v>39264</v>
      </c>
      <c r="AC33" s="873">
        <f t="shared" si="0"/>
        <v>39295</v>
      </c>
      <c r="AD33" s="873">
        <f t="shared" si="0"/>
        <v>39326</v>
      </c>
      <c r="AE33" s="871">
        <f t="shared" si="0"/>
        <v>39356</v>
      </c>
      <c r="AF33" s="871">
        <f t="shared" si="0"/>
        <v>39387</v>
      </c>
      <c r="AG33" s="872">
        <f t="shared" si="0"/>
        <v>39417</v>
      </c>
      <c r="AH33" s="873">
        <f t="shared" si="0"/>
        <v>39448</v>
      </c>
      <c r="AI33" s="873">
        <f t="shared" si="0"/>
        <v>39479</v>
      </c>
      <c r="AJ33" s="873">
        <f t="shared" si="0"/>
        <v>39508</v>
      </c>
      <c r="AK33" s="873">
        <f t="shared" si="0"/>
        <v>39539</v>
      </c>
      <c r="AL33" s="873">
        <f t="shared" si="0"/>
        <v>39569</v>
      </c>
      <c r="AM33" s="873">
        <f t="shared" si="0"/>
        <v>39600</v>
      </c>
      <c r="AN33" s="873">
        <f t="shared" si="0"/>
        <v>39630</v>
      </c>
      <c r="AO33" s="873">
        <f t="shared" si="0"/>
        <v>39661</v>
      </c>
      <c r="AP33" s="873">
        <f t="shared" si="0"/>
        <v>39692</v>
      </c>
      <c r="AQ33" s="873">
        <f t="shared" si="0"/>
        <v>39722</v>
      </c>
      <c r="AR33" s="873">
        <f t="shared" si="0"/>
        <v>39753</v>
      </c>
      <c r="AS33" s="873">
        <f>AS4</f>
        <v>39783</v>
      </c>
      <c r="AT33" s="873">
        <f>AT4</f>
        <v>39814</v>
      </c>
      <c r="AU33" s="873">
        <f>AU4</f>
        <v>39845</v>
      </c>
      <c r="AV33" s="873" t="s">
        <v>2560</v>
      </c>
      <c r="AW33" s="873">
        <f t="shared" ref="AW33:CV33" si="1">AW4</f>
        <v>39904</v>
      </c>
      <c r="AX33" s="873">
        <f t="shared" si="1"/>
        <v>39934</v>
      </c>
      <c r="AY33" s="873">
        <f t="shared" si="1"/>
        <v>39965</v>
      </c>
      <c r="AZ33" s="873">
        <f t="shared" si="1"/>
        <v>39995</v>
      </c>
      <c r="BA33" s="873">
        <f t="shared" si="1"/>
        <v>40026</v>
      </c>
      <c r="BB33" s="873">
        <f t="shared" si="1"/>
        <v>40057</v>
      </c>
      <c r="BC33" s="873">
        <f t="shared" si="1"/>
        <v>40087</v>
      </c>
      <c r="BD33" s="873">
        <f t="shared" si="1"/>
        <v>40118</v>
      </c>
      <c r="BE33" s="873">
        <f t="shared" si="1"/>
        <v>40148</v>
      </c>
      <c r="BF33" s="873">
        <f t="shared" si="1"/>
        <v>40179</v>
      </c>
      <c r="BG33" s="873">
        <f t="shared" si="1"/>
        <v>40210</v>
      </c>
      <c r="BH33" s="873">
        <f t="shared" si="1"/>
        <v>40238</v>
      </c>
      <c r="BI33" s="873">
        <f t="shared" si="1"/>
        <v>40269</v>
      </c>
      <c r="BJ33" s="873">
        <f t="shared" si="1"/>
        <v>40299</v>
      </c>
      <c r="BK33" s="873">
        <f t="shared" si="1"/>
        <v>40330</v>
      </c>
      <c r="BL33" s="873">
        <f t="shared" si="1"/>
        <v>40360</v>
      </c>
      <c r="BM33" s="873">
        <f t="shared" si="1"/>
        <v>40391</v>
      </c>
      <c r="BN33" s="873">
        <f t="shared" si="1"/>
        <v>40422</v>
      </c>
      <c r="BO33" s="873">
        <f t="shared" si="1"/>
        <v>40452</v>
      </c>
      <c r="BP33" s="873">
        <f t="shared" si="1"/>
        <v>40483</v>
      </c>
      <c r="BQ33" s="873">
        <f t="shared" si="1"/>
        <v>40513</v>
      </c>
      <c r="BR33" s="873">
        <f t="shared" si="1"/>
        <v>40544</v>
      </c>
      <c r="BS33" s="873">
        <f t="shared" si="1"/>
        <v>40575</v>
      </c>
      <c r="BT33" s="873">
        <f t="shared" si="1"/>
        <v>40603</v>
      </c>
      <c r="BU33" s="873">
        <f t="shared" si="1"/>
        <v>40634</v>
      </c>
      <c r="BV33" s="873">
        <f t="shared" si="1"/>
        <v>40664</v>
      </c>
      <c r="BW33" s="873">
        <f t="shared" si="1"/>
        <v>40695</v>
      </c>
      <c r="BX33" s="873">
        <f t="shared" si="1"/>
        <v>40725</v>
      </c>
      <c r="BY33" s="873">
        <f t="shared" si="1"/>
        <v>40756</v>
      </c>
      <c r="BZ33" s="873">
        <f t="shared" si="1"/>
        <v>40787</v>
      </c>
      <c r="CA33" s="873">
        <f t="shared" si="1"/>
        <v>40817</v>
      </c>
      <c r="CB33" s="873">
        <f t="shared" si="1"/>
        <v>40848</v>
      </c>
      <c r="CC33" s="873">
        <f t="shared" si="1"/>
        <v>40878</v>
      </c>
      <c r="CD33" s="873">
        <f t="shared" si="1"/>
        <v>40909</v>
      </c>
      <c r="CE33" s="873">
        <f t="shared" si="1"/>
        <v>40940</v>
      </c>
      <c r="CF33" s="873">
        <f t="shared" si="1"/>
        <v>40969</v>
      </c>
      <c r="CG33" s="873">
        <f t="shared" si="1"/>
        <v>41000</v>
      </c>
      <c r="CH33" s="873">
        <f t="shared" si="1"/>
        <v>41030</v>
      </c>
      <c r="CI33" s="873">
        <f t="shared" si="1"/>
        <v>41061</v>
      </c>
      <c r="CJ33" s="873">
        <f t="shared" si="1"/>
        <v>41091</v>
      </c>
      <c r="CK33" s="873">
        <f t="shared" si="1"/>
        <v>41122</v>
      </c>
      <c r="CL33" s="873">
        <f t="shared" si="1"/>
        <v>41153</v>
      </c>
      <c r="CM33" s="873">
        <f t="shared" si="1"/>
        <v>41183</v>
      </c>
      <c r="CN33" s="873">
        <f t="shared" si="1"/>
        <v>41214</v>
      </c>
      <c r="CO33" s="873">
        <f t="shared" si="1"/>
        <v>41244</v>
      </c>
      <c r="CP33" s="873">
        <f t="shared" si="1"/>
        <v>41275</v>
      </c>
      <c r="CQ33" s="873">
        <f t="shared" si="1"/>
        <v>41306</v>
      </c>
      <c r="CR33" s="873">
        <f t="shared" si="1"/>
        <v>41334</v>
      </c>
      <c r="CS33" s="843">
        <f t="shared" si="1"/>
        <v>41365</v>
      </c>
      <c r="CT33" s="843">
        <f t="shared" si="1"/>
        <v>41395</v>
      </c>
      <c r="CU33" s="843">
        <f t="shared" si="1"/>
        <v>41426</v>
      </c>
      <c r="CV33" s="843">
        <f t="shared" si="1"/>
        <v>41456</v>
      </c>
      <c r="CW33" s="843">
        <f>CW4</f>
        <v>41487</v>
      </c>
      <c r="CX33" s="843">
        <v>41518</v>
      </c>
      <c r="CY33" s="843">
        <f>CY4</f>
        <v>41548</v>
      </c>
      <c r="CZ33" s="843">
        <f>CZ4</f>
        <v>41579</v>
      </c>
      <c r="DA33" s="843">
        <f>DA4</f>
        <v>41609</v>
      </c>
      <c r="DB33" s="843">
        <f>DB4</f>
        <v>41640</v>
      </c>
      <c r="DC33" s="843">
        <v>41671</v>
      </c>
      <c r="DD33" s="841">
        <v>41699</v>
      </c>
      <c r="DE33" s="841">
        <v>41730</v>
      </c>
      <c r="DF33" s="841">
        <v>41760</v>
      </c>
      <c r="DG33" s="841">
        <v>41791</v>
      </c>
      <c r="DH33" s="841">
        <v>41821</v>
      </c>
      <c r="DI33" s="841">
        <v>41852</v>
      </c>
      <c r="DJ33" s="841">
        <f>DJ4</f>
        <v>41883</v>
      </c>
      <c r="DK33" s="841">
        <v>41913</v>
      </c>
      <c r="DL33" s="841">
        <v>41944</v>
      </c>
      <c r="DM33" s="841">
        <v>41974</v>
      </c>
      <c r="DN33" s="841">
        <v>42005</v>
      </c>
      <c r="DO33" s="841">
        <v>42036</v>
      </c>
      <c r="DP33" s="841">
        <v>42064</v>
      </c>
      <c r="DQ33" s="841">
        <v>42095</v>
      </c>
      <c r="DR33" s="841">
        <v>42125</v>
      </c>
      <c r="DS33" s="841">
        <v>42156</v>
      </c>
    </row>
    <row r="34" spans="1:123" ht="16.5" thickTop="1">
      <c r="A34" s="964"/>
      <c r="B34" s="876"/>
      <c r="C34" s="878"/>
      <c r="D34" s="878"/>
      <c r="E34" s="878"/>
      <c r="F34" s="917"/>
      <c r="G34" s="878"/>
      <c r="H34" s="918"/>
      <c r="I34" s="878"/>
      <c r="J34" s="878"/>
      <c r="K34" s="878"/>
      <c r="L34" s="878"/>
      <c r="M34" s="917"/>
      <c r="N34" s="878"/>
      <c r="O34" s="878"/>
      <c r="P34" s="878"/>
      <c r="Q34" s="878"/>
      <c r="R34" s="878"/>
      <c r="S34" s="878"/>
      <c r="T34" s="878"/>
      <c r="U34" s="878"/>
      <c r="V34" s="878"/>
      <c r="W34" s="878"/>
      <c r="X34" s="878"/>
      <c r="Y34" s="878"/>
      <c r="Z34" s="878"/>
      <c r="AA34" s="878"/>
      <c r="AB34" s="878"/>
      <c r="AC34" s="878"/>
      <c r="AD34" s="878"/>
      <c r="AE34" s="860"/>
      <c r="AF34" s="860"/>
      <c r="AG34" s="877"/>
      <c r="AH34" s="878"/>
      <c r="AI34" s="878"/>
      <c r="AJ34" s="878"/>
      <c r="AK34" s="878"/>
      <c r="AL34" s="878"/>
      <c r="AM34" s="878"/>
      <c r="AN34" s="878"/>
      <c r="AO34" s="878"/>
      <c r="AP34" s="878"/>
      <c r="AQ34" s="878"/>
      <c r="AR34" s="878"/>
      <c r="AS34" s="878"/>
      <c r="AT34" s="878"/>
      <c r="AU34" s="878"/>
      <c r="AV34" s="878"/>
      <c r="AW34" s="878"/>
      <c r="AX34" s="878"/>
      <c r="AY34" s="878"/>
      <c r="AZ34" s="878"/>
      <c r="BA34" s="878"/>
      <c r="BB34" s="878"/>
      <c r="BC34" s="878"/>
      <c r="BD34" s="878"/>
      <c r="BE34" s="878"/>
      <c r="BF34" s="878"/>
      <c r="BG34" s="878"/>
      <c r="BH34" s="878"/>
      <c r="BI34" s="878"/>
      <c r="BJ34" s="878"/>
      <c r="BK34" s="878"/>
      <c r="BL34" s="878"/>
      <c r="BM34" s="878"/>
      <c r="BN34" s="878"/>
      <c r="BO34" s="878"/>
      <c r="BP34" s="878"/>
      <c r="BQ34" s="878"/>
      <c r="BR34" s="878"/>
      <c r="BS34" s="878"/>
      <c r="BT34" s="878"/>
      <c r="BU34" s="878"/>
      <c r="BV34" s="878"/>
      <c r="BW34" s="878"/>
      <c r="BX34" s="878"/>
      <c r="BY34" s="878"/>
      <c r="BZ34" s="878"/>
      <c r="CA34" s="878"/>
      <c r="CB34" s="878"/>
      <c r="CC34" s="878"/>
      <c r="CD34" s="878"/>
      <c r="CE34" s="878"/>
      <c r="CF34" s="878"/>
      <c r="CG34" s="878"/>
      <c r="CH34" s="878"/>
      <c r="CI34" s="878"/>
      <c r="CJ34" s="878"/>
      <c r="CK34" s="878"/>
      <c r="CL34" s="878"/>
      <c r="CM34" s="878"/>
      <c r="CN34" s="878"/>
      <c r="CO34" s="878"/>
      <c r="CP34" s="878"/>
      <c r="CQ34" s="878"/>
      <c r="CR34" s="878"/>
      <c r="CS34" s="878"/>
      <c r="CT34" s="878"/>
      <c r="CU34" s="878"/>
      <c r="CV34" s="878"/>
      <c r="CW34" s="878"/>
      <c r="CX34" s="878"/>
      <c r="CY34" s="878"/>
      <c r="CZ34" s="878"/>
      <c r="DA34" s="878"/>
      <c r="DB34" s="917"/>
      <c r="DC34" s="878"/>
      <c r="DD34" s="860"/>
      <c r="DE34" s="860"/>
      <c r="DF34" s="860"/>
      <c r="DG34" s="860"/>
      <c r="DH34" s="860"/>
      <c r="DI34" s="860"/>
      <c r="DJ34" s="860"/>
      <c r="DK34" s="860"/>
      <c r="DL34" s="860"/>
      <c r="DM34" s="860"/>
      <c r="DN34" s="860"/>
      <c r="DO34" s="860"/>
      <c r="DP34" s="860"/>
      <c r="DQ34" s="860"/>
      <c r="DR34" s="860"/>
      <c r="DS34" s="860"/>
    </row>
    <row r="35" spans="1:123" ht="17.25" customHeight="1">
      <c r="A35" s="963" t="s">
        <v>2517</v>
      </c>
      <c r="B35" s="854" t="s">
        <v>2518</v>
      </c>
      <c r="C35" s="909">
        <v>0</v>
      </c>
      <c r="D35" s="909">
        <v>0</v>
      </c>
      <c r="E35" s="909">
        <v>0</v>
      </c>
      <c r="F35" s="910">
        <v>0</v>
      </c>
      <c r="G35" s="909">
        <v>0</v>
      </c>
      <c r="H35" s="911">
        <v>0</v>
      </c>
      <c r="I35" s="909">
        <v>0</v>
      </c>
      <c r="J35" s="909">
        <v>0</v>
      </c>
      <c r="K35" s="909">
        <v>0</v>
      </c>
      <c r="L35" s="909">
        <v>0</v>
      </c>
      <c r="M35" s="910">
        <v>0</v>
      </c>
      <c r="N35" s="909">
        <v>0</v>
      </c>
      <c r="O35" s="909">
        <v>0</v>
      </c>
      <c r="P35" s="909">
        <v>0</v>
      </c>
      <c r="Q35" s="909">
        <v>0</v>
      </c>
      <c r="R35" s="909">
        <v>0</v>
      </c>
      <c r="S35" s="909">
        <v>0</v>
      </c>
      <c r="T35" s="909">
        <v>0</v>
      </c>
      <c r="U35" s="909">
        <v>0</v>
      </c>
      <c r="V35" s="909">
        <v>0</v>
      </c>
      <c r="W35" s="909">
        <v>0</v>
      </c>
      <c r="X35" s="909">
        <v>0</v>
      </c>
      <c r="Y35" s="909">
        <v>0</v>
      </c>
      <c r="Z35" s="909">
        <v>0</v>
      </c>
      <c r="AA35" s="909">
        <v>0</v>
      </c>
      <c r="AB35" s="909">
        <v>0</v>
      </c>
      <c r="AC35" s="909">
        <v>0</v>
      </c>
      <c r="AD35" s="909">
        <v>0</v>
      </c>
      <c r="AE35" s="855">
        <v>0</v>
      </c>
      <c r="AF35" s="855">
        <v>0</v>
      </c>
      <c r="AG35" s="936">
        <v>0</v>
      </c>
      <c r="AH35" s="909">
        <v>0</v>
      </c>
      <c r="AI35" s="909">
        <v>0</v>
      </c>
      <c r="AJ35" s="909">
        <v>0</v>
      </c>
      <c r="AK35" s="909">
        <v>0</v>
      </c>
      <c r="AL35" s="909">
        <v>0</v>
      </c>
      <c r="AM35" s="909">
        <v>0</v>
      </c>
      <c r="AN35" s="909">
        <v>0</v>
      </c>
      <c r="AO35" s="909">
        <v>0</v>
      </c>
      <c r="AP35" s="909">
        <v>0</v>
      </c>
      <c r="AQ35" s="909">
        <v>0</v>
      </c>
      <c r="AR35" s="909">
        <v>0</v>
      </c>
      <c r="AS35" s="909">
        <v>0</v>
      </c>
      <c r="AT35" s="909">
        <v>0</v>
      </c>
      <c r="AU35" s="909">
        <v>0</v>
      </c>
      <c r="AV35" s="909">
        <v>0</v>
      </c>
      <c r="AW35" s="909">
        <v>0</v>
      </c>
      <c r="AX35" s="909">
        <v>0</v>
      </c>
      <c r="AY35" s="909">
        <v>0</v>
      </c>
      <c r="AZ35" s="909">
        <v>0</v>
      </c>
      <c r="BA35" s="909">
        <v>0</v>
      </c>
      <c r="BB35" s="909">
        <v>0</v>
      </c>
      <c r="BC35" s="909">
        <v>0</v>
      </c>
      <c r="BD35" s="909">
        <v>0</v>
      </c>
      <c r="BE35" s="909">
        <v>0</v>
      </c>
      <c r="BF35" s="909">
        <v>0</v>
      </c>
      <c r="BG35" s="909">
        <v>0</v>
      </c>
      <c r="BH35" s="909">
        <v>0</v>
      </c>
      <c r="BI35" s="909">
        <v>0</v>
      </c>
      <c r="BJ35" s="909">
        <v>0</v>
      </c>
      <c r="BK35" s="909">
        <v>0</v>
      </c>
      <c r="BL35" s="909">
        <v>0</v>
      </c>
      <c r="BM35" s="909">
        <v>0</v>
      </c>
      <c r="BN35" s="909">
        <v>0</v>
      </c>
      <c r="BO35" s="909">
        <v>0</v>
      </c>
      <c r="BP35" s="909">
        <v>0</v>
      </c>
      <c r="BQ35" s="909">
        <v>0</v>
      </c>
      <c r="BR35" s="909">
        <v>0</v>
      </c>
      <c r="BS35" s="909">
        <v>0</v>
      </c>
      <c r="BT35" s="909">
        <v>0</v>
      </c>
      <c r="BU35" s="909">
        <v>0</v>
      </c>
      <c r="BV35" s="909">
        <v>0</v>
      </c>
      <c r="BW35" s="909">
        <v>0</v>
      </c>
      <c r="BX35" s="909">
        <v>0</v>
      </c>
      <c r="BY35" s="909">
        <v>0</v>
      </c>
      <c r="BZ35" s="909">
        <v>0</v>
      </c>
      <c r="CA35" s="909">
        <v>0</v>
      </c>
      <c r="CB35" s="909">
        <v>0</v>
      </c>
      <c r="CC35" s="909">
        <v>0</v>
      </c>
      <c r="CD35" s="909">
        <v>0</v>
      </c>
      <c r="CE35" s="909">
        <v>0</v>
      </c>
      <c r="CF35" s="909">
        <v>0</v>
      </c>
      <c r="CG35" s="909">
        <v>0</v>
      </c>
      <c r="CH35" s="909">
        <v>0</v>
      </c>
      <c r="CI35" s="909">
        <v>0</v>
      </c>
      <c r="CJ35" s="909">
        <v>0</v>
      </c>
      <c r="CK35" s="909">
        <v>0</v>
      </c>
      <c r="CL35" s="909">
        <v>0</v>
      </c>
      <c r="CM35" s="909">
        <v>0</v>
      </c>
      <c r="CN35" s="909">
        <v>0</v>
      </c>
      <c r="CO35" s="909">
        <v>0</v>
      </c>
      <c r="CP35" s="909">
        <v>0</v>
      </c>
      <c r="CQ35" s="909">
        <v>0</v>
      </c>
      <c r="CR35" s="909">
        <v>0</v>
      </c>
      <c r="CS35" s="909">
        <v>0</v>
      </c>
      <c r="CT35" s="909">
        <v>0</v>
      </c>
      <c r="CU35" s="909">
        <v>0</v>
      </c>
      <c r="CV35" s="909">
        <v>0</v>
      </c>
      <c r="CW35" s="909">
        <v>0</v>
      </c>
      <c r="CX35" s="909">
        <v>0</v>
      </c>
      <c r="CY35" s="909">
        <v>0</v>
      </c>
      <c r="CZ35" s="909">
        <v>0</v>
      </c>
      <c r="DA35" s="909">
        <v>0</v>
      </c>
      <c r="DB35" s="910">
        <v>0</v>
      </c>
      <c r="DC35" s="909">
        <v>0</v>
      </c>
      <c r="DD35" s="855">
        <v>0</v>
      </c>
      <c r="DE35" s="855">
        <v>0</v>
      </c>
      <c r="DF35" s="855">
        <v>0</v>
      </c>
      <c r="DG35" s="855">
        <v>0</v>
      </c>
      <c r="DH35" s="855">
        <v>0</v>
      </c>
      <c r="DI35" s="855">
        <v>0</v>
      </c>
      <c r="DJ35" s="855">
        <v>0</v>
      </c>
      <c r="DK35" s="855">
        <v>0</v>
      </c>
      <c r="DL35" s="855">
        <v>0</v>
      </c>
      <c r="DM35" s="855">
        <v>0</v>
      </c>
      <c r="DN35" s="855">
        <v>0</v>
      </c>
      <c r="DO35" s="855">
        <v>0</v>
      </c>
      <c r="DP35" s="855">
        <v>0</v>
      </c>
      <c r="DQ35" s="855">
        <v>0</v>
      </c>
      <c r="DR35" s="855">
        <v>0</v>
      </c>
      <c r="DS35" s="855">
        <v>0</v>
      </c>
    </row>
    <row r="36" spans="1:123" ht="17.25" customHeight="1">
      <c r="A36" s="964"/>
      <c r="B36" s="858"/>
      <c r="C36" s="937"/>
      <c r="D36" s="937"/>
      <c r="E36" s="937"/>
      <c r="F36" s="938"/>
      <c r="G36" s="937"/>
      <c r="H36" s="939"/>
      <c r="I36" s="937"/>
      <c r="J36" s="937"/>
      <c r="K36" s="937"/>
      <c r="L36" s="937"/>
      <c r="M36" s="938"/>
      <c r="N36" s="937"/>
      <c r="O36" s="937"/>
      <c r="P36" s="937"/>
      <c r="Q36" s="937"/>
      <c r="R36" s="937"/>
      <c r="S36" s="937"/>
      <c r="T36" s="937"/>
      <c r="U36" s="937"/>
      <c r="V36" s="937"/>
      <c r="W36" s="937"/>
      <c r="X36" s="937"/>
      <c r="Y36" s="937"/>
      <c r="Z36" s="937"/>
      <c r="AA36" s="937"/>
      <c r="AB36" s="937"/>
      <c r="AC36" s="937"/>
      <c r="AD36" s="937"/>
      <c r="AE36" s="940"/>
      <c r="AF36" s="940"/>
      <c r="AG36" s="941"/>
      <c r="AH36" s="937"/>
      <c r="AI36" s="937"/>
      <c r="AJ36" s="937"/>
      <c r="AK36" s="937"/>
      <c r="AL36" s="937"/>
      <c r="AM36" s="937"/>
      <c r="AN36" s="937"/>
      <c r="AO36" s="937"/>
      <c r="AP36" s="937"/>
      <c r="AQ36" s="937"/>
      <c r="AR36" s="937"/>
      <c r="AS36" s="937"/>
      <c r="AT36" s="937"/>
      <c r="AU36" s="937"/>
      <c r="AV36" s="937"/>
      <c r="AW36" s="937"/>
      <c r="AX36" s="937"/>
      <c r="AY36" s="937"/>
      <c r="AZ36" s="937"/>
      <c r="BA36" s="937"/>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c r="CB36" s="937"/>
      <c r="CC36" s="937"/>
      <c r="CD36" s="937"/>
      <c r="CE36" s="937"/>
      <c r="CF36" s="937"/>
      <c r="CG36" s="937"/>
      <c r="CH36" s="937"/>
      <c r="CI36" s="937"/>
      <c r="CJ36" s="937"/>
      <c r="CK36" s="937"/>
      <c r="CL36" s="937"/>
      <c r="CM36" s="937"/>
      <c r="CN36" s="937"/>
      <c r="CO36" s="937"/>
      <c r="CP36" s="937"/>
      <c r="CQ36" s="937"/>
      <c r="CR36" s="937"/>
      <c r="CS36" s="937"/>
      <c r="CT36" s="937"/>
      <c r="CU36" s="937"/>
      <c r="CV36" s="937"/>
      <c r="CW36" s="937"/>
      <c r="CX36" s="937"/>
      <c r="CY36" s="937"/>
      <c r="CZ36" s="937"/>
      <c r="DA36" s="937"/>
      <c r="DB36" s="938"/>
      <c r="DC36" s="937"/>
      <c r="DD36" s="940"/>
      <c r="DE36" s="940"/>
      <c r="DF36" s="940"/>
      <c r="DG36" s="940"/>
      <c r="DH36" s="940"/>
      <c r="DI36" s="940"/>
      <c r="DJ36" s="940"/>
      <c r="DK36" s="940"/>
      <c r="DL36" s="940"/>
      <c r="DM36" s="940"/>
      <c r="DN36" s="940"/>
      <c r="DO36" s="940"/>
      <c r="DP36" s="940"/>
      <c r="DQ36" s="940"/>
      <c r="DR36" s="940"/>
      <c r="DS36" s="940"/>
    </row>
    <row r="37" spans="1:123" ht="17.25" customHeight="1">
      <c r="A37" s="963" t="s">
        <v>2519</v>
      </c>
      <c r="B37" s="854" t="s">
        <v>2520</v>
      </c>
      <c r="C37" s="909">
        <v>250458.84323342523</v>
      </c>
      <c r="D37" s="909">
        <v>232344.37571881473</v>
      </c>
      <c r="E37" s="909">
        <v>228235.39118466986</v>
      </c>
      <c r="F37" s="910">
        <v>238102.012621676</v>
      </c>
      <c r="G37" s="909">
        <v>241945.84697592363</v>
      </c>
      <c r="H37" s="911">
        <v>257530.96081466269</v>
      </c>
      <c r="I37" s="909">
        <v>257623.06344593974</v>
      </c>
      <c r="J37" s="909">
        <v>256496.45372474135</v>
      </c>
      <c r="K37" s="909">
        <v>266363.06062173715</v>
      </c>
      <c r="L37" s="909">
        <v>273240.13640816254</v>
      </c>
      <c r="M37" s="910">
        <v>271081.39112987602</v>
      </c>
      <c r="N37" s="909">
        <v>291097.30383042991</v>
      </c>
      <c r="O37" s="909">
        <v>288151.83005216735</v>
      </c>
      <c r="P37" s="909">
        <v>297918.84544162243</v>
      </c>
      <c r="Q37" s="909">
        <v>299555.12527521281</v>
      </c>
      <c r="R37" s="909">
        <v>312892.8379162114</v>
      </c>
      <c r="S37" s="909">
        <v>312515.85639029462</v>
      </c>
      <c r="T37" s="909">
        <v>319055.78120631597</v>
      </c>
      <c r="U37" s="909">
        <v>351509.22976781055</v>
      </c>
      <c r="V37" s="909">
        <v>336198.90510089661</v>
      </c>
      <c r="W37" s="909">
        <v>334056.8722718244</v>
      </c>
      <c r="X37" s="909">
        <v>345204.18698770378</v>
      </c>
      <c r="Y37" s="909">
        <v>339100.00185046456</v>
      </c>
      <c r="Z37" s="909">
        <v>343243.54984322423</v>
      </c>
      <c r="AA37" s="909">
        <v>358543.0601197778</v>
      </c>
      <c r="AB37" s="909">
        <v>373286.11364297924</v>
      </c>
      <c r="AC37" s="909">
        <v>374521.69560020615</v>
      </c>
      <c r="AD37" s="909">
        <v>387184.87756857043</v>
      </c>
      <c r="AE37" s="855">
        <v>391272.4695004368</v>
      </c>
      <c r="AF37" s="855">
        <v>421208.54206902086</v>
      </c>
      <c r="AG37" s="936">
        <v>401734.97128093918</v>
      </c>
      <c r="AH37" s="909">
        <v>433883.31707653031</v>
      </c>
      <c r="AI37" s="909">
        <v>420367.22269114229</v>
      </c>
      <c r="AJ37" s="909">
        <v>408014.73015083134</v>
      </c>
      <c r="AK37" s="909">
        <v>401309.23228438455</v>
      </c>
      <c r="AL37" s="909">
        <v>434604.45687616104</v>
      </c>
      <c r="AM37" s="909">
        <v>446231.22637777217</v>
      </c>
      <c r="AN37" s="909">
        <v>467892.65871725255</v>
      </c>
      <c r="AO37" s="909">
        <v>453509.44685149851</v>
      </c>
      <c r="AP37" s="909">
        <v>442464.53634706739</v>
      </c>
      <c r="AQ37" s="909">
        <v>449069.69028428837</v>
      </c>
      <c r="AR37" s="909">
        <v>452010.91733216215</v>
      </c>
      <c r="AS37" s="909">
        <v>450075.27047679329</v>
      </c>
      <c r="AT37" s="909">
        <v>453393.31970747019</v>
      </c>
      <c r="AU37" s="909">
        <v>460107.41472062981</v>
      </c>
      <c r="AV37" s="909">
        <v>459064.63089732453</v>
      </c>
      <c r="AW37" s="909">
        <v>463010.61895082297</v>
      </c>
      <c r="AX37" s="909">
        <v>471326.59715211438</v>
      </c>
      <c r="AY37" s="909">
        <v>470412.89928072237</v>
      </c>
      <c r="AZ37" s="909">
        <v>473336.31794361444</v>
      </c>
      <c r="BA37" s="909">
        <v>467026.51013994718</v>
      </c>
      <c r="BB37" s="909">
        <v>477372.11456896149</v>
      </c>
      <c r="BC37" s="909">
        <v>478651.28298538964</v>
      </c>
      <c r="BD37" s="909">
        <v>487447.76954633754</v>
      </c>
      <c r="BE37" s="909">
        <v>502634.61776737764</v>
      </c>
      <c r="BF37" s="909">
        <v>524230.97142096853</v>
      </c>
      <c r="BG37" s="909">
        <v>527845.64946072246</v>
      </c>
      <c r="BH37" s="909">
        <v>535092.36629862385</v>
      </c>
      <c r="BI37" s="909">
        <v>518088.96985501703</v>
      </c>
      <c r="BJ37" s="909">
        <v>569427.28420735314</v>
      </c>
      <c r="BK37" s="909">
        <v>566747.13613899588</v>
      </c>
      <c r="BL37" s="909">
        <v>526730.61480739736</v>
      </c>
      <c r="BM37" s="909">
        <v>549887.63141466305</v>
      </c>
      <c r="BN37" s="909">
        <v>552391.26138741407</v>
      </c>
      <c r="BO37" s="909">
        <v>555741.30023550731</v>
      </c>
      <c r="BP37" s="909">
        <v>564920.64286760148</v>
      </c>
      <c r="BQ37" s="909">
        <v>578900.95919625671</v>
      </c>
      <c r="BR37" s="909">
        <v>578819.25118008675</v>
      </c>
      <c r="BS37" s="909">
        <v>574059.2310141545</v>
      </c>
      <c r="BT37" s="909">
        <v>543670.68089811946</v>
      </c>
      <c r="BU37" s="909">
        <v>562040.55001311097</v>
      </c>
      <c r="BV37" s="909">
        <v>553963.14019487565</v>
      </c>
      <c r="BW37" s="909">
        <v>584700.86251400737</v>
      </c>
      <c r="BX37" s="909">
        <v>571978.46058021334</v>
      </c>
      <c r="BY37" s="909">
        <v>557158.7642709401</v>
      </c>
      <c r="BZ37" s="909">
        <v>562006.82047325955</v>
      </c>
      <c r="CA37" s="909">
        <v>564711.89723256102</v>
      </c>
      <c r="CB37" s="909">
        <v>617615.43948026793</v>
      </c>
      <c r="CC37" s="909">
        <v>565582.70624645427</v>
      </c>
      <c r="CD37" s="909">
        <v>539500.78679740021</v>
      </c>
      <c r="CE37" s="909">
        <v>544676.60483027366</v>
      </c>
      <c r="CF37" s="909">
        <v>594606.38741712971</v>
      </c>
      <c r="CG37" s="909">
        <v>595417.81737846974</v>
      </c>
      <c r="CH37" s="909">
        <v>615520.59286046412</v>
      </c>
      <c r="CI37" s="909">
        <v>554581.58495534596</v>
      </c>
      <c r="CJ37" s="909">
        <v>583839.66747363354</v>
      </c>
      <c r="CK37" s="909">
        <v>544720.87648373784</v>
      </c>
      <c r="CL37" s="909">
        <v>568865.35817346</v>
      </c>
      <c r="CM37" s="909">
        <v>590119.2052139343</v>
      </c>
      <c r="CN37" s="909">
        <v>593019.77146263747</v>
      </c>
      <c r="CO37" s="909">
        <v>602521.53799288091</v>
      </c>
      <c r="CP37" s="909">
        <v>621679.87125581503</v>
      </c>
      <c r="CQ37" s="909">
        <v>569878.42518445873</v>
      </c>
      <c r="CR37" s="909">
        <v>594480.2261923647</v>
      </c>
      <c r="CS37" s="909">
        <v>602369.28841782268</v>
      </c>
      <c r="CT37" s="909">
        <v>633548.93816647946</v>
      </c>
      <c r="CU37" s="909">
        <v>592613.50269915839</v>
      </c>
      <c r="CV37" s="909">
        <v>613811.28732334753</v>
      </c>
      <c r="CW37" s="909">
        <v>595422.16785062524</v>
      </c>
      <c r="CX37" s="909">
        <v>586391.14164995018</v>
      </c>
      <c r="CY37" s="909">
        <v>581706.77132610918</v>
      </c>
      <c r="CZ37" s="909">
        <v>589882.33867977094</v>
      </c>
      <c r="DA37" s="909">
        <v>619931.55078409833</v>
      </c>
      <c r="DB37" s="910">
        <v>589571.66774254874</v>
      </c>
      <c r="DC37" s="909">
        <v>596316.52203706396</v>
      </c>
      <c r="DD37" s="855">
        <v>590544.18367156386</v>
      </c>
      <c r="DE37" s="855">
        <v>611437.66581801255</v>
      </c>
      <c r="DF37" s="855">
        <v>598303.5378212264</v>
      </c>
      <c r="DG37" s="855">
        <v>595446.08077493508</v>
      </c>
      <c r="DH37" s="855">
        <v>605076.35199605348</v>
      </c>
      <c r="DI37" s="855">
        <v>620238.3358120888</v>
      </c>
      <c r="DJ37" s="855">
        <v>652935.36353394599</v>
      </c>
      <c r="DK37" s="855">
        <v>699688.151826774</v>
      </c>
      <c r="DL37" s="855">
        <v>669708.45040650154</v>
      </c>
      <c r="DM37" s="855">
        <v>686465.58550224965</v>
      </c>
      <c r="DN37" s="855">
        <v>706053.4213612508</v>
      </c>
      <c r="DO37" s="855">
        <v>710933.77678833297</v>
      </c>
      <c r="DP37" s="855">
        <v>773647.15841448866</v>
      </c>
      <c r="DQ37" s="855">
        <v>786460.72768748458</v>
      </c>
      <c r="DR37" s="855">
        <v>751066.34084334294</v>
      </c>
      <c r="DS37" s="855">
        <v>744504.95499241783</v>
      </c>
    </row>
    <row r="38" spans="1:123" ht="17.25" customHeight="1">
      <c r="A38" s="964" t="s">
        <v>2521</v>
      </c>
      <c r="B38" s="858" t="s">
        <v>2522</v>
      </c>
      <c r="C38" s="878">
        <v>85971.344917090784</v>
      </c>
      <c r="D38" s="878">
        <v>56233.825152112688</v>
      </c>
      <c r="E38" s="878">
        <v>60252.107619653412</v>
      </c>
      <c r="F38" s="917">
        <v>64917.25499278737</v>
      </c>
      <c r="G38" s="878">
        <v>67143.919556244378</v>
      </c>
      <c r="H38" s="918">
        <v>70429.597058082552</v>
      </c>
      <c r="I38" s="878">
        <v>73115.848879623896</v>
      </c>
      <c r="J38" s="878">
        <v>70584.508932084369</v>
      </c>
      <c r="K38" s="878">
        <v>72388.476477591976</v>
      </c>
      <c r="L38" s="878">
        <v>71006.542502962737</v>
      </c>
      <c r="M38" s="917">
        <v>64762.956991548017</v>
      </c>
      <c r="N38" s="878">
        <v>71376.843475018992</v>
      </c>
      <c r="O38" s="878">
        <v>70370.849442147213</v>
      </c>
      <c r="P38" s="878">
        <v>77834.490277323697</v>
      </c>
      <c r="Q38" s="878">
        <v>75479.578502125776</v>
      </c>
      <c r="R38" s="878">
        <v>75715.975696240974</v>
      </c>
      <c r="S38" s="878">
        <v>76501.098940951473</v>
      </c>
      <c r="T38" s="878">
        <v>83317.123458625007</v>
      </c>
      <c r="U38" s="878">
        <v>94783.297528469324</v>
      </c>
      <c r="V38" s="878">
        <v>97807.679188481052</v>
      </c>
      <c r="W38" s="878">
        <v>102541.53625631204</v>
      </c>
      <c r="X38" s="878">
        <v>104937.78384865716</v>
      </c>
      <c r="Y38" s="878">
        <v>102759.74497819504</v>
      </c>
      <c r="Z38" s="878">
        <v>98156.099633431339</v>
      </c>
      <c r="AA38" s="878">
        <v>108098.47599634138</v>
      </c>
      <c r="AB38" s="878">
        <v>113433.44803029559</v>
      </c>
      <c r="AC38" s="878">
        <v>107036.0017067583</v>
      </c>
      <c r="AD38" s="878">
        <v>123742.79734739376</v>
      </c>
      <c r="AE38" s="860">
        <v>120595.07091522172</v>
      </c>
      <c r="AF38" s="860">
        <v>136796.36000051288</v>
      </c>
      <c r="AG38" s="877">
        <v>126677.09650045166</v>
      </c>
      <c r="AH38" s="878">
        <v>132787.34762984278</v>
      </c>
      <c r="AI38" s="878">
        <v>121694.13096946044</v>
      </c>
      <c r="AJ38" s="878">
        <v>119716.94916424096</v>
      </c>
      <c r="AK38" s="878">
        <v>115913.87573404826</v>
      </c>
      <c r="AL38" s="878">
        <v>120037.92474904569</v>
      </c>
      <c r="AM38" s="878">
        <v>136102.50982904684</v>
      </c>
      <c r="AN38" s="878">
        <v>137760.12289358673</v>
      </c>
      <c r="AO38" s="878">
        <v>132653.62250465617</v>
      </c>
      <c r="AP38" s="878">
        <v>130313.38993089984</v>
      </c>
      <c r="AQ38" s="878">
        <v>140758.29932319175</v>
      </c>
      <c r="AR38" s="878">
        <v>141554.31136313253</v>
      </c>
      <c r="AS38" s="878">
        <v>143107.30549762354</v>
      </c>
      <c r="AT38" s="878">
        <v>150046.43147167374</v>
      </c>
      <c r="AU38" s="878">
        <v>155851.9510543645</v>
      </c>
      <c r="AV38" s="878">
        <v>160566.56518537708</v>
      </c>
      <c r="AW38" s="878">
        <v>158720.16497322492</v>
      </c>
      <c r="AX38" s="878">
        <v>164232.75667122781</v>
      </c>
      <c r="AY38" s="878">
        <v>170748.1548239853</v>
      </c>
      <c r="AZ38" s="878">
        <v>171344.24881251989</v>
      </c>
      <c r="BA38" s="878">
        <v>164099.5067574085</v>
      </c>
      <c r="BB38" s="878">
        <v>172846.76150691375</v>
      </c>
      <c r="BC38" s="878">
        <v>172189.43734370044</v>
      </c>
      <c r="BD38" s="878">
        <v>174265.05114018475</v>
      </c>
      <c r="BE38" s="878">
        <v>191048.92176675834</v>
      </c>
      <c r="BF38" s="878">
        <v>179915.97869980364</v>
      </c>
      <c r="BG38" s="878">
        <v>192180.69027072741</v>
      </c>
      <c r="BH38" s="878">
        <v>208788.97038426899</v>
      </c>
      <c r="BI38" s="878">
        <v>194250.10949376694</v>
      </c>
      <c r="BJ38" s="878">
        <v>208407.65075018074</v>
      </c>
      <c r="BK38" s="878">
        <v>208555.91568728545</v>
      </c>
      <c r="BL38" s="878">
        <v>182576.24376396686</v>
      </c>
      <c r="BM38" s="878">
        <v>191037.94546439327</v>
      </c>
      <c r="BN38" s="878">
        <v>204607.59015881389</v>
      </c>
      <c r="BO38" s="878">
        <v>200360.84813562041</v>
      </c>
      <c r="BP38" s="878">
        <v>209518.89747008457</v>
      </c>
      <c r="BQ38" s="878">
        <v>209295.6548992754</v>
      </c>
      <c r="BR38" s="878">
        <v>209637.39292402792</v>
      </c>
      <c r="BS38" s="878">
        <v>210767.21309718012</v>
      </c>
      <c r="BT38" s="878">
        <v>207308.49139739011</v>
      </c>
      <c r="BU38" s="878">
        <v>192464.96509982963</v>
      </c>
      <c r="BV38" s="878">
        <v>188726.39556423103</v>
      </c>
      <c r="BW38" s="878">
        <v>205308.35758070156</v>
      </c>
      <c r="BX38" s="878">
        <v>188313.19618431921</v>
      </c>
      <c r="BY38" s="878">
        <v>200419.60044157729</v>
      </c>
      <c r="BZ38" s="878">
        <v>198422.70198409588</v>
      </c>
      <c r="CA38" s="878">
        <v>201743.29043449453</v>
      </c>
      <c r="CB38" s="878">
        <v>214088.36141710865</v>
      </c>
      <c r="CC38" s="878">
        <v>205537.91356101009</v>
      </c>
      <c r="CD38" s="878">
        <v>205231.05536734877</v>
      </c>
      <c r="CE38" s="878">
        <v>206772.43078668762</v>
      </c>
      <c r="CF38" s="878">
        <v>259119.8327835619</v>
      </c>
      <c r="CG38" s="878">
        <v>256831.62678008329</v>
      </c>
      <c r="CH38" s="878">
        <v>266347.0832634134</v>
      </c>
      <c r="CI38" s="878">
        <v>185588.34878833563</v>
      </c>
      <c r="CJ38" s="878">
        <v>229789.48133857647</v>
      </c>
      <c r="CK38" s="878">
        <v>191664.32839531542</v>
      </c>
      <c r="CL38" s="878">
        <v>195659.65666632872</v>
      </c>
      <c r="CM38" s="878">
        <v>206437.66452216063</v>
      </c>
      <c r="CN38" s="878">
        <v>226858.78085671514</v>
      </c>
      <c r="CO38" s="878">
        <v>232397.77744178093</v>
      </c>
      <c r="CP38" s="878">
        <v>253266.41093040814</v>
      </c>
      <c r="CQ38" s="878">
        <v>205912.76219806424</v>
      </c>
      <c r="CR38" s="878">
        <v>228974.53216202161</v>
      </c>
      <c r="CS38" s="878">
        <v>209603.3922520495</v>
      </c>
      <c r="CT38" s="878">
        <v>236948.74495882238</v>
      </c>
      <c r="CU38" s="878">
        <v>226473.41388209624</v>
      </c>
      <c r="CV38" s="878">
        <v>249298.55269370315</v>
      </c>
      <c r="CW38" s="878">
        <v>232142.11169179843</v>
      </c>
      <c r="CX38" s="878">
        <v>219823.81216103063</v>
      </c>
      <c r="CY38" s="878">
        <v>215430.08009683026</v>
      </c>
      <c r="CZ38" s="878">
        <v>211132.13329911508</v>
      </c>
      <c r="DA38" s="878">
        <v>242832.98239723389</v>
      </c>
      <c r="DB38" s="917">
        <v>227138.3075219765</v>
      </c>
      <c r="DC38" s="878">
        <v>228630.83169578706</v>
      </c>
      <c r="DD38" s="860">
        <v>213634.22806992469</v>
      </c>
      <c r="DE38" s="860">
        <v>229625.01475195846</v>
      </c>
      <c r="DF38" s="860">
        <v>225075.36073976403</v>
      </c>
      <c r="DG38" s="860">
        <v>228962.60459457073</v>
      </c>
      <c r="DH38" s="860">
        <v>231670.43968625861</v>
      </c>
      <c r="DI38" s="860">
        <v>246604.26970415618</v>
      </c>
      <c r="DJ38" s="860">
        <v>257148.33085572478</v>
      </c>
      <c r="DK38" s="860">
        <v>258265.77502031249</v>
      </c>
      <c r="DL38" s="860">
        <v>236540.50958382024</v>
      </c>
      <c r="DM38" s="860">
        <v>246027.30395213159</v>
      </c>
      <c r="DN38" s="860">
        <v>266623.00285208237</v>
      </c>
      <c r="DO38" s="860">
        <v>271457.37271150126</v>
      </c>
      <c r="DP38" s="860">
        <v>316116.81090445758</v>
      </c>
      <c r="DQ38" s="860">
        <v>300166.50758820149</v>
      </c>
      <c r="DR38" s="860">
        <v>307377.53370310925</v>
      </c>
      <c r="DS38" s="860">
        <v>303181.43465204397</v>
      </c>
    </row>
    <row r="39" spans="1:123" ht="17.25" customHeight="1">
      <c r="A39" s="964" t="s">
        <v>2523</v>
      </c>
      <c r="B39" s="858" t="s">
        <v>2524</v>
      </c>
      <c r="C39" s="878">
        <v>55456.766540586381</v>
      </c>
      <c r="D39" s="878">
        <v>56409.558026902225</v>
      </c>
      <c r="E39" s="878">
        <v>56676.916913203575</v>
      </c>
      <c r="F39" s="917">
        <v>56446.331932011293</v>
      </c>
      <c r="G39" s="878">
        <v>57023.894498805021</v>
      </c>
      <c r="H39" s="918">
        <v>57907.788493609805</v>
      </c>
      <c r="I39" s="878">
        <v>62650.892724799902</v>
      </c>
      <c r="J39" s="878">
        <v>63024.610843555834</v>
      </c>
      <c r="K39" s="878">
        <v>61368.13042007175</v>
      </c>
      <c r="L39" s="878">
        <v>61053.283205791515</v>
      </c>
      <c r="M39" s="917">
        <v>60661.301301923188</v>
      </c>
      <c r="N39" s="878">
        <v>60978.126222878513</v>
      </c>
      <c r="O39" s="878">
        <v>60695.757939274074</v>
      </c>
      <c r="P39" s="878">
        <v>61009.736416268446</v>
      </c>
      <c r="Q39" s="878">
        <v>61732.874148325602</v>
      </c>
      <c r="R39" s="878">
        <v>61868.283133865785</v>
      </c>
      <c r="S39" s="878">
        <v>61522.229134000823</v>
      </c>
      <c r="T39" s="878">
        <v>62711.695908190661</v>
      </c>
      <c r="U39" s="878">
        <v>63729.516027608399</v>
      </c>
      <c r="V39" s="878">
        <v>64056.650559507521</v>
      </c>
      <c r="W39" s="878">
        <v>63638.572947251698</v>
      </c>
      <c r="X39" s="878">
        <v>65376.081047683816</v>
      </c>
      <c r="Y39" s="878">
        <v>65259.079659228315</v>
      </c>
      <c r="Z39" s="878">
        <v>64221.929274373069</v>
      </c>
      <c r="AA39" s="878">
        <v>66095.544656614788</v>
      </c>
      <c r="AB39" s="878">
        <v>65476.390059388992</v>
      </c>
      <c r="AC39" s="878">
        <v>65524.031192194372</v>
      </c>
      <c r="AD39" s="878">
        <v>61639.513680147509</v>
      </c>
      <c r="AE39" s="860">
        <v>61266.200567152599</v>
      </c>
      <c r="AF39" s="860">
        <v>62427.347630855766</v>
      </c>
      <c r="AG39" s="877">
        <v>65109.481147923419</v>
      </c>
      <c r="AH39" s="878">
        <v>66235.347691635165</v>
      </c>
      <c r="AI39" s="878">
        <v>67541.612313420977</v>
      </c>
      <c r="AJ39" s="878">
        <v>68108.303640445869</v>
      </c>
      <c r="AK39" s="878">
        <v>68869.179737235681</v>
      </c>
      <c r="AL39" s="878">
        <v>70219.272296007737</v>
      </c>
      <c r="AM39" s="878">
        <v>72298.326680456827</v>
      </c>
      <c r="AN39" s="878">
        <v>72576.095937727485</v>
      </c>
      <c r="AO39" s="878">
        <v>72458.780755457192</v>
      </c>
      <c r="AP39" s="878">
        <v>72977.193008200804</v>
      </c>
      <c r="AQ39" s="878">
        <v>72899.072392498012</v>
      </c>
      <c r="AR39" s="878">
        <v>74037.375257457243</v>
      </c>
      <c r="AS39" s="878">
        <v>75741.779815326096</v>
      </c>
      <c r="AT39" s="878">
        <v>76733.620682598455</v>
      </c>
      <c r="AU39" s="878">
        <v>78546.715695242718</v>
      </c>
      <c r="AV39" s="878">
        <v>79373.583615378142</v>
      </c>
      <c r="AW39" s="878">
        <v>78286.506441269856</v>
      </c>
      <c r="AX39" s="878">
        <v>79232.876773291457</v>
      </c>
      <c r="AY39" s="878">
        <v>81184.456778495878</v>
      </c>
      <c r="AZ39" s="878">
        <v>80487.755268852343</v>
      </c>
      <c r="BA39" s="878">
        <v>81476.260017902969</v>
      </c>
      <c r="BB39" s="878">
        <v>82165.97893315494</v>
      </c>
      <c r="BC39" s="878">
        <v>82772.057491794549</v>
      </c>
      <c r="BD39" s="878">
        <v>83498.608520614493</v>
      </c>
      <c r="BE39" s="878">
        <v>86281.150663870008</v>
      </c>
      <c r="BF39" s="878">
        <v>88129.266809014298</v>
      </c>
      <c r="BG39" s="878">
        <v>88038.78346473517</v>
      </c>
      <c r="BH39" s="878">
        <v>91457.634472638601</v>
      </c>
      <c r="BI39" s="878">
        <v>91898.67339562827</v>
      </c>
      <c r="BJ39" s="878">
        <v>91946.587501666989</v>
      </c>
      <c r="BK39" s="878">
        <v>93117.177439518855</v>
      </c>
      <c r="BL39" s="878">
        <v>93437.863100276925</v>
      </c>
      <c r="BM39" s="878">
        <v>98462.572505369142</v>
      </c>
      <c r="BN39" s="878">
        <v>99298.158751124836</v>
      </c>
      <c r="BO39" s="878">
        <v>102824.66932761139</v>
      </c>
      <c r="BP39" s="878">
        <v>102517.31023425236</v>
      </c>
      <c r="BQ39" s="878">
        <v>107483.18354177562</v>
      </c>
      <c r="BR39" s="878">
        <v>107065.91005206616</v>
      </c>
      <c r="BS39" s="878">
        <v>109948.37318606768</v>
      </c>
      <c r="BT39" s="878">
        <v>111176.82874093382</v>
      </c>
      <c r="BU39" s="878">
        <v>112551.09675535634</v>
      </c>
      <c r="BV39" s="878">
        <v>109592.48049322369</v>
      </c>
      <c r="BW39" s="878">
        <v>111080.41143256948</v>
      </c>
      <c r="BX39" s="878">
        <v>111393.18539564757</v>
      </c>
      <c r="BY39" s="878">
        <v>113241.97139249006</v>
      </c>
      <c r="BZ39" s="878">
        <v>110891.86366255653</v>
      </c>
      <c r="CA39" s="878">
        <v>112639.88002488608</v>
      </c>
      <c r="CB39" s="878">
        <v>111886.48328748738</v>
      </c>
      <c r="CC39" s="878">
        <v>115797.38828890627</v>
      </c>
      <c r="CD39" s="878">
        <v>115690.50203494569</v>
      </c>
      <c r="CE39" s="878">
        <v>117900.182190494</v>
      </c>
      <c r="CF39" s="878">
        <v>118773.81156699044</v>
      </c>
      <c r="CG39" s="878">
        <v>117546.4122682593</v>
      </c>
      <c r="CH39" s="878">
        <v>117387.25336958896</v>
      </c>
      <c r="CI39" s="878">
        <v>119606.41901363849</v>
      </c>
      <c r="CJ39" s="878">
        <v>119171.18732266128</v>
      </c>
      <c r="CK39" s="878">
        <v>118554.92876637385</v>
      </c>
      <c r="CL39" s="878">
        <v>121203.67452061395</v>
      </c>
      <c r="CM39" s="878">
        <v>119785.97243249523</v>
      </c>
      <c r="CN39" s="878">
        <v>121459.92141209303</v>
      </c>
      <c r="CO39" s="878">
        <v>125248.1103539145</v>
      </c>
      <c r="CP39" s="878">
        <v>128076.82253925536</v>
      </c>
      <c r="CQ39" s="878">
        <v>129827.67324198829</v>
      </c>
      <c r="CR39" s="878">
        <v>132021.90818918028</v>
      </c>
      <c r="CS39" s="878">
        <v>133058.74331657309</v>
      </c>
      <c r="CT39" s="878">
        <v>134590.07749324129</v>
      </c>
      <c r="CU39" s="878">
        <v>133996.57534747222</v>
      </c>
      <c r="CV39" s="878">
        <v>136089.66475867567</v>
      </c>
      <c r="CW39" s="878">
        <v>134376.5194241025</v>
      </c>
      <c r="CX39" s="878">
        <v>134703.34851609514</v>
      </c>
      <c r="CY39" s="878">
        <v>133844.32236795936</v>
      </c>
      <c r="CZ39" s="878">
        <v>134900.08177348072</v>
      </c>
      <c r="DA39" s="878">
        <v>138963.07560330845</v>
      </c>
      <c r="DB39" s="917">
        <v>141486.48654951985</v>
      </c>
      <c r="DC39" s="878">
        <v>143237.74079877391</v>
      </c>
      <c r="DD39" s="860">
        <v>144755.38747650504</v>
      </c>
      <c r="DE39" s="860">
        <v>144710.49033561134</v>
      </c>
      <c r="DF39" s="860">
        <v>144933.47361842843</v>
      </c>
      <c r="DG39" s="860">
        <v>146778.10574774371</v>
      </c>
      <c r="DH39" s="860">
        <v>149014.06272058343</v>
      </c>
      <c r="DI39" s="860">
        <v>148447.05111742966</v>
      </c>
      <c r="DJ39" s="860">
        <v>149173.36185346637</v>
      </c>
      <c r="DK39" s="860">
        <v>152623.97654745489</v>
      </c>
      <c r="DL39" s="860">
        <v>151699.94722115251</v>
      </c>
      <c r="DM39" s="860">
        <v>153580.05274598414</v>
      </c>
      <c r="DN39" s="860">
        <v>158116.58360671537</v>
      </c>
      <c r="DO39" s="860">
        <v>159721.8553873591</v>
      </c>
      <c r="DP39" s="860">
        <v>160474.59665869805</v>
      </c>
      <c r="DQ39" s="860">
        <v>160618.97627511015</v>
      </c>
      <c r="DR39" s="860">
        <v>161656.10945234966</v>
      </c>
      <c r="DS39" s="860">
        <v>164110.63317595926</v>
      </c>
    </row>
    <row r="40" spans="1:123" ht="17.25" customHeight="1">
      <c r="A40" s="964" t="s">
        <v>2525</v>
      </c>
      <c r="B40" s="858" t="s">
        <v>2526</v>
      </c>
      <c r="C40" s="878">
        <v>109030.73177574809</v>
      </c>
      <c r="D40" s="878">
        <v>119700.9925397998</v>
      </c>
      <c r="E40" s="878">
        <v>111306.36665181286</v>
      </c>
      <c r="F40" s="917">
        <v>116738.42569687733</v>
      </c>
      <c r="G40" s="878">
        <v>117778.03292087425</v>
      </c>
      <c r="H40" s="918">
        <v>129193.57526297031</v>
      </c>
      <c r="I40" s="878">
        <v>121856.32184151594</v>
      </c>
      <c r="J40" s="878">
        <v>122887.33394910117</v>
      </c>
      <c r="K40" s="878">
        <v>132606.45372407339</v>
      </c>
      <c r="L40" s="878">
        <v>141180.31069940826</v>
      </c>
      <c r="M40" s="917">
        <v>145657.13283640481</v>
      </c>
      <c r="N40" s="878">
        <v>158742.33413253239</v>
      </c>
      <c r="O40" s="878">
        <v>157085.22267074606</v>
      </c>
      <c r="P40" s="878">
        <v>159074.61874803028</v>
      </c>
      <c r="Q40" s="878">
        <v>162342.67262476141</v>
      </c>
      <c r="R40" s="878">
        <v>175308.57908610464</v>
      </c>
      <c r="S40" s="878">
        <v>174492.52831534229</v>
      </c>
      <c r="T40" s="878">
        <v>173026.96183950026</v>
      </c>
      <c r="U40" s="878">
        <v>192996.41621173284</v>
      </c>
      <c r="V40" s="878">
        <v>174334.57535290802</v>
      </c>
      <c r="W40" s="878">
        <v>167876.76306826068</v>
      </c>
      <c r="X40" s="878">
        <v>174890.32209136282</v>
      </c>
      <c r="Y40" s="878">
        <v>171081.1772130412</v>
      </c>
      <c r="Z40" s="878">
        <v>180865.5209354198</v>
      </c>
      <c r="AA40" s="878">
        <v>184349.03946682162</v>
      </c>
      <c r="AB40" s="878">
        <v>194376.27555329466</v>
      </c>
      <c r="AC40" s="878">
        <v>201961.66270125346</v>
      </c>
      <c r="AD40" s="878">
        <v>201802.5665410292</v>
      </c>
      <c r="AE40" s="860">
        <v>209411.19801806248</v>
      </c>
      <c r="AF40" s="860">
        <v>221984.8344376522</v>
      </c>
      <c r="AG40" s="877">
        <v>209948.39363256414</v>
      </c>
      <c r="AH40" s="878">
        <v>234860.62175505236</v>
      </c>
      <c r="AI40" s="878">
        <v>231131.47940826087</v>
      </c>
      <c r="AJ40" s="878">
        <v>220189.4773461445</v>
      </c>
      <c r="AK40" s="878">
        <v>216526.17681310058</v>
      </c>
      <c r="AL40" s="878">
        <v>244347.2598311076</v>
      </c>
      <c r="AM40" s="878">
        <v>237830.38986826851</v>
      </c>
      <c r="AN40" s="878">
        <v>257556.43988593834</v>
      </c>
      <c r="AO40" s="878">
        <v>248397.04359138513</v>
      </c>
      <c r="AP40" s="878">
        <v>239173.95340796676</v>
      </c>
      <c r="AQ40" s="878">
        <v>235412.31856859857</v>
      </c>
      <c r="AR40" s="878">
        <v>236419.23071157237</v>
      </c>
      <c r="AS40" s="878">
        <v>231226.18516384368</v>
      </c>
      <c r="AT40" s="878">
        <v>226613.26755319798</v>
      </c>
      <c r="AU40" s="878">
        <v>225708.74797102256</v>
      </c>
      <c r="AV40" s="878">
        <v>219124.48209656932</v>
      </c>
      <c r="AW40" s="878">
        <v>226003.94753632817</v>
      </c>
      <c r="AX40" s="878">
        <v>227860.9637075951</v>
      </c>
      <c r="AY40" s="878">
        <v>218480.28767824118</v>
      </c>
      <c r="AZ40" s="878">
        <v>221504.31386224221</v>
      </c>
      <c r="BA40" s="878">
        <v>221450.74336463574</v>
      </c>
      <c r="BB40" s="878">
        <v>222359.37412889278</v>
      </c>
      <c r="BC40" s="878">
        <v>223689.78814989465</v>
      </c>
      <c r="BD40" s="878">
        <v>229684.10988553832</v>
      </c>
      <c r="BE40" s="878">
        <v>225304.54533674929</v>
      </c>
      <c r="BF40" s="878">
        <v>256185.72591215058</v>
      </c>
      <c r="BG40" s="878">
        <v>247626.17572525988</v>
      </c>
      <c r="BH40" s="878">
        <v>234845.7614417162</v>
      </c>
      <c r="BI40" s="878">
        <v>231940.18696562186</v>
      </c>
      <c r="BJ40" s="878">
        <v>269073.04595550534</v>
      </c>
      <c r="BK40" s="878">
        <v>265074.04301219148</v>
      </c>
      <c r="BL40" s="878">
        <v>250716.5079431535</v>
      </c>
      <c r="BM40" s="878">
        <v>260387.11344490063</v>
      </c>
      <c r="BN40" s="878">
        <v>248485.51247747539</v>
      </c>
      <c r="BO40" s="878">
        <v>252555.7827722755</v>
      </c>
      <c r="BP40" s="878">
        <v>252884.43516326445</v>
      </c>
      <c r="BQ40" s="878">
        <v>262122.12075520572</v>
      </c>
      <c r="BR40" s="878">
        <v>262115.94820399274</v>
      </c>
      <c r="BS40" s="878">
        <v>253343.64473090673</v>
      </c>
      <c r="BT40" s="878">
        <v>225185.36075979553</v>
      </c>
      <c r="BU40" s="878">
        <v>257024.48815792499</v>
      </c>
      <c r="BV40" s="878">
        <v>255644.26413742092</v>
      </c>
      <c r="BW40" s="878">
        <v>268312.09350073629</v>
      </c>
      <c r="BX40" s="878">
        <v>272272.07900024659</v>
      </c>
      <c r="BY40" s="878">
        <v>243497.19243687281</v>
      </c>
      <c r="BZ40" s="878">
        <v>252692.25482660718</v>
      </c>
      <c r="CA40" s="878">
        <v>250328.72677318042</v>
      </c>
      <c r="CB40" s="878">
        <v>291640.59477567184</v>
      </c>
      <c r="CC40" s="878">
        <v>244247.40439653795</v>
      </c>
      <c r="CD40" s="878">
        <v>218579.22939510574</v>
      </c>
      <c r="CE40" s="878">
        <v>220003.99185309198</v>
      </c>
      <c r="CF40" s="878">
        <v>216712.74306657736</v>
      </c>
      <c r="CG40" s="878">
        <v>221039.77833012716</v>
      </c>
      <c r="CH40" s="878">
        <v>231786.25622746177</v>
      </c>
      <c r="CI40" s="878">
        <v>249386.81715337187</v>
      </c>
      <c r="CJ40" s="878">
        <v>234878.99881239576</v>
      </c>
      <c r="CK40" s="878">
        <v>234501.61932204853</v>
      </c>
      <c r="CL40" s="878">
        <v>252002.02698651736</v>
      </c>
      <c r="CM40" s="878">
        <v>263895.56825927843</v>
      </c>
      <c r="CN40" s="878">
        <v>244701.06919382926</v>
      </c>
      <c r="CO40" s="878">
        <v>244875.65019718549</v>
      </c>
      <c r="CP40" s="878">
        <v>240336.63778615158</v>
      </c>
      <c r="CQ40" s="878">
        <v>234137.98974440614</v>
      </c>
      <c r="CR40" s="878">
        <v>233483.78584116284</v>
      </c>
      <c r="CS40" s="878">
        <v>259707.15284920012</v>
      </c>
      <c r="CT40" s="878">
        <v>262010.11571441576</v>
      </c>
      <c r="CU40" s="878">
        <v>232143.51346958987</v>
      </c>
      <c r="CV40" s="878">
        <v>228423.06987096876</v>
      </c>
      <c r="CW40" s="878">
        <v>228903.53673472427</v>
      </c>
      <c r="CX40" s="878">
        <v>231863.98097282439</v>
      </c>
      <c r="CY40" s="878">
        <v>232432.36886131956</v>
      </c>
      <c r="CZ40" s="878">
        <v>243850.12360717508</v>
      </c>
      <c r="DA40" s="878">
        <v>238135.49278355602</v>
      </c>
      <c r="DB40" s="917">
        <v>220946.8736710524</v>
      </c>
      <c r="DC40" s="878">
        <v>224447.94954250293</v>
      </c>
      <c r="DD40" s="860">
        <v>232154.56812513413</v>
      </c>
      <c r="DE40" s="860">
        <v>237102.1607304427</v>
      </c>
      <c r="DF40" s="860">
        <v>228294.70346303398</v>
      </c>
      <c r="DG40" s="860">
        <v>219705.37043262066</v>
      </c>
      <c r="DH40" s="860">
        <v>224391.84958921143</v>
      </c>
      <c r="DI40" s="860">
        <v>225187.014990503</v>
      </c>
      <c r="DJ40" s="860">
        <v>246613.67082475481</v>
      </c>
      <c r="DK40" s="860">
        <v>288798.40025900665</v>
      </c>
      <c r="DL40" s="860">
        <v>281467.99360152881</v>
      </c>
      <c r="DM40" s="860">
        <v>286858.22880413389</v>
      </c>
      <c r="DN40" s="860">
        <v>281313.834902453</v>
      </c>
      <c r="DO40" s="860">
        <v>279754.54868947266</v>
      </c>
      <c r="DP40" s="860">
        <v>297055.75085133297</v>
      </c>
      <c r="DQ40" s="860">
        <v>325675.24382417294</v>
      </c>
      <c r="DR40" s="860">
        <v>282032.69768788398</v>
      </c>
      <c r="DS40" s="860">
        <v>277212.88716441463</v>
      </c>
    </row>
    <row r="41" spans="1:123" ht="17.25" customHeight="1">
      <c r="A41" s="964"/>
      <c r="B41" s="858"/>
      <c r="C41" s="937"/>
      <c r="D41" s="937"/>
      <c r="E41" s="937"/>
      <c r="F41" s="938"/>
      <c r="G41" s="937"/>
      <c r="H41" s="939"/>
      <c r="I41" s="937"/>
      <c r="J41" s="937"/>
      <c r="K41" s="937"/>
      <c r="L41" s="937"/>
      <c r="M41" s="938"/>
      <c r="N41" s="937"/>
      <c r="O41" s="937"/>
      <c r="P41" s="937"/>
      <c r="Q41" s="937"/>
      <c r="R41" s="937"/>
      <c r="S41" s="937"/>
      <c r="T41" s="937"/>
      <c r="U41" s="937"/>
      <c r="V41" s="937"/>
      <c r="W41" s="937"/>
      <c r="X41" s="937"/>
      <c r="Y41" s="937"/>
      <c r="Z41" s="937"/>
      <c r="AA41" s="937"/>
      <c r="AB41" s="937"/>
      <c r="AC41" s="937"/>
      <c r="AD41" s="937"/>
      <c r="AE41" s="940"/>
      <c r="AF41" s="940"/>
      <c r="AG41" s="941"/>
      <c r="AH41" s="937"/>
      <c r="AI41" s="937"/>
      <c r="AJ41" s="937"/>
      <c r="AK41" s="937"/>
      <c r="AL41" s="937"/>
      <c r="AM41" s="937"/>
      <c r="AN41" s="937"/>
      <c r="AO41" s="937"/>
      <c r="AP41" s="937"/>
      <c r="AQ41" s="937"/>
      <c r="AR41" s="937"/>
      <c r="AS41" s="937"/>
      <c r="AT41" s="937"/>
      <c r="AU41" s="937"/>
      <c r="AV41" s="937"/>
      <c r="AW41" s="937"/>
      <c r="AX41" s="937"/>
      <c r="AY41" s="937"/>
      <c r="AZ41" s="937"/>
      <c r="BA41" s="937"/>
      <c r="BB41" s="937"/>
      <c r="BC41" s="937"/>
      <c r="BD41" s="937"/>
      <c r="BE41" s="937"/>
      <c r="BF41" s="937"/>
      <c r="BG41" s="937"/>
      <c r="BH41" s="937"/>
      <c r="BI41" s="937"/>
      <c r="BJ41" s="937"/>
      <c r="BK41" s="937"/>
      <c r="BL41" s="937"/>
      <c r="BM41" s="937"/>
      <c r="BN41" s="937"/>
      <c r="BO41" s="937"/>
      <c r="BP41" s="937"/>
      <c r="BQ41" s="937"/>
      <c r="BR41" s="937"/>
      <c r="BS41" s="937"/>
      <c r="BT41" s="937"/>
      <c r="BU41" s="937"/>
      <c r="BV41" s="937"/>
      <c r="BW41" s="937"/>
      <c r="BX41" s="937"/>
      <c r="BY41" s="937"/>
      <c r="BZ41" s="937"/>
      <c r="CA41" s="937"/>
      <c r="CB41" s="937"/>
      <c r="CC41" s="937"/>
      <c r="CD41" s="937"/>
      <c r="CE41" s="937"/>
      <c r="CF41" s="937"/>
      <c r="CG41" s="937"/>
      <c r="CH41" s="937"/>
      <c r="CI41" s="937"/>
      <c r="CJ41" s="937"/>
      <c r="CK41" s="937"/>
      <c r="CL41" s="937"/>
      <c r="CM41" s="937"/>
      <c r="CN41" s="937"/>
      <c r="CO41" s="937"/>
      <c r="CP41" s="937"/>
      <c r="CQ41" s="937"/>
      <c r="CR41" s="937"/>
      <c r="CS41" s="937"/>
      <c r="CT41" s="937"/>
      <c r="CU41" s="937"/>
      <c r="CV41" s="937"/>
      <c r="CW41" s="937"/>
      <c r="CX41" s="937"/>
      <c r="CY41" s="937"/>
      <c r="CZ41" s="937"/>
      <c r="DA41" s="937"/>
      <c r="DB41" s="938"/>
      <c r="DC41" s="937"/>
      <c r="DD41" s="940"/>
      <c r="DE41" s="940"/>
      <c r="DF41" s="940"/>
      <c r="DG41" s="940"/>
      <c r="DH41" s="940"/>
      <c r="DI41" s="940"/>
      <c r="DJ41" s="940"/>
      <c r="DK41" s="940"/>
      <c r="DL41" s="940"/>
      <c r="DM41" s="940"/>
      <c r="DN41" s="940"/>
      <c r="DO41" s="940"/>
      <c r="DP41" s="940"/>
      <c r="DQ41" s="940"/>
      <c r="DR41" s="940"/>
      <c r="DS41" s="940"/>
    </row>
    <row r="42" spans="1:123" ht="17.25" customHeight="1">
      <c r="A42" s="963" t="s">
        <v>2527</v>
      </c>
      <c r="B42" s="854" t="s">
        <v>2551</v>
      </c>
      <c r="C42" s="909">
        <v>80491.5790556188</v>
      </c>
      <c r="D42" s="909">
        <v>80697.809106184024</v>
      </c>
      <c r="E42" s="909">
        <v>87705.678274143997</v>
      </c>
      <c r="F42" s="910">
        <v>73784.756130328082</v>
      </c>
      <c r="G42" s="909">
        <v>72490.460604305175</v>
      </c>
      <c r="H42" s="911">
        <v>77427.406255812166</v>
      </c>
      <c r="I42" s="909">
        <v>66099.699093659015</v>
      </c>
      <c r="J42" s="909">
        <v>70833.680370135378</v>
      </c>
      <c r="K42" s="909">
        <v>88120.068275375394</v>
      </c>
      <c r="L42" s="909">
        <v>85019.088950657184</v>
      </c>
      <c r="M42" s="910">
        <v>73327.205655888421</v>
      </c>
      <c r="N42" s="909">
        <v>71069.375960490041</v>
      </c>
      <c r="O42" s="909">
        <v>77230.859836294956</v>
      </c>
      <c r="P42" s="909">
        <v>78255.409937428543</v>
      </c>
      <c r="Q42" s="909">
        <v>83007.09680195454</v>
      </c>
      <c r="R42" s="909">
        <v>93373.797255076002</v>
      </c>
      <c r="S42" s="909">
        <v>96481.845470338289</v>
      </c>
      <c r="T42" s="909">
        <v>114964.85499125741</v>
      </c>
      <c r="U42" s="909">
        <v>111645.24791947874</v>
      </c>
      <c r="V42" s="909">
        <v>99942.546984468252</v>
      </c>
      <c r="W42" s="909">
        <v>106620.44209692487</v>
      </c>
      <c r="X42" s="909">
        <v>105632.61913818453</v>
      </c>
      <c r="Y42" s="909">
        <v>111745.27884125496</v>
      </c>
      <c r="Z42" s="909">
        <v>103575.80796826008</v>
      </c>
      <c r="AA42" s="909">
        <v>99741.828133381481</v>
      </c>
      <c r="AB42" s="909">
        <v>119569.0172397062</v>
      </c>
      <c r="AC42" s="909">
        <v>127180.72113339081</v>
      </c>
      <c r="AD42" s="909">
        <v>121899.28328782997</v>
      </c>
      <c r="AE42" s="855">
        <v>120843.8192943973</v>
      </c>
      <c r="AF42" s="855">
        <v>131575.3054988909</v>
      </c>
      <c r="AG42" s="936">
        <v>129517.69597165757</v>
      </c>
      <c r="AH42" s="909">
        <v>128257.47232984914</v>
      </c>
      <c r="AI42" s="909">
        <v>122215.01007093082</v>
      </c>
      <c r="AJ42" s="909">
        <v>121890.88919858025</v>
      </c>
      <c r="AK42" s="909">
        <v>121794.56796619685</v>
      </c>
      <c r="AL42" s="909">
        <v>126312.25483534057</v>
      </c>
      <c r="AM42" s="909">
        <v>118841.74642610786</v>
      </c>
      <c r="AN42" s="909">
        <v>117863.20924431557</v>
      </c>
      <c r="AO42" s="909">
        <v>116355.45662098803</v>
      </c>
      <c r="AP42" s="909">
        <v>115587.07566438038</v>
      </c>
      <c r="AQ42" s="909">
        <v>133111.1564387317</v>
      </c>
      <c r="AR42" s="909">
        <v>131663.11318076306</v>
      </c>
      <c r="AS42" s="909">
        <v>128065.81607268049</v>
      </c>
      <c r="AT42" s="909">
        <v>131799.72708023948</v>
      </c>
      <c r="AU42" s="909">
        <v>131086.67195544034</v>
      </c>
      <c r="AV42" s="909">
        <v>128665.46387125392</v>
      </c>
      <c r="AW42" s="909">
        <v>123297.80121491598</v>
      </c>
      <c r="AX42" s="909">
        <v>116791.89378671935</v>
      </c>
      <c r="AY42" s="909">
        <v>108415.04497313853</v>
      </c>
      <c r="AZ42" s="909">
        <v>104289.99226519052</v>
      </c>
      <c r="BA42" s="909">
        <v>102716.08842777211</v>
      </c>
      <c r="BB42" s="909">
        <v>101757.81214174069</v>
      </c>
      <c r="BC42" s="909">
        <v>99433.722607934236</v>
      </c>
      <c r="BD42" s="909">
        <v>82944.729221307134</v>
      </c>
      <c r="BE42" s="909">
        <v>90309.277111334784</v>
      </c>
      <c r="BF42" s="909">
        <v>78667.024526159774</v>
      </c>
      <c r="BG42" s="909">
        <v>80554.354239733191</v>
      </c>
      <c r="BH42" s="909">
        <v>84690.225909486326</v>
      </c>
      <c r="BI42" s="909">
        <v>85623.26794906109</v>
      </c>
      <c r="BJ42" s="909">
        <v>96156.265010870848</v>
      </c>
      <c r="BK42" s="909">
        <v>91807.748033646349</v>
      </c>
      <c r="BL42" s="909">
        <v>90778.265086634579</v>
      </c>
      <c r="BM42" s="909">
        <v>93282.964628330083</v>
      </c>
      <c r="BN42" s="909">
        <v>98468.279970911579</v>
      </c>
      <c r="BO42" s="909">
        <v>99069.431729936943</v>
      </c>
      <c r="BP42" s="909">
        <v>98610.640375597839</v>
      </c>
      <c r="BQ42" s="909">
        <v>94524.236984010495</v>
      </c>
      <c r="BR42" s="909">
        <v>92182.966555755789</v>
      </c>
      <c r="BS42" s="909">
        <v>96030.450212167765</v>
      </c>
      <c r="BT42" s="909">
        <v>94772.472537003501</v>
      </c>
      <c r="BU42" s="909">
        <v>107690.070906644</v>
      </c>
      <c r="BV42" s="909">
        <v>93879.980016062153</v>
      </c>
      <c r="BW42" s="909">
        <v>103502.69653744902</v>
      </c>
      <c r="BX42" s="909">
        <v>91631.185972174542</v>
      </c>
      <c r="BY42" s="909">
        <v>96996.300713116405</v>
      </c>
      <c r="BZ42" s="909">
        <v>96954.886827257025</v>
      </c>
      <c r="CA42" s="909">
        <v>91673.207968479444</v>
      </c>
      <c r="CB42" s="909">
        <v>93348.601159788828</v>
      </c>
      <c r="CC42" s="909">
        <v>93697.154047417454</v>
      </c>
      <c r="CD42" s="909">
        <v>91501.42869486702</v>
      </c>
      <c r="CE42" s="909">
        <v>92537.9906437475</v>
      </c>
      <c r="CF42" s="909">
        <v>103149.97996094101</v>
      </c>
      <c r="CG42" s="909">
        <v>102551.27243887875</v>
      </c>
      <c r="CH42" s="909">
        <v>96419.683389639715</v>
      </c>
      <c r="CI42" s="909">
        <v>117452.8730538902</v>
      </c>
      <c r="CJ42" s="909">
        <v>115149.9011788893</v>
      </c>
      <c r="CK42" s="909">
        <v>124903.59743968595</v>
      </c>
      <c r="CL42" s="909">
        <v>113407.32885407397</v>
      </c>
      <c r="CM42" s="909">
        <v>118507.85262060841</v>
      </c>
      <c r="CN42" s="909">
        <v>125593.84637196726</v>
      </c>
      <c r="CO42" s="909">
        <v>139817.43680827963</v>
      </c>
      <c r="CP42" s="909">
        <v>142519.73521105712</v>
      </c>
      <c r="CQ42" s="909">
        <v>163361.4784103022</v>
      </c>
      <c r="CR42" s="909">
        <v>169042.00723445791</v>
      </c>
      <c r="CS42" s="909">
        <v>148489.56406763074</v>
      </c>
      <c r="CT42" s="909">
        <v>156436.13094266233</v>
      </c>
      <c r="CU42" s="909">
        <v>172787.31623900167</v>
      </c>
      <c r="CV42" s="909">
        <v>179554.05256704643</v>
      </c>
      <c r="CW42" s="909">
        <v>177098.25635244997</v>
      </c>
      <c r="CX42" s="909">
        <v>180542.27517278696</v>
      </c>
      <c r="CY42" s="909">
        <v>169453.70012330479</v>
      </c>
      <c r="CZ42" s="909">
        <v>166481.50102469139</v>
      </c>
      <c r="DA42" s="909">
        <v>192564.99889843416</v>
      </c>
      <c r="DB42" s="910">
        <v>189473.45742364379</v>
      </c>
      <c r="DC42" s="909">
        <v>193106.00723397272</v>
      </c>
      <c r="DD42" s="855">
        <v>197755.32273692451</v>
      </c>
      <c r="DE42" s="855">
        <v>176455.41817401792</v>
      </c>
      <c r="DF42" s="855">
        <v>146171.62551350016</v>
      </c>
      <c r="DG42" s="855">
        <v>152438.90449626313</v>
      </c>
      <c r="DH42" s="855">
        <v>152791.42553193358</v>
      </c>
      <c r="DI42" s="855">
        <v>149494.44184773127</v>
      </c>
      <c r="DJ42" s="855">
        <v>158615.98794888516</v>
      </c>
      <c r="DK42" s="855">
        <v>168439.44250099061</v>
      </c>
      <c r="DL42" s="855">
        <v>168550.01594421855</v>
      </c>
      <c r="DM42" s="855">
        <v>184232.83156417086</v>
      </c>
      <c r="DN42" s="855">
        <v>185665.66493615811</v>
      </c>
      <c r="DO42" s="855">
        <v>176420.73684061295</v>
      </c>
      <c r="DP42" s="855">
        <v>187738.47065844474</v>
      </c>
      <c r="DQ42" s="855">
        <v>172960.89409869455</v>
      </c>
      <c r="DR42" s="855">
        <v>173171.38005135133</v>
      </c>
      <c r="DS42" s="855">
        <v>171075.25281564827</v>
      </c>
    </row>
    <row r="43" spans="1:123" ht="17.25" customHeight="1">
      <c r="A43" s="964" t="s">
        <v>2529</v>
      </c>
      <c r="B43" s="858" t="s">
        <v>2522</v>
      </c>
      <c r="C43" s="878">
        <v>14022.40692473679</v>
      </c>
      <c r="D43" s="878">
        <v>8614.9470122550247</v>
      </c>
      <c r="E43" s="878">
        <v>9046.7667947900245</v>
      </c>
      <c r="F43" s="917">
        <v>8253.3560588930486</v>
      </c>
      <c r="G43" s="878">
        <v>8243.8970227649188</v>
      </c>
      <c r="H43" s="918">
        <v>14222.774405428938</v>
      </c>
      <c r="I43" s="878">
        <v>9773.4685437383559</v>
      </c>
      <c r="J43" s="878">
        <v>8464.5785294334873</v>
      </c>
      <c r="K43" s="878">
        <v>8618.9981428776773</v>
      </c>
      <c r="L43" s="878">
        <v>9444.8388877828729</v>
      </c>
      <c r="M43" s="917">
        <v>9352.6658480040496</v>
      </c>
      <c r="N43" s="878">
        <v>9078.0655663321577</v>
      </c>
      <c r="O43" s="878">
        <v>9420.9177350316659</v>
      </c>
      <c r="P43" s="878">
        <v>10747.092222015226</v>
      </c>
      <c r="Q43" s="878">
        <v>14520.159524510929</v>
      </c>
      <c r="R43" s="878">
        <v>9991.7010285336255</v>
      </c>
      <c r="S43" s="878">
        <v>9092.5564867792127</v>
      </c>
      <c r="T43" s="878">
        <v>10165.907027228755</v>
      </c>
      <c r="U43" s="878">
        <v>12983.843000142246</v>
      </c>
      <c r="V43" s="878">
        <v>11715.407392950861</v>
      </c>
      <c r="W43" s="878">
        <v>14475.547831222679</v>
      </c>
      <c r="X43" s="878">
        <v>19425.925564734509</v>
      </c>
      <c r="Y43" s="878">
        <v>13960.249322756885</v>
      </c>
      <c r="Z43" s="878">
        <v>15702.057529997388</v>
      </c>
      <c r="AA43" s="878">
        <v>11437.244710425246</v>
      </c>
      <c r="AB43" s="878">
        <v>13168.735278215197</v>
      </c>
      <c r="AC43" s="878">
        <v>13759.003379766453</v>
      </c>
      <c r="AD43" s="878">
        <v>13364.164291648372</v>
      </c>
      <c r="AE43" s="860">
        <v>14167.006895148679</v>
      </c>
      <c r="AF43" s="860">
        <v>13712.581781453029</v>
      </c>
      <c r="AG43" s="877">
        <v>15904.570471189527</v>
      </c>
      <c r="AH43" s="878">
        <v>15992.788304569956</v>
      </c>
      <c r="AI43" s="878">
        <v>19694.302836123796</v>
      </c>
      <c r="AJ43" s="878">
        <v>20611.516611396997</v>
      </c>
      <c r="AK43" s="878">
        <v>18384.805904107274</v>
      </c>
      <c r="AL43" s="878">
        <v>17418.271259703048</v>
      </c>
      <c r="AM43" s="878">
        <v>19673.09198335043</v>
      </c>
      <c r="AN43" s="878">
        <v>17490.392421126409</v>
      </c>
      <c r="AO43" s="878">
        <v>15789.829679464565</v>
      </c>
      <c r="AP43" s="878">
        <v>14897.063393489851</v>
      </c>
      <c r="AQ43" s="878">
        <v>17855.386396686707</v>
      </c>
      <c r="AR43" s="878">
        <v>19704.477664288788</v>
      </c>
      <c r="AS43" s="878">
        <v>19322.249388112468</v>
      </c>
      <c r="AT43" s="878">
        <v>19671.520938299513</v>
      </c>
      <c r="AU43" s="878">
        <v>21946.174337752516</v>
      </c>
      <c r="AV43" s="878">
        <v>22545.557014126411</v>
      </c>
      <c r="AW43" s="878">
        <v>22877.404338369684</v>
      </c>
      <c r="AX43" s="878">
        <v>25594.387499068926</v>
      </c>
      <c r="AY43" s="878">
        <v>24263.926402553021</v>
      </c>
      <c r="AZ43" s="878">
        <v>22543.248311728195</v>
      </c>
      <c r="BA43" s="878">
        <v>21234.901128839534</v>
      </c>
      <c r="BB43" s="878">
        <v>30290.441198478788</v>
      </c>
      <c r="BC43" s="878">
        <v>24337.911634397216</v>
      </c>
      <c r="BD43" s="878">
        <v>23016.085451020259</v>
      </c>
      <c r="BE43" s="878">
        <v>26127.521209808598</v>
      </c>
      <c r="BF43" s="878">
        <v>23921.084562984011</v>
      </c>
      <c r="BG43" s="878">
        <v>22208.752819936391</v>
      </c>
      <c r="BH43" s="878">
        <v>23156.253562813843</v>
      </c>
      <c r="BI43" s="878">
        <v>23121.383518245995</v>
      </c>
      <c r="BJ43" s="878">
        <v>24590.031698467454</v>
      </c>
      <c r="BK43" s="878">
        <v>23916.522247080891</v>
      </c>
      <c r="BL43" s="878">
        <v>23742.905440807965</v>
      </c>
      <c r="BM43" s="878">
        <v>24232.956685809291</v>
      </c>
      <c r="BN43" s="878">
        <v>26599.446508762252</v>
      </c>
      <c r="BO43" s="878">
        <v>29024.633317296066</v>
      </c>
      <c r="BP43" s="878">
        <v>27333.616765043411</v>
      </c>
      <c r="BQ43" s="878">
        <v>25716.207911377434</v>
      </c>
      <c r="BR43" s="878">
        <v>23815.733355021974</v>
      </c>
      <c r="BS43" s="878">
        <v>32057.999938223969</v>
      </c>
      <c r="BT43" s="878">
        <v>29087.255709827485</v>
      </c>
      <c r="BU43" s="878">
        <v>27682.723648223953</v>
      </c>
      <c r="BV43" s="878">
        <v>30605.533021761774</v>
      </c>
      <c r="BW43" s="878">
        <v>36707.213049972961</v>
      </c>
      <c r="BX43" s="878">
        <v>26209.195973646965</v>
      </c>
      <c r="BY43" s="878">
        <v>31883.152481903373</v>
      </c>
      <c r="BZ43" s="878">
        <v>31121.353675311264</v>
      </c>
      <c r="CA43" s="878">
        <v>26986.049667186711</v>
      </c>
      <c r="CB43" s="878">
        <v>27895.361200375159</v>
      </c>
      <c r="CC43" s="878">
        <v>27362.065229344491</v>
      </c>
      <c r="CD43" s="878">
        <v>27991.529754028328</v>
      </c>
      <c r="CE43" s="878">
        <v>30636.40264493529</v>
      </c>
      <c r="CF43" s="878">
        <v>32196.376471926222</v>
      </c>
      <c r="CG43" s="878">
        <v>29295.707543649169</v>
      </c>
      <c r="CH43" s="878">
        <v>31266.113443101447</v>
      </c>
      <c r="CI43" s="878">
        <v>32754.518333397475</v>
      </c>
      <c r="CJ43" s="878">
        <v>32771.984399307403</v>
      </c>
      <c r="CK43" s="878">
        <v>36520.885242843011</v>
      </c>
      <c r="CL43" s="878">
        <v>39405.925889257967</v>
      </c>
      <c r="CM43" s="878">
        <v>42509.915601848712</v>
      </c>
      <c r="CN43" s="878">
        <v>46812.632762614085</v>
      </c>
      <c r="CO43" s="878">
        <v>60404.274066625963</v>
      </c>
      <c r="CP43" s="878">
        <v>64176.642027490969</v>
      </c>
      <c r="CQ43" s="878">
        <v>53141.293309574496</v>
      </c>
      <c r="CR43" s="878">
        <v>57676.282520363959</v>
      </c>
      <c r="CS43" s="878">
        <v>61432.946588381412</v>
      </c>
      <c r="CT43" s="878">
        <v>59701.520731146054</v>
      </c>
      <c r="CU43" s="878">
        <v>67057.075566061321</v>
      </c>
      <c r="CV43" s="878">
        <v>69678.713956968146</v>
      </c>
      <c r="CW43" s="878">
        <v>73191.201505279183</v>
      </c>
      <c r="CX43" s="878">
        <v>68507.625070388312</v>
      </c>
      <c r="CY43" s="878">
        <v>65102.157469224556</v>
      </c>
      <c r="CZ43" s="878">
        <v>58334.616814234541</v>
      </c>
      <c r="DA43" s="878">
        <v>70770.248914523996</v>
      </c>
      <c r="DB43" s="917">
        <v>73227.274624757047</v>
      </c>
      <c r="DC43" s="878">
        <v>71740.712668774038</v>
      </c>
      <c r="DD43" s="860">
        <v>72942.46736347671</v>
      </c>
      <c r="DE43" s="860">
        <v>74106.670448174133</v>
      </c>
      <c r="DF43" s="860">
        <v>66679.538178442323</v>
      </c>
      <c r="DG43" s="860">
        <v>69867.393448514107</v>
      </c>
      <c r="DH43" s="860">
        <v>70233.084989007068</v>
      </c>
      <c r="DI43" s="860">
        <v>68132.574227126781</v>
      </c>
      <c r="DJ43" s="860">
        <v>74753.346603898739</v>
      </c>
      <c r="DK43" s="860">
        <v>83741.408117402083</v>
      </c>
      <c r="DL43" s="860">
        <v>79873.032783677103</v>
      </c>
      <c r="DM43" s="860">
        <v>93625.138333523224</v>
      </c>
      <c r="DN43" s="860">
        <v>95612.710791466394</v>
      </c>
      <c r="DO43" s="860">
        <v>88961.765299336839</v>
      </c>
      <c r="DP43" s="860">
        <v>91097.140368477529</v>
      </c>
      <c r="DQ43" s="860">
        <v>81832.147113959189</v>
      </c>
      <c r="DR43" s="860">
        <v>83314.444418574029</v>
      </c>
      <c r="DS43" s="860">
        <v>85980.003633500368</v>
      </c>
    </row>
    <row r="44" spans="1:123" ht="17.25" customHeight="1">
      <c r="A44" s="964" t="s">
        <v>2530</v>
      </c>
      <c r="B44" s="858" t="s">
        <v>2524</v>
      </c>
      <c r="C44" s="878">
        <v>3495.6415684986182</v>
      </c>
      <c r="D44" s="878">
        <v>3384.107689595849</v>
      </c>
      <c r="E44" s="878">
        <v>3271.6331236176302</v>
      </c>
      <c r="F44" s="917">
        <v>3272.7762917866294</v>
      </c>
      <c r="G44" s="878">
        <v>3255.0807226595352</v>
      </c>
      <c r="H44" s="918">
        <v>3742.6917097622304</v>
      </c>
      <c r="I44" s="878">
        <v>3648.2700050894687</v>
      </c>
      <c r="J44" s="878">
        <v>3230.8517671701861</v>
      </c>
      <c r="K44" s="878">
        <v>3662.8683849574359</v>
      </c>
      <c r="L44" s="878">
        <v>3848.8774807486584</v>
      </c>
      <c r="M44" s="917">
        <v>4134.721223380081</v>
      </c>
      <c r="N44" s="878">
        <v>3827.4946287044336</v>
      </c>
      <c r="O44" s="878">
        <v>4255.0011438979927</v>
      </c>
      <c r="P44" s="878">
        <v>4395.8558839348952</v>
      </c>
      <c r="Q44" s="878">
        <v>4170.1062686102305</v>
      </c>
      <c r="R44" s="878">
        <v>5002.1153473357035</v>
      </c>
      <c r="S44" s="878">
        <v>4347.658543524788</v>
      </c>
      <c r="T44" s="878">
        <v>4186.6316760905156</v>
      </c>
      <c r="U44" s="878">
        <v>4344.949446737709</v>
      </c>
      <c r="V44" s="878">
        <v>4129.9172620029522</v>
      </c>
      <c r="W44" s="878">
        <v>4392.8096184761398</v>
      </c>
      <c r="X44" s="878">
        <v>4095.4837599173816</v>
      </c>
      <c r="Y44" s="878">
        <v>4256.1719938747665</v>
      </c>
      <c r="Z44" s="878">
        <v>4183.4421946075481</v>
      </c>
      <c r="AA44" s="878">
        <v>4617.6160151286349</v>
      </c>
      <c r="AB44" s="878">
        <v>4614.5771849940811</v>
      </c>
      <c r="AC44" s="878">
        <v>4710.6523175544962</v>
      </c>
      <c r="AD44" s="878">
        <v>4157.6511166712844</v>
      </c>
      <c r="AE44" s="860">
        <v>4038.7104524642345</v>
      </c>
      <c r="AF44" s="860">
        <v>4161.2685977659812</v>
      </c>
      <c r="AG44" s="877">
        <v>4160.5040427488939</v>
      </c>
      <c r="AH44" s="878">
        <v>4837.0598256773301</v>
      </c>
      <c r="AI44" s="878">
        <v>4985.6069986008079</v>
      </c>
      <c r="AJ44" s="878">
        <v>5438.6799747489231</v>
      </c>
      <c r="AK44" s="878">
        <v>5310.7663303224208</v>
      </c>
      <c r="AL44" s="878">
        <v>5005.8586778588924</v>
      </c>
      <c r="AM44" s="878">
        <v>5291.6350886730352</v>
      </c>
      <c r="AN44" s="878">
        <v>4997.2479176020934</v>
      </c>
      <c r="AO44" s="878">
        <v>5598.6997302054842</v>
      </c>
      <c r="AP44" s="878">
        <v>4923.9416743037127</v>
      </c>
      <c r="AQ44" s="878">
        <v>4948.6041173017156</v>
      </c>
      <c r="AR44" s="878">
        <v>5083.326256160818</v>
      </c>
      <c r="AS44" s="878">
        <v>5066.4971476266437</v>
      </c>
      <c r="AT44" s="878">
        <v>5618.949444723492</v>
      </c>
      <c r="AU44" s="878">
        <v>5602.6020136190482</v>
      </c>
      <c r="AV44" s="878">
        <v>5770.8321336090139</v>
      </c>
      <c r="AW44" s="878">
        <v>5857.5384242466353</v>
      </c>
      <c r="AX44" s="878">
        <v>6028.7026773694788</v>
      </c>
      <c r="AY44" s="878">
        <v>6878.0023383476537</v>
      </c>
      <c r="AZ44" s="878">
        <v>7604.0455844604112</v>
      </c>
      <c r="BA44" s="878">
        <v>7893.7426159151346</v>
      </c>
      <c r="BB44" s="878">
        <v>7562.7404225683313</v>
      </c>
      <c r="BC44" s="878">
        <v>7715.2243616121796</v>
      </c>
      <c r="BD44" s="878">
        <v>7596.9742925374294</v>
      </c>
      <c r="BE44" s="878">
        <v>7545.8616838301859</v>
      </c>
      <c r="BF44" s="878">
        <v>7440.8625507930419</v>
      </c>
      <c r="BG44" s="878">
        <v>7823.5347870919741</v>
      </c>
      <c r="BH44" s="878">
        <v>7708.0265372259964</v>
      </c>
      <c r="BI44" s="878">
        <v>8489.0008841432118</v>
      </c>
      <c r="BJ44" s="878">
        <v>8506.3998487766876</v>
      </c>
      <c r="BK44" s="878">
        <v>8605.045459682482</v>
      </c>
      <c r="BL44" s="878">
        <v>8698.2606262574591</v>
      </c>
      <c r="BM44" s="878">
        <v>9280.4259172492548</v>
      </c>
      <c r="BN44" s="878">
        <v>9294.2342306476767</v>
      </c>
      <c r="BO44" s="878">
        <v>9635.5659515614152</v>
      </c>
      <c r="BP44" s="878">
        <v>9475.1206773081976</v>
      </c>
      <c r="BQ44" s="878">
        <v>9125.2985669564332</v>
      </c>
      <c r="BR44" s="878">
        <v>9288.7431539777772</v>
      </c>
      <c r="BS44" s="878">
        <v>9422.6555083620933</v>
      </c>
      <c r="BT44" s="878">
        <v>10264.134516770358</v>
      </c>
      <c r="BU44" s="878">
        <v>10721.405525402562</v>
      </c>
      <c r="BV44" s="878">
        <v>10046.549590326807</v>
      </c>
      <c r="BW44" s="878">
        <v>9537.0308950808067</v>
      </c>
      <c r="BX44" s="878">
        <v>9847.4090509647467</v>
      </c>
      <c r="BY44" s="878">
        <v>10097.346815957313</v>
      </c>
      <c r="BZ44" s="878">
        <v>10154.280731005787</v>
      </c>
      <c r="CA44" s="878">
        <v>10522.355121407993</v>
      </c>
      <c r="CB44" s="878">
        <v>10352.366136982795</v>
      </c>
      <c r="CC44" s="878">
        <v>10037.617270339781</v>
      </c>
      <c r="CD44" s="878">
        <v>10567.819826471554</v>
      </c>
      <c r="CE44" s="878">
        <v>10469.568391697207</v>
      </c>
      <c r="CF44" s="878">
        <v>10415.538359530783</v>
      </c>
      <c r="CG44" s="878">
        <v>11376.6833224169</v>
      </c>
      <c r="CH44" s="878">
        <v>10830.176198437317</v>
      </c>
      <c r="CI44" s="878">
        <v>10910.724934795169</v>
      </c>
      <c r="CJ44" s="878">
        <v>10828.158954843757</v>
      </c>
      <c r="CK44" s="878">
        <v>10776.328819657454</v>
      </c>
      <c r="CL44" s="878">
        <v>10680.105423668449</v>
      </c>
      <c r="CM44" s="878">
        <v>11095.252952426592</v>
      </c>
      <c r="CN44" s="878">
        <v>11140.947177616612</v>
      </c>
      <c r="CO44" s="878">
        <v>11379.951547673976</v>
      </c>
      <c r="CP44" s="878">
        <v>11595.072669347646</v>
      </c>
      <c r="CQ44" s="878">
        <v>11868.461831969422</v>
      </c>
      <c r="CR44" s="878">
        <v>11867.282196275353</v>
      </c>
      <c r="CS44" s="878">
        <v>12115.10142639816</v>
      </c>
      <c r="CT44" s="878">
        <v>12149.83826369694</v>
      </c>
      <c r="CU44" s="878">
        <v>12328.263682215664</v>
      </c>
      <c r="CV44" s="878">
        <v>12747.634636687382</v>
      </c>
      <c r="CW44" s="878">
        <v>12930.971464633123</v>
      </c>
      <c r="CX44" s="878">
        <v>13206.402540258914</v>
      </c>
      <c r="CY44" s="878">
        <v>13024.60011847623</v>
      </c>
      <c r="CZ44" s="878">
        <v>12826.45625597953</v>
      </c>
      <c r="DA44" s="878">
        <v>12993.682354884986</v>
      </c>
      <c r="DB44" s="917">
        <v>12442.048648592074</v>
      </c>
      <c r="DC44" s="878">
        <v>12887.461789553057</v>
      </c>
      <c r="DD44" s="860">
        <v>13154.226620819973</v>
      </c>
      <c r="DE44" s="860">
        <v>13366.470651808098</v>
      </c>
      <c r="DF44" s="860">
        <v>13702.425117124852</v>
      </c>
      <c r="DG44" s="860">
        <v>14383.121785474061</v>
      </c>
      <c r="DH44" s="860">
        <v>14947.903045389963</v>
      </c>
      <c r="DI44" s="860">
        <v>14766.185860499636</v>
      </c>
      <c r="DJ44" s="860">
        <v>14810.461342452931</v>
      </c>
      <c r="DK44" s="860">
        <v>14898.210738568056</v>
      </c>
      <c r="DL44" s="860">
        <v>14956.459656182262</v>
      </c>
      <c r="DM44" s="860">
        <v>14559.627373831481</v>
      </c>
      <c r="DN44" s="860">
        <v>14669.690969162668</v>
      </c>
      <c r="DO44" s="860">
        <v>14935.023783121873</v>
      </c>
      <c r="DP44" s="860">
        <v>15314.528794097789</v>
      </c>
      <c r="DQ44" s="860">
        <v>14985.673115780344</v>
      </c>
      <c r="DR44" s="860">
        <v>23051.163311469336</v>
      </c>
      <c r="DS44" s="860">
        <v>16149.542283132785</v>
      </c>
    </row>
    <row r="45" spans="1:123" ht="17.25" customHeight="1">
      <c r="A45" s="964" t="s">
        <v>2531</v>
      </c>
      <c r="B45" s="858" t="s">
        <v>2526</v>
      </c>
      <c r="C45" s="878">
        <v>62973.530562383392</v>
      </c>
      <c r="D45" s="878">
        <v>68698.754404333158</v>
      </c>
      <c r="E45" s="878">
        <v>75387.278355736344</v>
      </c>
      <c r="F45" s="917">
        <v>62258.623779648398</v>
      </c>
      <c r="G45" s="878">
        <v>60991.482858880714</v>
      </c>
      <c r="H45" s="918">
        <v>59461.940140620994</v>
      </c>
      <c r="I45" s="878">
        <v>52677.960544831192</v>
      </c>
      <c r="J45" s="878">
        <v>59138.250073531701</v>
      </c>
      <c r="K45" s="878">
        <v>75838.201747540283</v>
      </c>
      <c r="L45" s="878">
        <v>71725.372582125652</v>
      </c>
      <c r="M45" s="917">
        <v>59839.81858450429</v>
      </c>
      <c r="N45" s="878">
        <v>58163.815765453452</v>
      </c>
      <c r="O45" s="878">
        <v>63554.940957365296</v>
      </c>
      <c r="P45" s="878">
        <v>63112.461831478417</v>
      </c>
      <c r="Q45" s="878">
        <v>64316.831008833382</v>
      </c>
      <c r="R45" s="878">
        <v>78379.980879206676</v>
      </c>
      <c r="S45" s="878">
        <v>83041.630440034292</v>
      </c>
      <c r="T45" s="878">
        <v>100612.31628793814</v>
      </c>
      <c r="U45" s="878">
        <v>94316.455472598784</v>
      </c>
      <c r="V45" s="878">
        <v>84097.222329514436</v>
      </c>
      <c r="W45" s="878">
        <v>87752.08464722606</v>
      </c>
      <c r="X45" s="878">
        <v>82111.209813532638</v>
      </c>
      <c r="Y45" s="878">
        <v>93528.857524623309</v>
      </c>
      <c r="Z45" s="878">
        <v>83690.308243655149</v>
      </c>
      <c r="AA45" s="878">
        <v>83686.9674078276</v>
      </c>
      <c r="AB45" s="878">
        <v>101785.70477649692</v>
      </c>
      <c r="AC45" s="878">
        <v>108711.06543606985</v>
      </c>
      <c r="AD45" s="878">
        <v>104377.46787951031</v>
      </c>
      <c r="AE45" s="860">
        <v>102638.10194678439</v>
      </c>
      <c r="AF45" s="860">
        <v>113701.45511967188</v>
      </c>
      <c r="AG45" s="877">
        <v>109452.62145771914</v>
      </c>
      <c r="AH45" s="878">
        <v>107427.62419960187</v>
      </c>
      <c r="AI45" s="878">
        <v>97535.100236206214</v>
      </c>
      <c r="AJ45" s="878">
        <v>95840.69261243433</v>
      </c>
      <c r="AK45" s="878">
        <v>98098.995731767151</v>
      </c>
      <c r="AL45" s="878">
        <v>103888.12489777863</v>
      </c>
      <c r="AM45" s="878">
        <v>93877.01935408439</v>
      </c>
      <c r="AN45" s="878">
        <v>95375.568905587075</v>
      </c>
      <c r="AO45" s="878">
        <v>94966.927211317976</v>
      </c>
      <c r="AP45" s="878">
        <v>95766.070596586811</v>
      </c>
      <c r="AQ45" s="878">
        <v>110307.1659247433</v>
      </c>
      <c r="AR45" s="878">
        <v>106875.30926031344</v>
      </c>
      <c r="AS45" s="878">
        <v>103677.06953694137</v>
      </c>
      <c r="AT45" s="878">
        <v>106509.25669721646</v>
      </c>
      <c r="AU45" s="878">
        <v>103537.89560406878</v>
      </c>
      <c r="AV45" s="878">
        <v>100349.0747235185</v>
      </c>
      <c r="AW45" s="878">
        <v>94562.858452299653</v>
      </c>
      <c r="AX45" s="878">
        <v>85168.803610280942</v>
      </c>
      <c r="AY45" s="878">
        <v>77273.116232237851</v>
      </c>
      <c r="AZ45" s="878">
        <v>74142.698369001911</v>
      </c>
      <c r="BA45" s="878">
        <v>73587.444683017427</v>
      </c>
      <c r="BB45" s="878">
        <v>63904.630520693587</v>
      </c>
      <c r="BC45" s="878">
        <v>67380.586611924839</v>
      </c>
      <c r="BD45" s="878">
        <v>52331.669477749441</v>
      </c>
      <c r="BE45" s="878">
        <v>56635.89421769599</v>
      </c>
      <c r="BF45" s="878">
        <v>47305.077412382729</v>
      </c>
      <c r="BG45" s="878">
        <v>50522.066632704824</v>
      </c>
      <c r="BH45" s="878">
        <v>53825.945809446479</v>
      </c>
      <c r="BI45" s="878">
        <v>54012.883546671888</v>
      </c>
      <c r="BJ45" s="878">
        <v>63059.83346362671</v>
      </c>
      <c r="BK45" s="878">
        <v>59286.180326882968</v>
      </c>
      <c r="BL45" s="878">
        <v>58337.099019569163</v>
      </c>
      <c r="BM45" s="878">
        <v>59769.582025271528</v>
      </c>
      <c r="BN45" s="878">
        <v>62574.599231501648</v>
      </c>
      <c r="BO45" s="878">
        <v>60409.232461079453</v>
      </c>
      <c r="BP45" s="878">
        <v>61801.902933246223</v>
      </c>
      <c r="BQ45" s="878">
        <v>59682.730505676634</v>
      </c>
      <c r="BR45" s="878">
        <v>59078.490046756036</v>
      </c>
      <c r="BS45" s="878">
        <v>54549.794765581704</v>
      </c>
      <c r="BT45" s="878">
        <v>55421.082310405662</v>
      </c>
      <c r="BU45" s="878">
        <v>69285.941733017491</v>
      </c>
      <c r="BV45" s="878">
        <v>53227.897403973569</v>
      </c>
      <c r="BW45" s="878">
        <v>57258.452592395268</v>
      </c>
      <c r="BX45" s="878">
        <v>55574.580947562841</v>
      </c>
      <c r="BY45" s="878">
        <v>55015.801415255715</v>
      </c>
      <c r="BZ45" s="878">
        <v>55679.252420939971</v>
      </c>
      <c r="CA45" s="878">
        <v>54164.803179884737</v>
      </c>
      <c r="CB45" s="878">
        <v>55100.873822430876</v>
      </c>
      <c r="CC45" s="878">
        <v>56297.471547733192</v>
      </c>
      <c r="CD45" s="878">
        <v>52942.079114367138</v>
      </c>
      <c r="CE45" s="878">
        <v>51432.019607114999</v>
      </c>
      <c r="CF45" s="878">
        <v>60538.065129484006</v>
      </c>
      <c r="CG45" s="878">
        <v>61878.881572812686</v>
      </c>
      <c r="CH45" s="878">
        <v>54323.393748100949</v>
      </c>
      <c r="CI45" s="878">
        <v>73787.629785697558</v>
      </c>
      <c r="CJ45" s="878">
        <v>71549.757824738146</v>
      </c>
      <c r="CK45" s="878">
        <v>77606.383377185484</v>
      </c>
      <c r="CL45" s="878">
        <v>63321.297541147564</v>
      </c>
      <c r="CM45" s="878">
        <v>64902.684066333095</v>
      </c>
      <c r="CN45" s="878">
        <v>67640.266431736571</v>
      </c>
      <c r="CO45" s="878">
        <v>68033.211193979689</v>
      </c>
      <c r="CP45" s="878">
        <v>66748.02051421853</v>
      </c>
      <c r="CQ45" s="878">
        <v>98351.723268758287</v>
      </c>
      <c r="CR45" s="878">
        <v>99498.442517818592</v>
      </c>
      <c r="CS45" s="878">
        <v>74941.516052851177</v>
      </c>
      <c r="CT45" s="878">
        <v>84584.771947819332</v>
      </c>
      <c r="CU45" s="878">
        <v>93401.976990724681</v>
      </c>
      <c r="CV45" s="878">
        <v>97127.70397339089</v>
      </c>
      <c r="CW45" s="878">
        <v>90976.083382537661</v>
      </c>
      <c r="CX45" s="878">
        <v>98828.247562139746</v>
      </c>
      <c r="CY45" s="878">
        <v>91326.942535603986</v>
      </c>
      <c r="CZ45" s="878">
        <v>95320.427954477331</v>
      </c>
      <c r="DA45" s="878">
        <v>108801.06762902519</v>
      </c>
      <c r="DB45" s="917">
        <v>103804.13415029467</v>
      </c>
      <c r="DC45" s="878">
        <v>108477.83277564563</v>
      </c>
      <c r="DD45" s="860">
        <v>111658.62875262782</v>
      </c>
      <c r="DE45" s="860">
        <v>88982.277074035694</v>
      </c>
      <c r="DF45" s="860">
        <v>65789.662217932986</v>
      </c>
      <c r="DG45" s="860">
        <v>68188.389262274941</v>
      </c>
      <c r="DH45" s="860">
        <v>67610.43749753655</v>
      </c>
      <c r="DI45" s="860">
        <v>66595.681760104853</v>
      </c>
      <c r="DJ45" s="860">
        <v>69052.180002533481</v>
      </c>
      <c r="DK45" s="860">
        <v>69799.823645020471</v>
      </c>
      <c r="DL45" s="860">
        <v>73720.523504359197</v>
      </c>
      <c r="DM45" s="860">
        <v>76048.06585681616</v>
      </c>
      <c r="DN45" s="860">
        <v>75383.263175529049</v>
      </c>
      <c r="DO45" s="860">
        <v>72523.94775815426</v>
      </c>
      <c r="DP45" s="860">
        <v>81326.801495869411</v>
      </c>
      <c r="DQ45" s="860">
        <v>76143.073868955005</v>
      </c>
      <c r="DR45" s="860">
        <v>66805.772321307973</v>
      </c>
      <c r="DS45" s="860">
        <v>68945.706899015102</v>
      </c>
    </row>
    <row r="46" spans="1:123" ht="17.25" customHeight="1">
      <c r="A46" s="964"/>
      <c r="B46" s="858"/>
      <c r="C46" s="937"/>
      <c r="D46" s="937"/>
      <c r="E46" s="937"/>
      <c r="F46" s="938"/>
      <c r="G46" s="937"/>
      <c r="H46" s="939"/>
      <c r="I46" s="937"/>
      <c r="J46" s="937"/>
      <c r="K46" s="937"/>
      <c r="L46" s="937"/>
      <c r="M46" s="938"/>
      <c r="N46" s="937"/>
      <c r="O46" s="937"/>
      <c r="P46" s="937"/>
      <c r="Q46" s="937"/>
      <c r="R46" s="937"/>
      <c r="S46" s="937"/>
      <c r="T46" s="937"/>
      <c r="U46" s="937"/>
      <c r="V46" s="937"/>
      <c r="W46" s="937"/>
      <c r="X46" s="937"/>
      <c r="Y46" s="937"/>
      <c r="Z46" s="937"/>
      <c r="AA46" s="937"/>
      <c r="AB46" s="937"/>
      <c r="AC46" s="937"/>
      <c r="AD46" s="937"/>
      <c r="AE46" s="940"/>
      <c r="AF46" s="940"/>
      <c r="AG46" s="941"/>
      <c r="AH46" s="937"/>
      <c r="AI46" s="937"/>
      <c r="AJ46" s="937"/>
      <c r="AK46" s="937"/>
      <c r="AL46" s="937"/>
      <c r="AM46" s="937"/>
      <c r="AN46" s="937"/>
      <c r="AO46" s="937"/>
      <c r="AP46" s="937"/>
      <c r="AQ46" s="937"/>
      <c r="AR46" s="937"/>
      <c r="AS46" s="937"/>
      <c r="AT46" s="937"/>
      <c r="AU46" s="937"/>
      <c r="AV46" s="937"/>
      <c r="AW46" s="937"/>
      <c r="AX46" s="937"/>
      <c r="AY46" s="937"/>
      <c r="AZ46" s="937"/>
      <c r="BA46" s="937"/>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c r="CB46" s="937"/>
      <c r="CC46" s="937"/>
      <c r="CD46" s="937"/>
      <c r="CE46" s="937"/>
      <c r="CF46" s="937"/>
      <c r="CG46" s="937"/>
      <c r="CH46" s="937"/>
      <c r="CI46" s="937"/>
      <c r="CJ46" s="937"/>
      <c r="CK46" s="937"/>
      <c r="CL46" s="937"/>
      <c r="CM46" s="937"/>
      <c r="CN46" s="937"/>
      <c r="CO46" s="937"/>
      <c r="CP46" s="937"/>
      <c r="CQ46" s="937"/>
      <c r="CR46" s="937"/>
      <c r="CS46" s="937"/>
      <c r="CT46" s="937"/>
      <c r="CU46" s="937"/>
      <c r="CV46" s="937"/>
      <c r="CW46" s="937"/>
      <c r="CX46" s="937"/>
      <c r="CY46" s="937"/>
      <c r="CZ46" s="937"/>
      <c r="DA46" s="937"/>
      <c r="DB46" s="938"/>
      <c r="DC46" s="937"/>
      <c r="DD46" s="940"/>
      <c r="DE46" s="940"/>
      <c r="DF46" s="940"/>
      <c r="DG46" s="940"/>
      <c r="DH46" s="940"/>
      <c r="DI46" s="940"/>
      <c r="DJ46" s="940"/>
      <c r="DK46" s="940"/>
      <c r="DL46" s="940"/>
      <c r="DM46" s="940"/>
      <c r="DN46" s="940"/>
      <c r="DO46" s="940"/>
      <c r="DP46" s="940"/>
      <c r="DQ46" s="940"/>
      <c r="DR46" s="940"/>
      <c r="DS46" s="940"/>
    </row>
    <row r="47" spans="1:123" ht="17.25" customHeight="1">
      <c r="A47" s="963" t="s">
        <v>2532</v>
      </c>
      <c r="B47" s="854" t="s">
        <v>2533</v>
      </c>
      <c r="C47" s="909">
        <v>231.56321800000001</v>
      </c>
      <c r="D47" s="909">
        <v>244.56903</v>
      </c>
      <c r="E47" s="909">
        <v>243.88480200000001</v>
      </c>
      <c r="F47" s="910">
        <v>894.87686329999997</v>
      </c>
      <c r="G47" s="909">
        <v>902.47286123000003</v>
      </c>
      <c r="H47" s="911">
        <v>913.28048660000002</v>
      </c>
      <c r="I47" s="909">
        <v>924.24705643000004</v>
      </c>
      <c r="J47" s="909">
        <v>935.94412235000004</v>
      </c>
      <c r="K47" s="909">
        <v>947.48504020000007</v>
      </c>
      <c r="L47" s="909">
        <v>958.67395076888897</v>
      </c>
      <c r="M47" s="910">
        <v>970.47936142111109</v>
      </c>
      <c r="N47" s="909">
        <v>982.71418112888898</v>
      </c>
      <c r="O47" s="909">
        <v>1029.9734679333333</v>
      </c>
      <c r="P47" s="909">
        <v>1039.2984984133332</v>
      </c>
      <c r="Q47" s="909">
        <v>1054.6342642622224</v>
      </c>
      <c r="R47" s="909">
        <v>1064.6590485788888</v>
      </c>
      <c r="S47" s="909">
        <v>1076.2280478177779</v>
      </c>
      <c r="T47" s="909">
        <v>1088.8792321111112</v>
      </c>
      <c r="U47" s="909">
        <v>1101.5320324188888</v>
      </c>
      <c r="V47" s="909">
        <v>1114.4294483033332</v>
      </c>
      <c r="W47" s="909">
        <v>1127.11884353</v>
      </c>
      <c r="X47" s="909">
        <v>1141.7175953866667</v>
      </c>
      <c r="Y47" s="909">
        <v>1158.3885001033332</v>
      </c>
      <c r="Z47" s="909">
        <v>1173.85555658</v>
      </c>
      <c r="AA47" s="909">
        <v>1192.1119814356903</v>
      </c>
      <c r="AB47" s="909">
        <v>1204.7922557448296</v>
      </c>
      <c r="AC47" s="909">
        <v>1219.8609252011217</v>
      </c>
      <c r="AD47" s="909">
        <v>1231.7610712585674</v>
      </c>
      <c r="AE47" s="855">
        <v>1236.045001036345</v>
      </c>
      <c r="AF47" s="855">
        <v>1261.7841879768891</v>
      </c>
      <c r="AG47" s="936">
        <v>1278.5503714638587</v>
      </c>
      <c r="AH47" s="909">
        <v>1292.6733276455918</v>
      </c>
      <c r="AI47" s="909">
        <v>1307.8143752879118</v>
      </c>
      <c r="AJ47" s="909">
        <v>1325.2377130349007</v>
      </c>
      <c r="AK47" s="909">
        <v>1340.5265307413711</v>
      </c>
      <c r="AL47" s="909">
        <v>1356.4140406065899</v>
      </c>
      <c r="AM47" s="909">
        <v>1371.9830373129037</v>
      </c>
      <c r="AN47" s="909">
        <v>1387.7294814627639</v>
      </c>
      <c r="AO47" s="909">
        <v>1391.9710411111112</v>
      </c>
      <c r="AP47" s="909">
        <v>1345.0189419933752</v>
      </c>
      <c r="AQ47" s="909">
        <v>1356.0663831839051</v>
      </c>
      <c r="AR47" s="909">
        <v>1372.5229543510598</v>
      </c>
      <c r="AS47" s="909">
        <v>1389.1917470284782</v>
      </c>
      <c r="AT47" s="909">
        <v>1406.7636767705512</v>
      </c>
      <c r="AU47" s="909">
        <v>1424.1167111904763</v>
      </c>
      <c r="AV47" s="909">
        <v>1438.8276591848639</v>
      </c>
      <c r="AW47" s="909">
        <v>1437.5671838838095</v>
      </c>
      <c r="AX47" s="909">
        <v>1532.8619360233331</v>
      </c>
      <c r="AY47" s="909">
        <v>1555.8646305122222</v>
      </c>
      <c r="AZ47" s="909">
        <v>1570.2510025755557</v>
      </c>
      <c r="BA47" s="909">
        <v>1586.1209918133334</v>
      </c>
      <c r="BB47" s="909">
        <v>742.05842346999998</v>
      </c>
      <c r="BC47" s="909">
        <v>747.63109256000007</v>
      </c>
      <c r="BD47" s="909">
        <v>759.73270224999999</v>
      </c>
      <c r="BE47" s="909">
        <v>772.19647421000002</v>
      </c>
      <c r="BF47" s="909">
        <v>783.64372535000007</v>
      </c>
      <c r="BG47" s="909">
        <v>795.03426162999995</v>
      </c>
      <c r="BH47" s="909">
        <v>806.36142286999996</v>
      </c>
      <c r="BI47" s="909">
        <v>817.11920386999998</v>
      </c>
      <c r="BJ47" s="909">
        <v>829.69099343000005</v>
      </c>
      <c r="BK47" s="909">
        <v>841.75958768999999</v>
      </c>
      <c r="BL47" s="909">
        <v>841.34192214999996</v>
      </c>
      <c r="BM47" s="909">
        <v>850.71337003999997</v>
      </c>
      <c r="BN47" s="909">
        <v>860.90493549999997</v>
      </c>
      <c r="BO47" s="909">
        <v>871.46817457999987</v>
      </c>
      <c r="BP47" s="909">
        <v>882.04527719000009</v>
      </c>
      <c r="BQ47" s="909">
        <v>892.00809130000005</v>
      </c>
      <c r="BR47" s="909">
        <v>903.91998393000006</v>
      </c>
      <c r="BS47" s="909">
        <v>913.01940185000001</v>
      </c>
      <c r="BT47" s="909">
        <v>921.02394779999997</v>
      </c>
      <c r="BU47" s="909">
        <v>929.69761502000006</v>
      </c>
      <c r="BV47" s="909">
        <v>941.94318427000007</v>
      </c>
      <c r="BW47" s="909">
        <v>951.54407246999995</v>
      </c>
      <c r="BX47" s="909">
        <v>951.26087802999996</v>
      </c>
      <c r="BY47" s="909">
        <v>960.51654225000004</v>
      </c>
      <c r="BZ47" s="909">
        <v>959.27091482999992</v>
      </c>
      <c r="CA47" s="909">
        <v>968.69937096000001</v>
      </c>
      <c r="CB47" s="909">
        <v>976.84763184999997</v>
      </c>
      <c r="CC47" s="909">
        <v>987.94876218999991</v>
      </c>
      <c r="CD47" s="909">
        <v>997.67433128999994</v>
      </c>
      <c r="CE47" s="909">
        <v>1008.3339269400001</v>
      </c>
      <c r="CF47" s="909">
        <v>1018.04001825</v>
      </c>
      <c r="CG47" s="909">
        <v>1027.9046779100001</v>
      </c>
      <c r="CH47" s="909">
        <v>1034.54105153</v>
      </c>
      <c r="CI47" s="909">
        <v>1046.3292143400001</v>
      </c>
      <c r="CJ47" s="909">
        <v>1056.93696527</v>
      </c>
      <c r="CK47" s="909">
        <v>1068.1048831099999</v>
      </c>
      <c r="CL47" s="909">
        <v>1086.2447271100002</v>
      </c>
      <c r="CM47" s="909">
        <v>1094.89581032</v>
      </c>
      <c r="CN47" s="909">
        <v>1103.7077119</v>
      </c>
      <c r="CO47" s="909">
        <v>1114.0039380399999</v>
      </c>
      <c r="CP47" s="909">
        <v>1126.4172563299999</v>
      </c>
      <c r="CQ47" s="909">
        <v>1136.3494650599998</v>
      </c>
      <c r="CR47" s="909">
        <v>1148.6181616200001</v>
      </c>
      <c r="CS47" s="909">
        <v>1159.7702537600001</v>
      </c>
      <c r="CT47" s="909">
        <v>1170.5591787599999</v>
      </c>
      <c r="CU47" s="909">
        <v>1181.90419982</v>
      </c>
      <c r="CV47" s="909">
        <v>1190.8741275899999</v>
      </c>
      <c r="CW47" s="909">
        <v>1201.6446606699999</v>
      </c>
      <c r="CX47" s="909">
        <v>1213.0932805299999</v>
      </c>
      <c r="CY47" s="909">
        <v>1224.16639169</v>
      </c>
      <c r="CZ47" s="909">
        <v>1235.9602562800001</v>
      </c>
      <c r="DA47" s="909">
        <v>1250.3412743499998</v>
      </c>
      <c r="DB47" s="910">
        <v>1263.11193826</v>
      </c>
      <c r="DC47" s="909">
        <v>1275.6406891000001</v>
      </c>
      <c r="DD47" s="855">
        <v>1286.59783924</v>
      </c>
      <c r="DE47" s="855">
        <v>1297.00956477</v>
      </c>
      <c r="DF47" s="855">
        <v>1309.7397866099998</v>
      </c>
      <c r="DG47" s="855">
        <v>1321.1902400800002</v>
      </c>
      <c r="DH47" s="855">
        <v>1329.31778654</v>
      </c>
      <c r="DI47" s="855">
        <v>1337.5223003600001</v>
      </c>
      <c r="DJ47" s="855">
        <v>1348.4084109800001</v>
      </c>
      <c r="DK47" s="855">
        <v>1358.71483412</v>
      </c>
      <c r="DL47" s="855">
        <v>1367.46305525</v>
      </c>
      <c r="DM47" s="855">
        <v>1380.1434952499999</v>
      </c>
      <c r="DN47" s="855">
        <v>1392.2231166600002</v>
      </c>
      <c r="DO47" s="855">
        <v>1404.5468900500002</v>
      </c>
      <c r="DP47" s="855">
        <v>1413.72892305</v>
      </c>
      <c r="DQ47" s="855">
        <v>1419.5644658799999</v>
      </c>
      <c r="DR47" s="855">
        <v>1426.2431410899999</v>
      </c>
      <c r="DS47" s="855">
        <v>1439.1363995300001</v>
      </c>
    </row>
    <row r="48" spans="1:123" ht="17.25" customHeight="1">
      <c r="A48" s="964"/>
      <c r="B48" s="858"/>
      <c r="C48" s="937"/>
      <c r="D48" s="937"/>
      <c r="E48" s="937"/>
      <c r="F48" s="938"/>
      <c r="G48" s="937"/>
      <c r="H48" s="939"/>
      <c r="I48" s="937"/>
      <c r="J48" s="937"/>
      <c r="K48" s="937"/>
      <c r="L48" s="937"/>
      <c r="M48" s="938"/>
      <c r="N48" s="937"/>
      <c r="O48" s="937"/>
      <c r="P48" s="937"/>
      <c r="Q48" s="937"/>
      <c r="R48" s="937"/>
      <c r="S48" s="937"/>
      <c r="T48" s="937"/>
      <c r="U48" s="937"/>
      <c r="V48" s="937"/>
      <c r="W48" s="937"/>
      <c r="X48" s="937"/>
      <c r="Y48" s="937"/>
      <c r="Z48" s="937"/>
      <c r="AA48" s="937"/>
      <c r="AB48" s="937"/>
      <c r="AC48" s="937"/>
      <c r="AD48" s="937"/>
      <c r="AE48" s="940"/>
      <c r="AF48" s="940"/>
      <c r="AG48" s="941"/>
      <c r="AH48" s="937"/>
      <c r="AI48" s="937"/>
      <c r="AJ48" s="937"/>
      <c r="AK48" s="937"/>
      <c r="AL48" s="937"/>
      <c r="AM48" s="937"/>
      <c r="AN48" s="937"/>
      <c r="AO48" s="937"/>
      <c r="AP48" s="937"/>
      <c r="AQ48" s="937"/>
      <c r="AR48" s="937"/>
      <c r="AS48" s="937"/>
      <c r="AT48" s="937"/>
      <c r="AU48" s="937"/>
      <c r="AV48" s="937"/>
      <c r="AW48" s="937"/>
      <c r="AX48" s="937"/>
      <c r="AY48" s="937"/>
      <c r="AZ48" s="937"/>
      <c r="BA48" s="937"/>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c r="CB48" s="937"/>
      <c r="CC48" s="937"/>
      <c r="CD48" s="937"/>
      <c r="CE48" s="937"/>
      <c r="CF48" s="937"/>
      <c r="CG48" s="937"/>
      <c r="CH48" s="937"/>
      <c r="CI48" s="937"/>
      <c r="CJ48" s="937"/>
      <c r="CK48" s="937"/>
      <c r="CL48" s="937"/>
      <c r="CM48" s="937"/>
      <c r="CN48" s="937"/>
      <c r="CO48" s="937"/>
      <c r="CP48" s="937"/>
      <c r="CQ48" s="937"/>
      <c r="CR48" s="937"/>
      <c r="CS48" s="937"/>
      <c r="CT48" s="937"/>
      <c r="CU48" s="937"/>
      <c r="CV48" s="937"/>
      <c r="CW48" s="937"/>
      <c r="CX48" s="937"/>
      <c r="CY48" s="937"/>
      <c r="CZ48" s="937"/>
      <c r="DA48" s="937"/>
      <c r="DB48" s="938"/>
      <c r="DC48" s="937"/>
      <c r="DD48" s="940"/>
      <c r="DE48" s="940"/>
      <c r="DF48" s="940"/>
      <c r="DG48" s="940"/>
      <c r="DH48" s="940"/>
      <c r="DI48" s="940"/>
      <c r="DJ48" s="940"/>
      <c r="DK48" s="940"/>
      <c r="DL48" s="940"/>
      <c r="DM48" s="940"/>
      <c r="DN48" s="940"/>
      <c r="DO48" s="940"/>
      <c r="DP48" s="940"/>
      <c r="DQ48" s="940"/>
      <c r="DR48" s="940"/>
      <c r="DS48" s="940"/>
    </row>
    <row r="49" spans="1:123" ht="17.25" customHeight="1">
      <c r="A49" s="963" t="s">
        <v>2534</v>
      </c>
      <c r="B49" s="854" t="s">
        <v>2552</v>
      </c>
      <c r="C49" s="909">
        <v>15645.512661406454</v>
      </c>
      <c r="D49" s="909">
        <v>15884.783669947929</v>
      </c>
      <c r="E49" s="909">
        <v>15153.842182608641</v>
      </c>
      <c r="F49" s="910">
        <v>15555.179380714215</v>
      </c>
      <c r="G49" s="909">
        <v>15292.70664958403</v>
      </c>
      <c r="H49" s="911">
        <v>14953.233001055829</v>
      </c>
      <c r="I49" s="909">
        <v>14949.287617767368</v>
      </c>
      <c r="J49" s="909">
        <v>14910.769174447587</v>
      </c>
      <c r="K49" s="909">
        <v>14835.403570225628</v>
      </c>
      <c r="L49" s="909">
        <v>14973.117719108574</v>
      </c>
      <c r="M49" s="910">
        <v>15410.342053047403</v>
      </c>
      <c r="N49" s="909">
        <v>15917.045083821948</v>
      </c>
      <c r="O49" s="909">
        <v>15643.62357843216</v>
      </c>
      <c r="P49" s="909">
        <v>15910.206036265174</v>
      </c>
      <c r="Q49" s="909">
        <v>16604.716301156575</v>
      </c>
      <c r="R49" s="909">
        <v>16569.771371776089</v>
      </c>
      <c r="S49" s="909">
        <v>16688.439361394347</v>
      </c>
      <c r="T49" s="909">
        <v>17479.208170804999</v>
      </c>
      <c r="U49" s="909">
        <v>16594.99025579686</v>
      </c>
      <c r="V49" s="909">
        <v>16716.496205298907</v>
      </c>
      <c r="W49" s="909">
        <v>16465.24152062762</v>
      </c>
      <c r="X49" s="909">
        <v>16478.725589911319</v>
      </c>
      <c r="Y49" s="909">
        <v>16614.809302686383</v>
      </c>
      <c r="Z49" s="909">
        <v>16325.490808256562</v>
      </c>
      <c r="AA49" s="909">
        <v>16380.635298681034</v>
      </c>
      <c r="AB49" s="909">
        <v>16722.130606199535</v>
      </c>
      <c r="AC49" s="909">
        <v>16622.821207805198</v>
      </c>
      <c r="AD49" s="909">
        <v>17046.157512781752</v>
      </c>
      <c r="AE49" s="855">
        <v>17264.306770457344</v>
      </c>
      <c r="AF49" s="855">
        <v>17498.136859660164</v>
      </c>
      <c r="AG49" s="936">
        <v>16698.808618465773</v>
      </c>
      <c r="AH49" s="909">
        <v>17100.436710464823</v>
      </c>
      <c r="AI49" s="909">
        <v>16746.070150179548</v>
      </c>
      <c r="AJ49" s="909">
        <v>1127.4601422405112</v>
      </c>
      <c r="AK49" s="909">
        <v>1095.5860619152888</v>
      </c>
      <c r="AL49" s="909">
        <v>1328.9540850303999</v>
      </c>
      <c r="AM49" s="909">
        <v>1211.6644621771668</v>
      </c>
      <c r="AN49" s="909">
        <v>1171.1074587792891</v>
      </c>
      <c r="AO49" s="909">
        <v>1236.2121890800224</v>
      </c>
      <c r="AP49" s="909">
        <v>1234.8537371959333</v>
      </c>
      <c r="AQ49" s="909">
        <v>1343.019678987924</v>
      </c>
      <c r="AR49" s="909">
        <v>1243.2708294678093</v>
      </c>
      <c r="AS49" s="909">
        <v>1279.8613689733668</v>
      </c>
      <c r="AT49" s="909">
        <v>1271.5996806622595</v>
      </c>
      <c r="AU49" s="909">
        <v>1199.1619262505569</v>
      </c>
      <c r="AV49" s="909">
        <v>1155.0305887734644</v>
      </c>
      <c r="AW49" s="909">
        <v>1139.6961893274311</v>
      </c>
      <c r="AX49" s="909">
        <v>1259.9482977386983</v>
      </c>
      <c r="AY49" s="909">
        <v>1238.3272744853004</v>
      </c>
      <c r="AZ49" s="909">
        <v>878.95489068434142</v>
      </c>
      <c r="BA49" s="909">
        <v>956.08903745806265</v>
      </c>
      <c r="BB49" s="909">
        <v>783.97270425570832</v>
      </c>
      <c r="BC49" s="909">
        <v>854.14120872096305</v>
      </c>
      <c r="BD49" s="909">
        <v>883.47022197736339</v>
      </c>
      <c r="BE49" s="909">
        <v>918.97752635636073</v>
      </c>
      <c r="BF49" s="909">
        <v>1006.803345868023</v>
      </c>
      <c r="BG49" s="909">
        <v>1541.7032591520708</v>
      </c>
      <c r="BH49" s="909">
        <v>1157.0924238882374</v>
      </c>
      <c r="BI49" s="909">
        <v>1220.1777750274027</v>
      </c>
      <c r="BJ49" s="909">
        <v>1247.2652278087021</v>
      </c>
      <c r="BK49" s="909">
        <v>1237.6344496282929</v>
      </c>
      <c r="BL49" s="909">
        <v>1219.0656411219168</v>
      </c>
      <c r="BM49" s="909">
        <v>1157.2090045506454</v>
      </c>
      <c r="BN49" s="909">
        <v>1256.4355875570463</v>
      </c>
      <c r="BO49" s="909">
        <v>1254.3869285360436</v>
      </c>
      <c r="BP49" s="909">
        <v>1302.1468264104776</v>
      </c>
      <c r="BQ49" s="909">
        <v>1217.2545327702653</v>
      </c>
      <c r="BR49" s="909">
        <v>1302.3310317796659</v>
      </c>
      <c r="BS49" s="909">
        <v>1204.6501408748975</v>
      </c>
      <c r="BT49" s="909">
        <v>1237.765141539488</v>
      </c>
      <c r="BU49" s="909">
        <v>1313.8005488732629</v>
      </c>
      <c r="BV49" s="909">
        <v>1182.4475531745416</v>
      </c>
      <c r="BW49" s="909">
        <v>1119.8991953549641</v>
      </c>
      <c r="BX49" s="909">
        <v>993.62369071162891</v>
      </c>
      <c r="BY49" s="909">
        <v>6420.4863756678606</v>
      </c>
      <c r="BZ49" s="909">
        <v>6486.7428962633339</v>
      </c>
      <c r="CA49" s="909">
        <v>6651.4769204397489</v>
      </c>
      <c r="CB49" s="909">
        <v>7714.8385189486571</v>
      </c>
      <c r="CC49" s="909">
        <v>7528.5721509488194</v>
      </c>
      <c r="CD49" s="909">
        <v>7609.5393174411147</v>
      </c>
      <c r="CE49" s="909">
        <v>7647.6678899913604</v>
      </c>
      <c r="CF49" s="909">
        <v>7764.8705142639292</v>
      </c>
      <c r="CG49" s="909">
        <v>7612.2662415359828</v>
      </c>
      <c r="CH49" s="909">
        <v>7669.7182570720006</v>
      </c>
      <c r="CI49" s="909">
        <v>8095.0391335804443</v>
      </c>
      <c r="CJ49" s="909">
        <v>7865.4789433237111</v>
      </c>
      <c r="CK49" s="909">
        <v>7890.0037322446178</v>
      </c>
      <c r="CL49" s="909">
        <v>8008.3467121284702</v>
      </c>
      <c r="CM49" s="909">
        <v>8646.3296934415921</v>
      </c>
      <c r="CN49" s="909">
        <v>7840.0146798454643</v>
      </c>
      <c r="CO49" s="909">
        <v>7766.9697828987692</v>
      </c>
      <c r="CP49" s="909">
        <v>8058.7182430322773</v>
      </c>
      <c r="CQ49" s="909">
        <v>8234.571529147137</v>
      </c>
      <c r="CR49" s="909">
        <v>8001.7661182826023</v>
      </c>
      <c r="CS49" s="909">
        <v>7978.7580518328195</v>
      </c>
      <c r="CT49" s="909">
        <v>8064.0392681820485</v>
      </c>
      <c r="CU49" s="909">
        <v>9343.9465719759646</v>
      </c>
      <c r="CV49" s="909">
        <v>9396.7240134001313</v>
      </c>
      <c r="CW49" s="909">
        <v>13780.199132482079</v>
      </c>
      <c r="CX49" s="909">
        <v>13694.15438558099</v>
      </c>
      <c r="CY49" s="909">
        <v>13561.030678638792</v>
      </c>
      <c r="CZ49" s="909">
        <v>13631.460155642533</v>
      </c>
      <c r="DA49" s="909">
        <v>13272.061651796099</v>
      </c>
      <c r="DB49" s="910">
        <v>13437.867494984626</v>
      </c>
      <c r="DC49" s="909">
        <v>13376.222837683907</v>
      </c>
      <c r="DD49" s="855">
        <v>14909.119321448543</v>
      </c>
      <c r="DE49" s="855">
        <v>15045.142499000014</v>
      </c>
      <c r="DF49" s="855">
        <v>17030.176292038144</v>
      </c>
      <c r="DG49" s="855">
        <v>17013.154985804216</v>
      </c>
      <c r="DH49" s="855">
        <v>17248.484776916484</v>
      </c>
      <c r="DI49" s="855">
        <v>17246.213901513034</v>
      </c>
      <c r="DJ49" s="855">
        <v>17316.854302356103</v>
      </c>
      <c r="DK49" s="855">
        <v>13829.275139381234</v>
      </c>
      <c r="DL49" s="855">
        <v>13926.674153755353</v>
      </c>
      <c r="DM49" s="855">
        <v>14026.051920884778</v>
      </c>
      <c r="DN49" s="855">
        <v>13993.503242497189</v>
      </c>
      <c r="DO49" s="855">
        <v>14008.446436449878</v>
      </c>
      <c r="DP49" s="855">
        <v>14807.128672268238</v>
      </c>
      <c r="DQ49" s="855">
        <v>15648.52590588326</v>
      </c>
      <c r="DR49" s="855">
        <v>15683.09577426965</v>
      </c>
      <c r="DS49" s="855">
        <v>11138.615411240744</v>
      </c>
    </row>
    <row r="50" spans="1:123" ht="17.25" customHeight="1">
      <c r="A50" s="964"/>
      <c r="B50" s="858"/>
      <c r="C50" s="937"/>
      <c r="D50" s="937"/>
      <c r="E50" s="937"/>
      <c r="F50" s="938"/>
      <c r="G50" s="937"/>
      <c r="H50" s="939"/>
      <c r="I50" s="937"/>
      <c r="J50" s="937"/>
      <c r="K50" s="937"/>
      <c r="L50" s="937"/>
      <c r="M50" s="938"/>
      <c r="N50" s="937"/>
      <c r="O50" s="937"/>
      <c r="P50" s="937"/>
      <c r="Q50" s="937"/>
      <c r="R50" s="937"/>
      <c r="S50" s="937"/>
      <c r="T50" s="937"/>
      <c r="U50" s="937"/>
      <c r="V50" s="937"/>
      <c r="W50" s="937"/>
      <c r="X50" s="937"/>
      <c r="Y50" s="937"/>
      <c r="Z50" s="937"/>
      <c r="AA50" s="937"/>
      <c r="AB50" s="937"/>
      <c r="AC50" s="937"/>
      <c r="AD50" s="937"/>
      <c r="AE50" s="940"/>
      <c r="AF50" s="940"/>
      <c r="AG50" s="941"/>
      <c r="AH50" s="937"/>
      <c r="AI50" s="937"/>
      <c r="AJ50" s="937"/>
      <c r="AK50" s="937"/>
      <c r="AL50" s="937"/>
      <c r="AM50" s="937"/>
      <c r="AN50" s="937"/>
      <c r="AO50" s="937"/>
      <c r="AP50" s="937"/>
      <c r="AQ50" s="937"/>
      <c r="AR50" s="937"/>
      <c r="AS50" s="937"/>
      <c r="AT50" s="937"/>
      <c r="AU50" s="937"/>
      <c r="AV50" s="937"/>
      <c r="AW50" s="937"/>
      <c r="AX50" s="937"/>
      <c r="AY50" s="937"/>
      <c r="AZ50" s="937"/>
      <c r="BA50" s="937"/>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c r="CB50" s="937"/>
      <c r="CC50" s="937"/>
      <c r="CD50" s="937"/>
      <c r="CE50" s="937"/>
      <c r="CF50" s="937"/>
      <c r="CG50" s="937"/>
      <c r="CH50" s="937"/>
      <c r="CI50" s="937"/>
      <c r="CJ50" s="937"/>
      <c r="CK50" s="937"/>
      <c r="CL50" s="937"/>
      <c r="CM50" s="937"/>
      <c r="CN50" s="937"/>
      <c r="CO50" s="937"/>
      <c r="CP50" s="937"/>
      <c r="CQ50" s="937"/>
      <c r="CR50" s="937"/>
      <c r="CS50" s="937"/>
      <c r="CT50" s="937"/>
      <c r="CU50" s="937"/>
      <c r="CV50" s="937"/>
      <c r="CW50" s="937"/>
      <c r="CX50" s="937"/>
      <c r="CY50" s="937"/>
      <c r="CZ50" s="937"/>
      <c r="DA50" s="937"/>
      <c r="DB50" s="938"/>
      <c r="DC50" s="937"/>
      <c r="DD50" s="940"/>
      <c r="DE50" s="940"/>
      <c r="DF50" s="940"/>
      <c r="DG50" s="940"/>
      <c r="DH50" s="940"/>
      <c r="DI50" s="940"/>
      <c r="DJ50" s="940"/>
      <c r="DK50" s="940"/>
      <c r="DL50" s="940"/>
      <c r="DM50" s="940"/>
      <c r="DN50" s="940"/>
      <c r="DO50" s="940"/>
      <c r="DP50" s="940"/>
      <c r="DQ50" s="940"/>
      <c r="DR50" s="940"/>
      <c r="DS50" s="940"/>
    </row>
    <row r="51" spans="1:123" ht="17.25" customHeight="1">
      <c r="A51" s="963" t="s">
        <v>2536</v>
      </c>
      <c r="B51" s="854" t="s">
        <v>2312</v>
      </c>
      <c r="C51" s="909">
        <v>38593.247237861709</v>
      </c>
      <c r="D51" s="909">
        <v>38677.340497140096</v>
      </c>
      <c r="E51" s="909">
        <v>42843.641158210005</v>
      </c>
      <c r="F51" s="910">
        <v>65483.236434659811</v>
      </c>
      <c r="G51" s="909">
        <v>64657.918560286758</v>
      </c>
      <c r="H51" s="911">
        <v>64909.87494291264</v>
      </c>
      <c r="I51" s="909">
        <v>66614.03196911265</v>
      </c>
      <c r="J51" s="909">
        <v>61194.403880325684</v>
      </c>
      <c r="K51" s="909">
        <v>61153.779540520707</v>
      </c>
      <c r="L51" s="909">
        <v>63267.283073639701</v>
      </c>
      <c r="M51" s="910">
        <v>68506.473766113093</v>
      </c>
      <c r="N51" s="909">
        <v>81825.475170299338</v>
      </c>
      <c r="O51" s="909">
        <v>73897.512442902123</v>
      </c>
      <c r="P51" s="909">
        <v>80482.069269630156</v>
      </c>
      <c r="Q51" s="909">
        <v>84050.252673433017</v>
      </c>
      <c r="R51" s="909">
        <v>83508.332175396252</v>
      </c>
      <c r="S51" s="909">
        <v>86283.661007009461</v>
      </c>
      <c r="T51" s="909">
        <v>84335.767344295877</v>
      </c>
      <c r="U51" s="909">
        <v>87801.587539537431</v>
      </c>
      <c r="V51" s="909">
        <v>84138.146538588568</v>
      </c>
      <c r="W51" s="909">
        <v>83924.254523185446</v>
      </c>
      <c r="X51" s="909">
        <v>89536.739291579681</v>
      </c>
      <c r="Y51" s="909">
        <v>88898.621396624178</v>
      </c>
      <c r="Z51" s="909">
        <v>97270.407194049927</v>
      </c>
      <c r="AA51" s="909">
        <v>105709.30663084517</v>
      </c>
      <c r="AB51" s="909">
        <v>92965.195511556536</v>
      </c>
      <c r="AC51" s="909">
        <v>99661.822357810452</v>
      </c>
      <c r="AD51" s="909">
        <v>103050.03455237173</v>
      </c>
      <c r="AE51" s="855">
        <v>94890.696139107196</v>
      </c>
      <c r="AF51" s="855">
        <v>98491.443921532758</v>
      </c>
      <c r="AG51" s="936">
        <v>100097.47735002411</v>
      </c>
      <c r="AH51" s="909">
        <v>96837.04364484665</v>
      </c>
      <c r="AI51" s="909">
        <v>98964.390651508802</v>
      </c>
      <c r="AJ51" s="909">
        <v>117346.8929578658</v>
      </c>
      <c r="AK51" s="909">
        <v>111275.61328789066</v>
      </c>
      <c r="AL51" s="909">
        <v>107262.44080956784</v>
      </c>
      <c r="AM51" s="909">
        <v>113670.27935133062</v>
      </c>
      <c r="AN51" s="909">
        <v>113755.21719033859</v>
      </c>
      <c r="AO51" s="909">
        <v>117193.49835107665</v>
      </c>
      <c r="AP51" s="909">
        <v>114680.19077415405</v>
      </c>
      <c r="AQ51" s="909">
        <v>123147.90621819874</v>
      </c>
      <c r="AR51" s="909">
        <v>119425.2267136252</v>
      </c>
      <c r="AS51" s="909">
        <v>118576.46671077813</v>
      </c>
      <c r="AT51" s="909">
        <v>116573.48517141373</v>
      </c>
      <c r="AU51" s="909">
        <v>120426.57360885096</v>
      </c>
      <c r="AV51" s="909">
        <v>116359.87033590101</v>
      </c>
      <c r="AW51" s="909">
        <v>105825.28699763148</v>
      </c>
      <c r="AX51" s="909">
        <v>98288.130353572473</v>
      </c>
      <c r="AY51" s="909">
        <v>104969.86663035757</v>
      </c>
      <c r="AZ51" s="909">
        <v>103948.52686116811</v>
      </c>
      <c r="BA51" s="909">
        <v>106507.97710862385</v>
      </c>
      <c r="BB51" s="909">
        <v>105168.80115035707</v>
      </c>
      <c r="BC51" s="909">
        <v>103289.30802621595</v>
      </c>
      <c r="BD51" s="909">
        <v>101209.88974647276</v>
      </c>
      <c r="BE51" s="909">
        <v>101802.88519657716</v>
      </c>
      <c r="BF51" s="909">
        <v>102215.43641454133</v>
      </c>
      <c r="BG51" s="909">
        <v>103186.64767693872</v>
      </c>
      <c r="BH51" s="909">
        <v>98237.147598277501</v>
      </c>
      <c r="BI51" s="909">
        <v>110456.56631133109</v>
      </c>
      <c r="BJ51" s="909">
        <v>117905.54553182973</v>
      </c>
      <c r="BK51" s="909">
        <v>116040.77335440496</v>
      </c>
      <c r="BL51" s="909">
        <v>111607.27794559913</v>
      </c>
      <c r="BM51" s="909">
        <v>120807.88255158193</v>
      </c>
      <c r="BN51" s="909">
        <v>118421.7534043886</v>
      </c>
      <c r="BO51" s="909">
        <v>113453.92012670453</v>
      </c>
      <c r="BP51" s="909">
        <v>111410.28450875383</v>
      </c>
      <c r="BQ51" s="909">
        <v>108772.31658004419</v>
      </c>
      <c r="BR51" s="909">
        <v>100975.44984973417</v>
      </c>
      <c r="BS51" s="909">
        <v>103454.89570334017</v>
      </c>
      <c r="BT51" s="909">
        <v>99451.910636502347</v>
      </c>
      <c r="BU51" s="909">
        <v>112738.19159063847</v>
      </c>
      <c r="BV51" s="909">
        <v>92730.008417822915</v>
      </c>
      <c r="BW51" s="909">
        <v>101962.05765910193</v>
      </c>
      <c r="BX51" s="909">
        <v>110765.08047791531</v>
      </c>
      <c r="BY51" s="909">
        <v>111531.95376658885</v>
      </c>
      <c r="BZ51" s="909">
        <v>124500.70438389295</v>
      </c>
      <c r="CA51" s="909">
        <v>128817.85302633214</v>
      </c>
      <c r="CB51" s="909">
        <v>119372.22481696228</v>
      </c>
      <c r="CC51" s="909">
        <v>130596.76080115068</v>
      </c>
      <c r="CD51" s="909">
        <v>133632.61062397828</v>
      </c>
      <c r="CE51" s="909">
        <v>130688.20569288245</v>
      </c>
      <c r="CF51" s="909">
        <v>122836.55612158577</v>
      </c>
      <c r="CG51" s="909">
        <v>124753.3283890309</v>
      </c>
      <c r="CH51" s="909">
        <v>118691.79673997832</v>
      </c>
      <c r="CI51" s="909">
        <v>127483.06080769184</v>
      </c>
      <c r="CJ51" s="909">
        <v>128990.12625627106</v>
      </c>
      <c r="CK51" s="909">
        <v>123734.53352169989</v>
      </c>
      <c r="CL51" s="909">
        <v>127917.19779857068</v>
      </c>
      <c r="CM51" s="909">
        <v>124318.47468098615</v>
      </c>
      <c r="CN51" s="909">
        <v>129666.95852809249</v>
      </c>
      <c r="CO51" s="909">
        <v>110358.23086029646</v>
      </c>
      <c r="CP51" s="909">
        <v>101027.91452672864</v>
      </c>
      <c r="CQ51" s="909">
        <v>94486.307687178443</v>
      </c>
      <c r="CR51" s="909">
        <v>98994.926734894529</v>
      </c>
      <c r="CS51" s="909">
        <v>119669.25134560544</v>
      </c>
      <c r="CT51" s="909">
        <v>112193.33946003798</v>
      </c>
      <c r="CU51" s="909">
        <v>113894.3952691341</v>
      </c>
      <c r="CV51" s="909">
        <v>120406.59304772885</v>
      </c>
      <c r="CW51" s="909">
        <v>116101.81193159243</v>
      </c>
      <c r="CX51" s="909">
        <v>115245.58941464416</v>
      </c>
      <c r="CY51" s="909">
        <v>116335.2518167284</v>
      </c>
      <c r="CZ51" s="909">
        <v>130861.25681762684</v>
      </c>
      <c r="DA51" s="909">
        <v>111386.08029227542</v>
      </c>
      <c r="DB51" s="910">
        <v>113765.48877805106</v>
      </c>
      <c r="DC51" s="909">
        <v>112455.14903501561</v>
      </c>
      <c r="DD51" s="855">
        <v>126395.53454864303</v>
      </c>
      <c r="DE51" s="855">
        <v>124179.88455053105</v>
      </c>
      <c r="DF51" s="855">
        <v>149385.98101848501</v>
      </c>
      <c r="DG51" s="855">
        <v>141377.18825667602</v>
      </c>
      <c r="DH51" s="855">
        <v>146889.30273567344</v>
      </c>
      <c r="DI51" s="855">
        <v>147479.5134372098</v>
      </c>
      <c r="DJ51" s="855">
        <v>160816.50570887057</v>
      </c>
      <c r="DK51" s="855">
        <v>157793.49341056636</v>
      </c>
      <c r="DL51" s="855">
        <v>171512.83087663387</v>
      </c>
      <c r="DM51" s="855">
        <v>157745.23645916328</v>
      </c>
      <c r="DN51" s="855">
        <v>154713.47998257953</v>
      </c>
      <c r="DO51" s="855">
        <v>156186.94840728308</v>
      </c>
      <c r="DP51" s="855">
        <v>157090.14973219205</v>
      </c>
      <c r="DQ51" s="855">
        <v>148746.24105407996</v>
      </c>
      <c r="DR51" s="855">
        <v>135821.40477458693</v>
      </c>
      <c r="DS51" s="855">
        <v>129463.31401157564</v>
      </c>
    </row>
    <row r="52" spans="1:123" ht="17.25" customHeight="1">
      <c r="A52" s="964"/>
      <c r="B52" s="880"/>
      <c r="C52" s="937"/>
      <c r="D52" s="937"/>
      <c r="E52" s="937"/>
      <c r="F52" s="938"/>
      <c r="G52" s="937"/>
      <c r="H52" s="939"/>
      <c r="I52" s="937"/>
      <c r="J52" s="937"/>
      <c r="K52" s="937"/>
      <c r="L52" s="937"/>
      <c r="M52" s="938"/>
      <c r="N52" s="937"/>
      <c r="O52" s="937"/>
      <c r="P52" s="937"/>
      <c r="Q52" s="937"/>
      <c r="R52" s="937"/>
      <c r="S52" s="937"/>
      <c r="T52" s="937"/>
      <c r="U52" s="937"/>
      <c r="V52" s="937"/>
      <c r="W52" s="937"/>
      <c r="X52" s="937"/>
      <c r="Y52" s="937"/>
      <c r="Z52" s="937"/>
      <c r="AA52" s="937"/>
      <c r="AB52" s="937"/>
      <c r="AC52" s="937"/>
      <c r="AD52" s="937"/>
      <c r="AE52" s="940"/>
      <c r="AF52" s="940"/>
      <c r="AG52" s="941"/>
      <c r="AH52" s="937"/>
      <c r="AI52" s="937"/>
      <c r="AJ52" s="937"/>
      <c r="AK52" s="937"/>
      <c r="AL52" s="937"/>
      <c r="AM52" s="937"/>
      <c r="AN52" s="937"/>
      <c r="AO52" s="937"/>
      <c r="AP52" s="937"/>
      <c r="AQ52" s="937"/>
      <c r="AR52" s="937"/>
      <c r="AS52" s="937"/>
      <c r="AT52" s="937"/>
      <c r="AU52" s="937"/>
      <c r="AV52" s="937"/>
      <c r="AW52" s="937"/>
      <c r="AX52" s="937"/>
      <c r="AY52" s="937"/>
      <c r="AZ52" s="937"/>
      <c r="BA52" s="937"/>
      <c r="BB52" s="937"/>
      <c r="BC52" s="937"/>
      <c r="BD52" s="937"/>
      <c r="BE52" s="937"/>
      <c r="BF52" s="937"/>
      <c r="BG52" s="937"/>
      <c r="BH52" s="937"/>
      <c r="BI52" s="937"/>
      <c r="BJ52" s="937"/>
      <c r="BK52" s="937"/>
      <c r="BL52" s="937"/>
      <c r="BM52" s="937"/>
      <c r="BN52" s="937"/>
      <c r="BO52" s="937"/>
      <c r="BP52" s="937"/>
      <c r="BQ52" s="937"/>
      <c r="BR52" s="937"/>
      <c r="BS52" s="937"/>
      <c r="BT52" s="937"/>
      <c r="BU52" s="937"/>
      <c r="BV52" s="937"/>
      <c r="BW52" s="937"/>
      <c r="BX52" s="937"/>
      <c r="BY52" s="937"/>
      <c r="BZ52" s="937"/>
      <c r="CA52" s="937"/>
      <c r="CB52" s="937"/>
      <c r="CC52" s="937"/>
      <c r="CD52" s="937"/>
      <c r="CE52" s="937"/>
      <c r="CF52" s="937"/>
      <c r="CG52" s="937"/>
      <c r="CH52" s="937"/>
      <c r="CI52" s="937"/>
      <c r="CJ52" s="937"/>
      <c r="CK52" s="937"/>
      <c r="CL52" s="937"/>
      <c r="CM52" s="937"/>
      <c r="CN52" s="937"/>
      <c r="CO52" s="937"/>
      <c r="CP52" s="937"/>
      <c r="CQ52" s="937"/>
      <c r="CR52" s="937"/>
      <c r="CS52" s="937"/>
      <c r="CT52" s="937"/>
      <c r="CU52" s="937"/>
      <c r="CV52" s="937"/>
      <c r="CW52" s="937"/>
      <c r="CX52" s="937"/>
      <c r="CY52" s="937"/>
      <c r="CZ52" s="937"/>
      <c r="DA52" s="937"/>
      <c r="DB52" s="938"/>
      <c r="DC52" s="937"/>
      <c r="DD52" s="940"/>
      <c r="DE52" s="940"/>
      <c r="DF52" s="940"/>
      <c r="DG52" s="940"/>
      <c r="DH52" s="940"/>
      <c r="DI52" s="940"/>
      <c r="DJ52" s="940"/>
      <c r="DK52" s="940"/>
      <c r="DL52" s="940"/>
      <c r="DM52" s="940"/>
      <c r="DN52" s="940"/>
      <c r="DO52" s="940"/>
      <c r="DP52" s="940"/>
      <c r="DQ52" s="940"/>
      <c r="DR52" s="940"/>
      <c r="DS52" s="940"/>
    </row>
    <row r="53" spans="1:123" ht="17.25" customHeight="1">
      <c r="A53" s="963" t="s">
        <v>2537</v>
      </c>
      <c r="B53" s="854" t="s">
        <v>2508</v>
      </c>
      <c r="C53" s="909">
        <v>0</v>
      </c>
      <c r="D53" s="909">
        <v>0</v>
      </c>
      <c r="E53" s="909">
        <v>0</v>
      </c>
      <c r="F53" s="910">
        <v>0</v>
      </c>
      <c r="G53" s="909">
        <v>0</v>
      </c>
      <c r="H53" s="911">
        <v>0</v>
      </c>
      <c r="I53" s="909">
        <v>0</v>
      </c>
      <c r="J53" s="909">
        <v>0</v>
      </c>
      <c r="K53" s="909">
        <v>0</v>
      </c>
      <c r="L53" s="909">
        <v>0</v>
      </c>
      <c r="M53" s="910">
        <v>0</v>
      </c>
      <c r="N53" s="909">
        <v>0</v>
      </c>
      <c r="O53" s="909">
        <v>0</v>
      </c>
      <c r="P53" s="909">
        <v>0</v>
      </c>
      <c r="Q53" s="909">
        <v>0</v>
      </c>
      <c r="R53" s="909">
        <v>0</v>
      </c>
      <c r="S53" s="909">
        <v>0</v>
      </c>
      <c r="T53" s="909">
        <v>0</v>
      </c>
      <c r="U53" s="909">
        <v>0</v>
      </c>
      <c r="V53" s="909">
        <v>0</v>
      </c>
      <c r="W53" s="909">
        <v>0</v>
      </c>
      <c r="X53" s="909">
        <v>0</v>
      </c>
      <c r="Y53" s="909">
        <v>0</v>
      </c>
      <c r="Z53" s="909">
        <v>0</v>
      </c>
      <c r="AA53" s="909">
        <v>0</v>
      </c>
      <c r="AB53" s="909">
        <v>0</v>
      </c>
      <c r="AC53" s="909">
        <v>0</v>
      </c>
      <c r="AD53" s="909">
        <v>0</v>
      </c>
      <c r="AE53" s="855">
        <v>0</v>
      </c>
      <c r="AF53" s="855">
        <v>0</v>
      </c>
      <c r="AG53" s="936">
        <v>0</v>
      </c>
      <c r="AH53" s="909">
        <v>0</v>
      </c>
      <c r="AI53" s="909">
        <v>0</v>
      </c>
      <c r="AJ53" s="909">
        <v>0</v>
      </c>
      <c r="AK53" s="909">
        <v>0</v>
      </c>
      <c r="AL53" s="909">
        <v>0</v>
      </c>
      <c r="AM53" s="909">
        <v>0</v>
      </c>
      <c r="AN53" s="909">
        <v>0</v>
      </c>
      <c r="AO53" s="909">
        <v>0</v>
      </c>
      <c r="AP53" s="909">
        <v>0</v>
      </c>
      <c r="AQ53" s="909">
        <v>0</v>
      </c>
      <c r="AR53" s="909">
        <v>0</v>
      </c>
      <c r="AS53" s="909">
        <v>0</v>
      </c>
      <c r="AT53" s="909">
        <v>0</v>
      </c>
      <c r="AU53" s="909">
        <v>0</v>
      </c>
      <c r="AV53" s="909">
        <v>0</v>
      </c>
      <c r="AW53" s="909">
        <v>0</v>
      </c>
      <c r="AX53" s="909">
        <v>0</v>
      </c>
      <c r="AY53" s="909">
        <v>0</v>
      </c>
      <c r="AZ53" s="909">
        <v>0</v>
      </c>
      <c r="BA53" s="909">
        <v>0</v>
      </c>
      <c r="BB53" s="909">
        <v>0</v>
      </c>
      <c r="BC53" s="909">
        <v>0</v>
      </c>
      <c r="BD53" s="909">
        <v>0</v>
      </c>
      <c r="BE53" s="909">
        <v>0</v>
      </c>
      <c r="BF53" s="909">
        <v>0</v>
      </c>
      <c r="BG53" s="909">
        <v>0</v>
      </c>
      <c r="BH53" s="909">
        <v>0</v>
      </c>
      <c r="BI53" s="909">
        <v>0</v>
      </c>
      <c r="BJ53" s="909">
        <v>0</v>
      </c>
      <c r="BK53" s="909">
        <v>0</v>
      </c>
      <c r="BL53" s="909">
        <v>0</v>
      </c>
      <c r="BM53" s="909">
        <v>0</v>
      </c>
      <c r="BN53" s="909">
        <v>0</v>
      </c>
      <c r="BO53" s="909">
        <v>0</v>
      </c>
      <c r="BP53" s="909">
        <v>0</v>
      </c>
      <c r="BQ53" s="909">
        <v>0</v>
      </c>
      <c r="BR53" s="909">
        <v>0</v>
      </c>
      <c r="BS53" s="909">
        <v>0</v>
      </c>
      <c r="BT53" s="909">
        <v>0</v>
      </c>
      <c r="BU53" s="909">
        <v>0</v>
      </c>
      <c r="BV53" s="909">
        <v>0</v>
      </c>
      <c r="BW53" s="909">
        <v>0</v>
      </c>
      <c r="BX53" s="909">
        <v>0</v>
      </c>
      <c r="BY53" s="909">
        <v>0</v>
      </c>
      <c r="BZ53" s="909">
        <v>0</v>
      </c>
      <c r="CA53" s="909">
        <v>0</v>
      </c>
      <c r="CB53" s="909">
        <v>0</v>
      </c>
      <c r="CC53" s="909">
        <v>0</v>
      </c>
      <c r="CD53" s="909">
        <v>0</v>
      </c>
      <c r="CE53" s="909">
        <v>0</v>
      </c>
      <c r="CF53" s="909">
        <v>0</v>
      </c>
      <c r="CG53" s="909">
        <v>0</v>
      </c>
      <c r="CH53" s="909">
        <v>0</v>
      </c>
      <c r="CI53" s="909">
        <v>0</v>
      </c>
      <c r="CJ53" s="909">
        <v>0</v>
      </c>
      <c r="CK53" s="909">
        <v>0</v>
      </c>
      <c r="CL53" s="909">
        <v>0</v>
      </c>
      <c r="CM53" s="909">
        <v>0</v>
      </c>
      <c r="CN53" s="909">
        <v>0</v>
      </c>
      <c r="CO53" s="909">
        <v>0</v>
      </c>
      <c r="CP53" s="909">
        <v>0</v>
      </c>
      <c r="CQ53" s="909">
        <v>0</v>
      </c>
      <c r="CR53" s="909">
        <v>0</v>
      </c>
      <c r="CS53" s="909">
        <v>0</v>
      </c>
      <c r="CT53" s="909">
        <v>0</v>
      </c>
      <c r="CU53" s="909">
        <v>0</v>
      </c>
      <c r="CV53" s="909">
        <v>0</v>
      </c>
      <c r="CW53" s="909">
        <v>0</v>
      </c>
      <c r="CX53" s="909">
        <v>0</v>
      </c>
      <c r="CY53" s="909">
        <v>0</v>
      </c>
      <c r="CZ53" s="909">
        <v>0</v>
      </c>
      <c r="DA53" s="909">
        <v>0</v>
      </c>
      <c r="DB53" s="910">
        <v>0</v>
      </c>
      <c r="DC53" s="909">
        <v>0</v>
      </c>
      <c r="DD53" s="855">
        <v>0</v>
      </c>
      <c r="DE53" s="855">
        <v>0</v>
      </c>
      <c r="DF53" s="855">
        <v>0</v>
      </c>
      <c r="DG53" s="855">
        <v>0</v>
      </c>
      <c r="DH53" s="855">
        <v>0</v>
      </c>
      <c r="DI53" s="855">
        <v>0</v>
      </c>
      <c r="DJ53" s="855">
        <v>0</v>
      </c>
      <c r="DK53" s="855">
        <v>0</v>
      </c>
      <c r="DL53" s="855">
        <v>0</v>
      </c>
      <c r="DM53" s="855">
        <v>0</v>
      </c>
      <c r="DN53" s="855">
        <v>0</v>
      </c>
      <c r="DO53" s="855">
        <v>0</v>
      </c>
      <c r="DP53" s="855">
        <v>0</v>
      </c>
      <c r="DQ53" s="855">
        <v>0</v>
      </c>
      <c r="DR53" s="855">
        <v>0</v>
      </c>
      <c r="DS53" s="855">
        <v>0</v>
      </c>
    </row>
    <row r="54" spans="1:123" ht="17.25" customHeight="1">
      <c r="A54" s="964"/>
      <c r="B54" s="858"/>
      <c r="C54" s="937"/>
      <c r="D54" s="937"/>
      <c r="E54" s="937"/>
      <c r="F54" s="938"/>
      <c r="G54" s="937"/>
      <c r="H54" s="939"/>
      <c r="I54" s="937"/>
      <c r="J54" s="937"/>
      <c r="K54" s="937"/>
      <c r="L54" s="937"/>
      <c r="M54" s="938"/>
      <c r="N54" s="937"/>
      <c r="O54" s="937"/>
      <c r="P54" s="937"/>
      <c r="Q54" s="937"/>
      <c r="R54" s="937"/>
      <c r="S54" s="937"/>
      <c r="T54" s="937"/>
      <c r="U54" s="937"/>
      <c r="V54" s="937"/>
      <c r="W54" s="937"/>
      <c r="X54" s="937"/>
      <c r="Y54" s="937"/>
      <c r="Z54" s="937"/>
      <c r="AA54" s="937"/>
      <c r="AB54" s="937"/>
      <c r="AC54" s="937"/>
      <c r="AD54" s="937"/>
      <c r="AE54" s="940"/>
      <c r="AF54" s="940"/>
      <c r="AG54" s="941"/>
      <c r="AH54" s="937"/>
      <c r="AI54" s="937"/>
      <c r="AJ54" s="937"/>
      <c r="AK54" s="937"/>
      <c r="AL54" s="937"/>
      <c r="AM54" s="937"/>
      <c r="AN54" s="937"/>
      <c r="AO54" s="937"/>
      <c r="AP54" s="937"/>
      <c r="AQ54" s="937"/>
      <c r="AR54" s="937"/>
      <c r="AS54" s="937"/>
      <c r="AT54" s="937"/>
      <c r="AU54" s="937"/>
      <c r="AV54" s="937"/>
      <c r="AW54" s="937"/>
      <c r="AX54" s="937"/>
      <c r="AY54" s="937"/>
      <c r="AZ54" s="937"/>
      <c r="BA54" s="937"/>
      <c r="BB54" s="937"/>
      <c r="BC54" s="937"/>
      <c r="BD54" s="937"/>
      <c r="BE54" s="937"/>
      <c r="BF54" s="937"/>
      <c r="BG54" s="937"/>
      <c r="BH54" s="937"/>
      <c r="BI54" s="937"/>
      <c r="BJ54" s="937"/>
      <c r="BK54" s="937"/>
      <c r="BL54" s="937"/>
      <c r="BM54" s="937"/>
      <c r="BN54" s="937"/>
      <c r="BO54" s="937"/>
      <c r="BP54" s="937"/>
      <c r="BQ54" s="937"/>
      <c r="BR54" s="937"/>
      <c r="BS54" s="937"/>
      <c r="BT54" s="937"/>
      <c r="BU54" s="937"/>
      <c r="BV54" s="937"/>
      <c r="BW54" s="937"/>
      <c r="BX54" s="937"/>
      <c r="BY54" s="937"/>
      <c r="BZ54" s="937"/>
      <c r="CA54" s="937"/>
      <c r="CB54" s="937"/>
      <c r="CC54" s="937"/>
      <c r="CD54" s="937"/>
      <c r="CE54" s="937"/>
      <c r="CF54" s="937"/>
      <c r="CG54" s="937"/>
      <c r="CH54" s="937"/>
      <c r="CI54" s="937"/>
      <c r="CJ54" s="937"/>
      <c r="CK54" s="937"/>
      <c r="CL54" s="937"/>
      <c r="CM54" s="937"/>
      <c r="CN54" s="937"/>
      <c r="CO54" s="937"/>
      <c r="CP54" s="937"/>
      <c r="CQ54" s="937"/>
      <c r="CR54" s="937"/>
      <c r="CS54" s="937"/>
      <c r="CT54" s="937"/>
      <c r="CU54" s="937"/>
      <c r="CV54" s="937"/>
      <c r="CW54" s="937"/>
      <c r="CX54" s="937"/>
      <c r="CY54" s="937"/>
      <c r="CZ54" s="937"/>
      <c r="DA54" s="937"/>
      <c r="DB54" s="938"/>
      <c r="DC54" s="937"/>
      <c r="DD54" s="940"/>
      <c r="DE54" s="940"/>
      <c r="DF54" s="940"/>
      <c r="DG54" s="940"/>
      <c r="DH54" s="940"/>
      <c r="DI54" s="940"/>
      <c r="DJ54" s="940"/>
      <c r="DK54" s="940"/>
      <c r="DL54" s="940"/>
      <c r="DM54" s="940"/>
      <c r="DN54" s="940"/>
      <c r="DO54" s="940"/>
      <c r="DP54" s="940"/>
      <c r="DQ54" s="940"/>
      <c r="DR54" s="940"/>
      <c r="DS54" s="940"/>
    </row>
    <row r="55" spans="1:123" ht="17.25" customHeight="1">
      <c r="A55" s="963" t="s">
        <v>2538</v>
      </c>
      <c r="B55" s="854" t="s">
        <v>2510</v>
      </c>
      <c r="C55" s="909">
        <v>29432.767018766855</v>
      </c>
      <c r="D55" s="909">
        <v>34260.080803627447</v>
      </c>
      <c r="E55" s="909">
        <v>33736.445753137697</v>
      </c>
      <c r="F55" s="910">
        <v>30869.665977368513</v>
      </c>
      <c r="G55" s="909">
        <v>33148.508443650164</v>
      </c>
      <c r="H55" s="911">
        <v>32103.114393552522</v>
      </c>
      <c r="I55" s="909">
        <v>30169.13539053157</v>
      </c>
      <c r="J55" s="909">
        <v>39529.378811924573</v>
      </c>
      <c r="K55" s="909">
        <v>40813.964159177995</v>
      </c>
      <c r="L55" s="909">
        <v>38298.472398335762</v>
      </c>
      <c r="M55" s="910">
        <v>42561.914226997869</v>
      </c>
      <c r="N55" s="909">
        <v>39547.513947527019</v>
      </c>
      <c r="O55" s="909">
        <v>34322.485455183065</v>
      </c>
      <c r="P55" s="909">
        <v>23458.447846964125</v>
      </c>
      <c r="Q55" s="909">
        <v>22783.893341378978</v>
      </c>
      <c r="R55" s="909">
        <v>28642.687883647355</v>
      </c>
      <c r="S55" s="909">
        <v>25554.180948222551</v>
      </c>
      <c r="T55" s="909">
        <v>28986.653275119956</v>
      </c>
      <c r="U55" s="909">
        <v>23144.521802052503</v>
      </c>
      <c r="V55" s="909">
        <v>24778.631760438147</v>
      </c>
      <c r="W55" s="909">
        <v>25578.83426078095</v>
      </c>
      <c r="X55" s="909">
        <v>28469.195348005636</v>
      </c>
      <c r="Y55" s="909">
        <v>35207.911461794189</v>
      </c>
      <c r="Z55" s="909">
        <v>29022.884805908736</v>
      </c>
      <c r="AA55" s="909">
        <v>39967.940543216449</v>
      </c>
      <c r="AB55" s="909">
        <v>38952.669907664116</v>
      </c>
      <c r="AC55" s="909">
        <v>35611.417045563867</v>
      </c>
      <c r="AD55" s="909">
        <v>33834.882104414784</v>
      </c>
      <c r="AE55" s="855">
        <v>39070.798615132757</v>
      </c>
      <c r="AF55" s="855">
        <v>34309.875560910383</v>
      </c>
      <c r="AG55" s="936">
        <v>30761.533252157133</v>
      </c>
      <c r="AH55" s="909">
        <v>30209.616689337126</v>
      </c>
      <c r="AI55" s="909">
        <v>44387.928754471606</v>
      </c>
      <c r="AJ55" s="909">
        <v>40145.866677087492</v>
      </c>
      <c r="AK55" s="909">
        <v>37941.127663167666</v>
      </c>
      <c r="AL55" s="909">
        <v>40551.299268888004</v>
      </c>
      <c r="AM55" s="909">
        <v>43238.137322506242</v>
      </c>
      <c r="AN55" s="909">
        <v>42618.980175564284</v>
      </c>
      <c r="AO55" s="909">
        <v>44457.242976324567</v>
      </c>
      <c r="AP55" s="909">
        <v>39691.1360705482</v>
      </c>
      <c r="AQ55" s="909">
        <v>59777.699357459212</v>
      </c>
      <c r="AR55" s="909">
        <v>44315.485858984328</v>
      </c>
      <c r="AS55" s="909">
        <v>50022.483865121387</v>
      </c>
      <c r="AT55" s="909">
        <v>45071.427850664673</v>
      </c>
      <c r="AU55" s="909">
        <v>44825.023681978993</v>
      </c>
      <c r="AV55" s="909">
        <v>45723.11009277204</v>
      </c>
      <c r="AW55" s="909">
        <v>56623.470659186809</v>
      </c>
      <c r="AX55" s="909">
        <v>58954.183824958382</v>
      </c>
      <c r="AY55" s="909">
        <v>71511.057699533572</v>
      </c>
      <c r="AZ55" s="909">
        <v>90538.775278142028</v>
      </c>
      <c r="BA55" s="909">
        <v>96306.272537237586</v>
      </c>
      <c r="BB55" s="909">
        <v>77032.912200377803</v>
      </c>
      <c r="BC55" s="909">
        <v>81370.840048575323</v>
      </c>
      <c r="BD55" s="909">
        <v>78336.510964634406</v>
      </c>
      <c r="BE55" s="909">
        <v>99663.735643111504</v>
      </c>
      <c r="BF55" s="909">
        <v>111707.05893216262</v>
      </c>
      <c r="BG55" s="909">
        <v>123272.0779647421</v>
      </c>
      <c r="BH55" s="909">
        <v>137833.12623258727</v>
      </c>
      <c r="BI55" s="909">
        <v>143953.15384429533</v>
      </c>
      <c r="BJ55" s="909">
        <v>178862.29597032876</v>
      </c>
      <c r="BK55" s="909">
        <v>169154.96589423789</v>
      </c>
      <c r="BL55" s="909">
        <v>160607.1231365795</v>
      </c>
      <c r="BM55" s="909">
        <v>164575.23255486466</v>
      </c>
      <c r="BN55" s="909">
        <v>179484.48929827844</v>
      </c>
      <c r="BO55" s="909">
        <v>196442.74826099002</v>
      </c>
      <c r="BP55" s="909">
        <v>164531.17855713627</v>
      </c>
      <c r="BQ55" s="909">
        <v>204934.24004247849</v>
      </c>
      <c r="BR55" s="909">
        <v>232314.69118893062</v>
      </c>
      <c r="BS55" s="909">
        <v>236566.50196854505</v>
      </c>
      <c r="BT55" s="909">
        <v>228442.52946675199</v>
      </c>
      <c r="BU55" s="909">
        <v>262787.18552714447</v>
      </c>
      <c r="BV55" s="909">
        <v>225701.43862436843</v>
      </c>
      <c r="BW55" s="909">
        <v>242684.51972220954</v>
      </c>
      <c r="BX55" s="909">
        <v>233419.56582643723</v>
      </c>
      <c r="BY55" s="909">
        <v>222553.99565980441</v>
      </c>
      <c r="BZ55" s="909">
        <v>280216.22471588483</v>
      </c>
      <c r="CA55" s="909">
        <v>258504.49647729652</v>
      </c>
      <c r="CB55" s="909">
        <v>238443.67931575485</v>
      </c>
      <c r="CC55" s="909">
        <v>291258.19929144433</v>
      </c>
      <c r="CD55" s="909">
        <v>331551.52239167277</v>
      </c>
      <c r="CE55" s="909">
        <v>365150.9206607173</v>
      </c>
      <c r="CF55" s="909">
        <v>331744.64526177425</v>
      </c>
      <c r="CG55" s="909">
        <v>306206.7874403724</v>
      </c>
      <c r="CH55" s="909">
        <v>326287.14330588136</v>
      </c>
      <c r="CI55" s="909">
        <v>345566.76871943782</v>
      </c>
      <c r="CJ55" s="909">
        <v>355620.70449500385</v>
      </c>
      <c r="CK55" s="909">
        <v>344224.6446809328</v>
      </c>
      <c r="CL55" s="909">
        <v>351250.84561238473</v>
      </c>
      <c r="CM55" s="909">
        <v>330178.31108843983</v>
      </c>
      <c r="CN55" s="909">
        <v>287721.32492861018</v>
      </c>
      <c r="CO55" s="909">
        <v>279939.08250933321</v>
      </c>
      <c r="CP55" s="909">
        <v>296836.98913296411</v>
      </c>
      <c r="CQ55" s="909">
        <v>297892.84432366665</v>
      </c>
      <c r="CR55" s="909">
        <v>307347.90835321526</v>
      </c>
      <c r="CS55" s="909">
        <v>284028.29083379696</v>
      </c>
      <c r="CT55" s="909">
        <v>296186.66098618211</v>
      </c>
      <c r="CU55" s="909">
        <v>294401.09124277084</v>
      </c>
      <c r="CV55" s="909">
        <v>313836.05786084075</v>
      </c>
      <c r="CW55" s="909">
        <v>367269.29246765771</v>
      </c>
      <c r="CX55" s="909">
        <v>360956.46484693687</v>
      </c>
      <c r="CY55" s="909">
        <v>310919.57905538724</v>
      </c>
      <c r="CZ55" s="909">
        <v>288355.94132487784</v>
      </c>
      <c r="DA55" s="909">
        <v>244096.76228233028</v>
      </c>
      <c r="DB55" s="910">
        <v>226887.54080734405</v>
      </c>
      <c r="DC55" s="909">
        <v>235220.8493683727</v>
      </c>
      <c r="DD55" s="855">
        <v>223332.05145226975</v>
      </c>
      <c r="DE55" s="855">
        <v>213015.07227861648</v>
      </c>
      <c r="DF55" s="855">
        <v>208067.28408345862</v>
      </c>
      <c r="DG55" s="855">
        <v>198664.07230677677</v>
      </c>
      <c r="DH55" s="855">
        <v>163011.89731705171</v>
      </c>
      <c r="DI55" s="855">
        <v>136937.24142526506</v>
      </c>
      <c r="DJ55" s="855">
        <v>168231.58288372419</v>
      </c>
      <c r="DK55" s="855">
        <v>151653.23715752174</v>
      </c>
      <c r="DL55" s="855">
        <v>139977.31040497901</v>
      </c>
      <c r="DM55" s="855">
        <v>147077.22059171399</v>
      </c>
      <c r="DN55" s="855">
        <v>146627.91770260001</v>
      </c>
      <c r="DO55" s="855">
        <v>148457.33312874945</v>
      </c>
      <c r="DP55" s="855">
        <v>181837.55940702357</v>
      </c>
      <c r="DQ55" s="855">
        <v>182150.91998237191</v>
      </c>
      <c r="DR55" s="855">
        <v>173382.35923417661</v>
      </c>
      <c r="DS55" s="855">
        <v>144842.61480010487</v>
      </c>
    </row>
    <row r="56" spans="1:123" ht="17.25" customHeight="1">
      <c r="A56" s="964"/>
      <c r="B56" s="858"/>
      <c r="C56" s="937"/>
      <c r="D56" s="937"/>
      <c r="E56" s="937"/>
      <c r="F56" s="938"/>
      <c r="G56" s="937"/>
      <c r="H56" s="939"/>
      <c r="I56" s="937"/>
      <c r="J56" s="937"/>
      <c r="K56" s="937"/>
      <c r="L56" s="937"/>
      <c r="M56" s="938"/>
      <c r="N56" s="937"/>
      <c r="O56" s="937"/>
      <c r="P56" s="937"/>
      <c r="Q56" s="937"/>
      <c r="R56" s="937"/>
      <c r="S56" s="937"/>
      <c r="T56" s="937"/>
      <c r="U56" s="937"/>
      <c r="V56" s="937"/>
      <c r="W56" s="937"/>
      <c r="X56" s="937"/>
      <c r="Y56" s="937"/>
      <c r="Z56" s="937"/>
      <c r="AA56" s="937"/>
      <c r="AB56" s="937"/>
      <c r="AC56" s="937"/>
      <c r="AD56" s="937"/>
      <c r="AE56" s="940"/>
      <c r="AF56" s="940"/>
      <c r="AG56" s="941"/>
      <c r="AH56" s="937"/>
      <c r="AI56" s="937"/>
      <c r="AJ56" s="937"/>
      <c r="AK56" s="937"/>
      <c r="AL56" s="937"/>
      <c r="AM56" s="937"/>
      <c r="AN56" s="937"/>
      <c r="AO56" s="937"/>
      <c r="AP56" s="937"/>
      <c r="AQ56" s="937"/>
      <c r="AR56" s="937"/>
      <c r="AS56" s="937"/>
      <c r="AT56" s="937"/>
      <c r="AU56" s="937"/>
      <c r="AV56" s="937"/>
      <c r="AW56" s="937"/>
      <c r="AX56" s="937"/>
      <c r="AY56" s="937"/>
      <c r="AZ56" s="937"/>
      <c r="BA56" s="937"/>
      <c r="BB56" s="937"/>
      <c r="BC56" s="937"/>
      <c r="BD56" s="937"/>
      <c r="BE56" s="937"/>
      <c r="BF56" s="937"/>
      <c r="BG56" s="937"/>
      <c r="BH56" s="937"/>
      <c r="BI56" s="937"/>
      <c r="BJ56" s="937"/>
      <c r="BK56" s="937"/>
      <c r="BL56" s="937"/>
      <c r="BM56" s="937"/>
      <c r="BN56" s="937"/>
      <c r="BO56" s="937"/>
      <c r="BP56" s="937"/>
      <c r="BQ56" s="937"/>
      <c r="BR56" s="937"/>
      <c r="BS56" s="937"/>
      <c r="BT56" s="937"/>
      <c r="BU56" s="937"/>
      <c r="BV56" s="937"/>
      <c r="BW56" s="937"/>
      <c r="BX56" s="937"/>
      <c r="BY56" s="937"/>
      <c r="BZ56" s="937"/>
      <c r="CA56" s="937"/>
      <c r="CB56" s="937"/>
      <c r="CC56" s="937"/>
      <c r="CD56" s="937"/>
      <c r="CE56" s="937"/>
      <c r="CF56" s="937"/>
      <c r="CG56" s="937"/>
      <c r="CH56" s="937"/>
      <c r="CI56" s="937"/>
      <c r="CJ56" s="937"/>
      <c r="CK56" s="937"/>
      <c r="CL56" s="937"/>
      <c r="CM56" s="937"/>
      <c r="CN56" s="937"/>
      <c r="CO56" s="937"/>
      <c r="CP56" s="937"/>
      <c r="CQ56" s="937"/>
      <c r="CR56" s="937"/>
      <c r="CS56" s="937"/>
      <c r="CT56" s="937"/>
      <c r="CU56" s="937"/>
      <c r="CV56" s="937"/>
      <c r="CW56" s="937"/>
      <c r="CX56" s="937"/>
      <c r="CY56" s="937"/>
      <c r="CZ56" s="937"/>
      <c r="DA56" s="937"/>
      <c r="DB56" s="938"/>
      <c r="DC56" s="937"/>
      <c r="DD56" s="940"/>
      <c r="DE56" s="940"/>
      <c r="DF56" s="940"/>
      <c r="DG56" s="940"/>
      <c r="DH56" s="940"/>
      <c r="DI56" s="940"/>
      <c r="DJ56" s="940"/>
      <c r="DK56" s="940"/>
      <c r="DL56" s="940"/>
      <c r="DM56" s="940"/>
      <c r="DN56" s="940"/>
      <c r="DO56" s="940"/>
      <c r="DP56" s="940"/>
      <c r="DQ56" s="940"/>
      <c r="DR56" s="940"/>
      <c r="DS56" s="940"/>
    </row>
    <row r="57" spans="1:123" ht="17.25" customHeight="1">
      <c r="A57" s="963" t="s">
        <v>2539</v>
      </c>
      <c r="B57" s="854" t="s">
        <v>2540</v>
      </c>
      <c r="C57" s="909">
        <v>16158.678189872391</v>
      </c>
      <c r="D57" s="909">
        <v>15399.666391304083</v>
      </c>
      <c r="E57" s="909">
        <v>22031.435805337154</v>
      </c>
      <c r="F57" s="910">
        <v>21475.643292177294</v>
      </c>
      <c r="G57" s="909">
        <v>20607.766992034929</v>
      </c>
      <c r="H57" s="911">
        <v>19201.823949447185</v>
      </c>
      <c r="I57" s="909">
        <v>17793.633641827717</v>
      </c>
      <c r="J57" s="909">
        <v>19316.304427188974</v>
      </c>
      <c r="K57" s="909">
        <v>20013.990508662733</v>
      </c>
      <c r="L57" s="909">
        <v>20256.913851944213</v>
      </c>
      <c r="M57" s="910">
        <v>19950.461601384475</v>
      </c>
      <c r="N57" s="909">
        <v>20450.920981053732</v>
      </c>
      <c r="O57" s="909">
        <v>19805.145389509093</v>
      </c>
      <c r="P57" s="909">
        <v>21329.915646678241</v>
      </c>
      <c r="Q57" s="909">
        <v>21488.567996316975</v>
      </c>
      <c r="R57" s="909">
        <v>22923.550957587766</v>
      </c>
      <c r="S57" s="909">
        <v>21825.190813529563</v>
      </c>
      <c r="T57" s="909">
        <v>21701.793808469345</v>
      </c>
      <c r="U57" s="909">
        <v>20872.484472240048</v>
      </c>
      <c r="V57" s="909">
        <v>20463.48981438058</v>
      </c>
      <c r="W57" s="909">
        <v>22331.350880751113</v>
      </c>
      <c r="X57" s="909">
        <v>22285.405925518662</v>
      </c>
      <c r="Y57" s="909">
        <v>22020.184815563014</v>
      </c>
      <c r="Z57" s="909">
        <v>25267.34982926305</v>
      </c>
      <c r="AA57" s="909">
        <v>24608.293075993377</v>
      </c>
      <c r="AB57" s="909">
        <v>21855.939058989279</v>
      </c>
      <c r="AC57" s="909">
        <v>24601.761641271045</v>
      </c>
      <c r="AD57" s="909">
        <v>22669.225900420108</v>
      </c>
      <c r="AE57" s="855">
        <v>24127.530389359155</v>
      </c>
      <c r="AF57" s="855">
        <v>23603.189087562012</v>
      </c>
      <c r="AG57" s="936">
        <v>26253.53710648734</v>
      </c>
      <c r="AH57" s="909">
        <v>26265.073123399943</v>
      </c>
      <c r="AI57" s="909">
        <v>25663.53690178521</v>
      </c>
      <c r="AJ57" s="909">
        <v>25332.953733783797</v>
      </c>
      <c r="AK57" s="909">
        <v>25047.975926123618</v>
      </c>
      <c r="AL57" s="909">
        <v>26628.938733172014</v>
      </c>
      <c r="AM57" s="909">
        <v>25493.150156275744</v>
      </c>
      <c r="AN57" s="909">
        <v>25336.709046442629</v>
      </c>
      <c r="AO57" s="909">
        <v>24076.817668915755</v>
      </c>
      <c r="AP57" s="909">
        <v>26978.584588775855</v>
      </c>
      <c r="AQ57" s="909">
        <v>28156.884939248106</v>
      </c>
      <c r="AR57" s="909">
        <v>28644.84748098725</v>
      </c>
      <c r="AS57" s="909">
        <v>30566.384319011457</v>
      </c>
      <c r="AT57" s="909">
        <v>28545.864615857005</v>
      </c>
      <c r="AU57" s="909">
        <v>26934.996123423614</v>
      </c>
      <c r="AV57" s="909">
        <v>25841.93165764619</v>
      </c>
      <c r="AW57" s="909">
        <v>28092.860571302979</v>
      </c>
      <c r="AX57" s="909">
        <v>26292.40951873811</v>
      </c>
      <c r="AY57" s="909">
        <v>28037.893862271598</v>
      </c>
      <c r="AZ57" s="909">
        <v>26860.379091036237</v>
      </c>
      <c r="BA57" s="909">
        <v>30188.881181034689</v>
      </c>
      <c r="BB57" s="909">
        <v>27094.074399699584</v>
      </c>
      <c r="BC57" s="909">
        <v>25315.67576164853</v>
      </c>
      <c r="BD57" s="909">
        <v>26697.460388662541</v>
      </c>
      <c r="BE57" s="909">
        <v>26492.668315637879</v>
      </c>
      <c r="BF57" s="909">
        <v>24927.705293513598</v>
      </c>
      <c r="BG57" s="909">
        <v>26670.992764928367</v>
      </c>
      <c r="BH57" s="909">
        <v>26375.217146415311</v>
      </c>
      <c r="BI57" s="909">
        <v>24820.832289797665</v>
      </c>
      <c r="BJ57" s="909">
        <v>29511.327082950043</v>
      </c>
      <c r="BK57" s="909">
        <v>30383.526504520516</v>
      </c>
      <c r="BL57" s="909">
        <v>28105.254953831773</v>
      </c>
      <c r="BM57" s="909">
        <v>26388.752473113425</v>
      </c>
      <c r="BN57" s="909">
        <v>26902.131664199755</v>
      </c>
      <c r="BO57" s="909">
        <v>31140.300341097565</v>
      </c>
      <c r="BP57" s="909">
        <v>32235.78470779585</v>
      </c>
      <c r="BQ57" s="909">
        <v>32445.356367323093</v>
      </c>
      <c r="BR57" s="909">
        <v>30805.015896943492</v>
      </c>
      <c r="BS57" s="909">
        <v>32671.667518136597</v>
      </c>
      <c r="BT57" s="909">
        <v>43780.854184367941</v>
      </c>
      <c r="BU57" s="909">
        <v>31436.979178190988</v>
      </c>
      <c r="BV57" s="909">
        <v>38380.12334699653</v>
      </c>
      <c r="BW57" s="909">
        <v>36398.612039613196</v>
      </c>
      <c r="BX57" s="909">
        <v>35610.019238602908</v>
      </c>
      <c r="BY57" s="909">
        <v>28220.660586893697</v>
      </c>
      <c r="BZ57" s="909">
        <v>35548.391283481265</v>
      </c>
      <c r="CA57" s="909">
        <v>37072.284151340195</v>
      </c>
      <c r="CB57" s="909">
        <v>38910.345796089772</v>
      </c>
      <c r="CC57" s="909">
        <v>39404.278051939822</v>
      </c>
      <c r="CD57" s="909">
        <v>37722.337078564677</v>
      </c>
      <c r="CE57" s="909">
        <v>38363.013823103916</v>
      </c>
      <c r="CF57" s="909">
        <v>38726.190562285257</v>
      </c>
      <c r="CG57" s="909">
        <v>39682.82334167861</v>
      </c>
      <c r="CH57" s="909">
        <v>46399.182294254191</v>
      </c>
      <c r="CI57" s="909">
        <v>46430.379387273628</v>
      </c>
      <c r="CJ57" s="909">
        <v>41199.290900733613</v>
      </c>
      <c r="CK57" s="909">
        <v>41543.969723707953</v>
      </c>
      <c r="CL57" s="909">
        <v>40483.929504703643</v>
      </c>
      <c r="CM57" s="909">
        <v>40217.169470184948</v>
      </c>
      <c r="CN57" s="909">
        <v>41140.443707170554</v>
      </c>
      <c r="CO57" s="909">
        <v>47446.201200333257</v>
      </c>
      <c r="CP57" s="909">
        <v>46961.57136462153</v>
      </c>
      <c r="CQ57" s="909">
        <v>48254.780355956907</v>
      </c>
      <c r="CR57" s="909">
        <v>46443.40917528428</v>
      </c>
      <c r="CS57" s="909">
        <v>49848.44690615451</v>
      </c>
      <c r="CT57" s="909">
        <v>45063.887441249055</v>
      </c>
      <c r="CU57" s="909">
        <v>46124.190772908441</v>
      </c>
      <c r="CV57" s="909">
        <v>46152.672104306788</v>
      </c>
      <c r="CW57" s="909">
        <v>50117.451247433062</v>
      </c>
      <c r="CX57" s="909">
        <v>51724.260593636587</v>
      </c>
      <c r="CY57" s="909">
        <v>46208.060636966627</v>
      </c>
      <c r="CZ57" s="909">
        <v>39718.043248880866</v>
      </c>
      <c r="DA57" s="909">
        <v>38629.663142935802</v>
      </c>
      <c r="DB57" s="910">
        <v>37955.90510136378</v>
      </c>
      <c r="DC57" s="909">
        <v>37742.235100137405</v>
      </c>
      <c r="DD57" s="855">
        <v>38076.078846724471</v>
      </c>
      <c r="DE57" s="855">
        <v>38609.971275321041</v>
      </c>
      <c r="DF57" s="855">
        <v>38417.566021774794</v>
      </c>
      <c r="DG57" s="855">
        <v>39378.186523585653</v>
      </c>
      <c r="DH57" s="855">
        <v>40494.360367042915</v>
      </c>
      <c r="DI57" s="855">
        <v>42252.213296070215</v>
      </c>
      <c r="DJ57" s="855">
        <v>46875.94909998068</v>
      </c>
      <c r="DK57" s="855">
        <v>46117.34828008146</v>
      </c>
      <c r="DL57" s="855">
        <v>47696.622416991995</v>
      </c>
      <c r="DM57" s="855">
        <v>45307.899130647558</v>
      </c>
      <c r="DN57" s="855">
        <v>45006.518026723817</v>
      </c>
      <c r="DO57" s="855">
        <v>46593.618340221117</v>
      </c>
      <c r="DP57" s="855">
        <v>50613.797049734661</v>
      </c>
      <c r="DQ57" s="855">
        <v>51525.459408858595</v>
      </c>
      <c r="DR57" s="855">
        <v>45064.945020367886</v>
      </c>
      <c r="DS57" s="855">
        <v>48499.679774459939</v>
      </c>
    </row>
    <row r="58" spans="1:123" ht="17.25" customHeight="1">
      <c r="A58" s="964"/>
      <c r="B58" s="858"/>
      <c r="C58" s="937"/>
      <c r="D58" s="937"/>
      <c r="E58" s="937"/>
      <c r="F58" s="938"/>
      <c r="G58" s="937"/>
      <c r="H58" s="939"/>
      <c r="I58" s="937"/>
      <c r="J58" s="937"/>
      <c r="K58" s="937"/>
      <c r="L58" s="937"/>
      <c r="M58" s="938"/>
      <c r="N58" s="937"/>
      <c r="O58" s="937"/>
      <c r="P58" s="937"/>
      <c r="Q58" s="937"/>
      <c r="R58" s="937"/>
      <c r="S58" s="937"/>
      <c r="T58" s="937"/>
      <c r="U58" s="937"/>
      <c r="V58" s="937"/>
      <c r="W58" s="937"/>
      <c r="X58" s="937"/>
      <c r="Y58" s="937"/>
      <c r="Z58" s="937"/>
      <c r="AA58" s="937"/>
      <c r="AB58" s="937"/>
      <c r="AC58" s="937"/>
      <c r="AD58" s="937"/>
      <c r="AE58" s="940"/>
      <c r="AF58" s="940"/>
      <c r="AG58" s="941"/>
      <c r="AH58" s="937"/>
      <c r="AI58" s="937"/>
      <c r="AJ58" s="937"/>
      <c r="AK58" s="937"/>
      <c r="AL58" s="937"/>
      <c r="AM58" s="937"/>
      <c r="AN58" s="937"/>
      <c r="AO58" s="937"/>
      <c r="AP58" s="937"/>
      <c r="AQ58" s="937"/>
      <c r="AR58" s="937"/>
      <c r="AS58" s="937"/>
      <c r="AT58" s="937"/>
      <c r="AU58" s="937"/>
      <c r="AV58" s="937"/>
      <c r="AW58" s="937"/>
      <c r="AX58" s="937"/>
      <c r="AY58" s="937"/>
      <c r="AZ58" s="937"/>
      <c r="BA58" s="937"/>
      <c r="BB58" s="937"/>
      <c r="BC58" s="937"/>
      <c r="BD58" s="937"/>
      <c r="BE58" s="937"/>
      <c r="BF58" s="937"/>
      <c r="BG58" s="937"/>
      <c r="BH58" s="937"/>
      <c r="BI58" s="937"/>
      <c r="BJ58" s="937"/>
      <c r="BK58" s="937"/>
      <c r="BL58" s="937"/>
      <c r="BM58" s="937"/>
      <c r="BN58" s="937"/>
      <c r="BO58" s="937"/>
      <c r="BP58" s="937"/>
      <c r="BQ58" s="937"/>
      <c r="BR58" s="937"/>
      <c r="BS58" s="937"/>
      <c r="BT58" s="937"/>
      <c r="BU58" s="937"/>
      <c r="BV58" s="937"/>
      <c r="BW58" s="937"/>
      <c r="BX58" s="937"/>
      <c r="BY58" s="937"/>
      <c r="BZ58" s="937"/>
      <c r="CA58" s="937"/>
      <c r="CB58" s="937"/>
      <c r="CC58" s="937"/>
      <c r="CD58" s="937"/>
      <c r="CE58" s="937"/>
      <c r="CF58" s="937"/>
      <c r="CG58" s="937"/>
      <c r="CH58" s="937"/>
      <c r="CI58" s="937"/>
      <c r="CJ58" s="937"/>
      <c r="CK58" s="937"/>
      <c r="CL58" s="937"/>
      <c r="CM58" s="937"/>
      <c r="CN58" s="937"/>
      <c r="CO58" s="937"/>
      <c r="CP58" s="937"/>
      <c r="CQ58" s="937"/>
      <c r="CR58" s="937"/>
      <c r="CS58" s="937"/>
      <c r="CT58" s="937"/>
      <c r="CU58" s="937"/>
      <c r="CV58" s="937"/>
      <c r="CW58" s="937"/>
      <c r="CX58" s="937"/>
      <c r="CY58" s="937"/>
      <c r="CZ58" s="937"/>
      <c r="DA58" s="937"/>
      <c r="DB58" s="938"/>
      <c r="DC58" s="937"/>
      <c r="DD58" s="940"/>
      <c r="DE58" s="940"/>
      <c r="DF58" s="940"/>
      <c r="DG58" s="940"/>
      <c r="DH58" s="940"/>
      <c r="DI58" s="940"/>
      <c r="DJ58" s="940"/>
      <c r="DK58" s="940"/>
      <c r="DL58" s="940"/>
      <c r="DM58" s="940"/>
      <c r="DN58" s="940"/>
      <c r="DO58" s="940"/>
      <c r="DP58" s="940"/>
      <c r="DQ58" s="940"/>
      <c r="DR58" s="940"/>
      <c r="DS58" s="940"/>
    </row>
    <row r="59" spans="1:123" ht="17.25" customHeight="1">
      <c r="A59" s="963" t="s">
        <v>2541</v>
      </c>
      <c r="B59" s="854" t="s">
        <v>2506</v>
      </c>
      <c r="C59" s="909">
        <v>40299.377312539364</v>
      </c>
      <c r="D59" s="909">
        <v>40897.174464550713</v>
      </c>
      <c r="E59" s="909">
        <v>41418.046998493701</v>
      </c>
      <c r="F59" s="910">
        <v>41431.841635135694</v>
      </c>
      <c r="G59" s="909">
        <v>41653.852711723099</v>
      </c>
      <c r="H59" s="911">
        <v>42382.352172430445</v>
      </c>
      <c r="I59" s="909">
        <v>42617.348218640211</v>
      </c>
      <c r="J59" s="909">
        <v>43614.156140104787</v>
      </c>
      <c r="K59" s="909">
        <v>43941.573180620879</v>
      </c>
      <c r="L59" s="909">
        <v>43933.029616701744</v>
      </c>
      <c r="M59" s="910">
        <v>44783.080922080873</v>
      </c>
      <c r="N59" s="909">
        <v>44195.840824197207</v>
      </c>
      <c r="O59" s="909">
        <v>43673.261159687172</v>
      </c>
      <c r="P59" s="909">
        <v>45224.515831074161</v>
      </c>
      <c r="Q59" s="909">
        <v>46849.720232299231</v>
      </c>
      <c r="R59" s="909">
        <v>46283.42460264438</v>
      </c>
      <c r="S59" s="909">
        <v>48014.658053635692</v>
      </c>
      <c r="T59" s="909">
        <v>49483.711488206434</v>
      </c>
      <c r="U59" s="909">
        <v>48476.295669645828</v>
      </c>
      <c r="V59" s="909">
        <v>49806.541415925356</v>
      </c>
      <c r="W59" s="909">
        <v>46843.666865092833</v>
      </c>
      <c r="X59" s="909">
        <v>47095.480653384591</v>
      </c>
      <c r="Y59" s="909">
        <v>47921.991783679747</v>
      </c>
      <c r="Z59" s="909">
        <v>48748.689920030221</v>
      </c>
      <c r="AA59" s="909">
        <v>49701.947383272287</v>
      </c>
      <c r="AB59" s="909">
        <v>50225.370442197789</v>
      </c>
      <c r="AC59" s="909">
        <v>50255.092954445507</v>
      </c>
      <c r="AD59" s="909">
        <v>50173.066566671099</v>
      </c>
      <c r="AE59" s="855">
        <v>51646.045959744595</v>
      </c>
      <c r="AF59" s="855">
        <v>52135.052324756274</v>
      </c>
      <c r="AG59" s="936">
        <v>51923.840327734593</v>
      </c>
      <c r="AH59" s="909">
        <v>54290.430311067721</v>
      </c>
      <c r="AI59" s="909">
        <v>54553.47210097991</v>
      </c>
      <c r="AJ59" s="909">
        <v>54781.930404075538</v>
      </c>
      <c r="AK59" s="909">
        <v>56291.891485824599</v>
      </c>
      <c r="AL59" s="909">
        <v>59034.14006419474</v>
      </c>
      <c r="AM59" s="909">
        <v>60336.762547660219</v>
      </c>
      <c r="AN59" s="909">
        <v>58433.737571185309</v>
      </c>
      <c r="AO59" s="909">
        <v>61722.657067999608</v>
      </c>
      <c r="AP59" s="909">
        <v>61121.022388491496</v>
      </c>
      <c r="AQ59" s="909">
        <v>64653.692893753156</v>
      </c>
      <c r="AR59" s="909">
        <v>65938.599478865523</v>
      </c>
      <c r="AS59" s="909">
        <v>67572.644090477799</v>
      </c>
      <c r="AT59" s="909">
        <v>68844.439888866429</v>
      </c>
      <c r="AU59" s="909">
        <v>70619.264637318702</v>
      </c>
      <c r="AV59" s="909">
        <v>71415.300964999711</v>
      </c>
      <c r="AW59" s="909">
        <v>71448.033640741909</v>
      </c>
      <c r="AX59" s="909">
        <v>71317.611680365444</v>
      </c>
      <c r="AY59" s="909">
        <v>71636.339654546551</v>
      </c>
      <c r="AZ59" s="909">
        <v>72364.164940520423</v>
      </c>
      <c r="BA59" s="909">
        <v>72729.831094379726</v>
      </c>
      <c r="BB59" s="909">
        <v>70480.727987459832</v>
      </c>
      <c r="BC59" s="909">
        <v>70526.35235032397</v>
      </c>
      <c r="BD59" s="909">
        <v>70569.078909740943</v>
      </c>
      <c r="BE59" s="909">
        <v>72014.339570399199</v>
      </c>
      <c r="BF59" s="909">
        <v>71967.09499391503</v>
      </c>
      <c r="BG59" s="909">
        <v>73271.353804589948</v>
      </c>
      <c r="BH59" s="909">
        <v>73849.64023806437</v>
      </c>
      <c r="BI59" s="909">
        <v>73862.058317793577</v>
      </c>
      <c r="BJ59" s="909">
        <v>77052.783139840336</v>
      </c>
      <c r="BK59" s="909">
        <v>79057.576617151513</v>
      </c>
      <c r="BL59" s="909">
        <v>77330.420374281064</v>
      </c>
      <c r="BM59" s="909">
        <v>78550.01557674598</v>
      </c>
      <c r="BN59" s="909">
        <v>78280.792370200521</v>
      </c>
      <c r="BO59" s="909">
        <v>79300.377539482477</v>
      </c>
      <c r="BP59" s="909">
        <v>84473.648619102474</v>
      </c>
      <c r="BQ59" s="909">
        <v>85038.856916136458</v>
      </c>
      <c r="BR59" s="909">
        <v>85694.832314834071</v>
      </c>
      <c r="BS59" s="909">
        <v>86701.463298792383</v>
      </c>
      <c r="BT59" s="909">
        <v>87084.157034179327</v>
      </c>
      <c r="BU59" s="909">
        <v>87096.469192007018</v>
      </c>
      <c r="BV59" s="909">
        <v>87336.869322237704</v>
      </c>
      <c r="BW59" s="909">
        <v>89036.787249494402</v>
      </c>
      <c r="BX59" s="909">
        <v>89235.76502342461</v>
      </c>
      <c r="BY59" s="909">
        <v>89112.41465863293</v>
      </c>
      <c r="BZ59" s="909">
        <v>92001.030889734742</v>
      </c>
      <c r="CA59" s="909">
        <v>92823.98516812356</v>
      </c>
      <c r="CB59" s="909">
        <v>94911.198696198524</v>
      </c>
      <c r="CC59" s="909">
        <v>92655.583889346046</v>
      </c>
      <c r="CD59" s="909">
        <v>93387.414470685457</v>
      </c>
      <c r="CE59" s="909">
        <v>94311.266267564584</v>
      </c>
      <c r="CF59" s="909">
        <v>96065.61365127757</v>
      </c>
      <c r="CG59" s="909">
        <v>96868.179552567482</v>
      </c>
      <c r="CH59" s="909">
        <v>99970.6883411335</v>
      </c>
      <c r="CI59" s="909">
        <v>102143.89863464859</v>
      </c>
      <c r="CJ59" s="909">
        <v>102986.73384132363</v>
      </c>
      <c r="CK59" s="909">
        <v>103873.18199425921</v>
      </c>
      <c r="CL59" s="909">
        <v>104115.39616690495</v>
      </c>
      <c r="CM59" s="909">
        <v>105223.37593117294</v>
      </c>
      <c r="CN59" s="909">
        <v>106183.2920679449</v>
      </c>
      <c r="CO59" s="909">
        <v>109157.30970641969</v>
      </c>
      <c r="CP59" s="909">
        <v>110133.52132883098</v>
      </c>
      <c r="CQ59" s="909">
        <v>112697.26542386685</v>
      </c>
      <c r="CR59" s="909">
        <v>114456.85917704883</v>
      </c>
      <c r="CS59" s="909">
        <v>115438.38624675125</v>
      </c>
      <c r="CT59" s="909">
        <v>114636.22307468319</v>
      </c>
      <c r="CU59" s="909">
        <v>115780.45646126535</v>
      </c>
      <c r="CV59" s="909">
        <v>116798.62575181546</v>
      </c>
      <c r="CW59" s="909">
        <v>116718.37460353736</v>
      </c>
      <c r="CX59" s="909">
        <v>115290.87593457245</v>
      </c>
      <c r="CY59" s="909">
        <v>115816.73350059979</v>
      </c>
      <c r="CZ59" s="909">
        <v>116900.34417156516</v>
      </c>
      <c r="DA59" s="909">
        <v>116443.72988501663</v>
      </c>
      <c r="DB59" s="910">
        <v>117713.06556413938</v>
      </c>
      <c r="DC59" s="909">
        <v>119477.91572915741</v>
      </c>
      <c r="DD59" s="855">
        <v>120389.23542704701</v>
      </c>
      <c r="DE59" s="855">
        <v>121335.87773175302</v>
      </c>
      <c r="DF59" s="855">
        <v>122443.84253953373</v>
      </c>
      <c r="DG59" s="855">
        <v>122754.56765158188</v>
      </c>
      <c r="DH59" s="855">
        <v>122338.8886387339</v>
      </c>
      <c r="DI59" s="855">
        <v>123098.98124813495</v>
      </c>
      <c r="DJ59" s="855">
        <v>122611.34617465544</v>
      </c>
      <c r="DK59" s="855">
        <v>122987.7419303114</v>
      </c>
      <c r="DL59" s="855">
        <v>124915.91391719096</v>
      </c>
      <c r="DM59" s="855">
        <v>125985.94252650176</v>
      </c>
      <c r="DN59" s="855">
        <v>128848.74416195994</v>
      </c>
      <c r="DO59" s="855">
        <v>131489.52230850048</v>
      </c>
      <c r="DP59" s="855">
        <v>137285.56936983249</v>
      </c>
      <c r="DQ59" s="855">
        <v>136257.13142404266</v>
      </c>
      <c r="DR59" s="855">
        <v>137734.56566677371</v>
      </c>
      <c r="DS59" s="855">
        <v>141397.33848139661</v>
      </c>
    </row>
    <row r="60" spans="1:123" ht="17.25" customHeight="1">
      <c r="A60" s="964"/>
      <c r="B60" s="858"/>
      <c r="C60" s="878"/>
      <c r="D60" s="878"/>
      <c r="E60" s="878"/>
      <c r="F60" s="917"/>
      <c r="G60" s="878"/>
      <c r="H60" s="918"/>
      <c r="I60" s="878"/>
      <c r="J60" s="878"/>
      <c r="K60" s="878"/>
      <c r="L60" s="878"/>
      <c r="M60" s="917"/>
      <c r="N60" s="878"/>
      <c r="O60" s="878"/>
      <c r="P60" s="878"/>
      <c r="Q60" s="878"/>
      <c r="R60" s="878"/>
      <c r="S60" s="878"/>
      <c r="T60" s="878"/>
      <c r="U60" s="878"/>
      <c r="V60" s="878"/>
      <c r="W60" s="878"/>
      <c r="X60" s="878"/>
      <c r="Y60" s="878"/>
      <c r="Z60" s="878"/>
      <c r="AA60" s="878"/>
      <c r="AB60" s="878"/>
      <c r="AC60" s="878"/>
      <c r="AD60" s="878"/>
      <c r="AE60" s="860"/>
      <c r="AF60" s="860"/>
      <c r="AG60" s="877"/>
      <c r="AH60" s="878"/>
      <c r="AI60" s="878"/>
      <c r="AJ60" s="878"/>
      <c r="AK60" s="878"/>
      <c r="AL60" s="878"/>
      <c r="AM60" s="878"/>
      <c r="AN60" s="878"/>
      <c r="AO60" s="878"/>
      <c r="AP60" s="878"/>
      <c r="AQ60" s="878"/>
      <c r="AR60" s="878"/>
      <c r="AS60" s="878"/>
      <c r="AT60" s="878"/>
      <c r="AU60" s="878"/>
      <c r="AV60" s="878"/>
      <c r="AW60" s="878"/>
      <c r="AX60" s="878"/>
      <c r="AY60" s="878"/>
      <c r="AZ60" s="878"/>
      <c r="BA60" s="878"/>
      <c r="BB60" s="878"/>
      <c r="BC60" s="878"/>
      <c r="BD60" s="878"/>
      <c r="BE60" s="878"/>
      <c r="BF60" s="878"/>
      <c r="BG60" s="878"/>
      <c r="BH60" s="878"/>
      <c r="BI60" s="878"/>
      <c r="BJ60" s="878"/>
      <c r="BK60" s="878"/>
      <c r="BL60" s="878"/>
      <c r="BM60" s="878"/>
      <c r="BN60" s="878"/>
      <c r="BO60" s="878"/>
      <c r="BP60" s="878"/>
      <c r="BQ60" s="878"/>
      <c r="BR60" s="878"/>
      <c r="BS60" s="878"/>
      <c r="BT60" s="878"/>
      <c r="BU60" s="878"/>
      <c r="BV60" s="878"/>
      <c r="BW60" s="878"/>
      <c r="BX60" s="878"/>
      <c r="BY60" s="878"/>
      <c r="BZ60" s="878"/>
      <c r="CA60" s="878"/>
      <c r="CB60" s="878"/>
      <c r="CC60" s="878"/>
      <c r="CD60" s="878"/>
      <c r="CE60" s="878"/>
      <c r="CF60" s="878"/>
      <c r="CG60" s="878"/>
      <c r="CH60" s="878"/>
      <c r="CI60" s="878"/>
      <c r="CJ60" s="878"/>
      <c r="CK60" s="878"/>
      <c r="CL60" s="878"/>
      <c r="CM60" s="878"/>
      <c r="CN60" s="878"/>
      <c r="CO60" s="878"/>
      <c r="CP60" s="878"/>
      <c r="CQ60" s="878"/>
      <c r="CR60" s="878"/>
      <c r="CS60" s="878"/>
      <c r="CT60" s="878"/>
      <c r="CU60" s="878"/>
      <c r="CV60" s="878"/>
      <c r="CW60" s="878"/>
      <c r="CX60" s="878"/>
      <c r="CY60" s="878"/>
      <c r="CZ60" s="878"/>
      <c r="DA60" s="878"/>
      <c r="DB60" s="917"/>
      <c r="DC60" s="878"/>
      <c r="DD60" s="860"/>
      <c r="DE60" s="860"/>
      <c r="DF60" s="860"/>
      <c r="DG60" s="860"/>
      <c r="DH60" s="860"/>
      <c r="DI60" s="860"/>
      <c r="DJ60" s="860"/>
      <c r="DK60" s="860"/>
      <c r="DL60" s="860"/>
      <c r="DM60" s="860"/>
      <c r="DN60" s="860"/>
      <c r="DO60" s="860"/>
      <c r="DP60" s="860"/>
      <c r="DQ60" s="860"/>
      <c r="DR60" s="860"/>
      <c r="DS60" s="860"/>
    </row>
    <row r="61" spans="1:123" ht="17.25" customHeight="1">
      <c r="A61" s="963"/>
      <c r="B61" s="854" t="s">
        <v>2542</v>
      </c>
      <c r="C61" s="909">
        <v>471311.5679274908</v>
      </c>
      <c r="D61" s="909">
        <v>458405.79968156898</v>
      </c>
      <c r="E61" s="909">
        <v>471368.36615860113</v>
      </c>
      <c r="F61" s="910">
        <v>487597.2123353596</v>
      </c>
      <c r="G61" s="909">
        <v>490699.5337987378</v>
      </c>
      <c r="H61" s="911">
        <v>509422.0460164735</v>
      </c>
      <c r="I61" s="909">
        <v>496790.44643390819</v>
      </c>
      <c r="J61" s="909">
        <v>506831.09065121831</v>
      </c>
      <c r="K61" s="909">
        <v>536189.32489652047</v>
      </c>
      <c r="L61" s="909">
        <v>539946.71596931864</v>
      </c>
      <c r="M61" s="910">
        <v>536591.3487168093</v>
      </c>
      <c r="N61" s="909">
        <v>565086.1899789481</v>
      </c>
      <c r="O61" s="909">
        <v>553754.69138210919</v>
      </c>
      <c r="P61" s="909">
        <v>563618.70850807615</v>
      </c>
      <c r="Q61" s="909">
        <v>575394.00688601425</v>
      </c>
      <c r="R61" s="909">
        <v>605259.06121091812</v>
      </c>
      <c r="S61" s="909">
        <v>608440.06009224232</v>
      </c>
      <c r="T61" s="909">
        <v>637096.64951658109</v>
      </c>
      <c r="U61" s="909">
        <v>661145.88945898088</v>
      </c>
      <c r="V61" s="909">
        <v>633159.18726829987</v>
      </c>
      <c r="W61" s="909">
        <v>636947.78126271733</v>
      </c>
      <c r="X61" s="909">
        <v>655844.07052967488</v>
      </c>
      <c r="Y61" s="909">
        <v>662667.18795217026</v>
      </c>
      <c r="Z61" s="909">
        <v>664628.03592557285</v>
      </c>
      <c r="AA61" s="909">
        <v>695845.12316660327</v>
      </c>
      <c r="AB61" s="909">
        <v>714781.22866503743</v>
      </c>
      <c r="AC61" s="909">
        <v>729675.19286569417</v>
      </c>
      <c r="AD61" s="909">
        <v>737089.28856431844</v>
      </c>
      <c r="AE61" s="855">
        <v>740351.71166967158</v>
      </c>
      <c r="AF61" s="855">
        <v>780083.3295103102</v>
      </c>
      <c r="AG61" s="936">
        <v>758266.41427892959</v>
      </c>
      <c r="AH61" s="909">
        <v>788136.06321314129</v>
      </c>
      <c r="AI61" s="909">
        <v>784205.44569628616</v>
      </c>
      <c r="AJ61" s="909">
        <v>769965.96097749961</v>
      </c>
      <c r="AK61" s="909">
        <v>756096.52120624471</v>
      </c>
      <c r="AL61" s="909">
        <v>797078.898712961</v>
      </c>
      <c r="AM61" s="909">
        <v>810394.94968114293</v>
      </c>
      <c r="AN61" s="909">
        <v>828459.34888534085</v>
      </c>
      <c r="AO61" s="909">
        <v>819943.30276699422</v>
      </c>
      <c r="AP61" s="909">
        <v>803102.41851260676</v>
      </c>
      <c r="AQ61" s="909">
        <v>860616.11619385111</v>
      </c>
      <c r="AR61" s="909">
        <v>844613.98382920632</v>
      </c>
      <c r="AS61" s="909">
        <v>847548.11865086446</v>
      </c>
      <c r="AT61" s="909">
        <v>846906.62767194433</v>
      </c>
      <c r="AU61" s="909">
        <v>856623.22336508334</v>
      </c>
      <c r="AV61" s="909">
        <v>849664.16606785567</v>
      </c>
      <c r="AW61" s="909">
        <v>850875.33540781343</v>
      </c>
      <c r="AX61" s="909">
        <v>845763.63655023009</v>
      </c>
      <c r="AY61" s="909">
        <v>857777.29400556756</v>
      </c>
      <c r="AZ61" s="909">
        <v>873787.36227293161</v>
      </c>
      <c r="BA61" s="909">
        <v>878017.77051826671</v>
      </c>
      <c r="BB61" s="909">
        <v>860432.47357632231</v>
      </c>
      <c r="BC61" s="909">
        <v>860188.95408136863</v>
      </c>
      <c r="BD61" s="909">
        <v>848848.64170138247</v>
      </c>
      <c r="BE61" s="909">
        <v>894608.69760500453</v>
      </c>
      <c r="BF61" s="909">
        <v>915505.7386524789</v>
      </c>
      <c r="BG61" s="909">
        <v>937137.8134324369</v>
      </c>
      <c r="BH61" s="909">
        <v>958041.17727021279</v>
      </c>
      <c r="BI61" s="909">
        <v>958842.14554619312</v>
      </c>
      <c r="BJ61" s="909">
        <v>1070992.4571644114</v>
      </c>
      <c r="BK61" s="909">
        <v>1055271.1205802755</v>
      </c>
      <c r="BL61" s="909">
        <v>997219.36386759533</v>
      </c>
      <c r="BM61" s="909">
        <v>1035500.4015738897</v>
      </c>
      <c r="BN61" s="909">
        <v>1056066.0486184501</v>
      </c>
      <c r="BO61" s="909">
        <v>1077273.9333368349</v>
      </c>
      <c r="BP61" s="909">
        <v>1058366.3717395882</v>
      </c>
      <c r="BQ61" s="909">
        <v>1106725.2287103198</v>
      </c>
      <c r="BR61" s="909">
        <v>1122998.4580019945</v>
      </c>
      <c r="BS61" s="909">
        <v>1131601.8792578613</v>
      </c>
      <c r="BT61" s="909">
        <v>1099361.3938462641</v>
      </c>
      <c r="BU61" s="909">
        <v>1166032.9445716292</v>
      </c>
      <c r="BV61" s="909">
        <v>1094115.950659808</v>
      </c>
      <c r="BW61" s="909">
        <v>1160356.9789897006</v>
      </c>
      <c r="BX61" s="909">
        <v>1134584.9616875097</v>
      </c>
      <c r="BY61" s="909">
        <v>1112955.0925738942</v>
      </c>
      <c r="BZ61" s="909">
        <v>1198674.0723846038</v>
      </c>
      <c r="CA61" s="909">
        <v>1181223.9003155327</v>
      </c>
      <c r="CB61" s="909">
        <v>1211293.175415861</v>
      </c>
      <c r="CC61" s="909">
        <v>1221711.2032408915</v>
      </c>
      <c r="CD61" s="909">
        <v>1235903.3137058993</v>
      </c>
      <c r="CE61" s="909">
        <v>1274384.0037352208</v>
      </c>
      <c r="CF61" s="909">
        <v>1295912.2835075075</v>
      </c>
      <c r="CG61" s="909">
        <v>1274120.3794604437</v>
      </c>
      <c r="CH61" s="909">
        <v>1311993.3462399533</v>
      </c>
      <c r="CI61" s="909">
        <v>1302799.9339062085</v>
      </c>
      <c r="CJ61" s="909">
        <v>1336708.8400544485</v>
      </c>
      <c r="CK61" s="909">
        <v>1291958.9124593784</v>
      </c>
      <c r="CL61" s="909">
        <v>1315134.6475493363</v>
      </c>
      <c r="CM61" s="909">
        <v>1318305.6145090882</v>
      </c>
      <c r="CN61" s="909">
        <v>1292269.3594581685</v>
      </c>
      <c r="CO61" s="909">
        <v>1298120.7727984819</v>
      </c>
      <c r="CP61" s="909">
        <v>1328344.7383193797</v>
      </c>
      <c r="CQ61" s="909">
        <v>1295942.022379637</v>
      </c>
      <c r="CR61" s="909">
        <v>1339915.721147168</v>
      </c>
      <c r="CS61" s="909">
        <v>1328981.7561233544</v>
      </c>
      <c r="CT61" s="909">
        <v>1367299.7785182362</v>
      </c>
      <c r="CU61" s="909">
        <v>1346126.803456035</v>
      </c>
      <c r="CV61" s="909">
        <v>1401146.8867960759</v>
      </c>
      <c r="CW61" s="909">
        <v>1437709.1982464476</v>
      </c>
      <c r="CX61" s="909">
        <v>1425057.8552786382</v>
      </c>
      <c r="CY61" s="909">
        <v>1355225.293529425</v>
      </c>
      <c r="CZ61" s="909">
        <v>1347066.8456793358</v>
      </c>
      <c r="DA61" s="909">
        <v>1337575.1882112366</v>
      </c>
      <c r="DB61" s="910">
        <v>1290068.1048503355</v>
      </c>
      <c r="DC61" s="909">
        <v>1308970.5420305035</v>
      </c>
      <c r="DD61" s="855">
        <v>1312688.1238438613</v>
      </c>
      <c r="DE61" s="855">
        <v>1301376.0418920221</v>
      </c>
      <c r="DF61" s="855">
        <v>1281129.7530766272</v>
      </c>
      <c r="DG61" s="855">
        <v>1268393.3452357026</v>
      </c>
      <c r="DH61" s="855">
        <v>1249180.0291499454</v>
      </c>
      <c r="DI61" s="855">
        <v>1238084.4632683732</v>
      </c>
      <c r="DJ61" s="855">
        <v>1328751.9980633983</v>
      </c>
      <c r="DK61" s="855">
        <v>1361867.4050797466</v>
      </c>
      <c r="DL61" s="855">
        <v>1337655.281175521</v>
      </c>
      <c r="DM61" s="855">
        <v>1362220.911190582</v>
      </c>
      <c r="DN61" s="855">
        <v>1382301.4725304293</v>
      </c>
      <c r="DO61" s="855">
        <v>1385494.9291401999</v>
      </c>
      <c r="DP61" s="855">
        <v>1504433.5622270345</v>
      </c>
      <c r="DQ61" s="855">
        <v>1495169.4640272954</v>
      </c>
      <c r="DR61" s="855">
        <v>1433350.3345059589</v>
      </c>
      <c r="DS61" s="855">
        <v>1392360.906686374</v>
      </c>
    </row>
    <row r="62" spans="1:123" ht="17.25" customHeight="1" thickBot="1">
      <c r="A62" s="968"/>
      <c r="B62" s="882"/>
      <c r="C62" s="885"/>
      <c r="D62" s="885"/>
      <c r="E62" s="885"/>
      <c r="F62" s="942"/>
      <c r="G62" s="885"/>
      <c r="H62" s="943"/>
      <c r="I62" s="885"/>
      <c r="J62" s="885"/>
      <c r="K62" s="885"/>
      <c r="L62" s="885"/>
      <c r="M62" s="942"/>
      <c r="N62" s="885"/>
      <c r="O62" s="885"/>
      <c r="P62" s="885"/>
      <c r="Q62" s="885"/>
      <c r="R62" s="885"/>
      <c r="S62" s="885"/>
      <c r="T62" s="885"/>
      <c r="U62" s="885"/>
      <c r="V62" s="885"/>
      <c r="W62" s="885"/>
      <c r="X62" s="885"/>
      <c r="Y62" s="885"/>
      <c r="Z62" s="885"/>
      <c r="AA62" s="885"/>
      <c r="AB62" s="885"/>
      <c r="AC62" s="885"/>
      <c r="AD62" s="885"/>
      <c r="AE62" s="883"/>
      <c r="AF62" s="883"/>
      <c r="AG62" s="884"/>
      <c r="AH62" s="885"/>
      <c r="AI62" s="885"/>
      <c r="AJ62" s="885"/>
      <c r="AK62" s="885"/>
      <c r="AL62" s="885"/>
      <c r="AM62" s="885"/>
      <c r="AN62" s="885"/>
      <c r="AO62" s="885"/>
      <c r="AP62" s="885"/>
      <c r="AQ62" s="885"/>
      <c r="AR62" s="885"/>
      <c r="AS62" s="885"/>
      <c r="AT62" s="885"/>
      <c r="AU62" s="885"/>
      <c r="AV62" s="885"/>
      <c r="AW62" s="885"/>
      <c r="AX62" s="885"/>
      <c r="AY62" s="885"/>
      <c r="AZ62" s="885"/>
      <c r="BA62" s="885"/>
      <c r="BB62" s="885"/>
      <c r="BC62" s="885"/>
      <c r="BD62" s="885"/>
      <c r="BE62" s="885"/>
      <c r="BF62" s="885"/>
      <c r="BG62" s="885"/>
      <c r="BH62" s="885"/>
      <c r="BI62" s="885"/>
      <c r="BJ62" s="885"/>
      <c r="BK62" s="885"/>
      <c r="BL62" s="885"/>
      <c r="BM62" s="885"/>
      <c r="BN62" s="885"/>
      <c r="BO62" s="885"/>
      <c r="BP62" s="885"/>
      <c r="BQ62" s="885"/>
      <c r="BR62" s="885"/>
      <c r="BS62" s="885"/>
      <c r="BT62" s="885"/>
      <c r="BU62" s="885"/>
      <c r="BV62" s="885"/>
      <c r="BW62" s="885"/>
      <c r="BX62" s="885"/>
      <c r="BY62" s="885"/>
      <c r="BZ62" s="885"/>
      <c r="CA62" s="885"/>
      <c r="CB62" s="885"/>
      <c r="CC62" s="885"/>
      <c r="CD62" s="885"/>
      <c r="CE62" s="885"/>
      <c r="CF62" s="885"/>
      <c r="CG62" s="885"/>
      <c r="CH62" s="885"/>
      <c r="CI62" s="885"/>
      <c r="CJ62" s="885"/>
      <c r="CK62" s="885"/>
      <c r="CL62" s="885"/>
      <c r="CM62" s="885"/>
      <c r="CN62" s="885"/>
      <c r="CO62" s="885"/>
      <c r="CP62" s="885"/>
      <c r="CQ62" s="885"/>
      <c r="CR62" s="885"/>
      <c r="CS62" s="885"/>
      <c r="CT62" s="885"/>
      <c r="CU62" s="885"/>
      <c r="CV62" s="885"/>
      <c r="CW62" s="885"/>
      <c r="CX62" s="885"/>
      <c r="CY62" s="885"/>
      <c r="CZ62" s="885"/>
      <c r="DA62" s="885"/>
      <c r="DB62" s="942"/>
      <c r="DC62" s="885"/>
      <c r="DD62" s="883"/>
      <c r="DE62" s="883"/>
      <c r="DF62" s="883"/>
      <c r="DG62" s="883"/>
      <c r="DH62" s="883"/>
      <c r="DI62" s="883"/>
      <c r="DJ62" s="883"/>
      <c r="DK62" s="883"/>
      <c r="DL62" s="883"/>
      <c r="DM62" s="883"/>
      <c r="DN62" s="883"/>
      <c r="DO62" s="883"/>
      <c r="DP62" s="883"/>
      <c r="DQ62" s="883"/>
      <c r="DR62" s="883"/>
      <c r="DS62" s="883"/>
    </row>
    <row r="63" spans="1:123" ht="15.75" thickTop="1">
      <c r="A63" s="628" t="s">
        <v>2346</v>
      </c>
      <c r="B63" s="807"/>
      <c r="C63" s="807"/>
      <c r="D63" s="807"/>
      <c r="E63" s="807"/>
      <c r="F63" s="807"/>
      <c r="G63" s="807"/>
      <c r="H63" s="807"/>
      <c r="I63" s="807"/>
      <c r="J63" s="541"/>
      <c r="K63" s="541"/>
      <c r="L63" s="541"/>
      <c r="M63" s="541"/>
      <c r="N63" s="541"/>
      <c r="O63" s="541"/>
      <c r="P63" s="541"/>
      <c r="Q63" s="541"/>
      <c r="R63" s="541"/>
      <c r="S63" s="541"/>
      <c r="T63" s="541"/>
      <c r="U63" s="541"/>
      <c r="V63" s="541"/>
      <c r="W63" s="541"/>
      <c r="X63" s="541"/>
      <c r="Y63" s="541"/>
      <c r="Z63" s="541"/>
      <c r="AA63" s="541"/>
      <c r="AB63" s="541"/>
      <c r="AC63" s="541"/>
      <c r="AD63" s="541"/>
      <c r="AE63" s="541"/>
      <c r="AF63" s="541"/>
      <c r="AG63" s="541"/>
      <c r="AH63" s="541"/>
      <c r="AI63" s="541"/>
      <c r="AJ63" s="541"/>
      <c r="AK63" s="541"/>
      <c r="AL63" s="541"/>
    </row>
    <row r="64" spans="1:123" ht="18" hidden="1">
      <c r="A64" s="969" t="s">
        <v>2561</v>
      </c>
      <c r="B64" s="959"/>
      <c r="C64" s="959"/>
      <c r="D64" s="959"/>
      <c r="E64" s="959"/>
      <c r="F64" s="959"/>
      <c r="G64" s="959"/>
      <c r="H64" s="959"/>
      <c r="I64" s="959"/>
    </row>
    <row r="65" spans="1:106" s="541" customFormat="1" ht="18">
      <c r="A65" s="624" t="s">
        <v>2562</v>
      </c>
      <c r="B65" s="807"/>
      <c r="C65" s="807"/>
      <c r="D65" s="807"/>
      <c r="E65" s="807"/>
      <c r="F65" s="807"/>
      <c r="G65" s="807"/>
      <c r="H65" s="807"/>
      <c r="I65" s="807"/>
    </row>
    <row r="66" spans="1:106">
      <c r="A66" s="628" t="s">
        <v>2053</v>
      </c>
      <c r="B66" s="807"/>
      <c r="C66" s="807"/>
      <c r="D66" s="807"/>
      <c r="E66" s="807"/>
      <c r="F66" s="807"/>
      <c r="G66" s="807"/>
      <c r="H66" s="807"/>
      <c r="I66" s="807"/>
      <c r="J66" s="541"/>
      <c r="K66" s="541"/>
      <c r="L66" s="541"/>
      <c r="M66" s="541"/>
      <c r="N66" s="541"/>
      <c r="O66" s="541"/>
      <c r="P66" s="541"/>
      <c r="Q66" s="541"/>
      <c r="R66" s="541"/>
      <c r="S66" s="541"/>
      <c r="T66" s="541"/>
      <c r="U66" s="541"/>
      <c r="V66" s="541"/>
      <c r="W66" s="541"/>
      <c r="X66" s="541"/>
      <c r="Y66" s="541"/>
      <c r="Z66" s="541"/>
      <c r="AA66" s="541"/>
      <c r="AB66" s="541"/>
      <c r="AC66" s="541"/>
      <c r="AD66" s="541"/>
      <c r="AE66" s="541"/>
      <c r="AF66" s="541"/>
      <c r="AG66" s="541"/>
      <c r="AH66" s="541"/>
      <c r="AI66" s="541"/>
      <c r="AJ66" s="541"/>
      <c r="AK66" s="541"/>
      <c r="AL66" s="541"/>
    </row>
    <row r="67" spans="1:106" hidden="1">
      <c r="C67" s="944">
        <f>[41]Sheet1!$C$463/1000000</f>
        <v>471311.5679274908</v>
      </c>
      <c r="D67" s="944">
        <f>[42]Sheet1!$C$434/1000000</f>
        <v>458405.79968156898</v>
      </c>
      <c r="E67" s="944">
        <f>[43]Sheet1!$C$434/1000000</f>
        <v>471368.36615860107</v>
      </c>
      <c r="F67" s="944">
        <f>[44]Sheet1!$C$434/1000000</f>
        <v>487597.2123353596</v>
      </c>
      <c r="G67" s="944">
        <f>[45]Sheet1!$C$434/1000000</f>
        <v>490699.53379873774</v>
      </c>
      <c r="H67" s="944">
        <f>[46]Sheet1!$C$434/1000000</f>
        <v>509422.04600647342</v>
      </c>
      <c r="I67" s="944">
        <f>[47]Sheet1!$C$434/1000000</f>
        <v>496790.44643390825</v>
      </c>
      <c r="J67" s="944">
        <f>[48]Sheet1!$C$434/1000000</f>
        <v>506831.09065121826</v>
      </c>
      <c r="K67" s="944">
        <f>[49]Sheet1!$C$434/1000000</f>
        <v>536189.32489552046</v>
      </c>
      <c r="L67" s="944">
        <f>[50]Sheet1!$C$434/1000000</f>
        <v>539946.71596831852</v>
      </c>
      <c r="M67" s="944">
        <f>[51]Sheet1!$C$434/1000000</f>
        <v>536591.3487168093</v>
      </c>
      <c r="N67" s="944">
        <f>[52]Sheet1!$C$434/1000000</f>
        <v>565086.18997894798</v>
      </c>
      <c r="O67" s="944">
        <f>[53]Sheet1!$C$434/1000000</f>
        <v>553754.69138210919</v>
      </c>
      <c r="P67" s="944">
        <f>[54]Sheet1!$C$434/1000000</f>
        <v>563618.70850807615</v>
      </c>
      <c r="Q67" s="944">
        <f>[55]Sheet1!$C$434/1000000</f>
        <v>575394.00688601425</v>
      </c>
      <c r="R67" s="944">
        <f>[56]Sheet1!$C$434/1000000</f>
        <v>605259.06121091812</v>
      </c>
      <c r="S67" s="944">
        <f>[57]Sheet1!$C$434/1000000</f>
        <v>608440.06009224232</v>
      </c>
      <c r="T67" s="944">
        <f>[58]Sheet1!$C$434/1000000</f>
        <v>637096.64951658109</v>
      </c>
      <c r="U67" s="944">
        <f>[59]Sheet1!$C$434/1000000</f>
        <v>661145.88945898088</v>
      </c>
      <c r="V67" s="944">
        <f>[60]Sheet1!$C$434/1000000</f>
        <v>633159.18726829975</v>
      </c>
      <c r="W67" s="944">
        <f>[61]Sheet1!$C$434/1000000</f>
        <v>636947.78126271733</v>
      </c>
      <c r="X67" s="944">
        <f>[62]Sheet1!$C$434/1000000</f>
        <v>655844.07052967488</v>
      </c>
      <c r="Y67" s="944">
        <f>[63]Sheet1!$C$434/1000000</f>
        <v>662667.18795217038</v>
      </c>
      <c r="Z67" s="944">
        <f>[64]Sheet1!$C$434/1000000</f>
        <v>664628.03592557285</v>
      </c>
      <c r="AA67" s="944">
        <f>[65]Sheet1!$C$434/1000000</f>
        <v>695845.12316660339</v>
      </c>
      <c r="AB67" s="944">
        <f>[66]Sheet1!$C$434/1000000</f>
        <v>714781.22866503731</v>
      </c>
      <c r="AC67" s="944">
        <f>[67]Sheet1!$C$434/1000000</f>
        <v>729675.19286569406</v>
      </c>
      <c r="AD67" s="944">
        <f>[68]Sheet1!$C$434/1000000</f>
        <v>737089.28856431856</v>
      </c>
      <c r="AE67" s="944">
        <f>[69]Sheet1!$C$434/1000000</f>
        <v>740351.71166967147</v>
      </c>
      <c r="AF67" s="944">
        <f>[70]Sheet1!$C$434/1000000</f>
        <v>780083.3295103102</v>
      </c>
      <c r="AG67" s="944">
        <f>[71]Sheet1!$C$434/1000000</f>
        <v>758266.41427892959</v>
      </c>
      <c r="AH67" s="944">
        <f>[72]Sheet1!$C$434/1000000</f>
        <v>788136.06321314152</v>
      </c>
      <c r="AI67" s="944">
        <f>[73]Sheet1!$C$434/1000000</f>
        <v>784205.44569628581</v>
      </c>
    </row>
    <row r="68" spans="1:106" hidden="1">
      <c r="C68" s="944">
        <f t="shared" ref="C68:BN68" si="2">C61-C28</f>
        <v>3.2648677006363869E-7</v>
      </c>
      <c r="D68" s="944">
        <f t="shared" si="2"/>
        <v>7.0374691858887672E-5</v>
      </c>
      <c r="E68" s="944">
        <f t="shared" si="2"/>
        <v>-1.6628880985081196E-5</v>
      </c>
      <c r="F68" s="944">
        <f t="shared" si="2"/>
        <v>6.1962055042386055E-7</v>
      </c>
      <c r="G68" s="944">
        <f t="shared" si="2"/>
        <v>4.8674759455025196E-5</v>
      </c>
      <c r="H68" s="944">
        <f t="shared" si="2"/>
        <v>9.643088560551405E-6</v>
      </c>
      <c r="I68" s="944">
        <f t="shared" si="2"/>
        <v>-1.0558869689702988E-7</v>
      </c>
      <c r="J68" s="944">
        <f t="shared" si="2"/>
        <v>-2.2968742996454239E-7</v>
      </c>
      <c r="K68" s="944">
        <f t="shared" si="2"/>
        <v>7.6717697083950043E-7</v>
      </c>
      <c r="L68" s="944">
        <f t="shared" si="2"/>
        <v>-5.1886308938264847E-7</v>
      </c>
      <c r="M68" s="944">
        <f t="shared" si="2"/>
        <v>-2.3026135750114918E-5</v>
      </c>
      <c r="N68" s="944">
        <f t="shared" si="2"/>
        <v>-3.5408383700996637E-4</v>
      </c>
      <c r="O68" s="944">
        <f t="shared" si="2"/>
        <v>-5.1169190555810928E-6</v>
      </c>
      <c r="P68" s="944">
        <f t="shared" si="2"/>
        <v>-6.2307692132890224E-5</v>
      </c>
      <c r="Q68" s="944">
        <f t="shared" si="2"/>
        <v>-1.3825111091136932E-4</v>
      </c>
      <c r="R68" s="944">
        <f t="shared" si="2"/>
        <v>-2.8288224712014198E-5</v>
      </c>
      <c r="S68" s="944">
        <f t="shared" si="2"/>
        <v>-5.0530652515590191E-5</v>
      </c>
      <c r="T68" s="944">
        <f t="shared" si="2"/>
        <v>4.1076913475990295E-5</v>
      </c>
      <c r="U68" s="944">
        <f t="shared" si="2"/>
        <v>-1.3550627045333385E-5</v>
      </c>
      <c r="V68" s="944">
        <f t="shared" si="2"/>
        <v>-7.4590672738850117E-5</v>
      </c>
      <c r="W68" s="944">
        <f t="shared" si="2"/>
        <v>-6.788596510887146E-5</v>
      </c>
      <c r="X68" s="944">
        <f t="shared" si="2"/>
        <v>-6.5941829234361649E-5</v>
      </c>
      <c r="Y68" s="944">
        <f t="shared" si="2"/>
        <v>-6.6578853875398636E-5</v>
      </c>
      <c r="Z68" s="944">
        <f t="shared" si="2"/>
        <v>-3.3760443329811096E-8</v>
      </c>
      <c r="AA68" s="944">
        <f t="shared" si="2"/>
        <v>6.206100806593895E-7</v>
      </c>
      <c r="AB68" s="944">
        <f t="shared" si="2"/>
        <v>-5.2418326959013939E-6</v>
      </c>
      <c r="AC68" s="944">
        <f t="shared" si="2"/>
        <v>-1.1103693395853043E-6</v>
      </c>
      <c r="AD68" s="944">
        <f t="shared" si="2"/>
        <v>-6.0594175010919571E-7</v>
      </c>
      <c r="AE68" s="944">
        <f t="shared" si="2"/>
        <v>-5.2724499255418777E-7</v>
      </c>
      <c r="AF68" s="944">
        <f t="shared" si="2"/>
        <v>-1.4184042811393738E-6</v>
      </c>
      <c r="AG68" s="944">
        <f t="shared" si="2"/>
        <v>-7.5576826930046082E-7</v>
      </c>
      <c r="AH68" s="944">
        <f t="shared" si="2"/>
        <v>-2.2533349692821503E-6</v>
      </c>
      <c r="AI68" s="944">
        <f t="shared" si="2"/>
        <v>-1.841341145336628E-6</v>
      </c>
      <c r="AJ68" s="944">
        <f t="shared" si="2"/>
        <v>-1.0981457307934761E-6</v>
      </c>
      <c r="AK68" s="944">
        <f t="shared" si="2"/>
        <v>-1.6111880540847778E-6</v>
      </c>
      <c r="AL68" s="944">
        <f t="shared" si="2"/>
        <v>-2.8299400582909584E-6</v>
      </c>
      <c r="AM68" s="944">
        <f t="shared" si="2"/>
        <v>-8.3458144217729568E-7</v>
      </c>
      <c r="AN68" s="944">
        <f t="shared" si="2"/>
        <v>-2.5278422981500626E-6</v>
      </c>
      <c r="AO68" s="944">
        <f t="shared" si="2"/>
        <v>-1.271604560315609E-6</v>
      </c>
      <c r="AP68" s="944">
        <f t="shared" si="2"/>
        <v>-4.2984029278159142E-6</v>
      </c>
      <c r="AQ68" s="944">
        <f t="shared" si="2"/>
        <v>-2.8738286346197128E-6</v>
      </c>
      <c r="AR68" s="944">
        <f t="shared" si="2"/>
        <v>-1.884065568447113E-6</v>
      </c>
      <c r="AS68" s="944">
        <f t="shared" si="2"/>
        <v>-5.4610427469015121E-7</v>
      </c>
      <c r="AT68" s="944">
        <f t="shared" si="2"/>
        <v>-6.3015613704919815E-7</v>
      </c>
      <c r="AU68" s="944">
        <f t="shared" si="2"/>
        <v>4.1036400943994522E-7</v>
      </c>
      <c r="AV68" s="944">
        <f t="shared" si="2"/>
        <v>-3.4307246096432209E-5</v>
      </c>
      <c r="AW68" s="944">
        <f t="shared" si="2"/>
        <v>-1.3932585716247559E-6</v>
      </c>
      <c r="AX68" s="944">
        <f t="shared" si="2"/>
        <v>1.2400560081005096E-6</v>
      </c>
      <c r="AY68" s="944">
        <f t="shared" si="2"/>
        <v>-2.3397151380777359E-6</v>
      </c>
      <c r="AZ68" s="944">
        <f t="shared" si="2"/>
        <v>-8.7625812739133835E-7</v>
      </c>
      <c r="BA68" s="944">
        <f t="shared" si="2"/>
        <v>-9.64384526014328E-7</v>
      </c>
      <c r="BB68" s="944">
        <f t="shared" si="2"/>
        <v>7.9267192631959915E-7</v>
      </c>
      <c r="BC68" s="944">
        <f t="shared" si="2"/>
        <v>-2.059456892311573E-5</v>
      </c>
      <c r="BD68" s="944">
        <f t="shared" si="2"/>
        <v>-1.5756813809275627E-6</v>
      </c>
      <c r="BE68" s="944">
        <f t="shared" si="2"/>
        <v>-7.4889976531267166E-7</v>
      </c>
      <c r="BF68" s="944">
        <f t="shared" si="2"/>
        <v>-6.4400956034660339E-7</v>
      </c>
      <c r="BG68" s="944">
        <f t="shared" si="2"/>
        <v>-5.4878182709217072E-7</v>
      </c>
      <c r="BH68" s="944">
        <f t="shared" si="2"/>
        <v>1.4562392607331276E-6</v>
      </c>
      <c r="BI68" s="944">
        <f t="shared" si="2"/>
        <v>-1.3735843822360039E-6</v>
      </c>
      <c r="BJ68" s="944">
        <f t="shared" si="2"/>
        <v>6.4726918935775757E-8</v>
      </c>
      <c r="BK68" s="944">
        <f t="shared" si="2"/>
        <v>-2.0030653104186058E-5</v>
      </c>
      <c r="BL68" s="944">
        <f t="shared" si="2"/>
        <v>-2.1148822270333767E-5</v>
      </c>
      <c r="BM68" s="944">
        <f t="shared" si="2"/>
        <v>-2.0408886484801769E-5</v>
      </c>
      <c r="BN68" s="944">
        <f t="shared" si="2"/>
        <v>-1.9902829080820084E-5</v>
      </c>
      <c r="BO68" s="944">
        <f t="shared" ref="BO68:CX68" si="3">BO61-BO28</f>
        <v>-2.06709373742342E-5</v>
      </c>
      <c r="BP68" s="944">
        <f t="shared" si="3"/>
        <v>-2.3350352421402931E-5</v>
      </c>
      <c r="BQ68" s="944">
        <f t="shared" si="3"/>
        <v>-2.1002953872084618E-5</v>
      </c>
      <c r="BR68" s="944">
        <f t="shared" si="3"/>
        <v>-2.1791085600852966E-5</v>
      </c>
      <c r="BS68" s="944">
        <f t="shared" si="3"/>
        <v>-2.2942200303077698E-5</v>
      </c>
      <c r="BT68" s="944">
        <f t="shared" si="3"/>
        <v>-2.0303530618548393E-5</v>
      </c>
      <c r="BU68" s="944">
        <f t="shared" si="3"/>
        <v>-2.3498665541410446E-5</v>
      </c>
      <c r="BV68" s="944">
        <f t="shared" si="3"/>
        <v>-1.9518425688147545E-5</v>
      </c>
      <c r="BW68" s="944">
        <f t="shared" si="3"/>
        <v>-5.4663047194480896E-5</v>
      </c>
      <c r="BX68" s="944">
        <f t="shared" si="3"/>
        <v>-2.3049302399158478E-5</v>
      </c>
      <c r="BY68" s="944">
        <f t="shared" si="3"/>
        <v>-2.0994571968913078E-5</v>
      </c>
      <c r="BZ68" s="944">
        <f t="shared" si="3"/>
        <v>-2.1663960069417953E-5</v>
      </c>
      <c r="CA68" s="944">
        <f t="shared" si="3"/>
        <v>-2.3233471438288689E-5</v>
      </c>
      <c r="CB68" s="944">
        <f t="shared" si="3"/>
        <v>-2.2876542061567307E-5</v>
      </c>
      <c r="CC68" s="944">
        <f t="shared" si="3"/>
        <v>-2.1460233256220818E-5</v>
      </c>
      <c r="CD68" s="944">
        <f t="shared" si="3"/>
        <v>-2.0967796444892883E-5</v>
      </c>
      <c r="CE68" s="944">
        <f t="shared" si="3"/>
        <v>-2.0710751414299011E-5</v>
      </c>
      <c r="CF68" s="944">
        <f t="shared" si="3"/>
        <v>-2.2827647626399994E-5</v>
      </c>
      <c r="CG68" s="944">
        <f t="shared" si="3"/>
        <v>-2.1233456209301949E-5</v>
      </c>
      <c r="CH68" s="944">
        <f t="shared" si="3"/>
        <v>-2.2481661289930344E-5</v>
      </c>
      <c r="CI68" s="944">
        <f t="shared" si="3"/>
        <v>3.2549723982810974E-7</v>
      </c>
      <c r="CJ68" s="944">
        <f t="shared" si="3"/>
        <v>-3.3751130104064941E-6</v>
      </c>
      <c r="CK68" s="944">
        <f t="shared" si="3"/>
        <v>-1.3874378055334091E-6</v>
      </c>
      <c r="CL68" s="944">
        <f t="shared" si="3"/>
        <v>-1.7383135855197906E-6</v>
      </c>
      <c r="CM68" s="944">
        <f t="shared" si="3"/>
        <v>-2.7026981115341187E-6</v>
      </c>
      <c r="CN68" s="944">
        <f t="shared" si="3"/>
        <v>-1.7329584807157516E-6</v>
      </c>
      <c r="CO68" s="944">
        <f t="shared" si="3"/>
        <v>-1.2656673789024353E-6</v>
      </c>
      <c r="CP68" s="944">
        <f t="shared" si="3"/>
        <v>4.0745362639427185E-8</v>
      </c>
      <c r="CQ68" s="944">
        <f t="shared" si="3"/>
        <v>1.51083804666996E-6</v>
      </c>
      <c r="CR68" s="944">
        <f t="shared" si="3"/>
        <v>1.5250407159328461E-7</v>
      </c>
      <c r="CS68" s="944">
        <f t="shared" si="3"/>
        <v>-2.0796433091163635E-6</v>
      </c>
      <c r="CT68" s="944">
        <f t="shared" si="3"/>
        <v>-1.8812716007232666E-6</v>
      </c>
      <c r="CU68" s="944">
        <f t="shared" si="3"/>
        <v>-1.0416842997074127E-6</v>
      </c>
      <c r="CV68" s="944">
        <f t="shared" si="3"/>
        <v>-7.8650191426277161E-7</v>
      </c>
      <c r="CW68" s="944">
        <f t="shared" si="3"/>
        <v>-7.6438300311565399E-7</v>
      </c>
      <c r="CX68" s="944">
        <f t="shared" si="3"/>
        <v>-1.3222452253103256E-6</v>
      </c>
      <c r="CY68" s="944"/>
      <c r="CZ68" s="944"/>
      <c r="DA68" s="944"/>
      <c r="DB68" s="944"/>
    </row>
    <row r="70" spans="1:106">
      <c r="C70" s="970"/>
      <c r="D70" s="970"/>
      <c r="E70" s="970"/>
      <c r="F70" s="970"/>
      <c r="G70" s="970"/>
      <c r="H70" s="970"/>
      <c r="I70" s="970"/>
      <c r="J70" s="970"/>
      <c r="K70" s="970"/>
      <c r="L70" s="970"/>
      <c r="M70" s="970"/>
      <c r="N70" s="970"/>
      <c r="O70" s="970"/>
      <c r="P70" s="970"/>
      <c r="Q70" s="970"/>
      <c r="R70" s="970"/>
      <c r="S70" s="970"/>
      <c r="T70" s="970"/>
      <c r="U70" s="970"/>
      <c r="V70" s="970"/>
    </row>
    <row r="71" spans="1:106">
      <c r="C71" s="970"/>
      <c r="D71" s="970"/>
      <c r="E71" s="970"/>
      <c r="F71" s="970"/>
      <c r="G71" s="970"/>
      <c r="H71" s="970"/>
      <c r="I71" s="970"/>
      <c r="J71" s="970"/>
      <c r="K71" s="970"/>
      <c r="L71" s="970"/>
      <c r="M71" s="970"/>
      <c r="N71" s="970"/>
      <c r="O71" s="970"/>
      <c r="P71" s="970"/>
      <c r="Q71" s="970"/>
      <c r="R71" s="970"/>
      <c r="S71" s="970"/>
      <c r="T71" s="970"/>
      <c r="U71" s="970"/>
      <c r="V71" s="970"/>
    </row>
    <row r="72" spans="1:106">
      <c r="C72" s="970"/>
      <c r="D72" s="970"/>
      <c r="E72" s="970"/>
      <c r="F72" s="970"/>
      <c r="G72" s="970"/>
      <c r="H72" s="970"/>
      <c r="I72" s="970"/>
      <c r="J72" s="970"/>
      <c r="K72" s="970"/>
      <c r="L72" s="970"/>
      <c r="M72" s="970"/>
      <c r="N72" s="970"/>
      <c r="O72" s="970"/>
      <c r="P72" s="970"/>
      <c r="Q72" s="970"/>
      <c r="R72" s="970"/>
      <c r="S72" s="970"/>
      <c r="T72" s="970"/>
      <c r="U72" s="970"/>
      <c r="V72" s="970"/>
    </row>
    <row r="73" spans="1:106">
      <c r="C73" s="970"/>
      <c r="D73" s="970"/>
      <c r="E73" s="970"/>
      <c r="F73" s="970"/>
      <c r="G73" s="970"/>
      <c r="H73" s="970"/>
      <c r="I73" s="970"/>
      <c r="J73" s="970"/>
      <c r="K73" s="970"/>
      <c r="L73" s="970"/>
      <c r="M73" s="970"/>
      <c r="N73" s="970"/>
      <c r="O73" s="970"/>
      <c r="P73" s="970"/>
      <c r="Q73" s="970"/>
      <c r="R73" s="970"/>
      <c r="S73" s="970"/>
      <c r="T73" s="970"/>
      <c r="U73" s="970"/>
      <c r="V73" s="970"/>
    </row>
    <row r="74" spans="1:106">
      <c r="C74" s="970"/>
      <c r="D74" s="970"/>
      <c r="E74" s="970"/>
      <c r="F74" s="970"/>
      <c r="G74" s="970"/>
      <c r="H74" s="970"/>
      <c r="I74" s="970"/>
      <c r="J74" s="970"/>
      <c r="K74" s="970"/>
      <c r="L74" s="970"/>
      <c r="M74" s="970"/>
      <c r="N74" s="970"/>
      <c r="O74" s="970"/>
      <c r="P74" s="970"/>
      <c r="Q74" s="970"/>
      <c r="R74" s="970"/>
      <c r="S74" s="970"/>
      <c r="T74" s="970"/>
      <c r="U74" s="970"/>
      <c r="V74" s="970"/>
    </row>
    <row r="75" spans="1:106">
      <c r="C75" s="970"/>
      <c r="D75" s="970"/>
      <c r="E75" s="970"/>
      <c r="F75" s="970"/>
      <c r="G75" s="970"/>
      <c r="H75" s="970"/>
      <c r="I75" s="970"/>
      <c r="J75" s="970"/>
      <c r="K75" s="970"/>
      <c r="L75" s="970"/>
      <c r="M75" s="970"/>
      <c r="N75" s="970"/>
      <c r="O75" s="970"/>
      <c r="P75" s="970"/>
      <c r="Q75" s="970"/>
      <c r="R75" s="970"/>
      <c r="S75" s="970"/>
      <c r="T75" s="970"/>
      <c r="U75" s="970"/>
      <c r="V75" s="970"/>
    </row>
    <row r="76" spans="1:106">
      <c r="C76" s="970"/>
      <c r="D76" s="970"/>
      <c r="E76" s="970"/>
      <c r="F76" s="970"/>
      <c r="G76" s="970"/>
      <c r="H76" s="970"/>
      <c r="I76" s="970"/>
      <c r="J76" s="970"/>
      <c r="K76" s="970"/>
      <c r="L76" s="970"/>
      <c r="M76" s="970"/>
      <c r="N76" s="970"/>
      <c r="O76" s="970"/>
      <c r="P76" s="970"/>
      <c r="Q76" s="970"/>
      <c r="R76" s="970"/>
      <c r="S76" s="970"/>
      <c r="T76" s="970"/>
      <c r="U76" s="970"/>
      <c r="V76" s="970"/>
    </row>
    <row r="77" spans="1:106">
      <c r="C77" s="970"/>
      <c r="D77" s="970"/>
      <c r="E77" s="970"/>
      <c r="F77" s="970"/>
      <c r="G77" s="970"/>
      <c r="H77" s="970"/>
      <c r="I77" s="970"/>
      <c r="J77" s="970"/>
      <c r="K77" s="970"/>
      <c r="L77" s="970"/>
      <c r="M77" s="970"/>
      <c r="N77" s="970"/>
      <c r="O77" s="970"/>
      <c r="P77" s="970"/>
      <c r="Q77" s="970"/>
      <c r="R77" s="970"/>
      <c r="S77" s="970"/>
      <c r="T77" s="970"/>
      <c r="U77" s="970"/>
      <c r="V77" s="970"/>
    </row>
    <row r="78" spans="1:106">
      <c r="C78" s="970"/>
      <c r="D78" s="970"/>
      <c r="E78" s="970"/>
      <c r="F78" s="970"/>
      <c r="G78" s="970"/>
      <c r="H78" s="970"/>
      <c r="I78" s="970"/>
      <c r="J78" s="970"/>
      <c r="K78" s="970"/>
      <c r="L78" s="970"/>
      <c r="M78" s="970"/>
      <c r="N78" s="970"/>
      <c r="O78" s="970"/>
      <c r="P78" s="970"/>
      <c r="Q78" s="970"/>
      <c r="R78" s="970"/>
      <c r="S78" s="970"/>
      <c r="T78" s="970"/>
      <c r="U78" s="970"/>
      <c r="V78" s="970"/>
    </row>
    <row r="79" spans="1:106">
      <c r="C79" s="970"/>
      <c r="D79" s="970"/>
      <c r="E79" s="970"/>
      <c r="F79" s="970"/>
      <c r="G79" s="970"/>
      <c r="H79" s="970"/>
      <c r="I79" s="970"/>
      <c r="J79" s="970"/>
      <c r="K79" s="970"/>
      <c r="L79" s="970"/>
      <c r="M79" s="970"/>
      <c r="N79" s="970"/>
      <c r="O79" s="970"/>
      <c r="P79" s="970"/>
      <c r="Q79" s="970"/>
      <c r="R79" s="970"/>
      <c r="S79" s="970"/>
      <c r="T79" s="970"/>
      <c r="U79" s="970"/>
      <c r="V79" s="970"/>
    </row>
    <row r="80" spans="1:106">
      <c r="C80" s="970"/>
      <c r="D80" s="970"/>
      <c r="E80" s="970"/>
      <c r="F80" s="970"/>
      <c r="G80" s="970"/>
      <c r="H80" s="970"/>
      <c r="I80" s="970"/>
      <c r="J80" s="970"/>
      <c r="K80" s="970"/>
      <c r="L80" s="970"/>
      <c r="M80" s="970"/>
      <c r="N80" s="970"/>
      <c r="O80" s="970"/>
      <c r="P80" s="970"/>
      <c r="Q80" s="970"/>
      <c r="R80" s="970"/>
      <c r="S80" s="970"/>
      <c r="T80" s="970"/>
      <c r="U80" s="970"/>
      <c r="V80" s="970"/>
    </row>
    <row r="81" spans="3:22">
      <c r="C81" s="970"/>
      <c r="D81" s="970"/>
      <c r="E81" s="970"/>
      <c r="F81" s="970"/>
      <c r="G81" s="970"/>
      <c r="H81" s="970"/>
      <c r="I81" s="970"/>
      <c r="J81" s="970"/>
      <c r="K81" s="970"/>
      <c r="L81" s="970"/>
      <c r="M81" s="970"/>
      <c r="N81" s="970"/>
      <c r="O81" s="970"/>
      <c r="P81" s="970"/>
      <c r="Q81" s="970"/>
      <c r="R81" s="970"/>
      <c r="S81" s="970"/>
      <c r="T81" s="970"/>
      <c r="U81" s="970"/>
      <c r="V81" s="970"/>
    </row>
    <row r="82" spans="3:22">
      <c r="C82" s="970"/>
      <c r="D82" s="970"/>
      <c r="E82" s="970"/>
      <c r="F82" s="970"/>
      <c r="G82" s="970"/>
      <c r="H82" s="970"/>
      <c r="I82" s="970"/>
      <c r="J82" s="970"/>
      <c r="K82" s="970"/>
      <c r="L82" s="970"/>
      <c r="M82" s="970"/>
      <c r="N82" s="970"/>
      <c r="O82" s="970"/>
      <c r="P82" s="970"/>
      <c r="Q82" s="970"/>
      <c r="R82" s="970"/>
      <c r="S82" s="970"/>
      <c r="T82" s="970"/>
      <c r="U82" s="970"/>
      <c r="V82" s="970"/>
    </row>
    <row r="83" spans="3:22">
      <c r="C83" s="970"/>
      <c r="D83" s="970"/>
      <c r="E83" s="970"/>
      <c r="F83" s="970"/>
      <c r="G83" s="970"/>
      <c r="H83" s="970"/>
      <c r="I83" s="970"/>
      <c r="J83" s="970"/>
      <c r="K83" s="970"/>
      <c r="L83" s="970"/>
      <c r="M83" s="970"/>
      <c r="N83" s="970"/>
      <c r="O83" s="970"/>
      <c r="P83" s="970"/>
      <c r="Q83" s="970"/>
      <c r="R83" s="970"/>
      <c r="S83" s="970"/>
      <c r="T83" s="970"/>
      <c r="U83" s="970"/>
      <c r="V83" s="970"/>
    </row>
    <row r="84" spans="3:22">
      <c r="C84" s="970"/>
      <c r="D84" s="970"/>
      <c r="E84" s="970"/>
      <c r="F84" s="970"/>
      <c r="G84" s="970"/>
      <c r="H84" s="970"/>
      <c r="I84" s="970"/>
      <c r="J84" s="970"/>
      <c r="K84" s="970"/>
      <c r="L84" s="970"/>
      <c r="M84" s="970"/>
      <c r="N84" s="970"/>
      <c r="O84" s="970"/>
      <c r="P84" s="970"/>
      <c r="Q84" s="970"/>
      <c r="R84" s="970"/>
      <c r="S84" s="970"/>
      <c r="T84" s="970"/>
      <c r="U84" s="970"/>
      <c r="V84" s="970"/>
    </row>
    <row r="85" spans="3:22">
      <c r="C85" s="970"/>
      <c r="D85" s="970"/>
      <c r="E85" s="970"/>
      <c r="F85" s="970"/>
      <c r="G85" s="970"/>
      <c r="H85" s="970"/>
      <c r="I85" s="970"/>
      <c r="J85" s="970"/>
      <c r="K85" s="970"/>
      <c r="L85" s="970"/>
      <c r="M85" s="970"/>
      <c r="N85" s="970"/>
      <c r="O85" s="970"/>
      <c r="P85" s="970"/>
      <c r="Q85" s="970"/>
      <c r="R85" s="970"/>
      <c r="S85" s="970"/>
      <c r="T85" s="970"/>
      <c r="U85" s="970"/>
      <c r="V85" s="970"/>
    </row>
    <row r="86" spans="3:22">
      <c r="C86" s="970"/>
      <c r="D86" s="970"/>
      <c r="E86" s="970"/>
      <c r="F86" s="970"/>
      <c r="G86" s="970"/>
      <c r="H86" s="970"/>
      <c r="I86" s="970"/>
      <c r="J86" s="970"/>
      <c r="K86" s="970"/>
      <c r="L86" s="970"/>
      <c r="M86" s="970"/>
      <c r="N86" s="970"/>
      <c r="O86" s="970"/>
      <c r="P86" s="970"/>
      <c r="Q86" s="970"/>
      <c r="R86" s="970"/>
      <c r="S86" s="970"/>
      <c r="T86" s="970"/>
      <c r="U86" s="970"/>
      <c r="V86" s="970"/>
    </row>
    <row r="87" spans="3:22">
      <c r="C87" s="970"/>
      <c r="D87" s="970"/>
      <c r="E87" s="970"/>
      <c r="F87" s="970"/>
      <c r="G87" s="970"/>
      <c r="H87" s="970"/>
      <c r="I87" s="970"/>
      <c r="J87" s="970"/>
      <c r="K87" s="970"/>
      <c r="L87" s="970"/>
      <c r="M87" s="970"/>
      <c r="N87" s="970"/>
      <c r="O87" s="970"/>
      <c r="P87" s="970"/>
      <c r="Q87" s="970"/>
      <c r="R87" s="970"/>
      <c r="S87" s="970"/>
      <c r="T87" s="970"/>
      <c r="U87" s="970"/>
      <c r="V87" s="970"/>
    </row>
    <row r="88" spans="3:22">
      <c r="C88" s="970"/>
      <c r="D88" s="970"/>
      <c r="E88" s="970"/>
      <c r="F88" s="970"/>
      <c r="G88" s="970"/>
      <c r="H88" s="970"/>
      <c r="I88" s="970"/>
      <c r="J88" s="970"/>
      <c r="K88" s="970"/>
      <c r="L88" s="970"/>
      <c r="M88" s="970"/>
      <c r="N88" s="970"/>
      <c r="O88" s="970"/>
      <c r="P88" s="970"/>
      <c r="Q88" s="970"/>
      <c r="R88" s="970"/>
      <c r="S88" s="970"/>
      <c r="T88" s="970"/>
      <c r="U88" s="970"/>
      <c r="V88" s="970"/>
    </row>
    <row r="89" spans="3:22">
      <c r="C89" s="970"/>
      <c r="D89" s="970"/>
      <c r="E89" s="970"/>
      <c r="F89" s="970"/>
      <c r="G89" s="970"/>
      <c r="H89" s="970"/>
      <c r="I89" s="970"/>
      <c r="J89" s="970"/>
      <c r="K89" s="970"/>
      <c r="L89" s="970"/>
      <c r="M89" s="970"/>
      <c r="N89" s="970"/>
      <c r="O89" s="970"/>
      <c r="P89" s="970"/>
      <c r="Q89" s="970"/>
      <c r="R89" s="970"/>
      <c r="S89" s="970"/>
      <c r="T89" s="970"/>
      <c r="U89" s="970"/>
      <c r="V89" s="970"/>
    </row>
    <row r="90" spans="3:22">
      <c r="C90" s="970"/>
      <c r="D90" s="970"/>
      <c r="E90" s="970"/>
      <c r="F90" s="970"/>
      <c r="G90" s="970"/>
      <c r="H90" s="970"/>
      <c r="I90" s="970"/>
      <c r="J90" s="970"/>
      <c r="K90" s="970"/>
      <c r="L90" s="970"/>
      <c r="M90" s="970"/>
      <c r="N90" s="970"/>
      <c r="O90" s="970"/>
      <c r="P90" s="970"/>
      <c r="Q90" s="970"/>
      <c r="R90" s="970"/>
      <c r="S90" s="970"/>
      <c r="T90" s="970"/>
      <c r="U90" s="970"/>
      <c r="V90" s="970"/>
    </row>
    <row r="91" spans="3:22">
      <c r="C91" s="970"/>
      <c r="D91" s="970"/>
      <c r="E91" s="970"/>
      <c r="F91" s="970"/>
      <c r="G91" s="970"/>
      <c r="H91" s="970"/>
      <c r="I91" s="970"/>
      <c r="J91" s="970"/>
      <c r="K91" s="970"/>
      <c r="L91" s="970"/>
      <c r="M91" s="970"/>
      <c r="N91" s="970"/>
      <c r="O91" s="970"/>
      <c r="P91" s="970"/>
      <c r="Q91" s="970"/>
      <c r="R91" s="970"/>
      <c r="S91" s="970"/>
      <c r="T91" s="970"/>
      <c r="U91" s="970"/>
      <c r="V91" s="970"/>
    </row>
    <row r="92" spans="3:22">
      <c r="C92" s="970"/>
      <c r="D92" s="970"/>
      <c r="E92" s="970"/>
      <c r="F92" s="970"/>
      <c r="G92" s="970"/>
      <c r="H92" s="970"/>
      <c r="I92" s="970"/>
      <c r="J92" s="970"/>
      <c r="K92" s="970"/>
      <c r="L92" s="970"/>
      <c r="M92" s="970"/>
      <c r="N92" s="970"/>
      <c r="O92" s="970"/>
      <c r="P92" s="970"/>
      <c r="Q92" s="970"/>
      <c r="R92" s="970"/>
      <c r="S92" s="970"/>
      <c r="T92" s="970"/>
      <c r="U92" s="970"/>
      <c r="V92" s="970"/>
    </row>
    <row r="93" spans="3:22">
      <c r="C93" s="970"/>
      <c r="D93" s="970"/>
      <c r="E93" s="970"/>
      <c r="F93" s="970"/>
      <c r="G93" s="970"/>
      <c r="H93" s="970"/>
      <c r="I93" s="970"/>
      <c r="J93" s="970"/>
      <c r="K93" s="970"/>
      <c r="L93" s="970"/>
      <c r="M93" s="970"/>
      <c r="N93" s="970"/>
      <c r="O93" s="970"/>
      <c r="P93" s="970"/>
      <c r="Q93" s="970"/>
      <c r="R93" s="970"/>
      <c r="S93" s="970"/>
      <c r="T93" s="970"/>
      <c r="U93" s="970"/>
      <c r="V93" s="970"/>
    </row>
    <row r="94" spans="3:22">
      <c r="C94" s="970"/>
      <c r="D94" s="970"/>
      <c r="E94" s="970"/>
      <c r="F94" s="970"/>
      <c r="G94" s="970"/>
      <c r="H94" s="970"/>
      <c r="I94" s="970"/>
      <c r="J94" s="970"/>
      <c r="K94" s="970"/>
      <c r="L94" s="970"/>
      <c r="M94" s="970"/>
      <c r="N94" s="970"/>
      <c r="O94" s="970"/>
      <c r="P94" s="970"/>
      <c r="Q94" s="970"/>
      <c r="R94" s="970"/>
      <c r="S94" s="970"/>
      <c r="T94" s="970"/>
      <c r="U94" s="970"/>
      <c r="V94" s="970"/>
    </row>
    <row r="95" spans="3:22">
      <c r="C95" s="970"/>
      <c r="D95" s="970"/>
      <c r="E95" s="970"/>
      <c r="F95" s="970"/>
      <c r="G95" s="970"/>
      <c r="H95" s="970"/>
      <c r="I95" s="970"/>
      <c r="J95" s="970"/>
      <c r="K95" s="970"/>
      <c r="L95" s="970"/>
      <c r="M95" s="970"/>
      <c r="N95" s="970"/>
      <c r="O95" s="970"/>
      <c r="P95" s="970"/>
      <c r="Q95" s="970"/>
      <c r="R95" s="970"/>
      <c r="S95" s="970"/>
      <c r="T95" s="970"/>
      <c r="U95" s="970"/>
      <c r="V95" s="970"/>
    </row>
    <row r="96" spans="3:22">
      <c r="C96" s="970"/>
      <c r="D96" s="970"/>
      <c r="E96" s="970"/>
      <c r="F96" s="970"/>
      <c r="G96" s="970"/>
      <c r="H96" s="970"/>
      <c r="I96" s="970"/>
      <c r="J96" s="970"/>
      <c r="K96" s="970"/>
      <c r="L96" s="970"/>
      <c r="M96" s="970"/>
      <c r="N96" s="970"/>
      <c r="O96" s="970"/>
      <c r="P96" s="970"/>
      <c r="Q96" s="970"/>
      <c r="R96" s="970"/>
      <c r="S96" s="970"/>
      <c r="T96" s="970"/>
      <c r="U96" s="970"/>
      <c r="V96" s="970"/>
    </row>
    <row r="97" spans="3:22">
      <c r="C97" s="970"/>
      <c r="D97" s="970"/>
      <c r="E97" s="970"/>
      <c r="F97" s="970"/>
      <c r="G97" s="970"/>
      <c r="H97" s="970"/>
      <c r="I97" s="970"/>
      <c r="J97" s="970"/>
      <c r="K97" s="970"/>
      <c r="L97" s="970"/>
      <c r="M97" s="970"/>
      <c r="N97" s="970"/>
      <c r="O97" s="970"/>
      <c r="P97" s="970"/>
      <c r="Q97" s="970"/>
      <c r="R97" s="970"/>
      <c r="S97" s="970"/>
      <c r="T97" s="970"/>
      <c r="U97" s="970"/>
      <c r="V97" s="970"/>
    </row>
    <row r="98" spans="3:22">
      <c r="C98" s="970"/>
      <c r="D98" s="970"/>
      <c r="E98" s="970"/>
      <c r="F98" s="970"/>
      <c r="G98" s="970"/>
      <c r="H98" s="970"/>
      <c r="I98" s="970"/>
      <c r="J98" s="970"/>
      <c r="K98" s="970"/>
      <c r="L98" s="970"/>
      <c r="M98" s="970"/>
      <c r="N98" s="970"/>
      <c r="O98" s="970"/>
      <c r="P98" s="970"/>
      <c r="Q98" s="970"/>
      <c r="R98" s="970"/>
      <c r="S98" s="970"/>
      <c r="T98" s="970"/>
      <c r="U98" s="970"/>
      <c r="V98" s="970"/>
    </row>
    <row r="99" spans="3:22">
      <c r="C99" s="970"/>
      <c r="D99" s="970"/>
      <c r="E99" s="970"/>
      <c r="F99" s="970"/>
      <c r="G99" s="970"/>
      <c r="H99" s="970"/>
      <c r="I99" s="970"/>
      <c r="J99" s="970"/>
      <c r="K99" s="970"/>
      <c r="L99" s="970"/>
      <c r="M99" s="970"/>
      <c r="N99" s="970"/>
      <c r="O99" s="970"/>
      <c r="P99" s="970"/>
      <c r="Q99" s="970"/>
      <c r="R99" s="970"/>
      <c r="S99" s="970"/>
      <c r="T99" s="970"/>
      <c r="U99" s="970"/>
      <c r="V99" s="970"/>
    </row>
    <row r="100" spans="3:22">
      <c r="C100" s="970"/>
      <c r="D100" s="970"/>
      <c r="E100" s="970"/>
      <c r="F100" s="970"/>
      <c r="G100" s="970"/>
      <c r="H100" s="970"/>
      <c r="I100" s="970"/>
      <c r="J100" s="970"/>
      <c r="K100" s="970"/>
      <c r="L100" s="970"/>
      <c r="M100" s="970"/>
      <c r="N100" s="970"/>
      <c r="O100" s="970"/>
      <c r="P100" s="970"/>
      <c r="Q100" s="970"/>
      <c r="R100" s="970"/>
      <c r="S100" s="970"/>
      <c r="T100" s="970"/>
      <c r="U100" s="970"/>
      <c r="V100" s="970"/>
    </row>
    <row r="101" spans="3:22">
      <c r="C101" s="970"/>
      <c r="D101" s="970"/>
      <c r="E101" s="970"/>
      <c r="F101" s="970"/>
      <c r="G101" s="970"/>
      <c r="H101" s="970"/>
      <c r="I101" s="970"/>
      <c r="J101" s="970"/>
      <c r="K101" s="970"/>
      <c r="L101" s="970"/>
      <c r="M101" s="970"/>
      <c r="N101" s="970"/>
      <c r="O101" s="970"/>
      <c r="P101" s="970"/>
      <c r="Q101" s="970"/>
      <c r="R101" s="970"/>
      <c r="S101" s="970"/>
      <c r="T101" s="970"/>
      <c r="U101" s="970"/>
      <c r="V101" s="970"/>
    </row>
    <row r="102" spans="3:22">
      <c r="C102" s="970"/>
      <c r="D102" s="970"/>
      <c r="E102" s="970"/>
      <c r="F102" s="970"/>
      <c r="G102" s="970"/>
      <c r="H102" s="970"/>
      <c r="I102" s="970"/>
      <c r="J102" s="970"/>
      <c r="K102" s="970"/>
      <c r="L102" s="970"/>
      <c r="M102" s="970"/>
      <c r="N102" s="970"/>
      <c r="O102" s="970"/>
      <c r="P102" s="970"/>
      <c r="Q102" s="970"/>
      <c r="R102" s="970"/>
      <c r="S102" s="970"/>
      <c r="T102" s="970"/>
      <c r="U102" s="970"/>
      <c r="V102" s="970"/>
    </row>
    <row r="103" spans="3:22">
      <c r="C103" s="970"/>
      <c r="D103" s="970"/>
      <c r="E103" s="970"/>
      <c r="F103" s="970"/>
      <c r="G103" s="970"/>
      <c r="H103" s="970"/>
      <c r="I103" s="970"/>
      <c r="J103" s="970"/>
      <c r="K103" s="970"/>
      <c r="L103" s="970"/>
      <c r="M103" s="970"/>
      <c r="N103" s="970"/>
      <c r="O103" s="970"/>
      <c r="P103" s="970"/>
      <c r="Q103" s="970"/>
      <c r="R103" s="970"/>
      <c r="S103" s="970"/>
      <c r="T103" s="970"/>
      <c r="U103" s="970"/>
      <c r="V103" s="970"/>
    </row>
    <row r="104" spans="3:22">
      <c r="C104" s="970"/>
      <c r="D104" s="970"/>
      <c r="E104" s="970"/>
      <c r="F104" s="970"/>
      <c r="G104" s="970"/>
      <c r="H104" s="970"/>
      <c r="I104" s="970"/>
      <c r="J104" s="970"/>
      <c r="K104" s="970"/>
      <c r="L104" s="970"/>
      <c r="M104" s="970"/>
      <c r="N104" s="970"/>
      <c r="O104" s="970"/>
      <c r="P104" s="970"/>
      <c r="Q104" s="970"/>
      <c r="R104" s="970"/>
      <c r="S104" s="970"/>
      <c r="T104" s="970"/>
      <c r="U104" s="970"/>
      <c r="V104" s="970"/>
    </row>
    <row r="105" spans="3:22">
      <c r="C105" s="970"/>
      <c r="D105" s="970"/>
      <c r="E105" s="970"/>
      <c r="F105" s="970"/>
      <c r="G105" s="970"/>
      <c r="H105" s="970"/>
      <c r="I105" s="970"/>
      <c r="J105" s="970"/>
      <c r="K105" s="970"/>
      <c r="L105" s="970"/>
      <c r="M105" s="970"/>
      <c r="N105" s="970"/>
      <c r="O105" s="970"/>
      <c r="P105" s="970"/>
      <c r="Q105" s="970"/>
      <c r="R105" s="970"/>
      <c r="S105" s="970"/>
      <c r="T105" s="970"/>
      <c r="U105" s="970"/>
      <c r="V105" s="970"/>
    </row>
    <row r="106" spans="3:22">
      <c r="C106" s="970"/>
      <c r="D106" s="970"/>
      <c r="E106" s="970"/>
      <c r="F106" s="970"/>
      <c r="G106" s="970"/>
      <c r="H106" s="970"/>
      <c r="I106" s="970"/>
      <c r="J106" s="970"/>
      <c r="K106" s="970"/>
      <c r="L106" s="970"/>
      <c r="M106" s="970"/>
      <c r="N106" s="970"/>
      <c r="O106" s="970"/>
      <c r="P106" s="970"/>
      <c r="Q106" s="970"/>
      <c r="R106" s="970"/>
      <c r="S106" s="970"/>
      <c r="T106" s="970"/>
      <c r="U106" s="970"/>
      <c r="V106" s="970"/>
    </row>
    <row r="107" spans="3:22">
      <c r="C107" s="970"/>
      <c r="D107" s="970"/>
      <c r="E107" s="970"/>
      <c r="F107" s="970"/>
      <c r="G107" s="970"/>
      <c r="H107" s="970"/>
      <c r="I107" s="970"/>
      <c r="J107" s="970"/>
      <c r="K107" s="970"/>
      <c r="L107" s="970"/>
      <c r="M107" s="970"/>
      <c r="N107" s="970"/>
      <c r="O107" s="970"/>
      <c r="P107" s="970"/>
      <c r="Q107" s="970"/>
      <c r="R107" s="970"/>
      <c r="S107" s="970"/>
      <c r="T107" s="970"/>
      <c r="U107" s="970"/>
      <c r="V107" s="970"/>
    </row>
    <row r="108" spans="3:22">
      <c r="C108" s="970"/>
      <c r="D108" s="970"/>
      <c r="E108" s="970"/>
      <c r="F108" s="970"/>
      <c r="G108" s="970"/>
      <c r="H108" s="970"/>
      <c r="I108" s="970"/>
      <c r="J108" s="970"/>
      <c r="K108" s="970"/>
      <c r="L108" s="970"/>
      <c r="M108" s="970"/>
      <c r="N108" s="970"/>
      <c r="O108" s="970"/>
      <c r="P108" s="970"/>
      <c r="Q108" s="970"/>
      <c r="R108" s="970"/>
      <c r="S108" s="970"/>
      <c r="T108" s="970"/>
      <c r="U108" s="970"/>
      <c r="V108" s="970"/>
    </row>
    <row r="109" spans="3:22">
      <c r="C109" s="970"/>
      <c r="D109" s="970"/>
      <c r="E109" s="970"/>
      <c r="F109" s="970"/>
      <c r="G109" s="970"/>
      <c r="H109" s="970"/>
      <c r="I109" s="970"/>
      <c r="J109" s="970"/>
      <c r="K109" s="970"/>
      <c r="L109" s="970"/>
      <c r="M109" s="970"/>
      <c r="N109" s="970"/>
      <c r="O109" s="970"/>
      <c r="P109" s="970"/>
      <c r="Q109" s="970"/>
      <c r="R109" s="970"/>
      <c r="S109" s="970"/>
      <c r="T109" s="970"/>
      <c r="U109" s="970"/>
      <c r="V109" s="970"/>
    </row>
    <row r="110" spans="3:22">
      <c r="C110" s="970"/>
      <c r="D110" s="970"/>
      <c r="E110" s="970"/>
      <c r="F110" s="970"/>
      <c r="G110" s="970"/>
      <c r="H110" s="970"/>
      <c r="I110" s="970"/>
      <c r="J110" s="970"/>
      <c r="K110" s="970"/>
      <c r="L110" s="970"/>
      <c r="M110" s="970"/>
      <c r="N110" s="970"/>
      <c r="O110" s="970"/>
      <c r="P110" s="970"/>
      <c r="Q110" s="970"/>
      <c r="R110" s="970"/>
      <c r="S110" s="970"/>
      <c r="T110" s="970"/>
      <c r="U110" s="970"/>
      <c r="V110" s="970"/>
    </row>
    <row r="111" spans="3:22">
      <c r="C111" s="970"/>
      <c r="D111" s="970"/>
      <c r="E111" s="970"/>
      <c r="F111" s="970"/>
      <c r="G111" s="970"/>
      <c r="H111" s="970"/>
      <c r="I111" s="970"/>
      <c r="J111" s="970"/>
      <c r="K111" s="970"/>
      <c r="L111" s="970"/>
      <c r="M111" s="970"/>
      <c r="N111" s="970"/>
      <c r="O111" s="970"/>
      <c r="P111" s="970"/>
      <c r="Q111" s="970"/>
      <c r="R111" s="970"/>
      <c r="S111" s="970"/>
      <c r="T111" s="970"/>
      <c r="U111" s="970"/>
      <c r="V111" s="970"/>
    </row>
    <row r="112" spans="3:22">
      <c r="C112" s="970"/>
      <c r="D112" s="970"/>
      <c r="E112" s="970"/>
      <c r="F112" s="970"/>
      <c r="G112" s="970"/>
      <c r="H112" s="970"/>
      <c r="I112" s="970"/>
      <c r="J112" s="970"/>
      <c r="K112" s="970"/>
      <c r="L112" s="970"/>
      <c r="M112" s="970"/>
      <c r="N112" s="970"/>
      <c r="O112" s="970"/>
      <c r="P112" s="970"/>
      <c r="Q112" s="970"/>
      <c r="R112" s="970"/>
      <c r="S112" s="970"/>
      <c r="T112" s="970"/>
      <c r="U112" s="970"/>
      <c r="V112" s="970"/>
    </row>
    <row r="113" spans="3:22">
      <c r="C113" s="970"/>
      <c r="D113" s="970"/>
      <c r="E113" s="970"/>
      <c r="F113" s="970"/>
      <c r="G113" s="970"/>
      <c r="H113" s="970"/>
      <c r="I113" s="970"/>
      <c r="J113" s="970"/>
      <c r="K113" s="970"/>
      <c r="L113" s="970"/>
      <c r="M113" s="970"/>
      <c r="N113" s="970"/>
      <c r="O113" s="970"/>
      <c r="P113" s="970"/>
      <c r="Q113" s="970"/>
      <c r="R113" s="970"/>
      <c r="S113" s="970"/>
      <c r="T113" s="970"/>
      <c r="U113" s="970"/>
      <c r="V113" s="970"/>
    </row>
    <row r="114" spans="3:22">
      <c r="C114" s="970"/>
      <c r="D114" s="970"/>
      <c r="E114" s="970"/>
      <c r="F114" s="970"/>
      <c r="G114" s="970"/>
      <c r="H114" s="970"/>
      <c r="I114" s="970"/>
      <c r="J114" s="970"/>
      <c r="K114" s="970"/>
      <c r="L114" s="970"/>
      <c r="M114" s="970"/>
      <c r="N114" s="970"/>
      <c r="O114" s="970"/>
      <c r="P114" s="970"/>
      <c r="Q114" s="970"/>
      <c r="R114" s="970"/>
      <c r="S114" s="970"/>
      <c r="T114" s="970"/>
      <c r="U114" s="970"/>
      <c r="V114" s="970"/>
    </row>
    <row r="115" spans="3:22">
      <c r="C115" s="970"/>
      <c r="D115" s="970"/>
      <c r="E115" s="970"/>
      <c r="F115" s="970"/>
      <c r="G115" s="970"/>
      <c r="H115" s="970"/>
      <c r="I115" s="970"/>
      <c r="J115" s="970"/>
      <c r="K115" s="970"/>
      <c r="L115" s="970"/>
      <c r="M115" s="970"/>
      <c r="N115" s="970"/>
      <c r="O115" s="970"/>
      <c r="P115" s="970"/>
      <c r="Q115" s="970"/>
      <c r="R115" s="970"/>
      <c r="S115" s="970"/>
      <c r="T115" s="970"/>
      <c r="U115" s="970"/>
      <c r="V115" s="970"/>
    </row>
    <row r="116" spans="3:22">
      <c r="C116" s="970"/>
      <c r="D116" s="970"/>
      <c r="E116" s="970"/>
      <c r="F116" s="970"/>
      <c r="G116" s="970"/>
      <c r="H116" s="970"/>
      <c r="I116" s="970"/>
      <c r="J116" s="970"/>
      <c r="K116" s="970"/>
      <c r="L116" s="970"/>
      <c r="M116" s="970"/>
      <c r="N116" s="970"/>
      <c r="O116" s="970"/>
      <c r="P116" s="970"/>
      <c r="Q116" s="970"/>
      <c r="R116" s="970"/>
      <c r="S116" s="970"/>
      <c r="T116" s="970"/>
      <c r="U116" s="970"/>
      <c r="V116" s="970"/>
    </row>
    <row r="117" spans="3:22">
      <c r="C117" s="970"/>
      <c r="D117" s="970"/>
      <c r="E117" s="970"/>
      <c r="F117" s="970"/>
      <c r="G117" s="970"/>
      <c r="H117" s="970"/>
      <c r="I117" s="970"/>
      <c r="J117" s="970"/>
      <c r="K117" s="970"/>
      <c r="L117" s="970"/>
      <c r="M117" s="970"/>
      <c r="N117" s="970"/>
      <c r="O117" s="970"/>
      <c r="P117" s="970"/>
      <c r="Q117" s="970"/>
      <c r="R117" s="970"/>
      <c r="S117" s="970"/>
      <c r="T117" s="970"/>
      <c r="U117" s="970"/>
      <c r="V117" s="970"/>
    </row>
    <row r="118" spans="3:22">
      <c r="C118" s="970"/>
      <c r="D118" s="970"/>
      <c r="E118" s="970"/>
      <c r="F118" s="970"/>
      <c r="G118" s="970"/>
      <c r="H118" s="970"/>
      <c r="I118" s="970"/>
      <c r="J118" s="970"/>
      <c r="K118" s="970"/>
      <c r="L118" s="970"/>
      <c r="M118" s="970"/>
      <c r="N118" s="970"/>
      <c r="O118" s="970"/>
      <c r="P118" s="970"/>
      <c r="Q118" s="970"/>
      <c r="R118" s="970"/>
      <c r="S118" s="970"/>
      <c r="T118" s="970"/>
      <c r="U118" s="970"/>
      <c r="V118" s="970"/>
    </row>
    <row r="119" spans="3:22">
      <c r="C119" s="970"/>
      <c r="D119" s="970"/>
      <c r="E119" s="970"/>
      <c r="F119" s="970"/>
      <c r="G119" s="970"/>
      <c r="H119" s="970"/>
      <c r="I119" s="970"/>
      <c r="J119" s="970"/>
      <c r="K119" s="970"/>
      <c r="L119" s="970"/>
      <c r="M119" s="970"/>
      <c r="N119" s="970"/>
      <c r="O119" s="970"/>
      <c r="P119" s="970"/>
      <c r="Q119" s="970"/>
      <c r="R119" s="970"/>
      <c r="S119" s="970"/>
      <c r="T119" s="970"/>
      <c r="U119" s="970"/>
      <c r="V119" s="970"/>
    </row>
    <row r="120" spans="3:22">
      <c r="C120" s="970"/>
      <c r="D120" s="970"/>
      <c r="E120" s="970"/>
      <c r="F120" s="970"/>
      <c r="G120" s="970"/>
      <c r="H120" s="970"/>
      <c r="I120" s="970"/>
      <c r="J120" s="970"/>
      <c r="K120" s="970"/>
      <c r="L120" s="970"/>
      <c r="M120" s="970"/>
      <c r="N120" s="970"/>
      <c r="O120" s="970"/>
      <c r="P120" s="970"/>
      <c r="Q120" s="970"/>
      <c r="R120" s="970"/>
      <c r="S120" s="970"/>
      <c r="T120" s="970"/>
      <c r="U120" s="970"/>
      <c r="V120" s="970"/>
    </row>
    <row r="121" spans="3:22">
      <c r="C121" s="970"/>
      <c r="D121" s="970"/>
      <c r="E121" s="970"/>
      <c r="F121" s="970"/>
      <c r="G121" s="970"/>
      <c r="H121" s="970"/>
      <c r="I121" s="970"/>
      <c r="J121" s="970"/>
      <c r="K121" s="970"/>
      <c r="L121" s="970"/>
      <c r="M121" s="970"/>
      <c r="N121" s="970"/>
      <c r="O121" s="970"/>
      <c r="P121" s="970"/>
      <c r="Q121" s="970"/>
      <c r="R121" s="970"/>
      <c r="S121" s="970"/>
      <c r="T121" s="970"/>
      <c r="U121" s="970"/>
      <c r="V121" s="970"/>
    </row>
    <row r="122" spans="3:22">
      <c r="C122" s="970"/>
      <c r="D122" s="970"/>
      <c r="E122" s="970"/>
      <c r="F122" s="970"/>
      <c r="G122" s="970"/>
      <c r="H122" s="970"/>
      <c r="I122" s="970"/>
      <c r="J122" s="970"/>
      <c r="K122" s="970"/>
      <c r="L122" s="970"/>
      <c r="M122" s="970"/>
      <c r="N122" s="970"/>
      <c r="O122" s="970"/>
      <c r="P122" s="970"/>
      <c r="Q122" s="970"/>
      <c r="R122" s="970"/>
      <c r="S122" s="970"/>
      <c r="T122" s="970"/>
      <c r="U122" s="970"/>
      <c r="V122" s="970"/>
    </row>
    <row r="123" spans="3:22">
      <c r="C123" s="970"/>
      <c r="D123" s="970"/>
      <c r="E123" s="970"/>
      <c r="F123" s="970"/>
      <c r="G123" s="970"/>
      <c r="H123" s="970"/>
      <c r="I123" s="970"/>
      <c r="J123" s="970"/>
      <c r="K123" s="970"/>
      <c r="L123" s="970"/>
      <c r="M123" s="970"/>
      <c r="N123" s="970"/>
      <c r="O123" s="970"/>
      <c r="P123" s="970"/>
      <c r="Q123" s="970"/>
      <c r="R123" s="970"/>
      <c r="S123" s="970"/>
      <c r="T123" s="970"/>
      <c r="U123" s="970"/>
      <c r="V123" s="970"/>
    </row>
    <row r="124" spans="3:22">
      <c r="C124" s="970"/>
      <c r="D124" s="970"/>
      <c r="E124" s="970"/>
      <c r="F124" s="970"/>
      <c r="G124" s="970"/>
      <c r="H124" s="970"/>
      <c r="I124" s="970"/>
      <c r="J124" s="970"/>
      <c r="K124" s="970"/>
      <c r="L124" s="970"/>
      <c r="M124" s="970"/>
      <c r="N124" s="970"/>
      <c r="O124" s="970"/>
      <c r="P124" s="970"/>
      <c r="Q124" s="970"/>
      <c r="R124" s="970"/>
      <c r="S124" s="970"/>
      <c r="T124" s="970"/>
      <c r="U124" s="970"/>
      <c r="V124" s="970"/>
    </row>
    <row r="125" spans="3:22">
      <c r="C125" s="970"/>
      <c r="D125" s="970"/>
      <c r="E125" s="970"/>
      <c r="F125" s="970"/>
      <c r="G125" s="970"/>
      <c r="H125" s="970"/>
      <c r="I125" s="970"/>
      <c r="J125" s="970"/>
      <c r="K125" s="970"/>
      <c r="L125" s="970"/>
      <c r="M125" s="970"/>
      <c r="N125" s="970"/>
      <c r="O125" s="970"/>
      <c r="P125" s="970"/>
      <c r="Q125" s="970"/>
      <c r="R125" s="970"/>
      <c r="S125" s="970"/>
      <c r="T125" s="970"/>
      <c r="U125" s="970"/>
      <c r="V125" s="970"/>
    </row>
    <row r="126" spans="3:22">
      <c r="C126" s="970"/>
      <c r="D126" s="970"/>
      <c r="E126" s="970"/>
      <c r="F126" s="970"/>
      <c r="G126" s="970"/>
      <c r="H126" s="970"/>
      <c r="I126" s="970"/>
      <c r="J126" s="970"/>
      <c r="K126" s="970"/>
      <c r="L126" s="970"/>
      <c r="M126" s="970"/>
      <c r="N126" s="970"/>
      <c r="O126" s="970"/>
      <c r="P126" s="970"/>
      <c r="Q126" s="970"/>
      <c r="R126" s="970"/>
      <c r="S126" s="970"/>
      <c r="T126" s="970"/>
      <c r="U126" s="970"/>
      <c r="V126" s="970"/>
    </row>
    <row r="127" spans="3:22">
      <c r="C127" s="970"/>
      <c r="D127" s="970"/>
      <c r="E127" s="970"/>
      <c r="F127" s="970"/>
      <c r="G127" s="970"/>
      <c r="H127" s="970"/>
      <c r="I127" s="970"/>
      <c r="J127" s="970"/>
      <c r="K127" s="970"/>
      <c r="L127" s="970"/>
      <c r="M127" s="970"/>
      <c r="N127" s="970"/>
      <c r="O127" s="970"/>
      <c r="P127" s="970"/>
      <c r="Q127" s="970"/>
      <c r="R127" s="970"/>
      <c r="S127" s="970"/>
      <c r="T127" s="970"/>
      <c r="U127" s="970"/>
      <c r="V127" s="970"/>
    </row>
    <row r="128" spans="3:22">
      <c r="C128" s="970"/>
      <c r="D128" s="970"/>
      <c r="E128" s="970"/>
      <c r="F128" s="970"/>
      <c r="G128" s="970"/>
      <c r="H128" s="970"/>
      <c r="I128" s="970"/>
      <c r="J128" s="970"/>
      <c r="K128" s="970"/>
      <c r="L128" s="970"/>
      <c r="M128" s="970"/>
      <c r="N128" s="970"/>
      <c r="O128" s="970"/>
      <c r="P128" s="970"/>
      <c r="Q128" s="970"/>
      <c r="R128" s="970"/>
      <c r="S128" s="970"/>
      <c r="T128" s="970"/>
      <c r="U128" s="970"/>
      <c r="V128" s="970"/>
    </row>
    <row r="129" spans="3:22">
      <c r="C129" s="970"/>
      <c r="D129" s="970"/>
      <c r="E129" s="970"/>
      <c r="F129" s="970"/>
      <c r="G129" s="970"/>
      <c r="H129" s="970"/>
      <c r="I129" s="970"/>
      <c r="J129" s="970"/>
      <c r="K129" s="970"/>
      <c r="L129" s="970"/>
      <c r="M129" s="970"/>
      <c r="N129" s="970"/>
      <c r="O129" s="970"/>
      <c r="P129" s="970"/>
      <c r="Q129" s="970"/>
      <c r="R129" s="970"/>
      <c r="S129" s="970"/>
      <c r="T129" s="970"/>
      <c r="U129" s="970"/>
      <c r="V129" s="970"/>
    </row>
    <row r="130" spans="3:22">
      <c r="C130" s="970"/>
      <c r="D130" s="970"/>
      <c r="E130" s="970"/>
      <c r="F130" s="970"/>
      <c r="G130" s="970"/>
      <c r="H130" s="970"/>
      <c r="I130" s="970"/>
      <c r="J130" s="970"/>
      <c r="K130" s="970"/>
      <c r="L130" s="970"/>
      <c r="M130" s="970"/>
      <c r="N130" s="970"/>
      <c r="O130" s="970"/>
      <c r="P130" s="970"/>
      <c r="Q130" s="970"/>
      <c r="R130" s="970"/>
      <c r="S130" s="970"/>
      <c r="T130" s="970"/>
      <c r="U130" s="970"/>
      <c r="V130" s="970"/>
    </row>
    <row r="131" spans="3:22">
      <c r="C131" s="970"/>
      <c r="D131" s="970"/>
      <c r="E131" s="970"/>
      <c r="F131" s="970"/>
      <c r="G131" s="970"/>
      <c r="H131" s="970"/>
      <c r="I131" s="970"/>
      <c r="J131" s="970"/>
      <c r="K131" s="970"/>
      <c r="L131" s="970"/>
      <c r="M131" s="970"/>
      <c r="N131" s="970"/>
      <c r="O131" s="970"/>
      <c r="P131" s="970"/>
      <c r="Q131" s="970"/>
      <c r="R131" s="970"/>
      <c r="S131" s="970"/>
      <c r="T131" s="970"/>
      <c r="U131" s="970"/>
      <c r="V131" s="970"/>
    </row>
    <row r="132" spans="3:22">
      <c r="C132" s="970"/>
      <c r="D132" s="970"/>
      <c r="E132" s="970"/>
      <c r="F132" s="970"/>
      <c r="G132" s="970"/>
      <c r="H132" s="970"/>
      <c r="I132" s="970"/>
      <c r="J132" s="970"/>
      <c r="K132" s="970"/>
      <c r="L132" s="970"/>
      <c r="M132" s="970"/>
      <c r="N132" s="970"/>
      <c r="O132" s="970"/>
      <c r="P132" s="970"/>
      <c r="Q132" s="970"/>
      <c r="R132" s="970"/>
      <c r="S132" s="970"/>
      <c r="T132" s="970"/>
      <c r="U132" s="970"/>
      <c r="V132" s="970"/>
    </row>
    <row r="133" spans="3:22">
      <c r="C133" s="970"/>
      <c r="D133" s="970"/>
      <c r="E133" s="970"/>
      <c r="F133" s="970"/>
      <c r="G133" s="970"/>
      <c r="H133" s="970"/>
      <c r="I133" s="970"/>
      <c r="J133" s="970"/>
      <c r="K133" s="970"/>
      <c r="L133" s="970"/>
      <c r="M133" s="970"/>
      <c r="N133" s="970"/>
      <c r="O133" s="970"/>
      <c r="P133" s="970"/>
      <c r="Q133" s="970"/>
      <c r="R133" s="970"/>
      <c r="S133" s="970"/>
      <c r="T133" s="970"/>
      <c r="U133" s="970"/>
      <c r="V133" s="970"/>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49"/>
  <sheetViews>
    <sheetView zoomScaleNormal="100" zoomScaleSheetLayoutView="90" workbookViewId="0">
      <selection activeCell="BQ9" sqref="BQ9"/>
    </sheetView>
  </sheetViews>
  <sheetFormatPr defaultColWidth="0" defaultRowHeight="12.75"/>
  <cols>
    <col min="1" max="1" width="55.28515625" style="972" customWidth="1"/>
    <col min="2" max="13" width="9" style="972" hidden="1" customWidth="1"/>
    <col min="14" max="26" width="9.140625" style="972" hidden="1" customWidth="1"/>
    <col min="27" max="31" width="0" style="972" hidden="1" customWidth="1"/>
    <col min="32" max="39" width="9.140625" style="972" hidden="1" customWidth="1"/>
    <col min="40" max="40" width="9.7109375" style="972" hidden="1" customWidth="1"/>
    <col min="41" max="54" width="11.28515625" style="972" hidden="1" customWidth="1"/>
    <col min="55" max="67" width="11.28515625" style="972" customWidth="1"/>
    <col min="68" max="207" width="9.140625" style="972" customWidth="1"/>
    <col min="208" max="208" width="55.28515625" style="972" customWidth="1"/>
    <col min="209" max="258" width="0" style="972" hidden="1"/>
    <col min="259" max="259" width="55.28515625" style="972" customWidth="1"/>
    <col min="260" max="297" width="0" style="972" hidden="1" customWidth="1"/>
    <col min="298" max="463" width="9.140625" style="972" customWidth="1"/>
    <col min="464" max="464" width="55.28515625" style="972" customWidth="1"/>
    <col min="465" max="514" width="0" style="972" hidden="1"/>
    <col min="515" max="515" width="55.28515625" style="972" customWidth="1"/>
    <col min="516" max="553" width="0" style="972" hidden="1" customWidth="1"/>
    <col min="554" max="719" width="9.140625" style="972" customWidth="1"/>
    <col min="720" max="720" width="55.28515625" style="972" customWidth="1"/>
    <col min="721" max="770" width="0" style="972" hidden="1"/>
    <col min="771" max="771" width="55.28515625" style="972" customWidth="1"/>
    <col min="772" max="809" width="0" style="972" hidden="1" customWidth="1"/>
    <col min="810" max="975" width="9.140625" style="972" customWidth="1"/>
    <col min="976" max="976" width="55.28515625" style="972" customWidth="1"/>
    <col min="977" max="1026" width="0" style="972" hidden="1"/>
    <col min="1027" max="1027" width="55.28515625" style="972" customWidth="1"/>
    <col min="1028" max="1065" width="0" style="972" hidden="1" customWidth="1"/>
    <col min="1066" max="1231" width="9.140625" style="972" customWidth="1"/>
    <col min="1232" max="1232" width="55.28515625" style="972" customWidth="1"/>
    <col min="1233" max="1282" width="0" style="972" hidden="1"/>
    <col min="1283" max="1283" width="55.28515625" style="972" customWidth="1"/>
    <col min="1284" max="1321" width="0" style="972" hidden="1" customWidth="1"/>
    <col min="1322" max="1487" width="9.140625" style="972" customWidth="1"/>
    <col min="1488" max="1488" width="55.28515625" style="972" customWidth="1"/>
    <col min="1489" max="1538" width="0" style="972" hidden="1"/>
    <col min="1539" max="1539" width="55.28515625" style="972" customWidth="1"/>
    <col min="1540" max="1577" width="0" style="972" hidden="1" customWidth="1"/>
    <col min="1578" max="1743" width="9.140625" style="972" customWidth="1"/>
    <col min="1744" max="1744" width="55.28515625" style="972" customWidth="1"/>
    <col min="1745" max="1794" width="0" style="972" hidden="1"/>
    <col min="1795" max="1795" width="55.28515625" style="972" customWidth="1"/>
    <col min="1796" max="1833" width="0" style="972" hidden="1" customWidth="1"/>
    <col min="1834" max="1999" width="9.140625" style="972" customWidth="1"/>
    <col min="2000" max="2000" width="55.28515625" style="972" customWidth="1"/>
    <col min="2001" max="2050" width="0" style="972" hidden="1"/>
    <col min="2051" max="2051" width="55.28515625" style="972" customWidth="1"/>
    <col min="2052" max="2089" width="0" style="972" hidden="1" customWidth="1"/>
    <col min="2090" max="2255" width="9.140625" style="972" customWidth="1"/>
    <col min="2256" max="2256" width="55.28515625" style="972" customWidth="1"/>
    <col min="2257" max="2306" width="0" style="972" hidden="1"/>
    <col min="2307" max="2307" width="55.28515625" style="972" customWidth="1"/>
    <col min="2308" max="2345" width="0" style="972" hidden="1" customWidth="1"/>
    <col min="2346" max="2511" width="9.140625" style="972" customWidth="1"/>
    <col min="2512" max="2512" width="55.28515625" style="972" customWidth="1"/>
    <col min="2513" max="2562" width="0" style="972" hidden="1"/>
    <col min="2563" max="2563" width="55.28515625" style="972" customWidth="1"/>
    <col min="2564" max="2601" width="0" style="972" hidden="1" customWidth="1"/>
    <col min="2602" max="2767" width="9.140625" style="972" customWidth="1"/>
    <col min="2768" max="2768" width="55.28515625" style="972" customWidth="1"/>
    <col min="2769" max="2818" width="0" style="972" hidden="1"/>
    <col min="2819" max="2819" width="55.28515625" style="972" customWidth="1"/>
    <col min="2820" max="2857" width="0" style="972" hidden="1" customWidth="1"/>
    <col min="2858" max="3023" width="9.140625" style="972" customWidth="1"/>
    <col min="3024" max="3024" width="55.28515625" style="972" customWidth="1"/>
    <col min="3025" max="3074" width="0" style="972" hidden="1"/>
    <col min="3075" max="3075" width="55.28515625" style="972" customWidth="1"/>
    <col min="3076" max="3113" width="0" style="972" hidden="1" customWidth="1"/>
    <col min="3114" max="3279" width="9.140625" style="972" customWidth="1"/>
    <col min="3280" max="3280" width="55.28515625" style="972" customWidth="1"/>
    <col min="3281" max="3330" width="0" style="972" hidden="1"/>
    <col min="3331" max="3331" width="55.28515625" style="972" customWidth="1"/>
    <col min="3332" max="3369" width="0" style="972" hidden="1" customWidth="1"/>
    <col min="3370" max="3535" width="9.140625" style="972" customWidth="1"/>
    <col min="3536" max="3536" width="55.28515625" style="972" customWidth="1"/>
    <col min="3537" max="3586" width="0" style="972" hidden="1"/>
    <col min="3587" max="3587" width="55.28515625" style="972" customWidth="1"/>
    <col min="3588" max="3625" width="0" style="972" hidden="1" customWidth="1"/>
    <col min="3626" max="3791" width="9.140625" style="972" customWidth="1"/>
    <col min="3792" max="3792" width="55.28515625" style="972" customWidth="1"/>
    <col min="3793" max="3842" width="0" style="972" hidden="1"/>
    <col min="3843" max="3843" width="55.28515625" style="972" customWidth="1"/>
    <col min="3844" max="3881" width="0" style="972" hidden="1" customWidth="1"/>
    <col min="3882" max="4047" width="9.140625" style="972" customWidth="1"/>
    <col min="4048" max="4048" width="55.28515625" style="972" customWidth="1"/>
    <col min="4049" max="4098" width="0" style="972" hidden="1"/>
    <col min="4099" max="4099" width="55.28515625" style="972" customWidth="1"/>
    <col min="4100" max="4137" width="0" style="972" hidden="1" customWidth="1"/>
    <col min="4138" max="4303" width="9.140625" style="972" customWidth="1"/>
    <col min="4304" max="4304" width="55.28515625" style="972" customWidth="1"/>
    <col min="4305" max="4354" width="0" style="972" hidden="1"/>
    <col min="4355" max="4355" width="55.28515625" style="972" customWidth="1"/>
    <col min="4356" max="4393" width="0" style="972" hidden="1" customWidth="1"/>
    <col min="4394" max="4559" width="9.140625" style="972" customWidth="1"/>
    <col min="4560" max="4560" width="55.28515625" style="972" customWidth="1"/>
    <col min="4561" max="4610" width="0" style="972" hidden="1"/>
    <col min="4611" max="4611" width="55.28515625" style="972" customWidth="1"/>
    <col min="4612" max="4649" width="0" style="972" hidden="1" customWidth="1"/>
    <col min="4650" max="4815" width="9.140625" style="972" customWidth="1"/>
    <col min="4816" max="4816" width="55.28515625" style="972" customWidth="1"/>
    <col min="4817" max="4866" width="0" style="972" hidden="1"/>
    <col min="4867" max="4867" width="55.28515625" style="972" customWidth="1"/>
    <col min="4868" max="4905" width="0" style="972" hidden="1" customWidth="1"/>
    <col min="4906" max="5071" width="9.140625" style="972" customWidth="1"/>
    <col min="5072" max="5072" width="55.28515625" style="972" customWidth="1"/>
    <col min="5073" max="5122" width="0" style="972" hidden="1"/>
    <col min="5123" max="5123" width="55.28515625" style="972" customWidth="1"/>
    <col min="5124" max="5161" width="0" style="972" hidden="1" customWidth="1"/>
    <col min="5162" max="5327" width="9.140625" style="972" customWidth="1"/>
    <col min="5328" max="5328" width="55.28515625" style="972" customWidth="1"/>
    <col min="5329" max="5378" width="0" style="972" hidden="1"/>
    <col min="5379" max="5379" width="55.28515625" style="972" customWidth="1"/>
    <col min="5380" max="5417" width="0" style="972" hidden="1" customWidth="1"/>
    <col min="5418" max="5583" width="9.140625" style="972" customWidth="1"/>
    <col min="5584" max="5584" width="55.28515625" style="972" customWidth="1"/>
    <col min="5585" max="5634" width="0" style="972" hidden="1"/>
    <col min="5635" max="5635" width="55.28515625" style="972" customWidth="1"/>
    <col min="5636" max="5673" width="0" style="972" hidden="1" customWidth="1"/>
    <col min="5674" max="5839" width="9.140625" style="972" customWidth="1"/>
    <col min="5840" max="5840" width="55.28515625" style="972" customWidth="1"/>
    <col min="5841" max="5890" width="0" style="972" hidden="1"/>
    <col min="5891" max="5891" width="55.28515625" style="972" customWidth="1"/>
    <col min="5892" max="5929" width="0" style="972" hidden="1" customWidth="1"/>
    <col min="5930" max="6095" width="9.140625" style="972" customWidth="1"/>
    <col min="6096" max="6096" width="55.28515625" style="972" customWidth="1"/>
    <col min="6097" max="6146" width="0" style="972" hidden="1"/>
    <col min="6147" max="6147" width="55.28515625" style="972" customWidth="1"/>
    <col min="6148" max="6185" width="0" style="972" hidden="1" customWidth="1"/>
    <col min="6186" max="6351" width="9.140625" style="972" customWidth="1"/>
    <col min="6352" max="6352" width="55.28515625" style="972" customWidth="1"/>
    <col min="6353" max="6402" width="0" style="972" hidden="1"/>
    <col min="6403" max="6403" width="55.28515625" style="972" customWidth="1"/>
    <col min="6404" max="6441" width="0" style="972" hidden="1" customWidth="1"/>
    <col min="6442" max="6607" width="9.140625" style="972" customWidth="1"/>
    <col min="6608" max="6608" width="55.28515625" style="972" customWidth="1"/>
    <col min="6609" max="6658" width="0" style="972" hidden="1"/>
    <col min="6659" max="6659" width="55.28515625" style="972" customWidth="1"/>
    <col min="6660" max="6697" width="0" style="972" hidden="1" customWidth="1"/>
    <col min="6698" max="6863" width="9.140625" style="972" customWidth="1"/>
    <col min="6864" max="6864" width="55.28515625" style="972" customWidth="1"/>
    <col min="6865" max="6914" width="0" style="972" hidden="1"/>
    <col min="6915" max="6915" width="55.28515625" style="972" customWidth="1"/>
    <col min="6916" max="6953" width="0" style="972" hidden="1" customWidth="1"/>
    <col min="6954" max="7119" width="9.140625" style="972" customWidth="1"/>
    <col min="7120" max="7120" width="55.28515625" style="972" customWidth="1"/>
    <col min="7121" max="7170" width="0" style="972" hidden="1"/>
    <col min="7171" max="7171" width="55.28515625" style="972" customWidth="1"/>
    <col min="7172" max="7209" width="0" style="972" hidden="1" customWidth="1"/>
    <col min="7210" max="7375" width="9.140625" style="972" customWidth="1"/>
    <col min="7376" max="7376" width="55.28515625" style="972" customWidth="1"/>
    <col min="7377" max="7426" width="0" style="972" hidden="1"/>
    <col min="7427" max="7427" width="55.28515625" style="972" customWidth="1"/>
    <col min="7428" max="7465" width="0" style="972" hidden="1" customWidth="1"/>
    <col min="7466" max="7631" width="9.140625" style="972" customWidth="1"/>
    <col min="7632" max="7632" width="55.28515625" style="972" customWidth="1"/>
    <col min="7633" max="7682" width="0" style="972" hidden="1"/>
    <col min="7683" max="7683" width="55.28515625" style="972" customWidth="1"/>
    <col min="7684" max="7721" width="0" style="972" hidden="1" customWidth="1"/>
    <col min="7722" max="7887" width="9.140625" style="972" customWidth="1"/>
    <col min="7888" max="7888" width="55.28515625" style="972" customWidth="1"/>
    <col min="7889" max="7938" width="0" style="972" hidden="1"/>
    <col min="7939" max="7939" width="55.28515625" style="972" customWidth="1"/>
    <col min="7940" max="7977" width="0" style="972" hidden="1" customWidth="1"/>
    <col min="7978" max="8143" width="9.140625" style="972" customWidth="1"/>
    <col min="8144" max="8144" width="55.28515625" style="972" customWidth="1"/>
    <col min="8145" max="8194" width="0" style="972" hidden="1"/>
    <col min="8195" max="8195" width="55.28515625" style="972" customWidth="1"/>
    <col min="8196" max="8233" width="0" style="972" hidden="1" customWidth="1"/>
    <col min="8234" max="8399" width="9.140625" style="972" customWidth="1"/>
    <col min="8400" max="8400" width="55.28515625" style="972" customWidth="1"/>
    <col min="8401" max="8450" width="0" style="972" hidden="1"/>
    <col min="8451" max="8451" width="55.28515625" style="972" customWidth="1"/>
    <col min="8452" max="8489" width="0" style="972" hidden="1" customWidth="1"/>
    <col min="8490" max="8655" width="9.140625" style="972" customWidth="1"/>
    <col min="8656" max="8656" width="55.28515625" style="972" customWidth="1"/>
    <col min="8657" max="8706" width="0" style="972" hidden="1"/>
    <col min="8707" max="8707" width="55.28515625" style="972" customWidth="1"/>
    <col min="8708" max="8745" width="0" style="972" hidden="1" customWidth="1"/>
    <col min="8746" max="8911" width="9.140625" style="972" customWidth="1"/>
    <col min="8912" max="8912" width="55.28515625" style="972" customWidth="1"/>
    <col min="8913" max="8962" width="0" style="972" hidden="1"/>
    <col min="8963" max="8963" width="55.28515625" style="972" customWidth="1"/>
    <col min="8964" max="9001" width="0" style="972" hidden="1" customWidth="1"/>
    <col min="9002" max="9167" width="9.140625" style="972" customWidth="1"/>
    <col min="9168" max="9168" width="55.28515625" style="972" customWidth="1"/>
    <col min="9169" max="9218" width="0" style="972" hidden="1"/>
    <col min="9219" max="9219" width="55.28515625" style="972" customWidth="1"/>
    <col min="9220" max="9257" width="0" style="972" hidden="1" customWidth="1"/>
    <col min="9258" max="9423" width="9.140625" style="972" customWidth="1"/>
    <col min="9424" max="9424" width="55.28515625" style="972" customWidth="1"/>
    <col min="9425" max="9474" width="0" style="972" hidden="1"/>
    <col min="9475" max="9475" width="55.28515625" style="972" customWidth="1"/>
    <col min="9476" max="9513" width="0" style="972" hidden="1" customWidth="1"/>
    <col min="9514" max="9679" width="9.140625" style="972" customWidth="1"/>
    <col min="9680" max="9680" width="55.28515625" style="972" customWidth="1"/>
    <col min="9681" max="9730" width="0" style="972" hidden="1"/>
    <col min="9731" max="9731" width="55.28515625" style="972" customWidth="1"/>
    <col min="9732" max="9769" width="0" style="972" hidden="1" customWidth="1"/>
    <col min="9770" max="9935" width="9.140625" style="972" customWidth="1"/>
    <col min="9936" max="9936" width="55.28515625" style="972" customWidth="1"/>
    <col min="9937" max="9986" width="0" style="972" hidden="1"/>
    <col min="9987" max="9987" width="55.28515625" style="972" customWidth="1"/>
    <col min="9988" max="10025" width="0" style="972" hidden="1" customWidth="1"/>
    <col min="10026" max="10191" width="9.140625" style="972" customWidth="1"/>
    <col min="10192" max="10192" width="55.28515625" style="972" customWidth="1"/>
    <col min="10193" max="10242" width="0" style="972" hidden="1"/>
    <col min="10243" max="10243" width="55.28515625" style="972" customWidth="1"/>
    <col min="10244" max="10281" width="0" style="972" hidden="1" customWidth="1"/>
    <col min="10282" max="10447" width="9.140625" style="972" customWidth="1"/>
    <col min="10448" max="10448" width="55.28515625" style="972" customWidth="1"/>
    <col min="10449" max="10498" width="0" style="972" hidden="1"/>
    <col min="10499" max="10499" width="55.28515625" style="972" customWidth="1"/>
    <col min="10500" max="10537" width="0" style="972" hidden="1" customWidth="1"/>
    <col min="10538" max="10703" width="9.140625" style="972" customWidth="1"/>
    <col min="10704" max="10704" width="55.28515625" style="972" customWidth="1"/>
    <col min="10705" max="10754" width="0" style="972" hidden="1"/>
    <col min="10755" max="10755" width="55.28515625" style="972" customWidth="1"/>
    <col min="10756" max="10793" width="0" style="972" hidden="1" customWidth="1"/>
    <col min="10794" max="10959" width="9.140625" style="972" customWidth="1"/>
    <col min="10960" max="10960" width="55.28515625" style="972" customWidth="1"/>
    <col min="10961" max="11010" width="0" style="972" hidden="1"/>
    <col min="11011" max="11011" width="55.28515625" style="972" customWidth="1"/>
    <col min="11012" max="11049" width="0" style="972" hidden="1" customWidth="1"/>
    <col min="11050" max="11215" width="9.140625" style="972" customWidth="1"/>
    <col min="11216" max="11216" width="55.28515625" style="972" customWidth="1"/>
    <col min="11217" max="11266" width="0" style="972" hidden="1"/>
    <col min="11267" max="11267" width="55.28515625" style="972" customWidth="1"/>
    <col min="11268" max="11305" width="0" style="972" hidden="1" customWidth="1"/>
    <col min="11306" max="11471" width="9.140625" style="972" customWidth="1"/>
    <col min="11472" max="11472" width="55.28515625" style="972" customWidth="1"/>
    <col min="11473" max="11522" width="0" style="972" hidden="1"/>
    <col min="11523" max="11523" width="55.28515625" style="972" customWidth="1"/>
    <col min="11524" max="11561" width="0" style="972" hidden="1" customWidth="1"/>
    <col min="11562" max="11727" width="9.140625" style="972" customWidth="1"/>
    <col min="11728" max="11728" width="55.28515625" style="972" customWidth="1"/>
    <col min="11729" max="11778" width="0" style="972" hidden="1"/>
    <col min="11779" max="11779" width="55.28515625" style="972" customWidth="1"/>
    <col min="11780" max="11817" width="0" style="972" hidden="1" customWidth="1"/>
    <col min="11818" max="11983" width="9.140625" style="972" customWidth="1"/>
    <col min="11984" max="11984" width="55.28515625" style="972" customWidth="1"/>
    <col min="11985" max="12034" width="0" style="972" hidden="1"/>
    <col min="12035" max="12035" width="55.28515625" style="972" customWidth="1"/>
    <col min="12036" max="12073" width="0" style="972" hidden="1" customWidth="1"/>
    <col min="12074" max="12239" width="9.140625" style="972" customWidth="1"/>
    <col min="12240" max="12240" width="55.28515625" style="972" customWidth="1"/>
    <col min="12241" max="12290" width="0" style="972" hidden="1"/>
    <col min="12291" max="12291" width="55.28515625" style="972" customWidth="1"/>
    <col min="12292" max="12329" width="0" style="972" hidden="1" customWidth="1"/>
    <col min="12330" max="12495" width="9.140625" style="972" customWidth="1"/>
    <col min="12496" max="12496" width="55.28515625" style="972" customWidth="1"/>
    <col min="12497" max="12546" width="0" style="972" hidden="1"/>
    <col min="12547" max="12547" width="55.28515625" style="972" customWidth="1"/>
    <col min="12548" max="12585" width="0" style="972" hidden="1" customWidth="1"/>
    <col min="12586" max="12751" width="9.140625" style="972" customWidth="1"/>
    <col min="12752" max="12752" width="55.28515625" style="972" customWidth="1"/>
    <col min="12753" max="12802" width="0" style="972" hidden="1"/>
    <col min="12803" max="12803" width="55.28515625" style="972" customWidth="1"/>
    <col min="12804" max="12841" width="0" style="972" hidden="1" customWidth="1"/>
    <col min="12842" max="13007" width="9.140625" style="972" customWidth="1"/>
    <col min="13008" max="13008" width="55.28515625" style="972" customWidth="1"/>
    <col min="13009" max="13058" width="0" style="972" hidden="1"/>
    <col min="13059" max="13059" width="55.28515625" style="972" customWidth="1"/>
    <col min="13060" max="13097" width="0" style="972" hidden="1" customWidth="1"/>
    <col min="13098" max="13263" width="9.140625" style="972" customWidth="1"/>
    <col min="13264" max="13264" width="55.28515625" style="972" customWidth="1"/>
    <col min="13265" max="13314" width="0" style="972" hidden="1"/>
    <col min="13315" max="13315" width="55.28515625" style="972" customWidth="1"/>
    <col min="13316" max="13353" width="0" style="972" hidden="1" customWidth="1"/>
    <col min="13354" max="13519" width="9.140625" style="972" customWidth="1"/>
    <col min="13520" max="13520" width="55.28515625" style="972" customWidth="1"/>
    <col min="13521" max="13570" width="0" style="972" hidden="1"/>
    <col min="13571" max="13571" width="55.28515625" style="972" customWidth="1"/>
    <col min="13572" max="13609" width="0" style="972" hidden="1" customWidth="1"/>
    <col min="13610" max="13775" width="9.140625" style="972" customWidth="1"/>
    <col min="13776" max="13776" width="55.28515625" style="972" customWidth="1"/>
    <col min="13777" max="13826" width="0" style="972" hidden="1"/>
    <col min="13827" max="13827" width="55.28515625" style="972" customWidth="1"/>
    <col min="13828" max="13865" width="0" style="972" hidden="1" customWidth="1"/>
    <col min="13866" max="14031" width="9.140625" style="972" customWidth="1"/>
    <col min="14032" max="14032" width="55.28515625" style="972" customWidth="1"/>
    <col min="14033" max="14082" width="0" style="972" hidden="1"/>
    <col min="14083" max="14083" width="55.28515625" style="972" customWidth="1"/>
    <col min="14084" max="14121" width="0" style="972" hidden="1" customWidth="1"/>
    <col min="14122" max="14287" width="9.140625" style="972" customWidth="1"/>
    <col min="14288" max="14288" width="55.28515625" style="972" customWidth="1"/>
    <col min="14289" max="14338" width="0" style="972" hidden="1"/>
    <col min="14339" max="14339" width="55.28515625" style="972" customWidth="1"/>
    <col min="14340" max="14377" width="0" style="972" hidden="1" customWidth="1"/>
    <col min="14378" max="14543" width="9.140625" style="972" customWidth="1"/>
    <col min="14544" max="14544" width="55.28515625" style="972" customWidth="1"/>
    <col min="14545" max="14594" width="0" style="972" hidden="1"/>
    <col min="14595" max="14595" width="55.28515625" style="972" customWidth="1"/>
    <col min="14596" max="14633" width="0" style="972" hidden="1" customWidth="1"/>
    <col min="14634" max="14799" width="9.140625" style="972" customWidth="1"/>
    <col min="14800" max="14800" width="55.28515625" style="972" customWidth="1"/>
    <col min="14801" max="14850" width="0" style="972" hidden="1"/>
    <col min="14851" max="14851" width="55.28515625" style="972" customWidth="1"/>
    <col min="14852" max="14889" width="0" style="972" hidden="1" customWidth="1"/>
    <col min="14890" max="15055" width="9.140625" style="972" customWidth="1"/>
    <col min="15056" max="15056" width="55.28515625" style="972" customWidth="1"/>
    <col min="15057" max="15106" width="0" style="972" hidden="1"/>
    <col min="15107" max="15107" width="55.28515625" style="972" customWidth="1"/>
    <col min="15108" max="15145" width="0" style="972" hidden="1" customWidth="1"/>
    <col min="15146" max="15311" width="9.140625" style="972" customWidth="1"/>
    <col min="15312" max="15312" width="55.28515625" style="972" customWidth="1"/>
    <col min="15313" max="15362" width="0" style="972" hidden="1"/>
    <col min="15363" max="15363" width="55.28515625" style="972" customWidth="1"/>
    <col min="15364" max="15401" width="0" style="972" hidden="1" customWidth="1"/>
    <col min="15402" max="15567" width="9.140625" style="972" customWidth="1"/>
    <col min="15568" max="15568" width="55.28515625" style="972" customWidth="1"/>
    <col min="15569" max="15618" width="0" style="972" hidden="1"/>
    <col min="15619" max="15619" width="55.28515625" style="972" customWidth="1"/>
    <col min="15620" max="15657" width="0" style="972" hidden="1" customWidth="1"/>
    <col min="15658" max="15823" width="9.140625" style="972" customWidth="1"/>
    <col min="15824" max="15824" width="55.28515625" style="972" customWidth="1"/>
    <col min="15825" max="15874" width="0" style="972" hidden="1"/>
    <col min="15875" max="15875" width="55.28515625" style="972" customWidth="1"/>
    <col min="15876" max="15913" width="0" style="972" hidden="1" customWidth="1"/>
    <col min="15914" max="16079" width="9.140625" style="972" customWidth="1"/>
    <col min="16080" max="16080" width="55.28515625" style="972" customWidth="1"/>
    <col min="16081" max="16130" width="0" style="972" hidden="1"/>
    <col min="16131" max="16131" width="55.28515625" style="972" customWidth="1"/>
    <col min="16132" max="16169" width="0" style="972" hidden="1" customWidth="1"/>
    <col min="16170" max="16335" width="9.140625" style="972" customWidth="1"/>
    <col min="16336" max="16336" width="55.28515625" style="972" customWidth="1"/>
    <col min="16337" max="16384" width="0" style="972" hidden="1"/>
  </cols>
  <sheetData>
    <row r="1" spans="1:67" ht="25.5" customHeight="1">
      <c r="A1" s="971" t="s">
        <v>2563</v>
      </c>
    </row>
    <row r="2" spans="1:67">
      <c r="A2" s="973"/>
    </row>
    <row r="3" spans="1:67" ht="15.75" thickBot="1">
      <c r="A3" s="974"/>
      <c r="B3" s="975"/>
      <c r="C3" s="975"/>
      <c r="D3" s="975"/>
      <c r="E3" s="975"/>
      <c r="G3" s="975"/>
      <c r="H3" s="975"/>
      <c r="I3" s="975"/>
      <c r="K3" s="975"/>
      <c r="N3" s="975"/>
      <c r="O3" s="975"/>
      <c r="P3" s="975"/>
      <c r="Q3" s="975"/>
      <c r="R3" s="975"/>
      <c r="S3" s="975"/>
      <c r="T3" s="975"/>
      <c r="U3" s="975"/>
      <c r="V3" s="975"/>
      <c r="W3" s="975"/>
      <c r="X3" s="975"/>
      <c r="Y3" s="976"/>
      <c r="Z3" s="976"/>
      <c r="AA3" s="976"/>
      <c r="AB3" s="976"/>
      <c r="AC3" s="976"/>
      <c r="AD3" s="977"/>
      <c r="AE3" s="977"/>
      <c r="AF3" s="977"/>
      <c r="AG3" s="977"/>
      <c r="AH3" s="977"/>
      <c r="AI3" s="977"/>
      <c r="AJ3" s="977"/>
      <c r="AK3" s="978"/>
      <c r="AL3" s="978"/>
      <c r="AM3" s="978"/>
      <c r="AN3" s="978"/>
      <c r="AO3" s="978"/>
      <c r="AP3" s="978"/>
      <c r="AV3" s="978"/>
      <c r="AW3" s="978"/>
      <c r="AX3" s="978"/>
      <c r="BA3" s="979"/>
      <c r="BB3" s="979"/>
      <c r="BD3" s="979"/>
      <c r="BE3" s="979"/>
      <c r="BF3" s="979"/>
      <c r="BG3" s="979"/>
      <c r="BH3" s="979"/>
      <c r="BO3" s="979" t="s">
        <v>49</v>
      </c>
    </row>
    <row r="4" spans="1:67" ht="24" customHeight="1" thickTop="1" thickBot="1">
      <c r="A4" s="980"/>
      <c r="B4" s="845">
        <v>40179</v>
      </c>
      <c r="C4" s="845">
        <v>40211</v>
      </c>
      <c r="D4" s="845">
        <v>40239</v>
      </c>
      <c r="E4" s="845">
        <v>40270</v>
      </c>
      <c r="F4" s="845">
        <v>40300</v>
      </c>
      <c r="G4" s="845">
        <v>40331</v>
      </c>
      <c r="H4" s="845">
        <v>40361</v>
      </c>
      <c r="I4" s="845">
        <v>40392</v>
      </c>
      <c r="J4" s="845">
        <v>40423</v>
      </c>
      <c r="K4" s="845">
        <v>40453</v>
      </c>
      <c r="L4" s="845">
        <v>40484</v>
      </c>
      <c r="M4" s="845">
        <v>40514</v>
      </c>
      <c r="N4" s="845">
        <v>40545</v>
      </c>
      <c r="O4" s="845">
        <v>40576</v>
      </c>
      <c r="P4" s="845">
        <v>40604</v>
      </c>
      <c r="Q4" s="845">
        <v>40635</v>
      </c>
      <c r="R4" s="845">
        <v>40665</v>
      </c>
      <c r="S4" s="845">
        <v>40696</v>
      </c>
      <c r="T4" s="845">
        <v>40726</v>
      </c>
      <c r="U4" s="845">
        <v>40757</v>
      </c>
      <c r="V4" s="845">
        <v>40788</v>
      </c>
      <c r="W4" s="845">
        <v>40818</v>
      </c>
      <c r="X4" s="845">
        <v>40849</v>
      </c>
      <c r="Y4" s="845">
        <v>40879</v>
      </c>
      <c r="Z4" s="845">
        <v>40910</v>
      </c>
      <c r="AA4" s="845">
        <v>40941</v>
      </c>
      <c r="AB4" s="845">
        <v>40970</v>
      </c>
      <c r="AC4" s="845">
        <v>41001</v>
      </c>
      <c r="AD4" s="842">
        <v>41031</v>
      </c>
      <c r="AE4" s="843">
        <v>41062</v>
      </c>
      <c r="AF4" s="843">
        <v>41092</v>
      </c>
      <c r="AG4" s="843">
        <v>41123</v>
      </c>
      <c r="AH4" s="843">
        <v>41154</v>
      </c>
      <c r="AI4" s="843">
        <v>41184</v>
      </c>
      <c r="AJ4" s="843">
        <v>41215</v>
      </c>
      <c r="AK4" s="843">
        <v>41245</v>
      </c>
      <c r="AL4" s="843">
        <v>41276</v>
      </c>
      <c r="AM4" s="843">
        <v>41307</v>
      </c>
      <c r="AN4" s="843">
        <v>41335</v>
      </c>
      <c r="AO4" s="843">
        <v>41366</v>
      </c>
      <c r="AP4" s="843">
        <v>41396</v>
      </c>
      <c r="AQ4" s="841">
        <v>41427</v>
      </c>
      <c r="AR4" s="845">
        <v>41457</v>
      </c>
      <c r="AS4" s="845">
        <v>41488</v>
      </c>
      <c r="AT4" s="845">
        <v>41519</v>
      </c>
      <c r="AU4" s="845">
        <v>41549</v>
      </c>
      <c r="AV4" s="845">
        <v>41580</v>
      </c>
      <c r="AW4" s="845">
        <v>41610</v>
      </c>
      <c r="AX4" s="845">
        <v>41641</v>
      </c>
      <c r="AY4" s="845">
        <v>41672</v>
      </c>
      <c r="AZ4" s="845">
        <v>41700</v>
      </c>
      <c r="BA4" s="845">
        <v>41731</v>
      </c>
      <c r="BB4" s="845">
        <v>41761</v>
      </c>
      <c r="BC4" s="845">
        <v>41791</v>
      </c>
      <c r="BD4" s="845">
        <v>41821</v>
      </c>
      <c r="BE4" s="845">
        <v>41852</v>
      </c>
      <c r="BF4" s="845">
        <v>41883</v>
      </c>
      <c r="BG4" s="845">
        <v>41914</v>
      </c>
      <c r="BH4" s="845">
        <v>41945</v>
      </c>
      <c r="BI4" s="845">
        <v>41975</v>
      </c>
      <c r="BJ4" s="845">
        <v>42006</v>
      </c>
      <c r="BK4" s="845">
        <v>42037</v>
      </c>
      <c r="BL4" s="845">
        <v>42065</v>
      </c>
      <c r="BM4" s="845">
        <v>42096</v>
      </c>
      <c r="BN4" s="845">
        <v>42126</v>
      </c>
      <c r="BO4" s="845">
        <v>42157</v>
      </c>
    </row>
    <row r="5" spans="1:67" ht="15.75" thickTop="1">
      <c r="A5" s="981"/>
      <c r="B5" s="982"/>
      <c r="C5" s="982"/>
      <c r="D5" s="982"/>
      <c r="E5" s="982"/>
      <c r="F5" s="982"/>
      <c r="G5" s="982"/>
      <c r="H5" s="982"/>
      <c r="I5" s="982"/>
      <c r="J5" s="982"/>
      <c r="K5" s="982"/>
      <c r="L5" s="982"/>
      <c r="M5" s="982"/>
      <c r="N5" s="982"/>
      <c r="O5" s="982"/>
      <c r="P5" s="982"/>
      <c r="Q5" s="982"/>
      <c r="R5" s="982"/>
      <c r="S5" s="982"/>
      <c r="T5" s="982"/>
      <c r="U5" s="982"/>
      <c r="V5" s="982"/>
      <c r="W5" s="982"/>
      <c r="X5" s="982"/>
      <c r="Y5" s="982"/>
      <c r="Z5" s="982"/>
      <c r="AA5" s="982"/>
      <c r="AB5" s="982"/>
      <c r="AC5" s="982"/>
      <c r="AD5" s="983"/>
      <c r="AE5" s="984"/>
      <c r="AF5" s="984"/>
      <c r="AG5" s="984"/>
      <c r="AH5" s="984"/>
      <c r="AI5" s="984"/>
      <c r="AJ5" s="984"/>
      <c r="AK5" s="984"/>
      <c r="AL5" s="984"/>
      <c r="AM5" s="984"/>
      <c r="AN5" s="962"/>
      <c r="AO5" s="962"/>
      <c r="AP5" s="962"/>
      <c r="AQ5" s="985"/>
      <c r="AR5" s="985"/>
      <c r="AS5" s="985"/>
      <c r="AT5" s="985"/>
      <c r="AU5" s="985"/>
      <c r="AV5" s="985"/>
      <c r="AW5" s="985"/>
      <c r="AX5" s="985"/>
      <c r="AY5" s="985"/>
      <c r="AZ5" s="985"/>
      <c r="BA5" s="985"/>
      <c r="BB5" s="985"/>
      <c r="BC5" s="985"/>
      <c r="BD5" s="985"/>
      <c r="BE5" s="985"/>
      <c r="BF5" s="985"/>
      <c r="BG5" s="985"/>
      <c r="BH5" s="985"/>
      <c r="BI5" s="985"/>
      <c r="BJ5" s="985"/>
      <c r="BK5" s="985"/>
      <c r="BL5" s="985"/>
      <c r="BM5" s="985"/>
      <c r="BN5" s="985"/>
      <c r="BO5" s="985"/>
    </row>
    <row r="6" spans="1:67" ht="17.25" customHeight="1">
      <c r="A6" s="986" t="s">
        <v>2564</v>
      </c>
      <c r="B6" s="987">
        <v>66426.303235972882</v>
      </c>
      <c r="C6" s="987">
        <v>67813.347178623269</v>
      </c>
      <c r="D6" s="987">
        <v>67350.55298928589</v>
      </c>
      <c r="E6" s="987">
        <v>67898.424276395206</v>
      </c>
      <c r="F6" s="987">
        <v>70563.533940011592</v>
      </c>
      <c r="G6" s="987">
        <v>69029.206086238628</v>
      </c>
      <c r="H6" s="987">
        <v>69173.827566074178</v>
      </c>
      <c r="I6" s="987">
        <v>70109.753901685341</v>
      </c>
      <c r="J6" s="987">
        <v>73222.669057128718</v>
      </c>
      <c r="K6" s="987">
        <v>72628.910586909114</v>
      </c>
      <c r="L6" s="987">
        <v>74948.541309052278</v>
      </c>
      <c r="M6" s="987">
        <v>77907.26620021234</v>
      </c>
      <c r="N6" s="987">
        <v>74640.649942564065</v>
      </c>
      <c r="O6" s="987">
        <v>74618.615312754191</v>
      </c>
      <c r="P6" s="987">
        <v>76376.735414886105</v>
      </c>
      <c r="Q6" s="987">
        <v>75700.789623743025</v>
      </c>
      <c r="R6" s="987">
        <v>77269.692369705648</v>
      </c>
      <c r="S6" s="987">
        <v>79953.017943437662</v>
      </c>
      <c r="T6" s="987">
        <v>79074.75525046949</v>
      </c>
      <c r="U6" s="987">
        <v>79520.667822633579</v>
      </c>
      <c r="V6" s="987">
        <v>78671.260029511788</v>
      </c>
      <c r="W6" s="987">
        <v>81199.667306703283</v>
      </c>
      <c r="X6" s="987">
        <v>77556.049942866448</v>
      </c>
      <c r="Y6" s="987">
        <v>80100.875885288551</v>
      </c>
      <c r="Z6" s="987">
        <v>80040.746933815622</v>
      </c>
      <c r="AA6" s="987">
        <v>79939.581236785903</v>
      </c>
      <c r="AB6" s="987">
        <v>79411.668224062698</v>
      </c>
      <c r="AC6" s="987">
        <v>79032.748513622151</v>
      </c>
      <c r="AD6" s="988">
        <v>78098.527743300889</v>
      </c>
      <c r="AE6" s="989">
        <v>85159.248901662751</v>
      </c>
      <c r="AF6" s="989">
        <v>86394.874568552084</v>
      </c>
      <c r="AG6" s="989">
        <v>86880.112743733043</v>
      </c>
      <c r="AH6" s="989">
        <v>87928.224802783152</v>
      </c>
      <c r="AI6" s="989">
        <v>88106.871545446251</v>
      </c>
      <c r="AJ6" s="989">
        <v>90488.3945909303</v>
      </c>
      <c r="AK6" s="989">
        <v>91559.825805914632</v>
      </c>
      <c r="AL6" s="989">
        <v>94098.106945505308</v>
      </c>
      <c r="AM6" s="989">
        <v>93549.31388682939</v>
      </c>
      <c r="AN6" s="990">
        <v>96754.802980609718</v>
      </c>
      <c r="AO6" s="990">
        <v>95870.007278678371</v>
      </c>
      <c r="AP6" s="990">
        <v>104072.51915873688</v>
      </c>
      <c r="AQ6" s="991">
        <v>103579.9323233067</v>
      </c>
      <c r="AR6" s="991">
        <v>100694.20800170788</v>
      </c>
      <c r="AS6" s="991">
        <v>99291.769986535714</v>
      </c>
      <c r="AT6" s="991">
        <v>100933.44968334469</v>
      </c>
      <c r="AU6" s="991">
        <v>100229.18125081969</v>
      </c>
      <c r="AV6" s="991">
        <v>99261.274187500021</v>
      </c>
      <c r="AW6" s="991">
        <v>103497.94482550361</v>
      </c>
      <c r="AX6" s="991">
        <v>102921.43799632388</v>
      </c>
      <c r="AY6" s="991">
        <v>108544.33997084292</v>
      </c>
      <c r="AZ6" s="991">
        <v>110343.08859754098</v>
      </c>
      <c r="BA6" s="991">
        <v>114721.20755311572</v>
      </c>
      <c r="BB6" s="991">
        <v>117055.21513527753</v>
      </c>
      <c r="BC6" s="991">
        <v>119619.60702976644</v>
      </c>
      <c r="BD6" s="991">
        <v>121075.74227892855</v>
      </c>
      <c r="BE6" s="991">
        <v>123260.36938210644</v>
      </c>
      <c r="BF6" s="991">
        <v>120752.98616916555</v>
      </c>
      <c r="BG6" s="991">
        <v>119694.92564294937</v>
      </c>
      <c r="BH6" s="991">
        <v>117838.97237219621</v>
      </c>
      <c r="BI6" s="991">
        <v>122735.45625949455</v>
      </c>
      <c r="BJ6" s="991">
        <v>120049.19112513392</v>
      </c>
      <c r="BK6" s="991">
        <v>126047.57279302411</v>
      </c>
      <c r="BL6" s="991">
        <v>139062.48919025276</v>
      </c>
      <c r="BM6" s="991">
        <v>137586.09214340354</v>
      </c>
      <c r="BN6" s="991">
        <v>138175.21268258648</v>
      </c>
      <c r="BO6" s="991">
        <v>138628.47666558527</v>
      </c>
    </row>
    <row r="7" spans="1:67" ht="17.25" customHeight="1">
      <c r="A7" s="992" t="s">
        <v>2565</v>
      </c>
      <c r="B7" s="993">
        <v>66492.585799862878</v>
      </c>
      <c r="C7" s="993">
        <v>67862.01856516127</v>
      </c>
      <c r="D7" s="993">
        <v>67430.017346329885</v>
      </c>
      <c r="E7" s="993">
        <v>67945.452102185212</v>
      </c>
      <c r="F7" s="993">
        <v>70614.469927441591</v>
      </c>
      <c r="G7" s="993">
        <v>69077.816955356626</v>
      </c>
      <c r="H7" s="993">
        <v>69265.429972490179</v>
      </c>
      <c r="I7" s="993">
        <v>70224.263039725134</v>
      </c>
      <c r="J7" s="993">
        <v>73306.736101442715</v>
      </c>
      <c r="K7" s="993">
        <v>72737.86993747011</v>
      </c>
      <c r="L7" s="993">
        <v>75058.895358864276</v>
      </c>
      <c r="M7" s="993">
        <v>78026.980681843343</v>
      </c>
      <c r="N7" s="993">
        <v>74759.402480359786</v>
      </c>
      <c r="O7" s="993">
        <v>74756.632415967833</v>
      </c>
      <c r="P7" s="993">
        <v>76503.314619923578</v>
      </c>
      <c r="Q7" s="993">
        <v>75822.721528235488</v>
      </c>
      <c r="R7" s="993">
        <v>77399.73435942053</v>
      </c>
      <c r="S7" s="993">
        <v>80428.540590047662</v>
      </c>
      <c r="T7" s="993">
        <v>79203.946197350044</v>
      </c>
      <c r="U7" s="993">
        <v>79650.466859240361</v>
      </c>
      <c r="V7" s="993">
        <v>78845.458772601793</v>
      </c>
      <c r="W7" s="993">
        <v>81365.965833621827</v>
      </c>
      <c r="X7" s="993">
        <v>77788.750568031581</v>
      </c>
      <c r="Y7" s="993">
        <v>80237.109940980547</v>
      </c>
      <c r="Z7" s="993">
        <v>80176.177110206452</v>
      </c>
      <c r="AA7" s="993">
        <v>80076.559609812335</v>
      </c>
      <c r="AB7" s="993">
        <v>79548.29515837974</v>
      </c>
      <c r="AC7" s="993">
        <v>79170.996508812314</v>
      </c>
      <c r="AD7" s="994">
        <v>78259.701957858124</v>
      </c>
      <c r="AE7" s="995">
        <v>85301.194492148148</v>
      </c>
      <c r="AF7" s="995">
        <v>86536.615580950136</v>
      </c>
      <c r="AG7" s="995">
        <v>86975.8829999195</v>
      </c>
      <c r="AH7" s="995">
        <v>88031.529455901109</v>
      </c>
      <c r="AI7" s="995">
        <v>88210.393405284456</v>
      </c>
      <c r="AJ7" s="995">
        <v>90592.266418886065</v>
      </c>
      <c r="AK7" s="995">
        <v>91662.001872008113</v>
      </c>
      <c r="AL7" s="995">
        <v>94206.306852081107</v>
      </c>
      <c r="AM7" s="995">
        <v>93652.94961204275</v>
      </c>
      <c r="AN7" s="996">
        <v>96856.18605491468</v>
      </c>
      <c r="AO7" s="996">
        <v>95972.828640172738</v>
      </c>
      <c r="AP7" s="996">
        <v>104173.9</v>
      </c>
      <c r="AQ7" s="997">
        <v>103679.96920214912</v>
      </c>
      <c r="AR7" s="997">
        <v>100788.00224111319</v>
      </c>
      <c r="AS7" s="997">
        <v>99389.311397990154</v>
      </c>
      <c r="AT7" s="997">
        <v>101028.76444301031</v>
      </c>
      <c r="AU7" s="997">
        <v>100323.77135378917</v>
      </c>
      <c r="AV7" s="997">
        <v>99353.672925023173</v>
      </c>
      <c r="AW7" s="997">
        <v>103588.59652304999</v>
      </c>
      <c r="AX7" s="997">
        <v>103056.83719043</v>
      </c>
      <c r="AY7" s="997">
        <v>108803.3230663904</v>
      </c>
      <c r="AZ7" s="997">
        <v>110599.60209876251</v>
      </c>
      <c r="BA7" s="997">
        <v>114974.06548828747</v>
      </c>
      <c r="BB7" s="997">
        <v>117312.07808435091</v>
      </c>
      <c r="BC7" s="997">
        <v>119944.65630671878</v>
      </c>
      <c r="BD7" s="997">
        <v>121350.88133572963</v>
      </c>
      <c r="BE7" s="997">
        <v>123535.35157167081</v>
      </c>
      <c r="BF7" s="997">
        <v>121023.82463929077</v>
      </c>
      <c r="BG7" s="997">
        <v>119863.62063081395</v>
      </c>
      <c r="BH7" s="997">
        <v>118004.01682056001</v>
      </c>
      <c r="BI7" s="997">
        <v>122902.86876265999</v>
      </c>
      <c r="BJ7" s="997">
        <v>120224.55203825</v>
      </c>
      <c r="BK7" s="997">
        <v>126134.09181294555</v>
      </c>
      <c r="BL7" s="997">
        <v>139159.55671709255</v>
      </c>
      <c r="BM7" s="997">
        <v>137675.95125165879</v>
      </c>
      <c r="BN7" s="997">
        <v>138270.08388301558</v>
      </c>
      <c r="BO7" s="997">
        <v>138736.36289079723</v>
      </c>
    </row>
    <row r="8" spans="1:67" ht="17.25" customHeight="1">
      <c r="A8" s="992" t="s">
        <v>2566</v>
      </c>
      <c r="B8" s="993">
        <v>66.282563890000006</v>
      </c>
      <c r="C8" s="993">
        <v>48.671386537999993</v>
      </c>
      <c r="D8" s="993">
        <v>79.464357043999996</v>
      </c>
      <c r="E8" s="993">
        <v>47.027825789999994</v>
      </c>
      <c r="F8" s="993">
        <v>50.935987430000004</v>
      </c>
      <c r="G8" s="993">
        <v>48.610869118000004</v>
      </c>
      <c r="H8" s="993">
        <v>91.602406415999994</v>
      </c>
      <c r="I8" s="993">
        <v>114.50913803979999</v>
      </c>
      <c r="J8" s="993">
        <v>84.067044314</v>
      </c>
      <c r="K8" s="993">
        <v>108.95935056100001</v>
      </c>
      <c r="L8" s="993">
        <v>110.354049812</v>
      </c>
      <c r="M8" s="993">
        <v>119.71448163099998</v>
      </c>
      <c r="N8" s="993">
        <v>118.75253779572</v>
      </c>
      <c r="O8" s="993">
        <v>138.01710321363998</v>
      </c>
      <c r="P8" s="993">
        <v>126.57920503747999</v>
      </c>
      <c r="Q8" s="993">
        <v>121.93190449245998</v>
      </c>
      <c r="R8" s="993">
        <v>130.04198971488</v>
      </c>
      <c r="S8" s="993">
        <v>475.52264660999992</v>
      </c>
      <c r="T8" s="993">
        <v>129.19094688056001</v>
      </c>
      <c r="U8" s="993">
        <v>129.79903660677999</v>
      </c>
      <c r="V8" s="993">
        <v>174.19874308999999</v>
      </c>
      <c r="W8" s="993">
        <v>166.29852691854001</v>
      </c>
      <c r="X8" s="993">
        <v>232.70062516512718</v>
      </c>
      <c r="Y8" s="993">
        <v>136.234055692</v>
      </c>
      <c r="Z8" s="993">
        <v>135.43017639083101</v>
      </c>
      <c r="AA8" s="993">
        <v>136.97837302643597</v>
      </c>
      <c r="AB8" s="993">
        <v>136.62693431704</v>
      </c>
      <c r="AC8" s="993">
        <v>138.24799519016801</v>
      </c>
      <c r="AD8" s="994">
        <v>161.1742145572403</v>
      </c>
      <c r="AE8" s="995">
        <v>141.945590485396</v>
      </c>
      <c r="AF8" s="995">
        <v>141.74101239805501</v>
      </c>
      <c r="AG8" s="995">
        <v>95.770256186449998</v>
      </c>
      <c r="AH8" s="995">
        <v>103.30465311795001</v>
      </c>
      <c r="AI8" s="995">
        <v>103.5218598382</v>
      </c>
      <c r="AJ8" s="995">
        <v>103.87182795577</v>
      </c>
      <c r="AK8" s="995">
        <v>102.17606609348002</v>
      </c>
      <c r="AL8" s="995">
        <v>108.19990657579299</v>
      </c>
      <c r="AM8" s="995">
        <v>103.635725213366</v>
      </c>
      <c r="AN8" s="996">
        <v>101.38307430495601</v>
      </c>
      <c r="AO8" s="996">
        <v>102.82136149436799</v>
      </c>
      <c r="AP8" s="996">
        <v>101.433573398102</v>
      </c>
      <c r="AQ8" s="997">
        <v>100.03687884241801</v>
      </c>
      <c r="AR8" s="997">
        <v>93.794239405303003</v>
      </c>
      <c r="AS8" s="997">
        <v>97.541411454433984</v>
      </c>
      <c r="AT8" s="997">
        <v>95.314759665617004</v>
      </c>
      <c r="AU8" s="997">
        <v>94.590102969479005</v>
      </c>
      <c r="AV8" s="997">
        <v>92.398737523146991</v>
      </c>
      <c r="AW8" s="997">
        <v>90.651697546370997</v>
      </c>
      <c r="AX8" s="997">
        <v>135.39919410613217</v>
      </c>
      <c r="AY8" s="997">
        <v>258.98309554747982</v>
      </c>
      <c r="AZ8" s="997">
        <v>256.51350122152587</v>
      </c>
      <c r="BA8" s="997">
        <v>252.85793517174864</v>
      </c>
      <c r="BB8" s="997">
        <v>256.86294907339197</v>
      </c>
      <c r="BC8" s="997">
        <v>325.04927695233687</v>
      </c>
      <c r="BD8" s="997">
        <v>275.13905680107899</v>
      </c>
      <c r="BE8" s="997">
        <v>274.98218956436813</v>
      </c>
      <c r="BF8" s="997">
        <v>270.83847012521659</v>
      </c>
      <c r="BG8" s="997">
        <v>168.69498786457569</v>
      </c>
      <c r="BH8" s="997">
        <v>165.04444836380523</v>
      </c>
      <c r="BI8" s="997">
        <v>167.41250316544603</v>
      </c>
      <c r="BJ8" s="997">
        <v>175.36091311607953</v>
      </c>
      <c r="BK8" s="997">
        <v>86.519019921446016</v>
      </c>
      <c r="BL8" s="997">
        <v>97.067526839780001</v>
      </c>
      <c r="BM8" s="997">
        <v>89.859108255252991</v>
      </c>
      <c r="BN8" s="997">
        <v>94.871200429091999</v>
      </c>
      <c r="BO8" s="997">
        <v>107.886225211962</v>
      </c>
    </row>
    <row r="9" spans="1:67" ht="17.25" customHeight="1">
      <c r="A9" s="998"/>
      <c r="B9" s="999"/>
      <c r="C9" s="999"/>
      <c r="D9" s="999"/>
      <c r="E9" s="999"/>
      <c r="F9" s="999"/>
      <c r="G9" s="999"/>
      <c r="H9" s="999"/>
      <c r="I9" s="999"/>
      <c r="J9" s="999"/>
      <c r="K9" s="999"/>
      <c r="L9" s="999"/>
      <c r="M9" s="999"/>
      <c r="N9" s="999"/>
      <c r="O9" s="999"/>
      <c r="P9" s="999"/>
      <c r="Q9" s="999"/>
      <c r="R9" s="999"/>
      <c r="S9" s="999"/>
      <c r="T9" s="999"/>
      <c r="U9" s="999"/>
      <c r="V9" s="999"/>
      <c r="W9" s="999"/>
      <c r="X9" s="999"/>
      <c r="Y9" s="999"/>
      <c r="Z9" s="999"/>
      <c r="AA9" s="999"/>
      <c r="AB9" s="999"/>
      <c r="AC9" s="999"/>
      <c r="AD9" s="1000"/>
      <c r="AE9" s="1001"/>
      <c r="AF9" s="1001"/>
      <c r="AG9" s="1001"/>
      <c r="AH9" s="1001"/>
      <c r="AI9" s="1001"/>
      <c r="AJ9" s="1001"/>
      <c r="AK9" s="1001"/>
      <c r="AL9" s="1001"/>
      <c r="AM9" s="1001"/>
      <c r="AN9" s="1002"/>
      <c r="AO9" s="1002"/>
      <c r="AP9" s="1002"/>
      <c r="AQ9" s="1003"/>
      <c r="AR9" s="1003"/>
      <c r="AS9" s="1003"/>
      <c r="AT9" s="1003"/>
      <c r="AU9" s="1003"/>
      <c r="AV9" s="1003"/>
      <c r="AW9" s="1003"/>
      <c r="AX9" s="1003"/>
      <c r="AY9" s="1003"/>
      <c r="AZ9" s="1003"/>
      <c r="BA9" s="1003"/>
      <c r="BB9" s="1003"/>
      <c r="BC9" s="1003"/>
      <c r="BD9" s="1003"/>
      <c r="BE9" s="1003"/>
      <c r="BF9" s="1003"/>
      <c r="BG9" s="1003"/>
      <c r="BH9" s="1003"/>
      <c r="BI9" s="1003"/>
      <c r="BJ9" s="1003"/>
      <c r="BK9" s="1003"/>
      <c r="BL9" s="1003"/>
      <c r="BM9" s="1003"/>
      <c r="BN9" s="1003"/>
      <c r="BO9" s="1003"/>
    </row>
    <row r="10" spans="1:67" ht="17.25" customHeight="1">
      <c r="A10" s="986" t="s">
        <v>2567</v>
      </c>
      <c r="B10" s="987">
        <v>416.39877228</v>
      </c>
      <c r="C10" s="987">
        <v>398.98351687999997</v>
      </c>
      <c r="D10" s="987">
        <v>464.59303090000003</v>
      </c>
      <c r="E10" s="987">
        <v>369.60301450999998</v>
      </c>
      <c r="F10" s="987">
        <v>408.48481404999995</v>
      </c>
      <c r="G10" s="987">
        <v>451.59551101999995</v>
      </c>
      <c r="H10" s="987">
        <v>445.53247376000002</v>
      </c>
      <c r="I10" s="987">
        <v>375.32156171000003</v>
      </c>
      <c r="J10" s="987">
        <v>729.0334312199999</v>
      </c>
      <c r="K10" s="987">
        <v>725.01450312999987</v>
      </c>
      <c r="L10" s="987">
        <v>1098.9094759899999</v>
      </c>
      <c r="M10" s="987">
        <v>992.11887309000008</v>
      </c>
      <c r="N10" s="987">
        <v>1201.4398751599999</v>
      </c>
      <c r="O10" s="987">
        <v>986.17518556999994</v>
      </c>
      <c r="P10" s="987">
        <v>242.02596110999997</v>
      </c>
      <c r="Q10" s="987">
        <v>265.07175250999995</v>
      </c>
      <c r="R10" s="987">
        <v>629.2786777099999</v>
      </c>
      <c r="S10" s="987">
        <v>246.32987396999999</v>
      </c>
      <c r="T10" s="987">
        <v>1772.48621953</v>
      </c>
      <c r="U10" s="987">
        <v>1112.8485640200001</v>
      </c>
      <c r="V10" s="987">
        <v>719.99327042000004</v>
      </c>
      <c r="W10" s="987">
        <v>955.00277437</v>
      </c>
      <c r="X10" s="987">
        <v>1127.9270470100003</v>
      </c>
      <c r="Y10" s="987">
        <v>1138.7372729100002</v>
      </c>
      <c r="Z10" s="987">
        <v>1211.1530704200002</v>
      </c>
      <c r="AA10" s="987">
        <v>1131.4411226499999</v>
      </c>
      <c r="AB10" s="987">
        <v>1179.4819348599999</v>
      </c>
      <c r="AC10" s="987">
        <v>1157.8965479799999</v>
      </c>
      <c r="AD10" s="988">
        <v>218.86825797</v>
      </c>
      <c r="AE10" s="989">
        <v>450.09873363999998</v>
      </c>
      <c r="AF10" s="989">
        <v>152.5676181</v>
      </c>
      <c r="AG10" s="989">
        <v>445.32254952000005</v>
      </c>
      <c r="AH10" s="989">
        <v>763.68187892000003</v>
      </c>
      <c r="AI10" s="989">
        <v>1163.6323081500002</v>
      </c>
      <c r="AJ10" s="989">
        <v>1325.8463739199999</v>
      </c>
      <c r="AK10" s="989">
        <v>1804.5649623700001</v>
      </c>
      <c r="AL10" s="989">
        <v>2146.9082228399998</v>
      </c>
      <c r="AM10" s="989">
        <v>2114.7532336799995</v>
      </c>
      <c r="AN10" s="990">
        <v>2108.0848065299997</v>
      </c>
      <c r="AO10" s="990">
        <v>2342.2126538799998</v>
      </c>
      <c r="AP10" s="990">
        <v>1233.3859579699999</v>
      </c>
      <c r="AQ10" s="991">
        <v>1546.1322582800001</v>
      </c>
      <c r="AR10" s="991">
        <v>1729.84466681</v>
      </c>
      <c r="AS10" s="991">
        <v>2100.3866184399999</v>
      </c>
      <c r="AT10" s="991">
        <v>2973.8737531799998</v>
      </c>
      <c r="AU10" s="991">
        <v>2466.6333634100001</v>
      </c>
      <c r="AV10" s="991">
        <v>2627.7498871299995</v>
      </c>
      <c r="AW10" s="991">
        <v>2715.6635386299995</v>
      </c>
      <c r="AX10" s="991">
        <v>3505.64319918</v>
      </c>
      <c r="AY10" s="991">
        <v>3459.2269215600004</v>
      </c>
      <c r="AZ10" s="991">
        <v>3529.4347085599993</v>
      </c>
      <c r="BA10" s="991">
        <v>3453.8968748400002</v>
      </c>
      <c r="BB10" s="991">
        <v>2412.4059201499999</v>
      </c>
      <c r="BC10" s="991">
        <v>2414.3403686699999</v>
      </c>
      <c r="BD10" s="991">
        <v>1784.51822917</v>
      </c>
      <c r="BE10" s="991">
        <v>2049.3917820399997</v>
      </c>
      <c r="BF10" s="991">
        <v>2089.3361430999998</v>
      </c>
      <c r="BG10" s="991">
        <v>2102.1365570700004</v>
      </c>
      <c r="BH10" s="991">
        <v>2294.0404291999994</v>
      </c>
      <c r="BI10" s="991">
        <v>2467.8894129999999</v>
      </c>
      <c r="BJ10" s="991">
        <v>2207.8287976499996</v>
      </c>
      <c r="BK10" s="991">
        <v>2382.2947444899996</v>
      </c>
      <c r="BL10" s="991">
        <v>2443.1738772899998</v>
      </c>
      <c r="BM10" s="991">
        <v>2611.5448260100006</v>
      </c>
      <c r="BN10" s="991">
        <v>2007.7485255200002</v>
      </c>
      <c r="BO10" s="991">
        <v>2027.59553033</v>
      </c>
    </row>
    <row r="11" spans="1:67" ht="17.25" customHeight="1">
      <c r="A11" s="998"/>
      <c r="B11" s="999"/>
      <c r="C11" s="999"/>
      <c r="D11" s="999"/>
      <c r="E11" s="999"/>
      <c r="F11" s="999"/>
      <c r="G11" s="999"/>
      <c r="H11" s="999"/>
      <c r="I11" s="999"/>
      <c r="J11" s="999"/>
      <c r="K11" s="999"/>
      <c r="L11" s="999"/>
      <c r="M11" s="999"/>
      <c r="N11" s="999"/>
      <c r="O11" s="999"/>
      <c r="P11" s="999"/>
      <c r="Q11" s="999"/>
      <c r="R11" s="999"/>
      <c r="S11" s="999"/>
      <c r="T11" s="999"/>
      <c r="U11" s="999"/>
      <c r="V11" s="999"/>
      <c r="W11" s="999"/>
      <c r="X11" s="999"/>
      <c r="Y11" s="999"/>
      <c r="Z11" s="999"/>
      <c r="AA11" s="999"/>
      <c r="AB11" s="999"/>
      <c r="AC11" s="999"/>
      <c r="AD11" s="1000"/>
      <c r="AE11" s="1001"/>
      <c r="AF11" s="1001"/>
      <c r="AG11" s="1001"/>
      <c r="AH11" s="1001"/>
      <c r="AI11" s="1001"/>
      <c r="AJ11" s="1001"/>
      <c r="AK11" s="1001"/>
      <c r="AL11" s="1001"/>
      <c r="AM11" s="1001"/>
      <c r="AN11" s="1002"/>
      <c r="AO11" s="1002"/>
      <c r="AP11" s="1002"/>
      <c r="AQ11" s="1003"/>
      <c r="AR11" s="1003"/>
      <c r="AS11" s="1003"/>
      <c r="AT11" s="1003"/>
      <c r="AU11" s="1003"/>
      <c r="AV11" s="1003"/>
      <c r="AW11" s="1003"/>
      <c r="AX11" s="1003"/>
      <c r="AY11" s="1003"/>
      <c r="AZ11" s="1003"/>
      <c r="BA11" s="1003"/>
      <c r="BB11" s="1003"/>
      <c r="BC11" s="1003"/>
      <c r="BD11" s="1003"/>
      <c r="BE11" s="1003"/>
      <c r="BF11" s="1003"/>
      <c r="BG11" s="1003"/>
      <c r="BH11" s="1003"/>
      <c r="BI11" s="1003"/>
      <c r="BJ11" s="1003"/>
      <c r="BK11" s="1003"/>
      <c r="BL11" s="1003"/>
      <c r="BM11" s="1003"/>
      <c r="BN11" s="1003"/>
      <c r="BO11" s="1003"/>
    </row>
    <row r="12" spans="1:67" ht="17.25" customHeight="1">
      <c r="A12" s="986" t="s">
        <v>2568</v>
      </c>
      <c r="B12" s="987">
        <v>-16094.591653099998</v>
      </c>
      <c r="C12" s="987">
        <v>-15133.990915980001</v>
      </c>
      <c r="D12" s="987">
        <v>-10574.257390679999</v>
      </c>
      <c r="E12" s="987">
        <v>-13160.13132181</v>
      </c>
      <c r="F12" s="987">
        <v>-13184.197336680001</v>
      </c>
      <c r="G12" s="987">
        <v>-12603.214470860001</v>
      </c>
      <c r="H12" s="987">
        <v>-12649.402737140001</v>
      </c>
      <c r="I12" s="987">
        <v>-13999.36386032</v>
      </c>
      <c r="J12" s="987">
        <v>-12309.791425859999</v>
      </c>
      <c r="K12" s="987">
        <v>-9506.4930552200003</v>
      </c>
      <c r="L12" s="987">
        <v>-11316.247423609999</v>
      </c>
      <c r="M12" s="987">
        <v>-9687.6799926800013</v>
      </c>
      <c r="N12" s="987">
        <v>-8384.2803368000004</v>
      </c>
      <c r="O12" s="987">
        <v>-7735.6408573600002</v>
      </c>
      <c r="P12" s="987">
        <v>-11176.693028849997</v>
      </c>
      <c r="Q12" s="987">
        <v>-9606.6951597400002</v>
      </c>
      <c r="R12" s="987">
        <v>-11320.184787369999</v>
      </c>
      <c r="S12" s="987">
        <v>-10168.74607549</v>
      </c>
      <c r="T12" s="987">
        <v>-11201.799995440004</v>
      </c>
      <c r="U12" s="987">
        <v>-8361.1217992800011</v>
      </c>
      <c r="V12" s="987">
        <v>-10561.849022570001</v>
      </c>
      <c r="W12" s="987">
        <v>-11253.339342660001</v>
      </c>
      <c r="X12" s="987">
        <v>-9436.6171233200002</v>
      </c>
      <c r="Y12" s="987">
        <v>-7837.3001372700001</v>
      </c>
      <c r="Z12" s="987">
        <v>-10079.960773000003</v>
      </c>
      <c r="AA12" s="987">
        <v>-8692.3302772299994</v>
      </c>
      <c r="AB12" s="987">
        <v>-9372.881900270002</v>
      </c>
      <c r="AC12" s="987">
        <v>-8880.1699302400029</v>
      </c>
      <c r="AD12" s="988">
        <v>-8780.1530179400033</v>
      </c>
      <c r="AE12" s="989">
        <v>-11179.910112040001</v>
      </c>
      <c r="AF12" s="989">
        <v>-11456.030725809998</v>
      </c>
      <c r="AG12" s="989">
        <v>-13179.341982179998</v>
      </c>
      <c r="AH12" s="989">
        <v>-11879.09227354</v>
      </c>
      <c r="AI12" s="989">
        <v>-13350.546611650003</v>
      </c>
      <c r="AJ12" s="989">
        <v>-16898.939951499997</v>
      </c>
      <c r="AK12" s="989">
        <v>-11466.967172649998</v>
      </c>
      <c r="AL12" s="989">
        <v>-13650.276193949998</v>
      </c>
      <c r="AM12" s="989">
        <v>-12018.874950829999</v>
      </c>
      <c r="AN12" s="990">
        <v>-12476.195903029999</v>
      </c>
      <c r="AO12" s="990">
        <v>-14313.36957282</v>
      </c>
      <c r="AP12" s="990">
        <v>-17374.062681929754</v>
      </c>
      <c r="AQ12" s="991">
        <v>-18112.053482993684</v>
      </c>
      <c r="AR12" s="991">
        <v>-14044.60487612374</v>
      </c>
      <c r="AS12" s="991">
        <v>-13816.06028582856</v>
      </c>
      <c r="AT12" s="991">
        <v>-17341.511666418828</v>
      </c>
      <c r="AU12" s="991">
        <v>-15217.901120033093</v>
      </c>
      <c r="AV12" s="991">
        <v>-13552.266238281474</v>
      </c>
      <c r="AW12" s="991">
        <v>-10932.694839660657</v>
      </c>
      <c r="AX12" s="991">
        <v>-13197.887711877294</v>
      </c>
      <c r="AY12" s="991">
        <v>-12463.583303451964</v>
      </c>
      <c r="AZ12" s="991">
        <v>-13387.690245879574</v>
      </c>
      <c r="BA12" s="991">
        <v>-17897.114501728862</v>
      </c>
      <c r="BB12" s="991">
        <v>-16472.475734490621</v>
      </c>
      <c r="BC12" s="991">
        <v>-18912.303265928196</v>
      </c>
      <c r="BD12" s="991">
        <v>-19181.228839505362</v>
      </c>
      <c r="BE12" s="991">
        <v>-20865.026249724659</v>
      </c>
      <c r="BF12" s="991">
        <v>-24581.233548614022</v>
      </c>
      <c r="BG12" s="991">
        <v>-22626.159615587952</v>
      </c>
      <c r="BH12" s="991">
        <v>-19870.683686191223</v>
      </c>
      <c r="BI12" s="991">
        <v>-20743.429970004472</v>
      </c>
      <c r="BJ12" s="991">
        <v>-19352.681883520723</v>
      </c>
      <c r="BK12" s="991">
        <v>-22349.474304150681</v>
      </c>
      <c r="BL12" s="991">
        <v>-23502.995871067244</v>
      </c>
      <c r="BM12" s="991">
        <v>-22661.474497705807</v>
      </c>
      <c r="BN12" s="991">
        <v>-22878.465939326445</v>
      </c>
      <c r="BO12" s="991">
        <v>-21714.827886328236</v>
      </c>
    </row>
    <row r="13" spans="1:67" ht="17.25" customHeight="1">
      <c r="A13" s="992" t="s">
        <v>2569</v>
      </c>
      <c r="B13" s="993">
        <v>549.75010699000006</v>
      </c>
      <c r="C13" s="993">
        <v>550.85699225999997</v>
      </c>
      <c r="D13" s="993">
        <v>477.41486412</v>
      </c>
      <c r="E13" s="993">
        <v>858.95183839999993</v>
      </c>
      <c r="F13" s="993">
        <v>1303.6483870500001</v>
      </c>
      <c r="G13" s="993">
        <v>1844.10998189</v>
      </c>
      <c r="H13" s="993">
        <v>1965.83924781</v>
      </c>
      <c r="I13" s="993">
        <v>2258.9554319200001</v>
      </c>
      <c r="J13" s="993">
        <v>2585.9917589500001</v>
      </c>
      <c r="K13" s="993">
        <v>3852.9324706999996</v>
      </c>
      <c r="L13" s="993">
        <v>4715.6667137699997</v>
      </c>
      <c r="M13" s="993">
        <v>5382.3653765999998</v>
      </c>
      <c r="N13" s="993">
        <v>5373.29925731</v>
      </c>
      <c r="O13" s="993">
        <v>5497.6521717300002</v>
      </c>
      <c r="P13" s="993">
        <v>5506.0446070600001</v>
      </c>
      <c r="Q13" s="993">
        <v>5753.6136106899994</v>
      </c>
      <c r="R13" s="993">
        <v>5568.8466461199996</v>
      </c>
      <c r="S13" s="993">
        <v>5785.0552399299995</v>
      </c>
      <c r="T13" s="993">
        <v>5888.7961917399998</v>
      </c>
      <c r="U13" s="993">
        <v>6327.5861512699994</v>
      </c>
      <c r="V13" s="993">
        <v>6270.1117044499997</v>
      </c>
      <c r="W13" s="993">
        <v>6681.2161204800004</v>
      </c>
      <c r="X13" s="993">
        <v>8446.9020713999998</v>
      </c>
      <c r="Y13" s="993">
        <v>9153.0711483899995</v>
      </c>
      <c r="Z13" s="993">
        <v>9515.2999755599994</v>
      </c>
      <c r="AA13" s="993">
        <v>9793.35363435</v>
      </c>
      <c r="AB13" s="993">
        <v>9467.6423170699982</v>
      </c>
      <c r="AC13" s="993">
        <v>9830.5223254699977</v>
      </c>
      <c r="AD13" s="994">
        <v>9826.4607385599993</v>
      </c>
      <c r="AE13" s="995">
        <v>9264.1876788000009</v>
      </c>
      <c r="AF13" s="995">
        <v>9218.8616261900006</v>
      </c>
      <c r="AG13" s="995">
        <v>8422.1579610000008</v>
      </c>
      <c r="AH13" s="995">
        <v>7958.31289956</v>
      </c>
      <c r="AI13" s="995">
        <v>6858.3900487000001</v>
      </c>
      <c r="AJ13" s="995">
        <v>5187.7303872000002</v>
      </c>
      <c r="AK13" s="995">
        <v>5183.1208412000005</v>
      </c>
      <c r="AL13" s="995">
        <v>6185.9692967000001</v>
      </c>
      <c r="AM13" s="995">
        <v>6441.3858202000001</v>
      </c>
      <c r="AN13" s="996">
        <v>6886.9248842000006</v>
      </c>
      <c r="AO13" s="996">
        <v>6821.7543517000004</v>
      </c>
      <c r="AP13" s="996">
        <v>6745.0943592000003</v>
      </c>
      <c r="AQ13" s="997">
        <v>6632.2029702399996</v>
      </c>
      <c r="AR13" s="997">
        <v>6616.6135157399995</v>
      </c>
      <c r="AS13" s="997">
        <v>6524.0395767399996</v>
      </c>
      <c r="AT13" s="997">
        <v>6390.45828833</v>
      </c>
      <c r="AU13" s="997">
        <v>6741.4355393300002</v>
      </c>
      <c r="AV13" s="997">
        <v>6907.6845558300001</v>
      </c>
      <c r="AW13" s="997">
        <v>6797.7968853299999</v>
      </c>
      <c r="AX13" s="997">
        <v>6826.0566403299999</v>
      </c>
      <c r="AY13" s="997">
        <v>6653.6253613299996</v>
      </c>
      <c r="AZ13" s="997">
        <v>6637.9881083299997</v>
      </c>
      <c r="BA13" s="997">
        <v>6548.2404078299996</v>
      </c>
      <c r="BB13" s="997">
        <v>6228.14650463</v>
      </c>
      <c r="BC13" s="997">
        <v>6228.1632066299999</v>
      </c>
      <c r="BD13" s="997">
        <v>6072.2898871300004</v>
      </c>
      <c r="BE13" s="997">
        <v>5894.4752891300004</v>
      </c>
      <c r="BF13" s="997">
        <v>5656.9743366299999</v>
      </c>
      <c r="BG13" s="997">
        <v>5100.8797456299999</v>
      </c>
      <c r="BH13" s="997">
        <v>4666.6661986300005</v>
      </c>
      <c r="BI13" s="997">
        <v>4203.0171466299998</v>
      </c>
      <c r="BJ13" s="997">
        <v>4030.7490541300003</v>
      </c>
      <c r="BK13" s="997">
        <v>3933.0082186300001</v>
      </c>
      <c r="BL13" s="997">
        <v>3832.90427821</v>
      </c>
      <c r="BM13" s="997">
        <v>3664.3168907099998</v>
      </c>
      <c r="BN13" s="997">
        <v>3556.5026962100001</v>
      </c>
      <c r="BO13" s="997">
        <v>3469.8331357100001</v>
      </c>
    </row>
    <row r="14" spans="1:67" ht="17.25" customHeight="1">
      <c r="A14" s="992" t="s">
        <v>2570</v>
      </c>
      <c r="B14" s="993">
        <v>16644.341760089999</v>
      </c>
      <c r="C14" s="993">
        <v>15684.847908240001</v>
      </c>
      <c r="D14" s="993">
        <v>11051.6722548</v>
      </c>
      <c r="E14" s="993">
        <v>14019.083160210001</v>
      </c>
      <c r="F14" s="993">
        <v>14487.845723730001</v>
      </c>
      <c r="G14" s="993">
        <v>14447.324452750001</v>
      </c>
      <c r="H14" s="993">
        <v>14615.24198495</v>
      </c>
      <c r="I14" s="993">
        <v>16258.319292239999</v>
      </c>
      <c r="J14" s="993">
        <v>14895.78318481</v>
      </c>
      <c r="K14" s="993">
        <v>13359.42552592</v>
      </c>
      <c r="L14" s="993">
        <v>16031.914137379999</v>
      </c>
      <c r="M14" s="993">
        <v>15070.04536928</v>
      </c>
      <c r="N14" s="993">
        <v>13757.57959411</v>
      </c>
      <c r="O14" s="993">
        <v>13233.29302909</v>
      </c>
      <c r="P14" s="993">
        <v>16682.737635909998</v>
      </c>
      <c r="Q14" s="993">
        <v>15360.30877043</v>
      </c>
      <c r="R14" s="993">
        <v>16889.031433489999</v>
      </c>
      <c r="S14" s="993">
        <v>15953.80131542</v>
      </c>
      <c r="T14" s="993">
        <v>17090.596187180003</v>
      </c>
      <c r="U14" s="993">
        <v>14688.707950550001</v>
      </c>
      <c r="V14" s="993">
        <v>16831.960727019999</v>
      </c>
      <c r="W14" s="993">
        <v>17934.555463140001</v>
      </c>
      <c r="X14" s="993">
        <v>17883.51919472</v>
      </c>
      <c r="Y14" s="993">
        <v>16990.37128566</v>
      </c>
      <c r="Z14" s="993">
        <v>19595.260748560002</v>
      </c>
      <c r="AA14" s="993">
        <v>18485.683911579999</v>
      </c>
      <c r="AB14" s="993">
        <v>18840.52421734</v>
      </c>
      <c r="AC14" s="993">
        <v>18710.692255710001</v>
      </c>
      <c r="AD14" s="994">
        <v>18606.613756500003</v>
      </c>
      <c r="AE14" s="995">
        <v>20444.097790840002</v>
      </c>
      <c r="AF14" s="995">
        <v>20674.892351999999</v>
      </c>
      <c r="AG14" s="995">
        <v>21601.499943179999</v>
      </c>
      <c r="AH14" s="995">
        <v>19837.4051731</v>
      </c>
      <c r="AI14" s="995">
        <v>20208.936660350002</v>
      </c>
      <c r="AJ14" s="995">
        <v>22086.670338699998</v>
      </c>
      <c r="AK14" s="995">
        <v>16650.08801385</v>
      </c>
      <c r="AL14" s="995">
        <v>19836.245490649999</v>
      </c>
      <c r="AM14" s="995">
        <v>18460.26077103</v>
      </c>
      <c r="AN14" s="996">
        <v>19363.12078723</v>
      </c>
      <c r="AO14" s="996">
        <v>21135.123924520001</v>
      </c>
      <c r="AP14" s="996">
        <v>24119.157041129754</v>
      </c>
      <c r="AQ14" s="997">
        <v>24744.256453233684</v>
      </c>
      <c r="AR14" s="997">
        <v>20661.218391863738</v>
      </c>
      <c r="AS14" s="997">
        <v>20340.099862568561</v>
      </c>
      <c r="AT14" s="997">
        <v>23731.969954748827</v>
      </c>
      <c r="AU14" s="997">
        <v>21959.336659363093</v>
      </c>
      <c r="AV14" s="997">
        <v>20459.950794111475</v>
      </c>
      <c r="AW14" s="997">
        <v>17730.491724990658</v>
      </c>
      <c r="AX14" s="997">
        <v>20023.944352207294</v>
      </c>
      <c r="AY14" s="997">
        <v>19117.208664781963</v>
      </c>
      <c r="AZ14" s="997">
        <v>20025.678354209573</v>
      </c>
      <c r="BA14" s="997">
        <v>24445.354909558861</v>
      </c>
      <c r="BB14" s="997">
        <v>22700.622239120621</v>
      </c>
      <c r="BC14" s="997">
        <v>25140.466472558197</v>
      </c>
      <c r="BD14" s="997">
        <v>25253.518726635361</v>
      </c>
      <c r="BE14" s="997">
        <v>26759.50153885466</v>
      </c>
      <c r="BF14" s="997">
        <v>30238.207885244021</v>
      </c>
      <c r="BG14" s="997">
        <v>27727.03936121795</v>
      </c>
      <c r="BH14" s="997">
        <v>24537.349884821222</v>
      </c>
      <c r="BI14" s="997">
        <v>24946.447116634474</v>
      </c>
      <c r="BJ14" s="997">
        <v>23383.430937650723</v>
      </c>
      <c r="BK14" s="997">
        <v>26282.48252278068</v>
      </c>
      <c r="BL14" s="997">
        <v>27335.900149277244</v>
      </c>
      <c r="BM14" s="997">
        <v>26325.791388415808</v>
      </c>
      <c r="BN14" s="997">
        <v>26434.968635536447</v>
      </c>
      <c r="BO14" s="997">
        <v>25184.661022038235</v>
      </c>
    </row>
    <row r="15" spans="1:67" ht="17.25" customHeight="1">
      <c r="A15" s="998"/>
      <c r="B15" s="999"/>
      <c r="C15" s="999"/>
      <c r="D15" s="999"/>
      <c r="E15" s="999"/>
      <c r="F15" s="999"/>
      <c r="G15" s="999"/>
      <c r="H15" s="999"/>
      <c r="I15" s="999"/>
      <c r="J15" s="999"/>
      <c r="K15" s="999"/>
      <c r="L15" s="999"/>
      <c r="M15" s="999"/>
      <c r="N15" s="999"/>
      <c r="O15" s="999"/>
      <c r="P15" s="999"/>
      <c r="Q15" s="999"/>
      <c r="R15" s="999"/>
      <c r="S15" s="999"/>
      <c r="T15" s="999"/>
      <c r="U15" s="999"/>
      <c r="V15" s="999"/>
      <c r="W15" s="999"/>
      <c r="X15" s="999"/>
      <c r="Y15" s="999"/>
      <c r="Z15" s="999"/>
      <c r="AA15" s="999"/>
      <c r="AB15" s="999"/>
      <c r="AC15" s="999"/>
      <c r="AD15" s="1000"/>
      <c r="AE15" s="1001"/>
      <c r="AF15" s="1001"/>
      <c r="AG15" s="1001"/>
      <c r="AH15" s="1001"/>
      <c r="AI15" s="1001"/>
      <c r="AJ15" s="1001"/>
      <c r="AK15" s="1001"/>
      <c r="AL15" s="1001"/>
      <c r="AM15" s="1001"/>
      <c r="AN15" s="1002"/>
      <c r="AO15" s="1002"/>
      <c r="AP15" s="1002"/>
      <c r="AQ15" s="1003"/>
      <c r="AR15" s="1003"/>
      <c r="AS15" s="1003"/>
      <c r="AT15" s="1003"/>
      <c r="AU15" s="1003"/>
      <c r="AV15" s="1003"/>
      <c r="AW15" s="1003"/>
      <c r="AX15" s="1003"/>
      <c r="AY15" s="1003"/>
      <c r="AZ15" s="1003"/>
      <c r="BA15" s="1003"/>
      <c r="BB15" s="1003"/>
      <c r="BC15" s="1003"/>
      <c r="BD15" s="1003"/>
      <c r="BE15" s="1003"/>
      <c r="BF15" s="1003"/>
      <c r="BG15" s="1003"/>
      <c r="BH15" s="1003"/>
      <c r="BI15" s="1003"/>
      <c r="BJ15" s="1003"/>
      <c r="BK15" s="1003"/>
      <c r="BL15" s="1003"/>
      <c r="BM15" s="1003"/>
      <c r="BN15" s="1003"/>
      <c r="BO15" s="1003"/>
    </row>
    <row r="16" spans="1:67" ht="17.25" customHeight="1">
      <c r="A16" s="986" t="s">
        <v>2571</v>
      </c>
      <c r="B16" s="987">
        <v>153.19780331999999</v>
      </c>
      <c r="C16" s="987">
        <v>154.31596911</v>
      </c>
      <c r="D16" s="987">
        <v>138.70587049999997</v>
      </c>
      <c r="E16" s="987">
        <v>145.20146566999998</v>
      </c>
      <c r="F16" s="987">
        <v>139.64907062999998</v>
      </c>
      <c r="G16" s="987">
        <v>144.54348844999998</v>
      </c>
      <c r="H16" s="987">
        <v>136.46690247999999</v>
      </c>
      <c r="I16" s="987">
        <v>137.70103456999999</v>
      </c>
      <c r="J16" s="987">
        <v>166.28222216</v>
      </c>
      <c r="K16" s="987">
        <v>164.10271523999998</v>
      </c>
      <c r="L16" s="987">
        <v>188.36966712999998</v>
      </c>
      <c r="M16" s="987">
        <v>289.10614802999993</v>
      </c>
      <c r="N16" s="987">
        <v>325.25928297999997</v>
      </c>
      <c r="O16" s="987">
        <v>266.26099159999995</v>
      </c>
      <c r="P16" s="987">
        <v>282.16233682000001</v>
      </c>
      <c r="Q16" s="987">
        <v>326.19289162000001</v>
      </c>
      <c r="R16" s="987">
        <v>355.96613649</v>
      </c>
      <c r="S16" s="987">
        <v>144.95301177000002</v>
      </c>
      <c r="T16" s="987">
        <v>145.04960496999999</v>
      </c>
      <c r="U16" s="987">
        <v>146.18456738</v>
      </c>
      <c r="V16" s="987">
        <v>147.98835771</v>
      </c>
      <c r="W16" s="987">
        <v>189.87692557</v>
      </c>
      <c r="X16" s="987">
        <v>188.68572480999998</v>
      </c>
      <c r="Y16" s="987">
        <v>187.66180904000001</v>
      </c>
      <c r="Z16" s="987">
        <v>184.76241243000001</v>
      </c>
      <c r="AA16" s="987">
        <v>235.96431477000002</v>
      </c>
      <c r="AB16" s="987">
        <v>228.80128807000003</v>
      </c>
      <c r="AC16" s="987">
        <v>202.30284356000001</v>
      </c>
      <c r="AD16" s="988">
        <v>207.31680611000002</v>
      </c>
      <c r="AE16" s="989">
        <v>142.31707372000002</v>
      </c>
      <c r="AF16" s="989">
        <v>246.29880878</v>
      </c>
      <c r="AG16" s="989">
        <v>157.61338316000001</v>
      </c>
      <c r="AH16" s="989">
        <v>186.53756657</v>
      </c>
      <c r="AI16" s="989">
        <v>186.00266166</v>
      </c>
      <c r="AJ16" s="989">
        <v>148.20166657000001</v>
      </c>
      <c r="AK16" s="989">
        <v>184.47326498999999</v>
      </c>
      <c r="AL16" s="989">
        <v>158.50110899000001</v>
      </c>
      <c r="AM16" s="989">
        <v>151.81138362999999</v>
      </c>
      <c r="AN16" s="990">
        <v>144.74117856000001</v>
      </c>
      <c r="AO16" s="990">
        <v>154.39851223000002</v>
      </c>
      <c r="AP16" s="990">
        <v>135.40763834000001</v>
      </c>
      <c r="AQ16" s="991">
        <v>198.07188681</v>
      </c>
      <c r="AR16" s="991">
        <v>126.59522910000001</v>
      </c>
      <c r="AS16" s="991">
        <v>150.84449430999999</v>
      </c>
      <c r="AT16" s="991">
        <v>162.74188365000003</v>
      </c>
      <c r="AU16" s="991">
        <v>164.49673319999999</v>
      </c>
      <c r="AV16" s="991">
        <v>163.62766462999997</v>
      </c>
      <c r="AW16" s="991">
        <v>172.66457023999999</v>
      </c>
      <c r="AX16" s="991">
        <v>134.78201322999996</v>
      </c>
      <c r="AY16" s="991">
        <v>146.16603488000001</v>
      </c>
      <c r="AZ16" s="991">
        <v>154.80724961999994</v>
      </c>
      <c r="BA16" s="991">
        <v>158.50427366000002</v>
      </c>
      <c r="BB16" s="991">
        <v>161.91662781999997</v>
      </c>
      <c r="BC16" s="991">
        <v>159.59387422</v>
      </c>
      <c r="BD16" s="991">
        <v>117.25199542000001</v>
      </c>
      <c r="BE16" s="991">
        <v>129.45984655000001</v>
      </c>
      <c r="BF16" s="991">
        <v>134.73078520999996</v>
      </c>
      <c r="BG16" s="991">
        <v>140.02408560999999</v>
      </c>
      <c r="BH16" s="991">
        <v>139.35857369000001</v>
      </c>
      <c r="BI16" s="991">
        <v>152.22108252999999</v>
      </c>
      <c r="BJ16" s="991">
        <v>115.15130846999999</v>
      </c>
      <c r="BK16" s="991">
        <v>126.01319054</v>
      </c>
      <c r="BL16" s="991">
        <v>127.1554088</v>
      </c>
      <c r="BM16" s="991">
        <v>371.52363643000001</v>
      </c>
      <c r="BN16" s="991">
        <v>379.96656151999991</v>
      </c>
      <c r="BO16" s="991">
        <v>3704.0103747000003</v>
      </c>
    </row>
    <row r="17" spans="1:67" ht="17.25" customHeight="1">
      <c r="A17" s="986"/>
      <c r="B17" s="1004"/>
      <c r="C17" s="1004"/>
      <c r="D17" s="1004"/>
      <c r="E17" s="1004"/>
      <c r="F17" s="1004"/>
      <c r="G17" s="1004"/>
      <c r="H17" s="1004"/>
      <c r="I17" s="1004"/>
      <c r="J17" s="1004"/>
      <c r="K17" s="1004"/>
      <c r="L17" s="1004"/>
      <c r="M17" s="1004"/>
      <c r="N17" s="1004"/>
      <c r="O17" s="1004"/>
      <c r="P17" s="1004"/>
      <c r="Q17" s="1004"/>
      <c r="R17" s="1004"/>
      <c r="S17" s="1004"/>
      <c r="T17" s="1004"/>
      <c r="U17" s="1004"/>
      <c r="V17" s="1004"/>
      <c r="W17" s="1004"/>
      <c r="X17" s="1004"/>
      <c r="Y17" s="1004"/>
      <c r="Z17" s="1004"/>
      <c r="AA17" s="1004"/>
      <c r="AB17" s="1004"/>
      <c r="AC17" s="1004"/>
      <c r="AD17" s="1005"/>
      <c r="AE17" s="1006"/>
      <c r="AF17" s="1006"/>
      <c r="AG17" s="1006"/>
      <c r="AH17" s="1006"/>
      <c r="AI17" s="1006"/>
      <c r="AJ17" s="1006"/>
      <c r="AK17" s="1006"/>
      <c r="AL17" s="1006"/>
      <c r="AM17" s="1006"/>
      <c r="AN17" s="1007"/>
      <c r="AO17" s="1007"/>
      <c r="AP17" s="1007"/>
      <c r="AQ17" s="1008"/>
      <c r="AR17" s="1008"/>
      <c r="AS17" s="1008"/>
      <c r="AT17" s="1008"/>
      <c r="AU17" s="1008"/>
      <c r="AV17" s="1008"/>
      <c r="AW17" s="1008"/>
      <c r="AX17" s="1008"/>
      <c r="AY17" s="1008"/>
      <c r="AZ17" s="1008"/>
      <c r="BA17" s="1008"/>
      <c r="BB17" s="1008"/>
      <c r="BC17" s="1008"/>
      <c r="BD17" s="1008"/>
      <c r="BE17" s="1008"/>
      <c r="BF17" s="1008"/>
      <c r="BG17" s="1008"/>
      <c r="BH17" s="1008"/>
      <c r="BI17" s="1008"/>
      <c r="BJ17" s="1008"/>
      <c r="BK17" s="1008"/>
      <c r="BL17" s="1008"/>
      <c r="BM17" s="1008"/>
      <c r="BN17" s="1008"/>
      <c r="BO17" s="1008"/>
    </row>
    <row r="18" spans="1:67" ht="17.25" customHeight="1">
      <c r="A18" s="986" t="s">
        <v>2572</v>
      </c>
      <c r="B18" s="987">
        <v>32306.578817460002</v>
      </c>
      <c r="C18" s="987">
        <v>34188.331145164084</v>
      </c>
      <c r="D18" s="987">
        <v>35018.925947288786</v>
      </c>
      <c r="E18" s="987">
        <v>33972.916108010002</v>
      </c>
      <c r="F18" s="987">
        <v>35004.952882689249</v>
      </c>
      <c r="G18" s="987">
        <v>35648.822886965798</v>
      </c>
      <c r="H18" s="987">
        <v>38111.517277910505</v>
      </c>
      <c r="I18" s="987">
        <v>36422.298472737748</v>
      </c>
      <c r="J18" s="987">
        <v>36444.26897664788</v>
      </c>
      <c r="K18" s="987">
        <v>38868.215593856054</v>
      </c>
      <c r="L18" s="987">
        <v>40023.459073151535</v>
      </c>
      <c r="M18" s="987">
        <v>44935.527259780167</v>
      </c>
      <c r="N18" s="987">
        <v>44220.858916383426</v>
      </c>
      <c r="O18" s="987">
        <v>43457.966264730763</v>
      </c>
      <c r="P18" s="987">
        <v>42616.030383652505</v>
      </c>
      <c r="Q18" s="987">
        <v>43519.537135460872</v>
      </c>
      <c r="R18" s="987">
        <v>41534.157818012638</v>
      </c>
      <c r="S18" s="987">
        <v>42236.711520816105</v>
      </c>
      <c r="T18" s="987">
        <v>42073.932665119974</v>
      </c>
      <c r="U18" s="987">
        <v>44194.178057538316</v>
      </c>
      <c r="V18" s="987">
        <v>42292.116241218129</v>
      </c>
      <c r="W18" s="987">
        <v>42459.190507549785</v>
      </c>
      <c r="X18" s="987">
        <v>41967.209032272607</v>
      </c>
      <c r="Y18" s="987">
        <v>48280.871327637411</v>
      </c>
      <c r="Z18" s="987">
        <v>43850.805226779208</v>
      </c>
      <c r="AA18" s="987">
        <v>44901.044055009108</v>
      </c>
      <c r="AB18" s="987">
        <v>44639.243475667608</v>
      </c>
      <c r="AC18" s="987">
        <v>44527.063578133653</v>
      </c>
      <c r="AD18" s="988">
        <v>44662.991762790327</v>
      </c>
      <c r="AE18" s="989">
        <v>45910.968640197767</v>
      </c>
      <c r="AF18" s="989">
        <v>46049.629763349993</v>
      </c>
      <c r="AG18" s="989">
        <v>46185.34960224</v>
      </c>
      <c r="AH18" s="989">
        <v>47267.960582840002</v>
      </c>
      <c r="AI18" s="989">
        <v>46439.120953459998</v>
      </c>
      <c r="AJ18" s="989">
        <v>45499.108851889992</v>
      </c>
      <c r="AK18" s="989">
        <v>52622.930014159996</v>
      </c>
      <c r="AL18" s="989">
        <v>50086.680641910003</v>
      </c>
      <c r="AM18" s="989">
        <v>52362.476793820002</v>
      </c>
      <c r="AN18" s="990">
        <v>51963.297140969997</v>
      </c>
      <c r="AO18" s="990">
        <v>48815.614415420001</v>
      </c>
      <c r="AP18" s="990">
        <v>52745.513655169998</v>
      </c>
      <c r="AQ18" s="991">
        <v>53094.012917469998</v>
      </c>
      <c r="AR18" s="991">
        <v>54156.365501669992</v>
      </c>
      <c r="AS18" s="991">
        <v>51451.915537709996</v>
      </c>
      <c r="AT18" s="991">
        <v>50185.234078640002</v>
      </c>
      <c r="AU18" s="991">
        <v>51977.864655339996</v>
      </c>
      <c r="AV18" s="991">
        <v>53757.247619950002</v>
      </c>
      <c r="AW18" s="991">
        <v>62350.012214779999</v>
      </c>
      <c r="AX18" s="991">
        <v>58668.6515592</v>
      </c>
      <c r="AY18" s="991">
        <v>64091.710065689993</v>
      </c>
      <c r="AZ18" s="991">
        <v>62483.452767250004</v>
      </c>
      <c r="BA18" s="991">
        <v>62070.370892899999</v>
      </c>
      <c r="BB18" s="991">
        <v>62582.034079030003</v>
      </c>
      <c r="BC18" s="991">
        <v>62137.03930633</v>
      </c>
      <c r="BD18" s="991">
        <v>64802.243488449996</v>
      </c>
      <c r="BE18" s="991">
        <v>66521.777726829998</v>
      </c>
      <c r="BF18" s="991">
        <v>63788.91463728001</v>
      </c>
      <c r="BG18" s="991">
        <v>65201.016736970007</v>
      </c>
      <c r="BH18" s="991">
        <v>63358.074917500002</v>
      </c>
      <c r="BI18" s="991">
        <v>67933.588631679988</v>
      </c>
      <c r="BJ18" s="991">
        <v>68888.095795009998</v>
      </c>
      <c r="BK18" s="991">
        <v>70440.636755090003</v>
      </c>
      <c r="BL18" s="991">
        <v>73577.833934157083</v>
      </c>
      <c r="BM18" s="991">
        <v>75159.682994820003</v>
      </c>
      <c r="BN18" s="991">
        <v>70803.746954400005</v>
      </c>
      <c r="BO18" s="991">
        <v>71594.147533340001</v>
      </c>
    </row>
    <row r="19" spans="1:67" ht="17.25" customHeight="1">
      <c r="A19" s="992" t="s">
        <v>2573</v>
      </c>
      <c r="B19" s="993">
        <v>18952.441887060002</v>
      </c>
      <c r="C19" s="993">
        <v>18641.061393979999</v>
      </c>
      <c r="D19" s="993">
        <v>18743.303560849996</v>
      </c>
      <c r="E19" s="993">
        <v>18751.685785169997</v>
      </c>
      <c r="F19" s="993">
        <v>18911.351549290001</v>
      </c>
      <c r="G19" s="993">
        <v>18649.461355769999</v>
      </c>
      <c r="H19" s="993">
        <v>18959.472219740001</v>
      </c>
      <c r="I19" s="993">
        <v>19099.734956819997</v>
      </c>
      <c r="J19" s="993">
        <v>19096.175257759998</v>
      </c>
      <c r="K19" s="993">
        <v>19126.732547099997</v>
      </c>
      <c r="L19" s="993">
        <v>19515.158774399999</v>
      </c>
      <c r="M19" s="993">
        <v>22591.76147184</v>
      </c>
      <c r="N19" s="993">
        <v>21236.65837347</v>
      </c>
      <c r="O19" s="993">
        <v>20538.891013150002</v>
      </c>
      <c r="P19" s="993">
        <v>20556.85096652</v>
      </c>
      <c r="Q19" s="993">
        <v>20352.834272419997</v>
      </c>
      <c r="R19" s="993">
        <v>20595.249062759998</v>
      </c>
      <c r="S19" s="993">
        <v>20453.797603709998</v>
      </c>
      <c r="T19" s="993">
        <v>20905.664051119998</v>
      </c>
      <c r="U19" s="993">
        <v>21645.42161148</v>
      </c>
      <c r="V19" s="993">
        <v>21156.80149025</v>
      </c>
      <c r="W19" s="993">
        <v>21838.137164569998</v>
      </c>
      <c r="X19" s="993">
        <v>21414.945182689997</v>
      </c>
      <c r="Y19" s="993">
        <v>24469.755843179999</v>
      </c>
      <c r="Z19" s="993">
        <v>22588.058014799997</v>
      </c>
      <c r="AA19" s="993">
        <v>22171.260158819998</v>
      </c>
      <c r="AB19" s="993">
        <v>21862.04674324</v>
      </c>
      <c r="AC19" s="993">
        <v>21939.357956429998</v>
      </c>
      <c r="AD19" s="994">
        <v>22081.98990434</v>
      </c>
      <c r="AE19" s="995">
        <v>21745.491674569999</v>
      </c>
      <c r="AF19" s="995">
        <v>22149.626996290001</v>
      </c>
      <c r="AG19" s="995">
        <v>22572.425488049998</v>
      </c>
      <c r="AH19" s="995">
        <v>22452.776109720002</v>
      </c>
      <c r="AI19" s="995">
        <v>23032.897365330002</v>
      </c>
      <c r="AJ19" s="995">
        <v>23216.152670249998</v>
      </c>
      <c r="AK19" s="995">
        <v>26961.314001819999</v>
      </c>
      <c r="AL19" s="995">
        <v>25163.105337090001</v>
      </c>
      <c r="AM19" s="995">
        <v>24498.755108590001</v>
      </c>
      <c r="AN19" s="996">
        <v>24955.023412139999</v>
      </c>
      <c r="AO19" s="996">
        <v>24919.571457469996</v>
      </c>
      <c r="AP19" s="996">
        <v>24588.03063723</v>
      </c>
      <c r="AQ19" s="997">
        <v>24405.038596909999</v>
      </c>
      <c r="AR19" s="997">
        <v>25220.77754155</v>
      </c>
      <c r="AS19" s="997">
        <v>25317.262526309998</v>
      </c>
      <c r="AT19" s="997">
        <v>24906.271864289996</v>
      </c>
      <c r="AU19" s="997">
        <v>25514.94680301</v>
      </c>
      <c r="AV19" s="997">
        <v>25355.99961635</v>
      </c>
      <c r="AW19" s="997">
        <v>30127.65067585</v>
      </c>
      <c r="AX19" s="997">
        <v>27335.793403099997</v>
      </c>
      <c r="AY19" s="997">
        <v>26937.436175199997</v>
      </c>
      <c r="AZ19" s="997">
        <v>26769.000060089998</v>
      </c>
      <c r="BA19" s="997">
        <v>26721.178490309998</v>
      </c>
      <c r="BB19" s="997">
        <v>26022.338344529999</v>
      </c>
      <c r="BC19" s="997">
        <v>26344.899356469996</v>
      </c>
      <c r="BD19" s="997">
        <v>27338.762973989997</v>
      </c>
      <c r="BE19" s="997">
        <v>26980.232630539998</v>
      </c>
      <c r="BF19" s="997">
        <v>26570.910404800001</v>
      </c>
      <c r="BG19" s="997">
        <v>26596.024344789996</v>
      </c>
      <c r="BH19" s="997">
        <v>27231.957308459998</v>
      </c>
      <c r="BI19" s="997">
        <v>32530.922907949996</v>
      </c>
      <c r="BJ19" s="997">
        <v>28693.542673849999</v>
      </c>
      <c r="BK19" s="997">
        <v>28537.310704579999</v>
      </c>
      <c r="BL19" s="997">
        <v>28235.79267477</v>
      </c>
      <c r="BM19" s="997">
        <v>28891.639225089999</v>
      </c>
      <c r="BN19" s="997">
        <v>28381.598166739997</v>
      </c>
      <c r="BO19" s="997">
        <v>28401.159025539997</v>
      </c>
    </row>
    <row r="20" spans="1:67" ht="17.25" customHeight="1">
      <c r="A20" s="992" t="s">
        <v>2574</v>
      </c>
      <c r="B20" s="993">
        <v>13180.361091909999</v>
      </c>
      <c r="C20" s="993">
        <v>15445.119449369999</v>
      </c>
      <c r="D20" s="993">
        <v>16168.046902009999</v>
      </c>
      <c r="E20" s="993">
        <v>15124.25977701</v>
      </c>
      <c r="F20" s="993">
        <v>16001.144004809998</v>
      </c>
      <c r="G20" s="993">
        <v>16558.544007380002</v>
      </c>
      <c r="H20" s="993">
        <v>19007.349950509997</v>
      </c>
      <c r="I20" s="993">
        <v>17182.945034510001</v>
      </c>
      <c r="J20" s="993">
        <v>17080.954378169998</v>
      </c>
      <c r="K20" s="993">
        <v>19601.086913409999</v>
      </c>
      <c r="L20" s="993">
        <v>20360.644917080001</v>
      </c>
      <c r="M20" s="993">
        <v>22187.582204819999</v>
      </c>
      <c r="N20" s="993">
        <v>22842.828379009999</v>
      </c>
      <c r="O20" s="993">
        <v>22753.930035100002</v>
      </c>
      <c r="P20" s="993">
        <v>21902.896262459999</v>
      </c>
      <c r="Q20" s="993">
        <v>22996.164349359999</v>
      </c>
      <c r="R20" s="993">
        <v>20819.986171249999</v>
      </c>
      <c r="S20" s="993">
        <v>21555.850004669999</v>
      </c>
      <c r="T20" s="993">
        <v>21020.661866890001</v>
      </c>
      <c r="U20" s="993">
        <v>22403.703741509999</v>
      </c>
      <c r="V20" s="993">
        <v>20956.707757559998</v>
      </c>
      <c r="W20" s="993">
        <v>20392.186258429996</v>
      </c>
      <c r="X20" s="993">
        <v>20406.316159820002</v>
      </c>
      <c r="Y20" s="993">
        <v>23666.373667289998</v>
      </c>
      <c r="Z20" s="993">
        <v>21128.55688815</v>
      </c>
      <c r="AA20" s="993">
        <v>22606.986195919999</v>
      </c>
      <c r="AB20" s="993">
        <v>22648.888231509998</v>
      </c>
      <c r="AC20" s="993">
        <v>22462.387835019999</v>
      </c>
      <c r="AD20" s="994">
        <v>22476.149191739998</v>
      </c>
      <c r="AE20" s="995">
        <v>23977.369481069996</v>
      </c>
      <c r="AF20" s="995">
        <v>23701.931139239998</v>
      </c>
      <c r="AG20" s="995">
        <v>23541.113787940001</v>
      </c>
      <c r="AH20" s="995">
        <v>24591.544820159997</v>
      </c>
      <c r="AI20" s="995">
        <v>23167.60481945</v>
      </c>
      <c r="AJ20" s="995">
        <v>22131.482146099999</v>
      </c>
      <c r="AK20" s="995">
        <v>25515.138641540001</v>
      </c>
      <c r="AL20" s="995">
        <v>24854.226564650002</v>
      </c>
      <c r="AM20" s="995">
        <v>27797.761466790002</v>
      </c>
      <c r="AN20" s="996">
        <v>26943.295328619999</v>
      </c>
      <c r="AO20" s="996">
        <v>23830.458748830002</v>
      </c>
      <c r="AP20" s="996">
        <v>28088.96964996</v>
      </c>
      <c r="AQ20" s="997">
        <v>28377.491470929999</v>
      </c>
      <c r="AR20" s="997">
        <v>28845.220740209999</v>
      </c>
      <c r="AS20" s="997">
        <v>26045.912519270001</v>
      </c>
      <c r="AT20" s="997">
        <v>25113.663529400004</v>
      </c>
      <c r="AU20" s="997">
        <v>26366.097784619997</v>
      </c>
      <c r="AV20" s="997">
        <v>28225.168882770002</v>
      </c>
      <c r="AW20" s="997">
        <v>31894.798558349998</v>
      </c>
      <c r="AX20" s="997">
        <v>31263.989790459997</v>
      </c>
      <c r="AY20" s="997">
        <v>37062.201626349997</v>
      </c>
      <c r="AZ20" s="997">
        <v>35626.74721275</v>
      </c>
      <c r="BA20" s="997">
        <v>35263.900715039999</v>
      </c>
      <c r="BB20" s="997">
        <v>36480.672927440006</v>
      </c>
      <c r="BC20" s="997">
        <v>35505.536266570001</v>
      </c>
      <c r="BD20" s="997">
        <v>37346.30601778</v>
      </c>
      <c r="BE20" s="997">
        <v>39447.964838309999</v>
      </c>
      <c r="BF20" s="997">
        <v>37043.045730330006</v>
      </c>
      <c r="BG20" s="997">
        <v>38406.794046370007</v>
      </c>
      <c r="BH20" s="997">
        <v>36009.536248050004</v>
      </c>
      <c r="BI20" s="997">
        <v>35269.696321449999</v>
      </c>
      <c r="BJ20" s="997">
        <v>40104.413002199995</v>
      </c>
      <c r="BK20" s="997">
        <v>41805.112039910004</v>
      </c>
      <c r="BL20" s="997">
        <v>45054.548004237091</v>
      </c>
      <c r="BM20" s="997">
        <v>46161.870899910005</v>
      </c>
      <c r="BN20" s="997">
        <v>42302.540231880004</v>
      </c>
      <c r="BO20" s="997">
        <v>42987.27696255</v>
      </c>
    </row>
    <row r="21" spans="1:67" ht="17.25" customHeight="1">
      <c r="A21" s="992" t="s">
        <v>2575</v>
      </c>
      <c r="B21" s="993">
        <v>173.77583848999998</v>
      </c>
      <c r="C21" s="993">
        <v>102.15030181408299</v>
      </c>
      <c r="D21" s="993">
        <v>107.57548442879599</v>
      </c>
      <c r="E21" s="993">
        <v>96.970545829999992</v>
      </c>
      <c r="F21" s="993">
        <v>92.457328589252</v>
      </c>
      <c r="G21" s="993">
        <v>440.817523815794</v>
      </c>
      <c r="H21" s="993">
        <v>144.695107660503</v>
      </c>
      <c r="I21" s="993">
        <v>139.61848140775101</v>
      </c>
      <c r="J21" s="993">
        <v>267.13934071788196</v>
      </c>
      <c r="K21" s="993">
        <v>140.39613334605099</v>
      </c>
      <c r="L21" s="993">
        <v>147.65538167153198</v>
      </c>
      <c r="M21" s="993">
        <v>156.18358312016798</v>
      </c>
      <c r="N21" s="993">
        <v>141.37216390342701</v>
      </c>
      <c r="O21" s="993">
        <v>165.14521648076197</v>
      </c>
      <c r="P21" s="993">
        <v>156.283154672509</v>
      </c>
      <c r="Q21" s="993">
        <v>170.538513680878</v>
      </c>
      <c r="R21" s="993">
        <v>118.92258400263799</v>
      </c>
      <c r="S21" s="993">
        <v>227.06391243610898</v>
      </c>
      <c r="T21" s="993">
        <v>147.606747109975</v>
      </c>
      <c r="U21" s="993">
        <v>145.05270454831998</v>
      </c>
      <c r="V21" s="993">
        <v>178.60699340812801</v>
      </c>
      <c r="W21" s="993">
        <v>228.86708454979401</v>
      </c>
      <c r="X21" s="993">
        <v>145.94768976260698</v>
      </c>
      <c r="Y21" s="993">
        <v>144.74181716741302</v>
      </c>
      <c r="Z21" s="993">
        <v>134.190323829216</v>
      </c>
      <c r="AA21" s="993">
        <v>122.79770026911299</v>
      </c>
      <c r="AB21" s="993">
        <v>128.30850091761698</v>
      </c>
      <c r="AC21" s="993">
        <v>125.31778668365899</v>
      </c>
      <c r="AD21" s="994">
        <v>104.85266671033099</v>
      </c>
      <c r="AE21" s="995">
        <v>188.10748455776599</v>
      </c>
      <c r="AF21" s="995">
        <v>198.07162782</v>
      </c>
      <c r="AG21" s="995">
        <v>71.810326250000003</v>
      </c>
      <c r="AH21" s="995">
        <v>223.63965296000001</v>
      </c>
      <c r="AI21" s="995">
        <v>238.61876867999996</v>
      </c>
      <c r="AJ21" s="995">
        <v>151.47403553999999</v>
      </c>
      <c r="AK21" s="995">
        <v>146.47737080000002</v>
      </c>
      <c r="AL21" s="995">
        <v>69.348740169999985</v>
      </c>
      <c r="AM21" s="995">
        <v>65.960218440000006</v>
      </c>
      <c r="AN21" s="996">
        <v>64.97840020999999</v>
      </c>
      <c r="AO21" s="996">
        <v>65.584209119999997</v>
      </c>
      <c r="AP21" s="996">
        <v>68.513367979999998</v>
      </c>
      <c r="AQ21" s="997">
        <v>311.48284962999998</v>
      </c>
      <c r="AR21" s="997">
        <v>90.367219909999989</v>
      </c>
      <c r="AS21" s="997">
        <v>88.740492129999993</v>
      </c>
      <c r="AT21" s="997">
        <v>165.29868494999999</v>
      </c>
      <c r="AU21" s="997">
        <v>96.820067709999989</v>
      </c>
      <c r="AV21" s="997">
        <v>176.07912083000002</v>
      </c>
      <c r="AW21" s="997">
        <v>327.56298057999999</v>
      </c>
      <c r="AX21" s="997">
        <v>68.868365640000007</v>
      </c>
      <c r="AY21" s="997">
        <v>92.072264139999987</v>
      </c>
      <c r="AZ21" s="997">
        <v>87.70549441</v>
      </c>
      <c r="BA21" s="997">
        <v>85.291687549999992</v>
      </c>
      <c r="BB21" s="997">
        <v>79.022807060000005</v>
      </c>
      <c r="BC21" s="997">
        <v>286.60368328999999</v>
      </c>
      <c r="BD21" s="997">
        <v>117.17449668</v>
      </c>
      <c r="BE21" s="997">
        <v>93.580257980000013</v>
      </c>
      <c r="BF21" s="997">
        <v>174.95850214999999</v>
      </c>
      <c r="BG21" s="997">
        <v>198.19834580999998</v>
      </c>
      <c r="BH21" s="997">
        <v>116.58136098999999</v>
      </c>
      <c r="BI21" s="997">
        <v>132.96940228</v>
      </c>
      <c r="BJ21" s="997">
        <v>90.140118959999995</v>
      </c>
      <c r="BK21" s="997">
        <v>98.214010599999995</v>
      </c>
      <c r="BL21" s="997">
        <v>287.49325514999998</v>
      </c>
      <c r="BM21" s="997">
        <v>106.17286981999999</v>
      </c>
      <c r="BN21" s="997">
        <v>119.60855578000002</v>
      </c>
      <c r="BO21" s="997">
        <v>205.71154525</v>
      </c>
    </row>
    <row r="22" spans="1:67" s="1009" customFormat="1" ht="17.25" customHeight="1">
      <c r="A22" s="986"/>
      <c r="B22" s="987"/>
      <c r="C22" s="987"/>
      <c r="D22" s="987"/>
      <c r="E22" s="987"/>
      <c r="F22" s="987"/>
      <c r="G22" s="987"/>
      <c r="H22" s="987"/>
      <c r="I22" s="987"/>
      <c r="J22" s="987"/>
      <c r="K22" s="987"/>
      <c r="L22" s="987"/>
      <c r="M22" s="987"/>
      <c r="N22" s="987"/>
      <c r="O22" s="987"/>
      <c r="P22" s="987"/>
      <c r="Q22" s="987"/>
      <c r="R22" s="987"/>
      <c r="S22" s="987"/>
      <c r="T22" s="987"/>
      <c r="U22" s="987"/>
      <c r="V22" s="987"/>
      <c r="W22" s="987"/>
      <c r="X22" s="987"/>
      <c r="Y22" s="987"/>
      <c r="Z22" s="987"/>
      <c r="AA22" s="987"/>
      <c r="AB22" s="987"/>
      <c r="AC22" s="987"/>
      <c r="AD22" s="988"/>
      <c r="AE22" s="989"/>
      <c r="AF22" s="989"/>
      <c r="AG22" s="989"/>
      <c r="AH22" s="989"/>
      <c r="AI22" s="989"/>
      <c r="AJ22" s="989"/>
      <c r="AK22" s="989"/>
      <c r="AL22" s="989"/>
      <c r="AM22" s="989"/>
      <c r="AN22" s="990"/>
      <c r="AO22" s="990"/>
      <c r="AP22" s="990"/>
      <c r="AQ22" s="991"/>
      <c r="AR22" s="991"/>
      <c r="AS22" s="991"/>
      <c r="AT22" s="991"/>
      <c r="AU22" s="991"/>
      <c r="AV22" s="991"/>
      <c r="AW22" s="991"/>
      <c r="AX22" s="991"/>
      <c r="AY22" s="991"/>
      <c r="AZ22" s="991"/>
      <c r="BA22" s="991"/>
      <c r="BB22" s="991"/>
      <c r="BC22" s="991"/>
      <c r="BD22" s="991"/>
      <c r="BE22" s="991"/>
      <c r="BF22" s="991"/>
      <c r="BG22" s="991"/>
      <c r="BH22" s="991"/>
      <c r="BI22" s="991"/>
      <c r="BJ22" s="991"/>
      <c r="BK22" s="991"/>
      <c r="BL22" s="991"/>
      <c r="BM22" s="991"/>
      <c r="BN22" s="991"/>
      <c r="BO22" s="991"/>
    </row>
    <row r="23" spans="1:67" s="1009" customFormat="1" ht="17.25" customHeight="1">
      <c r="A23" s="986" t="s">
        <v>2576</v>
      </c>
      <c r="B23" s="987">
        <v>3.2826279999999999</v>
      </c>
      <c r="C23" s="987">
        <v>3.314241</v>
      </c>
      <c r="D23" s="987">
        <v>3000.9265999999998</v>
      </c>
      <c r="E23" s="987">
        <v>1700.6814320000001</v>
      </c>
      <c r="F23" s="987">
        <v>699.75814700000001</v>
      </c>
      <c r="G23" s="987">
        <v>2000.7242080000001</v>
      </c>
      <c r="H23" s="987">
        <v>2.2690159999999997</v>
      </c>
      <c r="I23" s="987">
        <v>1341.8492100000001</v>
      </c>
      <c r="J23" s="987">
        <v>5128.4740229999998</v>
      </c>
      <c r="K23" s="987">
        <v>5128.1453949999996</v>
      </c>
      <c r="L23" s="987">
        <v>5128.4205029999994</v>
      </c>
      <c r="M23" s="987">
        <v>3601.2955139999999</v>
      </c>
      <c r="N23" s="987">
        <v>4300.9844399999993</v>
      </c>
      <c r="O23" s="987">
        <v>5521.2657589999999</v>
      </c>
      <c r="P23" s="987">
        <v>5115.5879569999997</v>
      </c>
      <c r="Q23" s="987">
        <v>5270.8159759999999</v>
      </c>
      <c r="R23" s="987">
        <v>6179.4558196098806</v>
      </c>
      <c r="S23" s="987">
        <v>7369.3783779999994</v>
      </c>
      <c r="T23" s="987">
        <v>7978.472409</v>
      </c>
      <c r="U23" s="987">
        <v>7701.2890559999996</v>
      </c>
      <c r="V23" s="987">
        <v>6808.9861029999993</v>
      </c>
      <c r="W23" s="987">
        <v>6824.6997160000001</v>
      </c>
      <c r="X23" s="987">
        <v>6832.397766</v>
      </c>
      <c r="Y23" s="987">
        <v>5539.7681860000002</v>
      </c>
      <c r="Z23" s="987">
        <v>5990.9276864899994</v>
      </c>
      <c r="AA23" s="987">
        <v>5995.4285614899991</v>
      </c>
      <c r="AB23" s="987">
        <v>5880.2209123899993</v>
      </c>
      <c r="AC23" s="987">
        <v>5617.2358228100002</v>
      </c>
      <c r="AD23" s="988">
        <v>4989.6683796699999</v>
      </c>
      <c r="AE23" s="989">
        <v>4898.3141219799991</v>
      </c>
      <c r="AF23" s="989">
        <v>4786.2925804499992</v>
      </c>
      <c r="AG23" s="989">
        <v>4084.3136649999997</v>
      </c>
      <c r="AH23" s="989">
        <v>4135.2781543399997</v>
      </c>
      <c r="AI23" s="989">
        <v>3748.6611679099997</v>
      </c>
      <c r="AJ23" s="989">
        <v>3939.5502778099994</v>
      </c>
      <c r="AK23" s="989">
        <v>3916.3288048000004</v>
      </c>
      <c r="AL23" s="989">
        <v>6237.8790290799998</v>
      </c>
      <c r="AM23" s="989">
        <v>5751.6014539199996</v>
      </c>
      <c r="AN23" s="990">
        <v>7353.9181042099999</v>
      </c>
      <c r="AO23" s="990">
        <v>8080.8819250000006</v>
      </c>
      <c r="AP23" s="990">
        <v>9281.3911049365797</v>
      </c>
      <c r="AQ23" s="991">
        <v>10206.952514282129</v>
      </c>
      <c r="AR23" s="991">
        <v>9940.5944312645825</v>
      </c>
      <c r="AS23" s="991">
        <v>11624.223345592512</v>
      </c>
      <c r="AT23" s="991">
        <v>11740.110552437664</v>
      </c>
      <c r="AU23" s="991">
        <v>11509.382800492676</v>
      </c>
      <c r="AV23" s="991">
        <v>11328.958581691428</v>
      </c>
      <c r="AW23" s="991">
        <v>10796.401029955146</v>
      </c>
      <c r="AX23" s="991">
        <v>13159.013579677081</v>
      </c>
      <c r="AY23" s="991">
        <v>13223.361749880189</v>
      </c>
      <c r="AZ23" s="991">
        <v>15184.032388133219</v>
      </c>
      <c r="BA23" s="991">
        <v>15739.714602155935</v>
      </c>
      <c r="BB23" s="991">
        <v>17279.760604020215</v>
      </c>
      <c r="BC23" s="991">
        <v>17166.046600573485</v>
      </c>
      <c r="BD23" s="991">
        <v>15862.505260847705</v>
      </c>
      <c r="BE23" s="991">
        <v>14261.453276729397</v>
      </c>
      <c r="BF23" s="991">
        <v>13025.65777052753</v>
      </c>
      <c r="BG23" s="991">
        <v>13481.572108107228</v>
      </c>
      <c r="BH23" s="991">
        <v>17057.069495664175</v>
      </c>
      <c r="BI23" s="991">
        <v>17351.425600456736</v>
      </c>
      <c r="BJ23" s="991">
        <v>14907.784388520955</v>
      </c>
      <c r="BK23" s="991">
        <v>14474.276758258571</v>
      </c>
      <c r="BL23" s="991">
        <v>14541.500017705517</v>
      </c>
      <c r="BM23" s="991">
        <v>14564.219112819235</v>
      </c>
      <c r="BN23" s="991">
        <v>20095.352897952424</v>
      </c>
      <c r="BO23" s="991">
        <v>24623.980044687807</v>
      </c>
    </row>
    <row r="24" spans="1:67" s="1009" customFormat="1" ht="17.25" customHeight="1">
      <c r="A24" s="986"/>
      <c r="B24" s="987"/>
      <c r="C24" s="987"/>
      <c r="D24" s="987"/>
      <c r="E24" s="987"/>
      <c r="F24" s="987"/>
      <c r="G24" s="987"/>
      <c r="H24" s="987"/>
      <c r="I24" s="987"/>
      <c r="J24" s="987"/>
      <c r="K24" s="987"/>
      <c r="L24" s="987"/>
      <c r="M24" s="987"/>
      <c r="N24" s="987"/>
      <c r="O24" s="987"/>
      <c r="P24" s="987"/>
      <c r="Q24" s="987"/>
      <c r="R24" s="987"/>
      <c r="S24" s="987"/>
      <c r="T24" s="987"/>
      <c r="U24" s="987"/>
      <c r="V24" s="987"/>
      <c r="W24" s="987"/>
      <c r="X24" s="987"/>
      <c r="Y24" s="987"/>
      <c r="Z24" s="987"/>
      <c r="AA24" s="987"/>
      <c r="AB24" s="987"/>
      <c r="AC24" s="987"/>
      <c r="AD24" s="988"/>
      <c r="AE24" s="989"/>
      <c r="AF24" s="989"/>
      <c r="AG24" s="989"/>
      <c r="AH24" s="989"/>
      <c r="AI24" s="989"/>
      <c r="AJ24" s="989"/>
      <c r="AK24" s="989"/>
      <c r="AL24" s="989"/>
      <c r="AM24" s="989"/>
      <c r="AN24" s="990"/>
      <c r="AO24" s="990"/>
      <c r="AP24" s="990"/>
      <c r="AQ24" s="991"/>
      <c r="AR24" s="991"/>
      <c r="AS24" s="991"/>
      <c r="AT24" s="991"/>
      <c r="AU24" s="991"/>
      <c r="AV24" s="991"/>
      <c r="AW24" s="991"/>
      <c r="AX24" s="991"/>
      <c r="AY24" s="991"/>
      <c r="AZ24" s="991"/>
      <c r="BA24" s="991"/>
      <c r="BB24" s="991"/>
      <c r="BC24" s="991"/>
      <c r="BD24" s="991"/>
      <c r="BE24" s="991"/>
      <c r="BF24" s="991"/>
      <c r="BG24" s="991"/>
      <c r="BH24" s="991"/>
      <c r="BI24" s="991"/>
      <c r="BJ24" s="991"/>
      <c r="BK24" s="991"/>
      <c r="BL24" s="991"/>
      <c r="BM24" s="991"/>
      <c r="BN24" s="991"/>
      <c r="BO24" s="991"/>
    </row>
    <row r="25" spans="1:67" s="1009" customFormat="1" ht="28.5">
      <c r="A25" s="1010" t="s">
        <v>2577</v>
      </c>
      <c r="B25" s="1011">
        <v>62.003889999999998</v>
      </c>
      <c r="C25" s="1011">
        <v>61.993389999999998</v>
      </c>
      <c r="D25" s="1011">
        <v>61.99539</v>
      </c>
      <c r="E25" s="1011">
        <v>61.996389999999998</v>
      </c>
      <c r="F25" s="1011">
        <v>61.997389999999996</v>
      </c>
      <c r="G25" s="1011">
        <v>61.998390000000001</v>
      </c>
      <c r="H25" s="1011">
        <v>61.998390000000001</v>
      </c>
      <c r="I25" s="1011">
        <v>365.74938999999989</v>
      </c>
      <c r="J25" s="1011">
        <v>564.16185600000006</v>
      </c>
      <c r="K25" s="1011">
        <v>564.16185600000006</v>
      </c>
      <c r="L25" s="1011">
        <v>564.16385600000012</v>
      </c>
      <c r="M25" s="1011">
        <v>539.38260600000012</v>
      </c>
      <c r="N25" s="1011">
        <v>584.35972200000015</v>
      </c>
      <c r="O25" s="1011">
        <v>625.02647699999989</v>
      </c>
      <c r="P25" s="1011">
        <v>771.01945599999976</v>
      </c>
      <c r="Q25" s="1011">
        <v>822.30668399999968</v>
      </c>
      <c r="R25" s="1011">
        <v>1030.0437029999998</v>
      </c>
      <c r="S25" s="1011">
        <v>1180.2707249999999</v>
      </c>
      <c r="T25" s="1011">
        <v>1489.618299</v>
      </c>
      <c r="U25" s="1011">
        <v>1414.4254760000001</v>
      </c>
      <c r="V25" s="1011">
        <v>1165.8708319999998</v>
      </c>
      <c r="W25" s="1011">
        <v>1215.9723699999997</v>
      </c>
      <c r="X25" s="1011">
        <v>1142.846683</v>
      </c>
      <c r="Y25" s="1011">
        <v>1042.3699159999999</v>
      </c>
      <c r="Z25" s="1011">
        <v>1055.4824745000003</v>
      </c>
      <c r="AA25" s="1011">
        <v>1056.08550081</v>
      </c>
      <c r="AB25" s="1011">
        <v>1056.3749241800003</v>
      </c>
      <c r="AC25" s="1011">
        <v>1032.7223669999998</v>
      </c>
      <c r="AD25" s="1012">
        <v>883.49187033999988</v>
      </c>
      <c r="AE25" s="1013">
        <v>897.48951968999984</v>
      </c>
      <c r="AF25" s="1013">
        <v>948.03980369000033</v>
      </c>
      <c r="AG25" s="1013">
        <v>852.04202469379311</v>
      </c>
      <c r="AH25" s="1013">
        <v>796.88497510000002</v>
      </c>
      <c r="AI25" s="1013">
        <v>695.16119835999996</v>
      </c>
      <c r="AJ25" s="1013">
        <v>770.52139621000003</v>
      </c>
      <c r="AK25" s="1013">
        <v>928.79317839999987</v>
      </c>
      <c r="AL25" s="1013">
        <v>1204.50673351</v>
      </c>
      <c r="AM25" s="1013">
        <v>1283.43921004</v>
      </c>
      <c r="AN25" s="1014">
        <v>2368.5927790199994</v>
      </c>
      <c r="AO25" s="1014">
        <v>2652.2967140000001</v>
      </c>
      <c r="AP25" s="1014">
        <v>2897.2</v>
      </c>
      <c r="AQ25" s="1015">
        <v>2852.3153352041854</v>
      </c>
      <c r="AR25" s="1015">
        <v>2682.8354653116812</v>
      </c>
      <c r="AS25" s="1015">
        <v>3063.3478014889333</v>
      </c>
      <c r="AT25" s="1015">
        <v>2729.3527674435081</v>
      </c>
      <c r="AU25" s="1015">
        <v>2678.7561026442336</v>
      </c>
      <c r="AV25" s="1015">
        <v>2640.4448789370972</v>
      </c>
      <c r="AW25" s="1015">
        <v>1887.1354017441981</v>
      </c>
      <c r="AX25" s="1015">
        <v>1635.1679341341976</v>
      </c>
      <c r="AY25" s="1015">
        <v>1584.4839756264835</v>
      </c>
      <c r="AZ25" s="1015">
        <v>1692.5927042698993</v>
      </c>
      <c r="BA25" s="1015">
        <v>1601.133600801779</v>
      </c>
      <c r="BB25" s="1015">
        <v>2004.7795418424303</v>
      </c>
      <c r="BC25" s="1015">
        <v>1965.2278182202012</v>
      </c>
      <c r="BD25" s="1015">
        <v>1990.9708004348461</v>
      </c>
      <c r="BE25" s="1015">
        <v>1904.623644527418</v>
      </c>
      <c r="BF25" s="1015">
        <v>1872.8621347535982</v>
      </c>
      <c r="BG25" s="1015">
        <v>1868.8457237385533</v>
      </c>
      <c r="BH25" s="1015">
        <v>1992.8949979506597</v>
      </c>
      <c r="BI25" s="1015">
        <v>2036.8401614148479</v>
      </c>
      <c r="BJ25" s="1015">
        <v>3163.4087173554772</v>
      </c>
      <c r="BK25" s="1015">
        <v>3189.5570864907531</v>
      </c>
      <c r="BL25" s="1015">
        <v>3087.5193163272429</v>
      </c>
      <c r="BM25" s="1015">
        <v>2252.1271572449555</v>
      </c>
      <c r="BN25" s="1015">
        <v>2115.4813792711375</v>
      </c>
      <c r="BO25" s="1015">
        <v>2053.7785681039545</v>
      </c>
    </row>
    <row r="26" spans="1:67" s="1009" customFormat="1" ht="17.25" customHeight="1">
      <c r="A26" s="992" t="s">
        <v>2578</v>
      </c>
      <c r="B26" s="993">
        <v>0</v>
      </c>
      <c r="C26" s="993">
        <v>0</v>
      </c>
      <c r="D26" s="993">
        <v>0</v>
      </c>
      <c r="E26" s="993">
        <v>0</v>
      </c>
      <c r="F26" s="993">
        <v>0</v>
      </c>
      <c r="G26" s="993">
        <v>0</v>
      </c>
      <c r="H26" s="993">
        <v>0</v>
      </c>
      <c r="I26" s="993">
        <v>0</v>
      </c>
      <c r="J26" s="993">
        <v>0</v>
      </c>
      <c r="K26" s="993">
        <v>0</v>
      </c>
      <c r="L26" s="993">
        <v>0</v>
      </c>
      <c r="M26" s="993">
        <v>0</v>
      </c>
      <c r="N26" s="993">
        <v>0</v>
      </c>
      <c r="O26" s="993">
        <v>0</v>
      </c>
      <c r="P26" s="993">
        <v>0</v>
      </c>
      <c r="Q26" s="993">
        <v>0</v>
      </c>
      <c r="R26" s="993">
        <v>0</v>
      </c>
      <c r="S26" s="993">
        <v>0</v>
      </c>
      <c r="T26" s="993">
        <v>0</v>
      </c>
      <c r="U26" s="993">
        <v>0</v>
      </c>
      <c r="V26" s="993">
        <v>0</v>
      </c>
      <c r="W26" s="993">
        <v>0</v>
      </c>
      <c r="X26" s="993">
        <v>0</v>
      </c>
      <c r="Y26" s="993">
        <v>0</v>
      </c>
      <c r="Z26" s="993">
        <v>0</v>
      </c>
      <c r="AA26" s="993">
        <v>0</v>
      </c>
      <c r="AB26" s="993">
        <v>0</v>
      </c>
      <c r="AC26" s="993">
        <v>0</v>
      </c>
      <c r="AD26" s="994">
        <v>0</v>
      </c>
      <c r="AE26" s="995">
        <v>0</v>
      </c>
      <c r="AF26" s="995">
        <v>0</v>
      </c>
      <c r="AG26" s="995">
        <v>0</v>
      </c>
      <c r="AH26" s="995">
        <v>0</v>
      </c>
      <c r="AI26" s="995">
        <v>0</v>
      </c>
      <c r="AJ26" s="995">
        <v>0</v>
      </c>
      <c r="AK26" s="995">
        <v>0</v>
      </c>
      <c r="AL26" s="995">
        <v>0</v>
      </c>
      <c r="AM26" s="995">
        <v>0</v>
      </c>
      <c r="AN26" s="996">
        <v>0</v>
      </c>
      <c r="AO26" s="996">
        <v>0</v>
      </c>
      <c r="AP26" s="996">
        <v>0</v>
      </c>
      <c r="AQ26" s="997">
        <v>0</v>
      </c>
      <c r="AR26" s="997">
        <v>0</v>
      </c>
      <c r="AS26" s="997">
        <v>0</v>
      </c>
      <c r="AT26" s="997">
        <v>0</v>
      </c>
      <c r="AU26" s="997">
        <v>0</v>
      </c>
      <c r="AV26" s="997">
        <v>0</v>
      </c>
      <c r="AW26" s="997">
        <v>0</v>
      </c>
      <c r="AX26" s="997">
        <v>0</v>
      </c>
      <c r="AY26" s="997">
        <v>0</v>
      </c>
      <c r="AZ26" s="997">
        <v>0</v>
      </c>
      <c r="BA26" s="997">
        <v>0</v>
      </c>
      <c r="BB26" s="997">
        <v>0</v>
      </c>
      <c r="BC26" s="997">
        <v>0</v>
      </c>
      <c r="BD26" s="997">
        <v>0</v>
      </c>
      <c r="BE26" s="997">
        <v>0</v>
      </c>
      <c r="BF26" s="997">
        <v>0</v>
      </c>
      <c r="BG26" s="997">
        <v>0</v>
      </c>
      <c r="BH26" s="997">
        <v>0</v>
      </c>
      <c r="BI26" s="997">
        <v>0</v>
      </c>
      <c r="BJ26" s="997">
        <v>0</v>
      </c>
      <c r="BK26" s="997">
        <v>0</v>
      </c>
      <c r="BL26" s="997">
        <v>0</v>
      </c>
      <c r="BM26" s="997">
        <v>0</v>
      </c>
      <c r="BN26" s="997">
        <v>0</v>
      </c>
      <c r="BO26" s="997">
        <v>0</v>
      </c>
    </row>
    <row r="27" spans="1:67" s="1009" customFormat="1" ht="17.25" customHeight="1">
      <c r="A27" s="992" t="s">
        <v>2579</v>
      </c>
      <c r="B27" s="993">
        <v>0</v>
      </c>
      <c r="C27" s="993">
        <v>0</v>
      </c>
      <c r="D27" s="993">
        <v>0</v>
      </c>
      <c r="E27" s="993">
        <v>0</v>
      </c>
      <c r="F27" s="993">
        <v>0</v>
      </c>
      <c r="G27" s="993">
        <v>0</v>
      </c>
      <c r="H27" s="993">
        <v>0</v>
      </c>
      <c r="I27" s="993">
        <v>303.74899999999991</v>
      </c>
      <c r="J27" s="993">
        <v>502.16046600000004</v>
      </c>
      <c r="K27" s="993">
        <v>502.16046600000004</v>
      </c>
      <c r="L27" s="993">
        <v>502.16046600000004</v>
      </c>
      <c r="M27" s="993">
        <v>477.37821600000007</v>
      </c>
      <c r="N27" s="993">
        <v>522.35433200000011</v>
      </c>
      <c r="O27" s="993">
        <v>563.02008699999988</v>
      </c>
      <c r="P27" s="993">
        <v>709.01456599999983</v>
      </c>
      <c r="Q27" s="993">
        <v>760.30179399999975</v>
      </c>
      <c r="R27" s="993">
        <v>957.91281299999991</v>
      </c>
      <c r="S27" s="993">
        <v>1111.7664229999998</v>
      </c>
      <c r="T27" s="993">
        <v>1421.1139969999999</v>
      </c>
      <c r="U27" s="993">
        <v>1345.9546740000001</v>
      </c>
      <c r="V27" s="993">
        <v>1097.4000299999998</v>
      </c>
      <c r="W27" s="993">
        <v>1147.5015679999997</v>
      </c>
      <c r="X27" s="993">
        <v>1074.3758809999999</v>
      </c>
      <c r="Y27" s="993">
        <v>973.89911399999983</v>
      </c>
      <c r="Z27" s="993">
        <v>987.01167250000026</v>
      </c>
      <c r="AA27" s="993">
        <v>987.61469880999994</v>
      </c>
      <c r="AB27" s="993">
        <v>987.90412218000029</v>
      </c>
      <c r="AC27" s="993">
        <v>964.24856999999986</v>
      </c>
      <c r="AD27" s="994">
        <v>815.01807333999989</v>
      </c>
      <c r="AE27" s="995">
        <v>829.00589168999988</v>
      </c>
      <c r="AF27" s="995">
        <v>879.56600669000034</v>
      </c>
      <c r="AG27" s="995">
        <v>783.56822769379312</v>
      </c>
      <c r="AH27" s="995">
        <v>728.4015081</v>
      </c>
      <c r="AI27" s="995">
        <v>626.68072635999999</v>
      </c>
      <c r="AJ27" s="995">
        <v>702.04092421000007</v>
      </c>
      <c r="AK27" s="995">
        <v>860.31270639999991</v>
      </c>
      <c r="AL27" s="995">
        <v>1136.02626151</v>
      </c>
      <c r="AM27" s="995">
        <v>1214.9587380400001</v>
      </c>
      <c r="AN27" s="996">
        <v>2300.1123070199992</v>
      </c>
      <c r="AO27" s="996">
        <v>2583.8162419999999</v>
      </c>
      <c r="AP27" s="996">
        <v>2828.7816888536599</v>
      </c>
      <c r="AQ27" s="997">
        <v>2783.8348632041857</v>
      </c>
      <c r="AR27" s="997">
        <v>2614.354993311681</v>
      </c>
      <c r="AS27" s="997">
        <v>2994.8673294889336</v>
      </c>
      <c r="AT27" s="997">
        <v>2660.8722954435084</v>
      </c>
      <c r="AU27" s="997">
        <v>2610.2756306442334</v>
      </c>
      <c r="AV27" s="997">
        <v>2571.964406937097</v>
      </c>
      <c r="AW27" s="997">
        <v>1818.6549297441982</v>
      </c>
      <c r="AX27" s="997">
        <v>1566.6874621341976</v>
      </c>
      <c r="AY27" s="997">
        <v>1518.7520036264834</v>
      </c>
      <c r="AZ27" s="997">
        <v>1626.8607322698992</v>
      </c>
      <c r="BA27" s="997">
        <v>1542.129128801779</v>
      </c>
      <c r="BB27" s="997">
        <v>1945.7750698424302</v>
      </c>
      <c r="BC27" s="997">
        <v>1906.2233462202012</v>
      </c>
      <c r="BD27" s="997">
        <v>1931.966328434846</v>
      </c>
      <c r="BE27" s="997">
        <v>1845.619172527418</v>
      </c>
      <c r="BF27" s="997">
        <v>1813.8576627535981</v>
      </c>
      <c r="BG27" s="997">
        <v>1809.8412517385532</v>
      </c>
      <c r="BH27" s="997">
        <v>1933.8905259506596</v>
      </c>
      <c r="BI27" s="997">
        <v>1977.8356894148478</v>
      </c>
      <c r="BJ27" s="997">
        <v>3104.4042453554771</v>
      </c>
      <c r="BK27" s="997">
        <v>3130.5526144907531</v>
      </c>
      <c r="BL27" s="997">
        <v>3028.5484233272427</v>
      </c>
      <c r="BM27" s="997">
        <v>2193.1226852449554</v>
      </c>
      <c r="BN27" s="997">
        <v>2056.4769072711374</v>
      </c>
      <c r="BO27" s="997">
        <v>1994.7740961039547</v>
      </c>
    </row>
    <row r="28" spans="1:67" s="1009" customFormat="1" ht="17.25" customHeight="1">
      <c r="A28" s="992" t="s">
        <v>2580</v>
      </c>
      <c r="B28" s="993">
        <v>61.026910999999998</v>
      </c>
      <c r="C28" s="993">
        <v>61.016410999999998</v>
      </c>
      <c r="D28" s="993">
        <v>61.018411</v>
      </c>
      <c r="E28" s="993">
        <v>61.019410999999998</v>
      </c>
      <c r="F28" s="993">
        <v>61.020410999999996</v>
      </c>
      <c r="G28" s="993">
        <v>61.021411000000001</v>
      </c>
      <c r="H28" s="993">
        <v>61.021411000000001</v>
      </c>
      <c r="I28" s="993">
        <v>61.023410999999996</v>
      </c>
      <c r="J28" s="993">
        <v>61.024411000000001</v>
      </c>
      <c r="K28" s="993">
        <v>61.024411000000001</v>
      </c>
      <c r="L28" s="993">
        <v>61.026410999999996</v>
      </c>
      <c r="M28" s="993">
        <v>61.027411000000001</v>
      </c>
      <c r="N28" s="993">
        <v>61.028410999999998</v>
      </c>
      <c r="O28" s="993">
        <v>61.029410999999996</v>
      </c>
      <c r="P28" s="993">
        <v>61.030410999999994</v>
      </c>
      <c r="Q28" s="993">
        <v>61.030410999999994</v>
      </c>
      <c r="R28" s="993">
        <v>71.156410999999991</v>
      </c>
      <c r="S28" s="993">
        <v>67.529822999999993</v>
      </c>
      <c r="T28" s="993">
        <v>67.529822999999993</v>
      </c>
      <c r="U28" s="993">
        <v>67.529822999999993</v>
      </c>
      <c r="V28" s="993">
        <v>67.529822999999993</v>
      </c>
      <c r="W28" s="993">
        <v>67.529822999999993</v>
      </c>
      <c r="X28" s="993">
        <v>67.529822999999993</v>
      </c>
      <c r="Y28" s="993">
        <v>67.529822999999993</v>
      </c>
      <c r="Z28" s="993">
        <v>67.529822999999993</v>
      </c>
      <c r="AA28" s="993">
        <v>67.529822999999993</v>
      </c>
      <c r="AB28" s="993">
        <v>67.529822999999993</v>
      </c>
      <c r="AC28" s="993">
        <v>67.532817999999992</v>
      </c>
      <c r="AD28" s="994">
        <v>67.532817999999992</v>
      </c>
      <c r="AE28" s="995">
        <v>67.542648999999997</v>
      </c>
      <c r="AF28" s="995">
        <v>67.532817999999992</v>
      </c>
      <c r="AG28" s="995">
        <v>67.532817999999992</v>
      </c>
      <c r="AH28" s="995">
        <v>67.542487999999992</v>
      </c>
      <c r="AI28" s="995">
        <v>67.539492999999993</v>
      </c>
      <c r="AJ28" s="995">
        <v>67.539492999999993</v>
      </c>
      <c r="AK28" s="995">
        <v>67.539492999999993</v>
      </c>
      <c r="AL28" s="995">
        <v>67.539492999999993</v>
      </c>
      <c r="AM28" s="995">
        <v>67.539492999999993</v>
      </c>
      <c r="AN28" s="996">
        <v>67.539492999999993</v>
      </c>
      <c r="AO28" s="996">
        <v>67.539492999999993</v>
      </c>
      <c r="AP28" s="996">
        <v>67.539492999999993</v>
      </c>
      <c r="AQ28" s="997">
        <v>67.539492999999993</v>
      </c>
      <c r="AR28" s="997">
        <v>67.539492999999993</v>
      </c>
      <c r="AS28" s="997">
        <v>67.539492999999993</v>
      </c>
      <c r="AT28" s="997">
        <v>67.539492999999993</v>
      </c>
      <c r="AU28" s="997">
        <v>67.539492999999993</v>
      </c>
      <c r="AV28" s="997">
        <v>67.539492999999993</v>
      </c>
      <c r="AW28" s="997">
        <v>67.539492999999993</v>
      </c>
      <c r="AX28" s="997">
        <v>67.539492999999993</v>
      </c>
      <c r="AY28" s="997">
        <v>64.790993</v>
      </c>
      <c r="AZ28" s="997">
        <v>64.790993</v>
      </c>
      <c r="BA28" s="997">
        <v>58.063493000000001</v>
      </c>
      <c r="BB28" s="997">
        <v>58.063493000000001</v>
      </c>
      <c r="BC28" s="997">
        <v>58.063493000000001</v>
      </c>
      <c r="BD28" s="997">
        <v>58.063493000000001</v>
      </c>
      <c r="BE28" s="997">
        <v>58.063493000000001</v>
      </c>
      <c r="BF28" s="997">
        <v>58.063493000000001</v>
      </c>
      <c r="BG28" s="997">
        <v>58.063493000000001</v>
      </c>
      <c r="BH28" s="997">
        <v>58.063493000000001</v>
      </c>
      <c r="BI28" s="997">
        <v>58.063493000000001</v>
      </c>
      <c r="BJ28" s="997">
        <v>58.063493000000001</v>
      </c>
      <c r="BK28" s="997">
        <v>58.063493000000001</v>
      </c>
      <c r="BL28" s="997">
        <v>58.063493000000001</v>
      </c>
      <c r="BM28" s="997">
        <v>58.063493000000001</v>
      </c>
      <c r="BN28" s="997">
        <v>58.063493000000001</v>
      </c>
      <c r="BO28" s="997">
        <v>58.063493000000001</v>
      </c>
    </row>
    <row r="29" spans="1:67" s="1009" customFormat="1" ht="17.25" customHeight="1">
      <c r="A29" s="992" t="s">
        <v>2581</v>
      </c>
      <c r="B29" s="993">
        <v>0.97697899999999993</v>
      </c>
      <c r="C29" s="993">
        <v>0.97697899999999993</v>
      </c>
      <c r="D29" s="993">
        <v>0.97697899999999993</v>
      </c>
      <c r="E29" s="993">
        <v>0.97697899999999993</v>
      </c>
      <c r="F29" s="993">
        <v>0.97697899999999993</v>
      </c>
      <c r="G29" s="993">
        <v>0.97697899999999993</v>
      </c>
      <c r="H29" s="993">
        <v>0.97697899999999993</v>
      </c>
      <c r="I29" s="993">
        <v>0.97697899999999993</v>
      </c>
      <c r="J29" s="993">
        <v>0.97697899999999993</v>
      </c>
      <c r="K29" s="993">
        <v>0.97697899999999993</v>
      </c>
      <c r="L29" s="993">
        <v>0.97697899999999993</v>
      </c>
      <c r="M29" s="993">
        <v>0.97697899999999993</v>
      </c>
      <c r="N29" s="993">
        <v>0.97697899999999993</v>
      </c>
      <c r="O29" s="993">
        <v>0.97697899999999993</v>
      </c>
      <c r="P29" s="993">
        <v>0.97447899999999998</v>
      </c>
      <c r="Q29" s="993">
        <v>0.97447899999999998</v>
      </c>
      <c r="R29" s="993">
        <v>0.97447899999999998</v>
      </c>
      <c r="S29" s="993">
        <v>0.97447899999999998</v>
      </c>
      <c r="T29" s="993">
        <v>0.97447899999999998</v>
      </c>
      <c r="U29" s="993">
        <v>0.94097900000000001</v>
      </c>
      <c r="V29" s="993">
        <v>0.94097900000000001</v>
      </c>
      <c r="W29" s="993">
        <v>0.94097900000000001</v>
      </c>
      <c r="X29" s="993">
        <v>0.94097900000000001</v>
      </c>
      <c r="Y29" s="993">
        <v>0.94097900000000001</v>
      </c>
      <c r="Z29" s="993">
        <v>0.94097900000000001</v>
      </c>
      <c r="AA29" s="993">
        <v>0.94097900000000001</v>
      </c>
      <c r="AB29" s="993">
        <v>0.94097900000000001</v>
      </c>
      <c r="AC29" s="993">
        <v>0.94097900000000001</v>
      </c>
      <c r="AD29" s="994">
        <v>0.94097900000000001</v>
      </c>
      <c r="AE29" s="995">
        <v>0.94097900000000001</v>
      </c>
      <c r="AF29" s="995">
        <v>0.94097900000000001</v>
      </c>
      <c r="AG29" s="995">
        <v>0.94097900000000001</v>
      </c>
      <c r="AH29" s="995">
        <v>0.94097900000000001</v>
      </c>
      <c r="AI29" s="995">
        <v>0.94097900000000001</v>
      </c>
      <c r="AJ29" s="995">
        <v>0.94097900000000001</v>
      </c>
      <c r="AK29" s="995">
        <v>0.94097900000000001</v>
      </c>
      <c r="AL29" s="995">
        <v>0.94097900000000001</v>
      </c>
      <c r="AM29" s="995">
        <v>0.94097900000000001</v>
      </c>
      <c r="AN29" s="996">
        <v>0.94097900000000001</v>
      </c>
      <c r="AO29" s="996">
        <v>0.94097900000000001</v>
      </c>
      <c r="AP29" s="996">
        <v>0.94097900000000001</v>
      </c>
      <c r="AQ29" s="997">
        <v>0.94097900000000001</v>
      </c>
      <c r="AR29" s="997">
        <v>0.94097900000000001</v>
      </c>
      <c r="AS29" s="997">
        <v>0.94097900000000001</v>
      </c>
      <c r="AT29" s="997">
        <v>0.94097900000000001</v>
      </c>
      <c r="AU29" s="997">
        <v>0.94097900000000001</v>
      </c>
      <c r="AV29" s="997">
        <v>0.94097900000000001</v>
      </c>
      <c r="AW29" s="997">
        <v>0.94097900000000001</v>
      </c>
      <c r="AX29" s="997">
        <v>0.94097900000000001</v>
      </c>
      <c r="AY29" s="997">
        <v>0.94097900000000001</v>
      </c>
      <c r="AZ29" s="997">
        <v>0.94097900000000001</v>
      </c>
      <c r="BA29" s="997">
        <v>0.94097900000000001</v>
      </c>
      <c r="BB29" s="997">
        <v>0.94097900000000001</v>
      </c>
      <c r="BC29" s="997">
        <v>0.94097900000000001</v>
      </c>
      <c r="BD29" s="997">
        <v>0.94097900000000001</v>
      </c>
      <c r="BE29" s="997">
        <v>0.94097900000000001</v>
      </c>
      <c r="BF29" s="997">
        <v>0.94097900000000001</v>
      </c>
      <c r="BG29" s="997">
        <v>0.94097900000000001</v>
      </c>
      <c r="BH29" s="997">
        <v>0.94097900000000001</v>
      </c>
      <c r="BI29" s="997">
        <v>0.94097900000000001</v>
      </c>
      <c r="BJ29" s="997">
        <v>0.94097900000000001</v>
      </c>
      <c r="BK29" s="997">
        <v>0.94097900000000001</v>
      </c>
      <c r="BL29" s="997">
        <v>0.90739999999999998</v>
      </c>
      <c r="BM29" s="997">
        <v>0.94097900000000001</v>
      </c>
      <c r="BN29" s="997">
        <v>0.94097900000000001</v>
      </c>
      <c r="BO29" s="997">
        <v>0.94097900000000001</v>
      </c>
    </row>
    <row r="30" spans="1:67" ht="17.25" customHeight="1">
      <c r="A30" s="998"/>
      <c r="B30" s="999"/>
      <c r="C30" s="999"/>
      <c r="D30" s="999"/>
      <c r="E30" s="999"/>
      <c r="F30" s="999"/>
      <c r="G30" s="999"/>
      <c r="H30" s="999"/>
      <c r="I30" s="999"/>
      <c r="J30" s="999"/>
      <c r="K30" s="999"/>
      <c r="L30" s="999"/>
      <c r="M30" s="999"/>
      <c r="N30" s="999"/>
      <c r="O30" s="999"/>
      <c r="P30" s="999"/>
      <c r="Q30" s="999"/>
      <c r="R30" s="999"/>
      <c r="S30" s="999"/>
      <c r="T30" s="999"/>
      <c r="U30" s="999"/>
      <c r="V30" s="999"/>
      <c r="W30" s="999"/>
      <c r="X30" s="999"/>
      <c r="Y30" s="999"/>
      <c r="Z30" s="999"/>
      <c r="AA30" s="999"/>
      <c r="AB30" s="999"/>
      <c r="AC30" s="999"/>
      <c r="AD30" s="1000"/>
      <c r="AE30" s="1001"/>
      <c r="AF30" s="1001"/>
      <c r="AG30" s="1001"/>
      <c r="AH30" s="1001"/>
      <c r="AI30" s="1001"/>
      <c r="AJ30" s="1001"/>
      <c r="AK30" s="1001"/>
      <c r="AL30" s="1001"/>
      <c r="AM30" s="1001"/>
      <c r="AN30" s="1002"/>
      <c r="AO30" s="1002"/>
      <c r="AP30" s="1002"/>
      <c r="AQ30" s="1003"/>
      <c r="AR30" s="1003"/>
      <c r="AS30" s="1003"/>
      <c r="AT30" s="1003"/>
      <c r="AU30" s="1003"/>
      <c r="AV30" s="1003"/>
      <c r="AW30" s="1003"/>
      <c r="AX30" s="1003"/>
      <c r="AY30" s="1003"/>
      <c r="AZ30" s="1003"/>
      <c r="BA30" s="1003"/>
      <c r="BB30" s="1003"/>
      <c r="BC30" s="1003"/>
      <c r="BD30" s="1003"/>
      <c r="BE30" s="1003"/>
      <c r="BF30" s="1003"/>
      <c r="BG30" s="1003"/>
      <c r="BH30" s="1003"/>
      <c r="BI30" s="1003"/>
      <c r="BJ30" s="1003"/>
      <c r="BK30" s="1003"/>
      <c r="BL30" s="1003"/>
      <c r="BM30" s="1003"/>
      <c r="BN30" s="1003"/>
      <c r="BO30" s="1003"/>
    </row>
    <row r="31" spans="1:67" ht="17.25" customHeight="1">
      <c r="A31" s="986" t="s">
        <v>2312</v>
      </c>
      <c r="B31" s="987">
        <v>0</v>
      </c>
      <c r="C31" s="987">
        <v>0</v>
      </c>
      <c r="D31" s="987">
        <v>0</v>
      </c>
      <c r="E31" s="987">
        <v>0</v>
      </c>
      <c r="F31" s="987">
        <v>0</v>
      </c>
      <c r="G31" s="987">
        <v>0</v>
      </c>
      <c r="H31" s="987">
        <v>0</v>
      </c>
      <c r="I31" s="987">
        <v>0</v>
      </c>
      <c r="J31" s="987">
        <v>0</v>
      </c>
      <c r="K31" s="987">
        <v>0</v>
      </c>
      <c r="L31" s="987">
        <v>0</v>
      </c>
      <c r="M31" s="987">
        <v>0</v>
      </c>
      <c r="N31" s="987">
        <v>0</v>
      </c>
      <c r="O31" s="987">
        <v>0</v>
      </c>
      <c r="P31" s="987">
        <v>0</v>
      </c>
      <c r="Q31" s="987">
        <v>0</v>
      </c>
      <c r="R31" s="987">
        <v>0</v>
      </c>
      <c r="S31" s="987">
        <v>0</v>
      </c>
      <c r="T31" s="987">
        <v>0</v>
      </c>
      <c r="U31" s="987">
        <v>0</v>
      </c>
      <c r="V31" s="987">
        <v>0</v>
      </c>
      <c r="W31" s="987">
        <v>0</v>
      </c>
      <c r="X31" s="987">
        <v>0</v>
      </c>
      <c r="Y31" s="987">
        <v>0</v>
      </c>
      <c r="Z31" s="987">
        <v>0</v>
      </c>
      <c r="AA31" s="987">
        <v>0</v>
      </c>
      <c r="AB31" s="987">
        <v>0</v>
      </c>
      <c r="AC31" s="987">
        <v>0</v>
      </c>
      <c r="AD31" s="988">
        <v>0</v>
      </c>
      <c r="AE31" s="989">
        <v>0</v>
      </c>
      <c r="AF31" s="989">
        <v>0</v>
      </c>
      <c r="AG31" s="989">
        <v>0</v>
      </c>
      <c r="AH31" s="989">
        <v>0</v>
      </c>
      <c r="AI31" s="989">
        <v>0</v>
      </c>
      <c r="AJ31" s="989">
        <v>0</v>
      </c>
      <c r="AK31" s="989">
        <v>0</v>
      </c>
      <c r="AL31" s="989">
        <v>0</v>
      </c>
      <c r="AM31" s="989">
        <v>0</v>
      </c>
      <c r="AN31" s="990">
        <v>0</v>
      </c>
      <c r="AO31" s="990">
        <v>0</v>
      </c>
      <c r="AP31" s="990">
        <v>0</v>
      </c>
      <c r="AQ31" s="991">
        <v>0</v>
      </c>
      <c r="AR31" s="991">
        <v>0</v>
      </c>
      <c r="AS31" s="991">
        <v>0</v>
      </c>
      <c r="AT31" s="991">
        <v>0</v>
      </c>
      <c r="AU31" s="991">
        <v>0</v>
      </c>
      <c r="AV31" s="991">
        <v>0</v>
      </c>
      <c r="AW31" s="991">
        <v>0</v>
      </c>
      <c r="AX31" s="991">
        <v>0</v>
      </c>
      <c r="AY31" s="991">
        <v>0</v>
      </c>
      <c r="AZ31" s="991">
        <v>0</v>
      </c>
      <c r="BA31" s="991">
        <v>0</v>
      </c>
      <c r="BB31" s="991">
        <v>0</v>
      </c>
      <c r="BC31" s="991">
        <v>0</v>
      </c>
      <c r="BD31" s="991">
        <v>0</v>
      </c>
      <c r="BE31" s="991">
        <v>0</v>
      </c>
      <c r="BF31" s="991">
        <v>0</v>
      </c>
      <c r="BG31" s="991">
        <v>0</v>
      </c>
      <c r="BH31" s="991">
        <v>0</v>
      </c>
      <c r="BI31" s="991">
        <v>0</v>
      </c>
      <c r="BJ31" s="991">
        <v>0</v>
      </c>
      <c r="BK31" s="991">
        <v>0</v>
      </c>
      <c r="BL31" s="991">
        <v>0</v>
      </c>
      <c r="BM31" s="991">
        <v>0</v>
      </c>
      <c r="BN31" s="991">
        <v>0</v>
      </c>
      <c r="BO31" s="991">
        <v>0</v>
      </c>
    </row>
    <row r="32" spans="1:67" ht="17.25" customHeight="1">
      <c r="A32" s="998"/>
      <c r="B32" s="999"/>
      <c r="C32" s="999"/>
      <c r="D32" s="999"/>
      <c r="E32" s="999"/>
      <c r="F32" s="999"/>
      <c r="G32" s="999"/>
      <c r="H32" s="999"/>
      <c r="I32" s="999"/>
      <c r="J32" s="999"/>
      <c r="K32" s="999"/>
      <c r="L32" s="999"/>
      <c r="M32" s="999"/>
      <c r="N32" s="999"/>
      <c r="O32" s="999"/>
      <c r="P32" s="999"/>
      <c r="Q32" s="999"/>
      <c r="R32" s="999"/>
      <c r="S32" s="999"/>
      <c r="T32" s="999"/>
      <c r="U32" s="999"/>
      <c r="V32" s="999"/>
      <c r="W32" s="999"/>
      <c r="X32" s="999"/>
      <c r="Y32" s="999"/>
      <c r="Z32" s="999"/>
      <c r="AA32" s="999"/>
      <c r="AB32" s="999"/>
      <c r="AC32" s="999"/>
      <c r="AD32" s="1000"/>
      <c r="AE32" s="1001"/>
      <c r="AF32" s="1001"/>
      <c r="AG32" s="1001"/>
      <c r="AH32" s="1001"/>
      <c r="AI32" s="1001"/>
      <c r="AJ32" s="1001"/>
      <c r="AK32" s="1001"/>
      <c r="AL32" s="1001"/>
      <c r="AM32" s="1001"/>
      <c r="AN32" s="1002"/>
      <c r="AO32" s="1002"/>
      <c r="AP32" s="1002"/>
      <c r="AQ32" s="1003"/>
      <c r="AR32" s="1003"/>
      <c r="AS32" s="1003"/>
      <c r="AT32" s="1003"/>
      <c r="AU32" s="1003"/>
      <c r="AV32" s="1003"/>
      <c r="AW32" s="1003"/>
      <c r="AX32" s="1003"/>
      <c r="AY32" s="1003"/>
      <c r="AZ32" s="1003"/>
      <c r="BA32" s="1003"/>
      <c r="BB32" s="1003"/>
      <c r="BC32" s="1003"/>
      <c r="BD32" s="1003"/>
      <c r="BE32" s="1003"/>
      <c r="BF32" s="1003"/>
      <c r="BG32" s="1003"/>
      <c r="BH32" s="1003"/>
      <c r="BI32" s="1003"/>
      <c r="BJ32" s="1003"/>
      <c r="BK32" s="1003"/>
      <c r="BL32" s="1003"/>
      <c r="BM32" s="1003"/>
      <c r="BN32" s="1003"/>
      <c r="BO32" s="1003"/>
    </row>
    <row r="33" spans="1:67" ht="17.25" customHeight="1">
      <c r="A33" s="986" t="s">
        <v>2510</v>
      </c>
      <c r="B33" s="987">
        <v>0</v>
      </c>
      <c r="C33" s="987">
        <v>0</v>
      </c>
      <c r="D33" s="987">
        <v>0</v>
      </c>
      <c r="E33" s="987">
        <v>0</v>
      </c>
      <c r="F33" s="987">
        <v>0</v>
      </c>
      <c r="G33" s="987">
        <v>0</v>
      </c>
      <c r="H33" s="987">
        <v>0</v>
      </c>
      <c r="I33" s="987">
        <v>0</v>
      </c>
      <c r="J33" s="987">
        <v>0</v>
      </c>
      <c r="K33" s="987">
        <v>0</v>
      </c>
      <c r="L33" s="987">
        <v>0</v>
      </c>
      <c r="M33" s="987">
        <v>0</v>
      </c>
      <c r="N33" s="987">
        <v>0</v>
      </c>
      <c r="O33" s="987">
        <v>0</v>
      </c>
      <c r="P33" s="987">
        <v>0</v>
      </c>
      <c r="Q33" s="987">
        <v>0</v>
      </c>
      <c r="R33" s="987">
        <v>0</v>
      </c>
      <c r="S33" s="987">
        <v>0</v>
      </c>
      <c r="T33" s="987">
        <v>0</v>
      </c>
      <c r="U33" s="987">
        <v>0</v>
      </c>
      <c r="V33" s="987">
        <v>0</v>
      </c>
      <c r="W33" s="987">
        <v>0</v>
      </c>
      <c r="X33" s="987">
        <v>0</v>
      </c>
      <c r="Y33" s="987">
        <v>0</v>
      </c>
      <c r="Z33" s="987">
        <v>0</v>
      </c>
      <c r="AA33" s="987">
        <v>0</v>
      </c>
      <c r="AB33" s="987">
        <v>0</v>
      </c>
      <c r="AC33" s="987">
        <v>0</v>
      </c>
      <c r="AD33" s="988">
        <v>0</v>
      </c>
      <c r="AE33" s="989">
        <v>0</v>
      </c>
      <c r="AF33" s="989">
        <v>0</v>
      </c>
      <c r="AG33" s="989">
        <v>0</v>
      </c>
      <c r="AH33" s="989">
        <v>0</v>
      </c>
      <c r="AI33" s="989">
        <v>0</v>
      </c>
      <c r="AJ33" s="989">
        <v>0</v>
      </c>
      <c r="AK33" s="989">
        <v>0</v>
      </c>
      <c r="AL33" s="989">
        <v>0</v>
      </c>
      <c r="AM33" s="989">
        <v>0</v>
      </c>
      <c r="AN33" s="990">
        <v>0</v>
      </c>
      <c r="AO33" s="990">
        <v>0</v>
      </c>
      <c r="AP33" s="990">
        <v>0</v>
      </c>
      <c r="AQ33" s="991">
        <v>0</v>
      </c>
      <c r="AR33" s="991">
        <v>0</v>
      </c>
      <c r="AS33" s="991">
        <v>0</v>
      </c>
      <c r="AT33" s="991">
        <v>0</v>
      </c>
      <c r="AU33" s="991">
        <v>0</v>
      </c>
      <c r="AV33" s="991">
        <v>0</v>
      </c>
      <c r="AW33" s="991">
        <v>0</v>
      </c>
      <c r="AX33" s="991">
        <v>0</v>
      </c>
      <c r="AY33" s="991">
        <v>0</v>
      </c>
      <c r="AZ33" s="991">
        <v>0</v>
      </c>
      <c r="BA33" s="991">
        <v>0</v>
      </c>
      <c r="BB33" s="991">
        <v>0</v>
      </c>
      <c r="BC33" s="991">
        <v>0</v>
      </c>
      <c r="BD33" s="991">
        <v>0</v>
      </c>
      <c r="BE33" s="991">
        <v>0</v>
      </c>
      <c r="BF33" s="991">
        <v>0</v>
      </c>
      <c r="BG33" s="991">
        <v>0</v>
      </c>
      <c r="BH33" s="991">
        <v>0</v>
      </c>
      <c r="BI33" s="991">
        <v>0</v>
      </c>
      <c r="BJ33" s="991">
        <v>0</v>
      </c>
      <c r="BK33" s="991">
        <v>0</v>
      </c>
      <c r="BL33" s="991">
        <v>0</v>
      </c>
      <c r="BM33" s="991">
        <v>0</v>
      </c>
      <c r="BN33" s="991">
        <v>0</v>
      </c>
      <c r="BO33" s="991">
        <v>0</v>
      </c>
    </row>
    <row r="34" spans="1:67" ht="17.25" customHeight="1">
      <c r="A34" s="998"/>
      <c r="B34" s="999"/>
      <c r="C34" s="999"/>
      <c r="D34" s="999"/>
      <c r="E34" s="999"/>
      <c r="F34" s="999"/>
      <c r="G34" s="999"/>
      <c r="H34" s="999"/>
      <c r="I34" s="999"/>
      <c r="J34" s="999"/>
      <c r="K34" s="999"/>
      <c r="L34" s="999"/>
      <c r="M34" s="999"/>
      <c r="N34" s="999"/>
      <c r="O34" s="999"/>
      <c r="P34" s="999"/>
      <c r="Q34" s="999"/>
      <c r="R34" s="999"/>
      <c r="S34" s="999"/>
      <c r="T34" s="999"/>
      <c r="U34" s="999"/>
      <c r="V34" s="999"/>
      <c r="W34" s="999"/>
      <c r="X34" s="999"/>
      <c r="Y34" s="999"/>
      <c r="Z34" s="999"/>
      <c r="AA34" s="999"/>
      <c r="AB34" s="999"/>
      <c r="AC34" s="999"/>
      <c r="AD34" s="1000"/>
      <c r="AE34" s="1001"/>
      <c r="AF34" s="1001"/>
      <c r="AG34" s="1001"/>
      <c r="AH34" s="1001"/>
      <c r="AI34" s="1001"/>
      <c r="AJ34" s="1001"/>
      <c r="AK34" s="1001"/>
      <c r="AL34" s="1001"/>
      <c r="AM34" s="1001"/>
      <c r="AN34" s="1002"/>
      <c r="AO34" s="1002"/>
      <c r="AP34" s="1002"/>
      <c r="AQ34" s="1003"/>
      <c r="AR34" s="1003"/>
      <c r="AS34" s="1003"/>
      <c r="AT34" s="1003"/>
      <c r="AU34" s="1003"/>
      <c r="AV34" s="1003"/>
      <c r="AW34" s="1003"/>
      <c r="AX34" s="1003"/>
      <c r="AY34" s="1003"/>
      <c r="AZ34" s="1003"/>
      <c r="BA34" s="1003"/>
      <c r="BB34" s="1003"/>
      <c r="BC34" s="1003"/>
      <c r="BD34" s="1003"/>
      <c r="BE34" s="1003"/>
      <c r="BF34" s="1003"/>
      <c r="BG34" s="1003"/>
      <c r="BH34" s="1003"/>
      <c r="BI34" s="1003"/>
      <c r="BJ34" s="1003"/>
      <c r="BK34" s="1003"/>
      <c r="BL34" s="1003"/>
      <c r="BM34" s="1003"/>
      <c r="BN34" s="1003"/>
      <c r="BO34" s="1003"/>
    </row>
    <row r="35" spans="1:67" ht="17.25" customHeight="1">
      <c r="A35" s="986" t="s">
        <v>2582</v>
      </c>
      <c r="B35" s="987"/>
      <c r="C35" s="987"/>
      <c r="D35" s="987"/>
      <c r="E35" s="987"/>
      <c r="F35" s="987"/>
      <c r="G35" s="987"/>
      <c r="H35" s="987"/>
      <c r="I35" s="987"/>
      <c r="J35" s="987"/>
      <c r="K35" s="987"/>
      <c r="L35" s="987"/>
      <c r="M35" s="987"/>
      <c r="N35" s="987"/>
      <c r="O35" s="987"/>
      <c r="P35" s="987"/>
      <c r="Q35" s="987"/>
      <c r="R35" s="987"/>
      <c r="S35" s="987"/>
      <c r="T35" s="987"/>
      <c r="U35" s="987"/>
      <c r="V35" s="987"/>
      <c r="W35" s="987"/>
      <c r="X35" s="987"/>
      <c r="Y35" s="987"/>
      <c r="Z35" s="987"/>
      <c r="AA35" s="987"/>
      <c r="AB35" s="987"/>
      <c r="AC35" s="987"/>
      <c r="AD35" s="988"/>
      <c r="AE35" s="989"/>
      <c r="AF35" s="989"/>
      <c r="AG35" s="989"/>
      <c r="AH35" s="989"/>
      <c r="AI35" s="989"/>
      <c r="AJ35" s="989"/>
      <c r="AK35" s="989"/>
      <c r="AL35" s="989"/>
      <c r="AM35" s="989"/>
      <c r="AN35" s="990"/>
      <c r="AO35" s="990"/>
      <c r="AP35" s="990"/>
      <c r="AQ35" s="991"/>
      <c r="AR35" s="991"/>
      <c r="AS35" s="991"/>
      <c r="AT35" s="991"/>
      <c r="AU35" s="991"/>
      <c r="AV35" s="991"/>
      <c r="AW35" s="991"/>
      <c r="AX35" s="991"/>
      <c r="AY35" s="991"/>
      <c r="AZ35" s="991"/>
      <c r="BA35" s="991"/>
      <c r="BB35" s="991"/>
      <c r="BC35" s="991"/>
      <c r="BD35" s="991"/>
      <c r="BE35" s="991"/>
      <c r="BF35" s="991"/>
      <c r="BG35" s="991"/>
      <c r="BH35" s="991"/>
      <c r="BI35" s="991"/>
      <c r="BJ35" s="991"/>
      <c r="BK35" s="991"/>
      <c r="BL35" s="991"/>
      <c r="BM35" s="991"/>
      <c r="BN35" s="991"/>
      <c r="BO35" s="991"/>
    </row>
    <row r="36" spans="1:67" ht="17.25" customHeight="1">
      <c r="A36" s="998"/>
      <c r="B36" s="999"/>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999"/>
      <c r="AB36" s="999"/>
      <c r="AC36" s="999"/>
      <c r="AD36" s="1000"/>
      <c r="AE36" s="1001"/>
      <c r="AF36" s="1001"/>
      <c r="AG36" s="1001"/>
      <c r="AH36" s="1001"/>
      <c r="AI36" s="1001"/>
      <c r="AJ36" s="1001"/>
      <c r="AK36" s="1001"/>
      <c r="AL36" s="1001"/>
      <c r="AM36" s="1001"/>
      <c r="AN36" s="1002"/>
      <c r="AO36" s="1002"/>
      <c r="AP36" s="1002"/>
      <c r="AQ36" s="1003"/>
      <c r="AR36" s="1003"/>
      <c r="AS36" s="1003"/>
      <c r="AT36" s="1003"/>
      <c r="AU36" s="1003"/>
      <c r="AV36" s="1003"/>
      <c r="AW36" s="1003"/>
      <c r="AX36" s="1003"/>
      <c r="AY36" s="1003"/>
      <c r="AZ36" s="1003"/>
      <c r="BA36" s="1003"/>
      <c r="BB36" s="1003"/>
      <c r="BC36" s="1003"/>
      <c r="BD36" s="1003"/>
      <c r="BE36" s="1003"/>
      <c r="BF36" s="1003"/>
      <c r="BG36" s="1003"/>
      <c r="BH36" s="1003"/>
      <c r="BI36" s="1003"/>
      <c r="BJ36" s="1003"/>
      <c r="BK36" s="1003"/>
      <c r="BL36" s="1003"/>
      <c r="BM36" s="1003"/>
      <c r="BN36" s="1003"/>
      <c r="BO36" s="1003"/>
    </row>
    <row r="37" spans="1:67" ht="17.25" customHeight="1">
      <c r="A37" s="986" t="s">
        <v>2506</v>
      </c>
      <c r="B37" s="987">
        <v>19964.110167409999</v>
      </c>
      <c r="C37" s="987">
        <v>20456.15655851</v>
      </c>
      <c r="D37" s="987">
        <v>20656.54350453</v>
      </c>
      <c r="E37" s="987">
        <v>20976.469956159999</v>
      </c>
      <c r="F37" s="987">
        <v>23542.384742170001</v>
      </c>
      <c r="G37" s="987">
        <v>20273.87106505</v>
      </c>
      <c r="H37" s="987">
        <v>18508.569286829999</v>
      </c>
      <c r="I37" s="987">
        <v>19472.344551769998</v>
      </c>
      <c r="J37" s="987">
        <v>20495.222189169999</v>
      </c>
      <c r="K37" s="987">
        <v>20301.791217229998</v>
      </c>
      <c r="L37" s="987">
        <v>20191.020255149997</v>
      </c>
      <c r="M37" s="987">
        <v>21361.044988709997</v>
      </c>
      <c r="N37" s="987">
        <v>19413.827296809999</v>
      </c>
      <c r="O37" s="987">
        <v>19582.327154339997</v>
      </c>
      <c r="P37" s="987">
        <v>18243.485036359998</v>
      </c>
      <c r="Q37" s="987">
        <v>17904.736877859999</v>
      </c>
      <c r="R37" s="987">
        <v>18921.887750959999</v>
      </c>
      <c r="S37" s="987">
        <v>20149.1601701</v>
      </c>
      <c r="T37" s="987">
        <v>18753.241767789998</v>
      </c>
      <c r="U37" s="987">
        <v>19617.36774234</v>
      </c>
      <c r="V37" s="987">
        <v>19604.223607200001</v>
      </c>
      <c r="W37" s="987">
        <v>21354.738473539997</v>
      </c>
      <c r="X37" s="987">
        <v>20283.88373102</v>
      </c>
      <c r="Y37" s="987">
        <v>19542.970377910002</v>
      </c>
      <c r="Z37" s="987">
        <v>21291.50351029</v>
      </c>
      <c r="AA37" s="987">
        <v>21595.119234290003</v>
      </c>
      <c r="AB37" s="987">
        <v>20783.147565799998</v>
      </c>
      <c r="AC37" s="987">
        <v>21203.46923585</v>
      </c>
      <c r="AD37" s="988">
        <v>19954.35588607</v>
      </c>
      <c r="AE37" s="989">
        <v>23783.569044780001</v>
      </c>
      <c r="AF37" s="989">
        <v>23780.145553330003</v>
      </c>
      <c r="AG37" s="989">
        <v>23569.844059790001</v>
      </c>
      <c r="AH37" s="989">
        <v>25164.681625080102</v>
      </c>
      <c r="AI37" s="989">
        <v>26025.415872760001</v>
      </c>
      <c r="AJ37" s="989">
        <v>25692.210255179998</v>
      </c>
      <c r="AK37" s="989">
        <v>25383.877467489983</v>
      </c>
      <c r="AL37" s="989">
        <v>25930.891317520014</v>
      </c>
      <c r="AM37" s="989">
        <v>25189.279282339958</v>
      </c>
      <c r="AN37" s="990">
        <v>25613.860504809993</v>
      </c>
      <c r="AO37" s="990">
        <v>25224.743159949947</v>
      </c>
      <c r="AP37" s="990">
        <v>23948.197494770015</v>
      </c>
      <c r="AQ37" s="991">
        <v>21850.039449129996</v>
      </c>
      <c r="AR37" s="991">
        <v>22254.871252340021</v>
      </c>
      <c r="AS37" s="991">
        <v>21879.72865525998</v>
      </c>
      <c r="AT37" s="991">
        <v>22545.301191179984</v>
      </c>
      <c r="AU37" s="991">
        <v>22101.591468449988</v>
      </c>
      <c r="AV37" s="991">
        <v>21365.243426009969</v>
      </c>
      <c r="AW37" s="991">
        <v>20881.14524601998</v>
      </c>
      <c r="AX37" s="991">
        <v>20472.976203240014</v>
      </c>
      <c r="AY37" s="991">
        <v>21487.784692900022</v>
      </c>
      <c r="AZ37" s="991">
        <v>21928.267963229922</v>
      </c>
      <c r="BA37" s="991">
        <v>21797.014970980046</v>
      </c>
      <c r="BB37" s="991">
        <v>22086.19730513003</v>
      </c>
      <c r="BC37" s="991">
        <v>22650.277264699977</v>
      </c>
      <c r="BD37" s="991">
        <v>21679.910396959978</v>
      </c>
      <c r="BE37" s="991">
        <v>22462.728441649982</v>
      </c>
      <c r="BF37" s="991">
        <v>20288.861448660031</v>
      </c>
      <c r="BG37" s="991">
        <v>18978.052171999949</v>
      </c>
      <c r="BH37" s="991">
        <v>18191.658810679994</v>
      </c>
      <c r="BI37" s="991">
        <v>17271.864959959996</v>
      </c>
      <c r="BJ37" s="991">
        <v>16252.714630709965</v>
      </c>
      <c r="BK37" s="991">
        <v>18325.476515089984</v>
      </c>
      <c r="BL37" s="991">
        <v>27006.25268139</v>
      </c>
      <c r="BM37" s="991">
        <v>26101.492148820111</v>
      </c>
      <c r="BN37" s="991">
        <v>24870.176161724856</v>
      </c>
      <c r="BO37" s="991">
        <v>24471.645377400018</v>
      </c>
    </row>
    <row r="38" spans="1:67" ht="17.25" customHeight="1">
      <c r="A38" s="998"/>
      <c r="B38" s="999"/>
      <c r="C38" s="999"/>
      <c r="D38" s="999"/>
      <c r="E38" s="999"/>
      <c r="F38" s="999"/>
      <c r="G38" s="999"/>
      <c r="H38" s="999"/>
      <c r="I38" s="999"/>
      <c r="J38" s="999"/>
      <c r="K38" s="999"/>
      <c r="L38" s="999"/>
      <c r="M38" s="999"/>
      <c r="N38" s="999"/>
      <c r="O38" s="999"/>
      <c r="P38" s="999"/>
      <c r="Q38" s="999"/>
      <c r="R38" s="999"/>
      <c r="S38" s="999"/>
      <c r="T38" s="999"/>
      <c r="U38" s="999"/>
      <c r="V38" s="999"/>
      <c r="W38" s="999"/>
      <c r="X38" s="999"/>
      <c r="Y38" s="999"/>
      <c r="Z38" s="999"/>
      <c r="AA38" s="999"/>
      <c r="AB38" s="999"/>
      <c r="AC38" s="999"/>
      <c r="AD38" s="1000"/>
      <c r="AE38" s="1001"/>
      <c r="AF38" s="1001"/>
      <c r="AG38" s="1001"/>
      <c r="AH38" s="1001"/>
      <c r="AI38" s="1001"/>
      <c r="AJ38" s="1001"/>
      <c r="AK38" s="1001"/>
      <c r="AL38" s="1001"/>
      <c r="AM38" s="1001"/>
      <c r="AN38" s="1002"/>
      <c r="AO38" s="1002"/>
      <c r="AP38" s="1002"/>
      <c r="AQ38" s="1003"/>
      <c r="AR38" s="1003"/>
      <c r="AS38" s="1003"/>
      <c r="AT38" s="1003"/>
      <c r="AU38" s="1003"/>
      <c r="AV38" s="1003"/>
      <c r="AW38" s="1003"/>
      <c r="AX38" s="1003"/>
      <c r="AY38" s="1003"/>
      <c r="AZ38" s="1003"/>
      <c r="BA38" s="1003"/>
      <c r="BB38" s="1003"/>
      <c r="BC38" s="1003"/>
      <c r="BD38" s="1003"/>
      <c r="BE38" s="1003"/>
      <c r="BF38" s="1003"/>
      <c r="BG38" s="1003"/>
      <c r="BH38" s="1003"/>
      <c r="BI38" s="1003"/>
      <c r="BJ38" s="1003"/>
      <c r="BK38" s="1003"/>
      <c r="BL38" s="1003"/>
      <c r="BM38" s="1003"/>
      <c r="BN38" s="1003"/>
      <c r="BO38" s="1003"/>
    </row>
    <row r="39" spans="1:67" ht="17.25" customHeight="1">
      <c r="A39" s="986" t="s">
        <v>2583</v>
      </c>
      <c r="B39" s="987">
        <v>-1434.667344337124</v>
      </c>
      <c r="C39" s="987">
        <v>-1477.1395861087244</v>
      </c>
      <c r="D39" s="987">
        <v>-1358.796941880126</v>
      </c>
      <c r="E39" s="987">
        <v>-1458.96645092479</v>
      </c>
      <c r="F39" s="987">
        <v>-1381.6226738184043</v>
      </c>
      <c r="G39" s="987">
        <v>-963.28624081337387</v>
      </c>
      <c r="H39" s="987">
        <v>422.07065105018188</v>
      </c>
      <c r="I39" s="987">
        <v>-978.82857102485036</v>
      </c>
      <c r="J39" s="987">
        <v>-823.93375902726427</v>
      </c>
      <c r="K39" s="987">
        <v>-850.77931149989365</v>
      </c>
      <c r="L39" s="987">
        <v>-987.49065916572863</v>
      </c>
      <c r="M39" s="987">
        <v>-936.4391397666551</v>
      </c>
      <c r="N39" s="987">
        <v>-736.96161155021503</v>
      </c>
      <c r="O39" s="987">
        <v>-1051.1752037621868</v>
      </c>
      <c r="P39" s="987">
        <v>-1021.8921495364106</v>
      </c>
      <c r="Q39" s="987">
        <v>-832.03756500450504</v>
      </c>
      <c r="R39" s="987">
        <v>-730.79269520945854</v>
      </c>
      <c r="S39" s="987">
        <v>-759.96603815235449</v>
      </c>
      <c r="T39" s="987">
        <v>-504.77425950995183</v>
      </c>
      <c r="U39" s="987">
        <v>-508.68117633964766</v>
      </c>
      <c r="V39" s="987">
        <v>-893.80414623820752</v>
      </c>
      <c r="W39" s="987">
        <v>-763.39340329816673</v>
      </c>
      <c r="X39" s="987">
        <v>-790.29161976840771</v>
      </c>
      <c r="Y39" s="987">
        <v>-816.00497894945283</v>
      </c>
      <c r="Z39" s="987">
        <v>-832.01725442353654</v>
      </c>
      <c r="AA39" s="987">
        <v>-933.02095446765031</v>
      </c>
      <c r="AB39" s="987">
        <v>-911.91733136025948</v>
      </c>
      <c r="AC39" s="987">
        <v>-867.71302911767884</v>
      </c>
      <c r="AD39" s="988">
        <v>-745.94810927188189</v>
      </c>
      <c r="AE39" s="989">
        <v>-918.58672977184278</v>
      </c>
      <c r="AF39" s="989">
        <v>-226.3974311698656</v>
      </c>
      <c r="AG39" s="989">
        <v>-387.84265693047922</v>
      </c>
      <c r="AH39" s="989">
        <v>-365.45336159888342</v>
      </c>
      <c r="AI39" s="989">
        <v>-802.39928888553823</v>
      </c>
      <c r="AJ39" s="989">
        <v>-837.88849807393342</v>
      </c>
      <c r="AK39" s="989">
        <v>-770.03294562189137</v>
      </c>
      <c r="AL39" s="989">
        <v>-706.71763879889261</v>
      </c>
      <c r="AM39" s="989">
        <v>-789.79346798723486</v>
      </c>
      <c r="AN39" s="990">
        <v>-768.23533532531997</v>
      </c>
      <c r="AO39" s="990">
        <v>-720.28712618726922</v>
      </c>
      <c r="AP39" s="990">
        <v>-805.11434280500669</v>
      </c>
      <c r="AQ39" s="991">
        <v>-791.2372303008666</v>
      </c>
      <c r="AR39" s="991">
        <v>-528.62362887682525</v>
      </c>
      <c r="AS39" s="991">
        <v>-292.27452656486992</v>
      </c>
      <c r="AT39" s="991">
        <v>-471.44493521788257</v>
      </c>
      <c r="AU39" s="991">
        <v>-625.18479977963523</v>
      </c>
      <c r="AV39" s="991">
        <v>-591.5090061080225</v>
      </c>
      <c r="AW39" s="991">
        <v>-461.1157980625905</v>
      </c>
      <c r="AX39" s="991">
        <v>-571.83377932754422</v>
      </c>
      <c r="AY39" s="991">
        <v>-701.1908600242333</v>
      </c>
      <c r="AZ39" s="991">
        <v>-648.70551274924367</v>
      </c>
      <c r="BA39" s="991">
        <v>-771.73986722279722</v>
      </c>
      <c r="BB39" s="991">
        <v>-795.70958153309766</v>
      </c>
      <c r="BC39" s="991">
        <v>-637.35298319984395</v>
      </c>
      <c r="BD39" s="991">
        <v>-539.34628236549941</v>
      </c>
      <c r="BE39" s="991">
        <v>-576.38832892289986</v>
      </c>
      <c r="BF39" s="991">
        <v>-580.47644205281802</v>
      </c>
      <c r="BG39" s="991">
        <v>-218.5600711052563</v>
      </c>
      <c r="BH39" s="991">
        <v>-198.01053248810692</v>
      </c>
      <c r="BI39" s="991">
        <v>18.417431191710673</v>
      </c>
      <c r="BJ39" s="991">
        <v>-192.51418336793432</v>
      </c>
      <c r="BK39" s="991">
        <v>-223.54069141485081</v>
      </c>
      <c r="BL39" s="991">
        <v>-83.283343983249893</v>
      </c>
      <c r="BM39" s="991">
        <v>-169.83530557149891</v>
      </c>
      <c r="BN39" s="991">
        <v>-200.29556304832823</v>
      </c>
      <c r="BO39" s="991">
        <v>-98.296839244733789</v>
      </c>
    </row>
    <row r="40" spans="1:67" ht="17.25" customHeight="1" thickBot="1">
      <c r="A40" s="1016"/>
      <c r="B40" s="1017"/>
      <c r="C40" s="1017"/>
      <c r="D40" s="1017"/>
      <c r="E40" s="1017"/>
      <c r="F40" s="1017"/>
      <c r="G40" s="1017"/>
      <c r="H40" s="1017"/>
      <c r="I40" s="1017"/>
      <c r="J40" s="1017"/>
      <c r="K40" s="1017"/>
      <c r="L40" s="1017"/>
      <c r="M40" s="1017"/>
      <c r="N40" s="1017"/>
      <c r="O40" s="1017"/>
      <c r="P40" s="1017"/>
      <c r="Q40" s="1017"/>
      <c r="R40" s="1017"/>
      <c r="S40" s="1017"/>
      <c r="T40" s="1017"/>
      <c r="U40" s="1017"/>
      <c r="V40" s="1017"/>
      <c r="W40" s="1017"/>
      <c r="X40" s="1017"/>
      <c r="Y40" s="1017"/>
      <c r="Z40" s="1017"/>
      <c r="AA40" s="1017"/>
      <c r="AB40" s="1017"/>
      <c r="AC40" s="1017"/>
      <c r="AD40" s="1018"/>
      <c r="AE40" s="1019"/>
      <c r="AF40" s="1019"/>
      <c r="AG40" s="1019"/>
      <c r="AH40" s="1019"/>
      <c r="AI40" s="1019"/>
      <c r="AJ40" s="1019"/>
      <c r="AK40" s="1019"/>
      <c r="AL40" s="1019"/>
      <c r="AM40" s="1019"/>
      <c r="AN40" s="1019"/>
      <c r="AO40" s="1019"/>
      <c r="AP40" s="1019"/>
      <c r="AQ40" s="1020"/>
      <c r="AR40" s="1020"/>
      <c r="AS40" s="1020"/>
      <c r="AT40" s="1020"/>
      <c r="AU40" s="1020"/>
      <c r="AV40" s="1020"/>
      <c r="AW40" s="1020"/>
      <c r="AX40" s="1020"/>
      <c r="AY40" s="1020"/>
      <c r="AZ40" s="1020"/>
      <c r="BA40" s="1020"/>
      <c r="BB40" s="1020"/>
      <c r="BC40" s="1020"/>
      <c r="BD40" s="1020"/>
      <c r="BE40" s="1020"/>
      <c r="BF40" s="1020"/>
      <c r="BG40" s="1020"/>
      <c r="BH40" s="1020"/>
      <c r="BI40" s="1020"/>
      <c r="BJ40" s="1020"/>
      <c r="BK40" s="1020"/>
      <c r="BL40" s="1020"/>
      <c r="BM40" s="1020"/>
      <c r="BN40" s="1020"/>
      <c r="BO40" s="1020"/>
    </row>
    <row r="41" spans="1:67" ht="13.5" hidden="1" thickTop="1">
      <c r="P41" s="1021"/>
      <c r="Q41" s="1021"/>
      <c r="R41" s="1021"/>
    </row>
    <row r="42" spans="1:67" ht="13.5" hidden="1" thickTop="1">
      <c r="P42" s="1021"/>
      <c r="Q42" s="1021"/>
      <c r="R42" s="1021"/>
    </row>
    <row r="43" spans="1:67" ht="15" thickTop="1">
      <c r="A43" s="1022" t="s">
        <v>2584</v>
      </c>
    </row>
    <row r="44" spans="1:67" ht="12.75" customHeight="1">
      <c r="A44" s="1023" t="s">
        <v>2585</v>
      </c>
    </row>
    <row r="45" spans="1:67" ht="15" customHeight="1">
      <c r="A45" s="1024" t="s">
        <v>2586</v>
      </c>
      <c r="B45" s="1021"/>
    </row>
    <row r="46" spans="1:67">
      <c r="A46" s="771" t="s">
        <v>2587</v>
      </c>
      <c r="B46" s="1021"/>
    </row>
    <row r="47" spans="1:67">
      <c r="A47" s="1025" t="s">
        <v>2346</v>
      </c>
      <c r="B47" s="1021"/>
    </row>
    <row r="48" spans="1:67">
      <c r="A48" s="1023" t="s">
        <v>2053</v>
      </c>
      <c r="B48" s="1021"/>
    </row>
    <row r="49" spans="1:1">
      <c r="A49" s="1026"/>
    </row>
  </sheetData>
  <printOptions horizontalCentered="1"/>
  <pageMargins left="7.874015748031496E-2" right="7.874015748031496E-2" top="0" bottom="0" header="0" footer="0"/>
  <pageSetup paperSize="9" scale="72"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52"/>
  <sheetViews>
    <sheetView zoomScaleNormal="100" workbookViewId="0">
      <pane xSplit="48" ySplit="3" topLeftCell="AW4" activePane="bottomRight" state="frozen"/>
      <selection pane="topRight" activeCell="AW1" sqref="AW1"/>
      <selection pane="bottomLeft" activeCell="A4" sqref="A4"/>
      <selection pane="bottomRight" activeCell="CA12" sqref="CA12"/>
    </sheetView>
  </sheetViews>
  <sheetFormatPr defaultRowHeight="15" customHeight="1"/>
  <cols>
    <col min="1" max="1" width="61.5703125" style="1031" customWidth="1"/>
    <col min="2" max="2" width="0.140625" style="1031" customWidth="1"/>
    <col min="3" max="3" width="14.7109375" style="1031" hidden="1" customWidth="1"/>
    <col min="4" max="5" width="13.28515625" style="1031" hidden="1" customWidth="1"/>
    <col min="6" max="6" width="13.42578125" style="1031" hidden="1" customWidth="1"/>
    <col min="7" max="7" width="13.28515625" style="1031" hidden="1" customWidth="1"/>
    <col min="8" max="8" width="13.42578125" style="1031" hidden="1" customWidth="1"/>
    <col min="9" max="10" width="13.28515625" style="1031" hidden="1" customWidth="1"/>
    <col min="11" max="11" width="13.42578125" style="1031" hidden="1" customWidth="1"/>
    <col min="12" max="14" width="13.28515625" style="1031" hidden="1" customWidth="1"/>
    <col min="15" max="15" width="13" style="1031" hidden="1" customWidth="1"/>
    <col min="16" max="17" width="13.28515625" style="1031" hidden="1" customWidth="1"/>
    <col min="18" max="40" width="10.7109375" style="1031" hidden="1" customWidth="1"/>
    <col min="41" max="54" width="16.28515625" style="1031" hidden="1" customWidth="1"/>
    <col min="55" max="67" width="16.28515625" style="1031" customWidth="1"/>
    <col min="68" max="265" width="9.140625" style="1031"/>
    <col min="266" max="266" width="53.85546875" style="1031" customWidth="1"/>
    <col min="267" max="304" width="0" style="1031" hidden="1" customWidth="1"/>
    <col min="305" max="317" width="10.7109375" style="1031" customWidth="1"/>
    <col min="318" max="318" width="9.140625" style="1031"/>
    <col min="319" max="319" width="15.5703125" style="1031" customWidth="1"/>
    <col min="320" max="521" width="9.140625" style="1031"/>
    <col min="522" max="522" width="53.85546875" style="1031" customWidth="1"/>
    <col min="523" max="560" width="0" style="1031" hidden="1" customWidth="1"/>
    <col min="561" max="573" width="10.7109375" style="1031" customWidth="1"/>
    <col min="574" max="574" width="9.140625" style="1031"/>
    <col min="575" max="575" width="15.5703125" style="1031" customWidth="1"/>
    <col min="576" max="777" width="9.140625" style="1031"/>
    <col min="778" max="778" width="53.85546875" style="1031" customWidth="1"/>
    <col min="779" max="816" width="0" style="1031" hidden="1" customWidth="1"/>
    <col min="817" max="829" width="10.7109375" style="1031" customWidth="1"/>
    <col min="830" max="830" width="9.140625" style="1031"/>
    <col min="831" max="831" width="15.5703125" style="1031" customWidth="1"/>
    <col min="832" max="1033" width="9.140625" style="1031"/>
    <col min="1034" max="1034" width="53.85546875" style="1031" customWidth="1"/>
    <col min="1035" max="1072" width="0" style="1031" hidden="1" customWidth="1"/>
    <col min="1073" max="1085" width="10.7109375" style="1031" customWidth="1"/>
    <col min="1086" max="1086" width="9.140625" style="1031"/>
    <col min="1087" max="1087" width="15.5703125" style="1031" customWidth="1"/>
    <col min="1088" max="1289" width="9.140625" style="1031"/>
    <col min="1290" max="1290" width="53.85546875" style="1031" customWidth="1"/>
    <col min="1291" max="1328" width="0" style="1031" hidden="1" customWidth="1"/>
    <col min="1329" max="1341" width="10.7109375" style="1031" customWidth="1"/>
    <col min="1342" max="1342" width="9.140625" style="1031"/>
    <col min="1343" max="1343" width="15.5703125" style="1031" customWidth="1"/>
    <col min="1344" max="1545" width="9.140625" style="1031"/>
    <col min="1546" max="1546" width="53.85546875" style="1031" customWidth="1"/>
    <col min="1547" max="1584" width="0" style="1031" hidden="1" customWidth="1"/>
    <col min="1585" max="1597" width="10.7109375" style="1031" customWidth="1"/>
    <col min="1598" max="1598" width="9.140625" style="1031"/>
    <col min="1599" max="1599" width="15.5703125" style="1031" customWidth="1"/>
    <col min="1600" max="1801" width="9.140625" style="1031"/>
    <col min="1802" max="1802" width="53.85546875" style="1031" customWidth="1"/>
    <col min="1803" max="1840" width="0" style="1031" hidden="1" customWidth="1"/>
    <col min="1841" max="1853" width="10.7109375" style="1031" customWidth="1"/>
    <col min="1854" max="1854" width="9.140625" style="1031"/>
    <col min="1855" max="1855" width="15.5703125" style="1031" customWidth="1"/>
    <col min="1856" max="2057" width="9.140625" style="1031"/>
    <col min="2058" max="2058" width="53.85546875" style="1031" customWidth="1"/>
    <col min="2059" max="2096" width="0" style="1031" hidden="1" customWidth="1"/>
    <col min="2097" max="2109" width="10.7109375" style="1031" customWidth="1"/>
    <col min="2110" max="2110" width="9.140625" style="1031"/>
    <col min="2111" max="2111" width="15.5703125" style="1031" customWidth="1"/>
    <col min="2112" max="2313" width="9.140625" style="1031"/>
    <col min="2314" max="2314" width="53.85546875" style="1031" customWidth="1"/>
    <col min="2315" max="2352" width="0" style="1031" hidden="1" customWidth="1"/>
    <col min="2353" max="2365" width="10.7109375" style="1031" customWidth="1"/>
    <col min="2366" max="2366" width="9.140625" style="1031"/>
    <col min="2367" max="2367" width="15.5703125" style="1031" customWidth="1"/>
    <col min="2368" max="2569" width="9.140625" style="1031"/>
    <col min="2570" max="2570" width="53.85546875" style="1031" customWidth="1"/>
    <col min="2571" max="2608" width="0" style="1031" hidden="1" customWidth="1"/>
    <col min="2609" max="2621" width="10.7109375" style="1031" customWidth="1"/>
    <col min="2622" max="2622" width="9.140625" style="1031"/>
    <col min="2623" max="2623" width="15.5703125" style="1031" customWidth="1"/>
    <col min="2624" max="2825" width="9.140625" style="1031"/>
    <col min="2826" max="2826" width="53.85546875" style="1031" customWidth="1"/>
    <col min="2827" max="2864" width="0" style="1031" hidden="1" customWidth="1"/>
    <col min="2865" max="2877" width="10.7109375" style="1031" customWidth="1"/>
    <col min="2878" max="2878" width="9.140625" style="1031"/>
    <col min="2879" max="2879" width="15.5703125" style="1031" customWidth="1"/>
    <col min="2880" max="3081" width="9.140625" style="1031"/>
    <col min="3082" max="3082" width="53.85546875" style="1031" customWidth="1"/>
    <col min="3083" max="3120" width="0" style="1031" hidden="1" customWidth="1"/>
    <col min="3121" max="3133" width="10.7109375" style="1031" customWidth="1"/>
    <col min="3134" max="3134" width="9.140625" style="1031"/>
    <col min="3135" max="3135" width="15.5703125" style="1031" customWidth="1"/>
    <col min="3136" max="3337" width="9.140625" style="1031"/>
    <col min="3338" max="3338" width="53.85546875" style="1031" customWidth="1"/>
    <col min="3339" max="3376" width="0" style="1031" hidden="1" customWidth="1"/>
    <col min="3377" max="3389" width="10.7109375" style="1031" customWidth="1"/>
    <col min="3390" max="3390" width="9.140625" style="1031"/>
    <col min="3391" max="3391" width="15.5703125" style="1031" customWidth="1"/>
    <col min="3392" max="3593" width="9.140625" style="1031"/>
    <col min="3594" max="3594" width="53.85546875" style="1031" customWidth="1"/>
    <col min="3595" max="3632" width="0" style="1031" hidden="1" customWidth="1"/>
    <col min="3633" max="3645" width="10.7109375" style="1031" customWidth="1"/>
    <col min="3646" max="3646" width="9.140625" style="1031"/>
    <col min="3647" max="3647" width="15.5703125" style="1031" customWidth="1"/>
    <col min="3648" max="3849" width="9.140625" style="1031"/>
    <col min="3850" max="3850" width="53.85546875" style="1031" customWidth="1"/>
    <col min="3851" max="3888" width="0" style="1031" hidden="1" customWidth="1"/>
    <col min="3889" max="3901" width="10.7109375" style="1031" customWidth="1"/>
    <col min="3902" max="3902" width="9.140625" style="1031"/>
    <col min="3903" max="3903" width="15.5703125" style="1031" customWidth="1"/>
    <col min="3904" max="4105" width="9.140625" style="1031"/>
    <col min="4106" max="4106" width="53.85546875" style="1031" customWidth="1"/>
    <col min="4107" max="4144" width="0" style="1031" hidden="1" customWidth="1"/>
    <col min="4145" max="4157" width="10.7109375" style="1031" customWidth="1"/>
    <col min="4158" max="4158" width="9.140625" style="1031"/>
    <col min="4159" max="4159" width="15.5703125" style="1031" customWidth="1"/>
    <col min="4160" max="4361" width="9.140625" style="1031"/>
    <col min="4362" max="4362" width="53.85546875" style="1031" customWidth="1"/>
    <col min="4363" max="4400" width="0" style="1031" hidden="1" customWidth="1"/>
    <col min="4401" max="4413" width="10.7109375" style="1031" customWidth="1"/>
    <col min="4414" max="4414" width="9.140625" style="1031"/>
    <col min="4415" max="4415" width="15.5703125" style="1031" customWidth="1"/>
    <col min="4416" max="4617" width="9.140625" style="1031"/>
    <col min="4618" max="4618" width="53.85546875" style="1031" customWidth="1"/>
    <col min="4619" max="4656" width="0" style="1031" hidden="1" customWidth="1"/>
    <col min="4657" max="4669" width="10.7109375" style="1031" customWidth="1"/>
    <col min="4670" max="4670" width="9.140625" style="1031"/>
    <col min="4671" max="4671" width="15.5703125" style="1031" customWidth="1"/>
    <col min="4672" max="4873" width="9.140625" style="1031"/>
    <col min="4874" max="4874" width="53.85546875" style="1031" customWidth="1"/>
    <col min="4875" max="4912" width="0" style="1031" hidden="1" customWidth="1"/>
    <col min="4913" max="4925" width="10.7109375" style="1031" customWidth="1"/>
    <col min="4926" max="4926" width="9.140625" style="1031"/>
    <col min="4927" max="4927" width="15.5703125" style="1031" customWidth="1"/>
    <col min="4928" max="5129" width="9.140625" style="1031"/>
    <col min="5130" max="5130" width="53.85546875" style="1031" customWidth="1"/>
    <col min="5131" max="5168" width="0" style="1031" hidden="1" customWidth="1"/>
    <col min="5169" max="5181" width="10.7109375" style="1031" customWidth="1"/>
    <col min="5182" max="5182" width="9.140625" style="1031"/>
    <col min="5183" max="5183" width="15.5703125" style="1031" customWidth="1"/>
    <col min="5184" max="5385" width="9.140625" style="1031"/>
    <col min="5386" max="5386" width="53.85546875" style="1031" customWidth="1"/>
    <col min="5387" max="5424" width="0" style="1031" hidden="1" customWidth="1"/>
    <col min="5425" max="5437" width="10.7109375" style="1031" customWidth="1"/>
    <col min="5438" max="5438" width="9.140625" style="1031"/>
    <col min="5439" max="5439" width="15.5703125" style="1031" customWidth="1"/>
    <col min="5440" max="5641" width="9.140625" style="1031"/>
    <col min="5642" max="5642" width="53.85546875" style="1031" customWidth="1"/>
    <col min="5643" max="5680" width="0" style="1031" hidden="1" customWidth="1"/>
    <col min="5681" max="5693" width="10.7109375" style="1031" customWidth="1"/>
    <col min="5694" max="5694" width="9.140625" style="1031"/>
    <col min="5695" max="5695" width="15.5703125" style="1031" customWidth="1"/>
    <col min="5696" max="5897" width="9.140625" style="1031"/>
    <col min="5898" max="5898" width="53.85546875" style="1031" customWidth="1"/>
    <col min="5899" max="5936" width="0" style="1031" hidden="1" customWidth="1"/>
    <col min="5937" max="5949" width="10.7109375" style="1031" customWidth="1"/>
    <col min="5950" max="5950" width="9.140625" style="1031"/>
    <col min="5951" max="5951" width="15.5703125" style="1031" customWidth="1"/>
    <col min="5952" max="6153" width="9.140625" style="1031"/>
    <col min="6154" max="6154" width="53.85546875" style="1031" customWidth="1"/>
    <col min="6155" max="6192" width="0" style="1031" hidden="1" customWidth="1"/>
    <col min="6193" max="6205" width="10.7109375" style="1031" customWidth="1"/>
    <col min="6206" max="6206" width="9.140625" style="1031"/>
    <col min="6207" max="6207" width="15.5703125" style="1031" customWidth="1"/>
    <col min="6208" max="6409" width="9.140625" style="1031"/>
    <col min="6410" max="6410" width="53.85546875" style="1031" customWidth="1"/>
    <col min="6411" max="6448" width="0" style="1031" hidden="1" customWidth="1"/>
    <col min="6449" max="6461" width="10.7109375" style="1031" customWidth="1"/>
    <col min="6462" max="6462" width="9.140625" style="1031"/>
    <col min="6463" max="6463" width="15.5703125" style="1031" customWidth="1"/>
    <col min="6464" max="6665" width="9.140625" style="1031"/>
    <col min="6666" max="6666" width="53.85546875" style="1031" customWidth="1"/>
    <col min="6667" max="6704" width="0" style="1031" hidden="1" customWidth="1"/>
    <col min="6705" max="6717" width="10.7109375" style="1031" customWidth="1"/>
    <col min="6718" max="6718" width="9.140625" style="1031"/>
    <col min="6719" max="6719" width="15.5703125" style="1031" customWidth="1"/>
    <col min="6720" max="6921" width="9.140625" style="1031"/>
    <col min="6922" max="6922" width="53.85546875" style="1031" customWidth="1"/>
    <col min="6923" max="6960" width="0" style="1031" hidden="1" customWidth="1"/>
    <col min="6961" max="6973" width="10.7109375" style="1031" customWidth="1"/>
    <col min="6974" max="6974" width="9.140625" style="1031"/>
    <col min="6975" max="6975" width="15.5703125" style="1031" customWidth="1"/>
    <col min="6976" max="7177" width="9.140625" style="1031"/>
    <col min="7178" max="7178" width="53.85546875" style="1031" customWidth="1"/>
    <col min="7179" max="7216" width="0" style="1031" hidden="1" customWidth="1"/>
    <col min="7217" max="7229" width="10.7109375" style="1031" customWidth="1"/>
    <col min="7230" max="7230" width="9.140625" style="1031"/>
    <col min="7231" max="7231" width="15.5703125" style="1031" customWidth="1"/>
    <col min="7232" max="7433" width="9.140625" style="1031"/>
    <col min="7434" max="7434" width="53.85546875" style="1031" customWidth="1"/>
    <col min="7435" max="7472" width="0" style="1031" hidden="1" customWidth="1"/>
    <col min="7473" max="7485" width="10.7109375" style="1031" customWidth="1"/>
    <col min="7486" max="7486" width="9.140625" style="1031"/>
    <col min="7487" max="7487" width="15.5703125" style="1031" customWidth="1"/>
    <col min="7488" max="7689" width="9.140625" style="1031"/>
    <col min="7690" max="7690" width="53.85546875" style="1031" customWidth="1"/>
    <col min="7691" max="7728" width="0" style="1031" hidden="1" customWidth="1"/>
    <col min="7729" max="7741" width="10.7109375" style="1031" customWidth="1"/>
    <col min="7742" max="7742" width="9.140625" style="1031"/>
    <col min="7743" max="7743" width="15.5703125" style="1031" customWidth="1"/>
    <col min="7744" max="7945" width="9.140625" style="1031"/>
    <col min="7946" max="7946" width="53.85546875" style="1031" customWidth="1"/>
    <col min="7947" max="7984" width="0" style="1031" hidden="1" customWidth="1"/>
    <col min="7985" max="7997" width="10.7109375" style="1031" customWidth="1"/>
    <col min="7998" max="7998" width="9.140625" style="1031"/>
    <col min="7999" max="7999" width="15.5703125" style="1031" customWidth="1"/>
    <col min="8000" max="8201" width="9.140625" style="1031"/>
    <col min="8202" max="8202" width="53.85546875" style="1031" customWidth="1"/>
    <col min="8203" max="8240" width="0" style="1031" hidden="1" customWidth="1"/>
    <col min="8241" max="8253" width="10.7109375" style="1031" customWidth="1"/>
    <col min="8254" max="8254" width="9.140625" style="1031"/>
    <col min="8255" max="8255" width="15.5703125" style="1031" customWidth="1"/>
    <col min="8256" max="8457" width="9.140625" style="1031"/>
    <col min="8458" max="8458" width="53.85546875" style="1031" customWidth="1"/>
    <col min="8459" max="8496" width="0" style="1031" hidden="1" customWidth="1"/>
    <col min="8497" max="8509" width="10.7109375" style="1031" customWidth="1"/>
    <col min="8510" max="8510" width="9.140625" style="1031"/>
    <col min="8511" max="8511" width="15.5703125" style="1031" customWidth="1"/>
    <col min="8512" max="8713" width="9.140625" style="1031"/>
    <col min="8714" max="8714" width="53.85546875" style="1031" customWidth="1"/>
    <col min="8715" max="8752" width="0" style="1031" hidden="1" customWidth="1"/>
    <col min="8753" max="8765" width="10.7109375" style="1031" customWidth="1"/>
    <col min="8766" max="8766" width="9.140625" style="1031"/>
    <col min="8767" max="8767" width="15.5703125" style="1031" customWidth="1"/>
    <col min="8768" max="8969" width="9.140625" style="1031"/>
    <col min="8970" max="8970" width="53.85546875" style="1031" customWidth="1"/>
    <col min="8971" max="9008" width="0" style="1031" hidden="1" customWidth="1"/>
    <col min="9009" max="9021" width="10.7109375" style="1031" customWidth="1"/>
    <col min="9022" max="9022" width="9.140625" style="1031"/>
    <col min="9023" max="9023" width="15.5703125" style="1031" customWidth="1"/>
    <col min="9024" max="9225" width="9.140625" style="1031"/>
    <col min="9226" max="9226" width="53.85546875" style="1031" customWidth="1"/>
    <col min="9227" max="9264" width="0" style="1031" hidden="1" customWidth="1"/>
    <col min="9265" max="9277" width="10.7109375" style="1031" customWidth="1"/>
    <col min="9278" max="9278" width="9.140625" style="1031"/>
    <col min="9279" max="9279" width="15.5703125" style="1031" customWidth="1"/>
    <col min="9280" max="9481" width="9.140625" style="1031"/>
    <col min="9482" max="9482" width="53.85546875" style="1031" customWidth="1"/>
    <col min="9483" max="9520" width="0" style="1031" hidden="1" customWidth="1"/>
    <col min="9521" max="9533" width="10.7109375" style="1031" customWidth="1"/>
    <col min="9534" max="9534" width="9.140625" style="1031"/>
    <col min="9535" max="9535" width="15.5703125" style="1031" customWidth="1"/>
    <col min="9536" max="9737" width="9.140625" style="1031"/>
    <col min="9738" max="9738" width="53.85546875" style="1031" customWidth="1"/>
    <col min="9739" max="9776" width="0" style="1031" hidden="1" customWidth="1"/>
    <col min="9777" max="9789" width="10.7109375" style="1031" customWidth="1"/>
    <col min="9790" max="9790" width="9.140625" style="1031"/>
    <col min="9791" max="9791" width="15.5703125" style="1031" customWidth="1"/>
    <col min="9792" max="9993" width="9.140625" style="1031"/>
    <col min="9994" max="9994" width="53.85546875" style="1031" customWidth="1"/>
    <col min="9995" max="10032" width="0" style="1031" hidden="1" customWidth="1"/>
    <col min="10033" max="10045" width="10.7109375" style="1031" customWidth="1"/>
    <col min="10046" max="10046" width="9.140625" style="1031"/>
    <col min="10047" max="10047" width="15.5703125" style="1031" customWidth="1"/>
    <col min="10048" max="10249" width="9.140625" style="1031"/>
    <col min="10250" max="10250" width="53.85546875" style="1031" customWidth="1"/>
    <col min="10251" max="10288" width="0" style="1031" hidden="1" customWidth="1"/>
    <col min="10289" max="10301" width="10.7109375" style="1031" customWidth="1"/>
    <col min="10302" max="10302" width="9.140625" style="1031"/>
    <col min="10303" max="10303" width="15.5703125" style="1031" customWidth="1"/>
    <col min="10304" max="10505" width="9.140625" style="1031"/>
    <col min="10506" max="10506" width="53.85546875" style="1031" customWidth="1"/>
    <col min="10507" max="10544" width="0" style="1031" hidden="1" customWidth="1"/>
    <col min="10545" max="10557" width="10.7109375" style="1031" customWidth="1"/>
    <col min="10558" max="10558" width="9.140625" style="1031"/>
    <col min="10559" max="10559" width="15.5703125" style="1031" customWidth="1"/>
    <col min="10560" max="10761" width="9.140625" style="1031"/>
    <col min="10762" max="10762" width="53.85546875" style="1031" customWidth="1"/>
    <col min="10763" max="10800" width="0" style="1031" hidden="1" customWidth="1"/>
    <col min="10801" max="10813" width="10.7109375" style="1031" customWidth="1"/>
    <col min="10814" max="10814" width="9.140625" style="1031"/>
    <col min="10815" max="10815" width="15.5703125" style="1031" customWidth="1"/>
    <col min="10816" max="11017" width="9.140625" style="1031"/>
    <col min="11018" max="11018" width="53.85546875" style="1031" customWidth="1"/>
    <col min="11019" max="11056" width="0" style="1031" hidden="1" customWidth="1"/>
    <col min="11057" max="11069" width="10.7109375" style="1031" customWidth="1"/>
    <col min="11070" max="11070" width="9.140625" style="1031"/>
    <col min="11071" max="11071" width="15.5703125" style="1031" customWidth="1"/>
    <col min="11072" max="11273" width="9.140625" style="1031"/>
    <col min="11274" max="11274" width="53.85546875" style="1031" customWidth="1"/>
    <col min="11275" max="11312" width="0" style="1031" hidden="1" customWidth="1"/>
    <col min="11313" max="11325" width="10.7109375" style="1031" customWidth="1"/>
    <col min="11326" max="11326" width="9.140625" style="1031"/>
    <col min="11327" max="11327" width="15.5703125" style="1031" customWidth="1"/>
    <col min="11328" max="11529" width="9.140625" style="1031"/>
    <col min="11530" max="11530" width="53.85546875" style="1031" customWidth="1"/>
    <col min="11531" max="11568" width="0" style="1031" hidden="1" customWidth="1"/>
    <col min="11569" max="11581" width="10.7109375" style="1031" customWidth="1"/>
    <col min="11582" max="11582" width="9.140625" style="1031"/>
    <col min="11583" max="11583" width="15.5703125" style="1031" customWidth="1"/>
    <col min="11584" max="11785" width="9.140625" style="1031"/>
    <col min="11786" max="11786" width="53.85546875" style="1031" customWidth="1"/>
    <col min="11787" max="11824" width="0" style="1031" hidden="1" customWidth="1"/>
    <col min="11825" max="11837" width="10.7109375" style="1031" customWidth="1"/>
    <col min="11838" max="11838" width="9.140625" style="1031"/>
    <col min="11839" max="11839" width="15.5703125" style="1031" customWidth="1"/>
    <col min="11840" max="12041" width="9.140625" style="1031"/>
    <col min="12042" max="12042" width="53.85546875" style="1031" customWidth="1"/>
    <col min="12043" max="12080" width="0" style="1031" hidden="1" customWidth="1"/>
    <col min="12081" max="12093" width="10.7109375" style="1031" customWidth="1"/>
    <col min="12094" max="12094" width="9.140625" style="1031"/>
    <col min="12095" max="12095" width="15.5703125" style="1031" customWidth="1"/>
    <col min="12096" max="12297" width="9.140625" style="1031"/>
    <col min="12298" max="12298" width="53.85546875" style="1031" customWidth="1"/>
    <col min="12299" max="12336" width="0" style="1031" hidden="1" customWidth="1"/>
    <col min="12337" max="12349" width="10.7109375" style="1031" customWidth="1"/>
    <col min="12350" max="12350" width="9.140625" style="1031"/>
    <col min="12351" max="12351" width="15.5703125" style="1031" customWidth="1"/>
    <col min="12352" max="12553" width="9.140625" style="1031"/>
    <col min="12554" max="12554" width="53.85546875" style="1031" customWidth="1"/>
    <col min="12555" max="12592" width="0" style="1031" hidden="1" customWidth="1"/>
    <col min="12593" max="12605" width="10.7109375" style="1031" customWidth="1"/>
    <col min="12606" max="12606" width="9.140625" style="1031"/>
    <col min="12607" max="12607" width="15.5703125" style="1031" customWidth="1"/>
    <col min="12608" max="12809" width="9.140625" style="1031"/>
    <col min="12810" max="12810" width="53.85546875" style="1031" customWidth="1"/>
    <col min="12811" max="12848" width="0" style="1031" hidden="1" customWidth="1"/>
    <col min="12849" max="12861" width="10.7109375" style="1031" customWidth="1"/>
    <col min="12862" max="12862" width="9.140625" style="1031"/>
    <col min="12863" max="12863" width="15.5703125" style="1031" customWidth="1"/>
    <col min="12864" max="13065" width="9.140625" style="1031"/>
    <col min="13066" max="13066" width="53.85546875" style="1031" customWidth="1"/>
    <col min="13067" max="13104" width="0" style="1031" hidden="1" customWidth="1"/>
    <col min="13105" max="13117" width="10.7109375" style="1031" customWidth="1"/>
    <col min="13118" max="13118" width="9.140625" style="1031"/>
    <col min="13119" max="13119" width="15.5703125" style="1031" customWidth="1"/>
    <col min="13120" max="13321" width="9.140625" style="1031"/>
    <col min="13322" max="13322" width="53.85546875" style="1031" customWidth="1"/>
    <col min="13323" max="13360" width="0" style="1031" hidden="1" customWidth="1"/>
    <col min="13361" max="13373" width="10.7109375" style="1031" customWidth="1"/>
    <col min="13374" max="13374" width="9.140625" style="1031"/>
    <col min="13375" max="13375" width="15.5703125" style="1031" customWidth="1"/>
    <col min="13376" max="13577" width="9.140625" style="1031"/>
    <col min="13578" max="13578" width="53.85546875" style="1031" customWidth="1"/>
    <col min="13579" max="13616" width="0" style="1031" hidden="1" customWidth="1"/>
    <col min="13617" max="13629" width="10.7109375" style="1031" customWidth="1"/>
    <col min="13630" max="13630" width="9.140625" style="1031"/>
    <col min="13631" max="13631" width="15.5703125" style="1031" customWidth="1"/>
    <col min="13632" max="13833" width="9.140625" style="1031"/>
    <col min="13834" max="13834" width="53.85546875" style="1031" customWidth="1"/>
    <col min="13835" max="13872" width="0" style="1031" hidden="1" customWidth="1"/>
    <col min="13873" max="13885" width="10.7109375" style="1031" customWidth="1"/>
    <col min="13886" max="13886" width="9.140625" style="1031"/>
    <col min="13887" max="13887" width="15.5703125" style="1031" customWidth="1"/>
    <col min="13888" max="14089" width="9.140625" style="1031"/>
    <col min="14090" max="14090" width="53.85546875" style="1031" customWidth="1"/>
    <col min="14091" max="14128" width="0" style="1031" hidden="1" customWidth="1"/>
    <col min="14129" max="14141" width="10.7109375" style="1031" customWidth="1"/>
    <col min="14142" max="14142" width="9.140625" style="1031"/>
    <col min="14143" max="14143" width="15.5703125" style="1031" customWidth="1"/>
    <col min="14144" max="14345" width="9.140625" style="1031"/>
    <col min="14346" max="14346" width="53.85546875" style="1031" customWidth="1"/>
    <col min="14347" max="14384" width="0" style="1031" hidden="1" customWidth="1"/>
    <col min="14385" max="14397" width="10.7109375" style="1031" customWidth="1"/>
    <col min="14398" max="14398" width="9.140625" style="1031"/>
    <col min="14399" max="14399" width="15.5703125" style="1031" customWidth="1"/>
    <col min="14400" max="14601" width="9.140625" style="1031"/>
    <col min="14602" max="14602" width="53.85546875" style="1031" customWidth="1"/>
    <col min="14603" max="14640" width="0" style="1031" hidden="1" customWidth="1"/>
    <col min="14641" max="14653" width="10.7109375" style="1031" customWidth="1"/>
    <col min="14654" max="14654" width="9.140625" style="1031"/>
    <col min="14655" max="14655" width="15.5703125" style="1031" customWidth="1"/>
    <col min="14656" max="14857" width="9.140625" style="1031"/>
    <col min="14858" max="14858" width="53.85546875" style="1031" customWidth="1"/>
    <col min="14859" max="14896" width="0" style="1031" hidden="1" customWidth="1"/>
    <col min="14897" max="14909" width="10.7109375" style="1031" customWidth="1"/>
    <col min="14910" max="14910" width="9.140625" style="1031"/>
    <col min="14911" max="14911" width="15.5703125" style="1031" customWidth="1"/>
    <col min="14912" max="15113" width="9.140625" style="1031"/>
    <col min="15114" max="15114" width="53.85546875" style="1031" customWidth="1"/>
    <col min="15115" max="15152" width="0" style="1031" hidden="1" customWidth="1"/>
    <col min="15153" max="15165" width="10.7109375" style="1031" customWidth="1"/>
    <col min="15166" max="15166" width="9.140625" style="1031"/>
    <col min="15167" max="15167" width="15.5703125" style="1031" customWidth="1"/>
    <col min="15168" max="15369" width="9.140625" style="1031"/>
    <col min="15370" max="15370" width="53.85546875" style="1031" customWidth="1"/>
    <col min="15371" max="15408" width="0" style="1031" hidden="1" customWidth="1"/>
    <col min="15409" max="15421" width="10.7109375" style="1031" customWidth="1"/>
    <col min="15422" max="15422" width="9.140625" style="1031"/>
    <col min="15423" max="15423" width="15.5703125" style="1031" customWidth="1"/>
    <col min="15424" max="15625" width="9.140625" style="1031"/>
    <col min="15626" max="15626" width="53.85546875" style="1031" customWidth="1"/>
    <col min="15627" max="15664" width="0" style="1031" hidden="1" customWidth="1"/>
    <col min="15665" max="15677" width="10.7109375" style="1031" customWidth="1"/>
    <col min="15678" max="15678" width="9.140625" style="1031"/>
    <col min="15679" max="15679" width="15.5703125" style="1031" customWidth="1"/>
    <col min="15680" max="15881" width="9.140625" style="1031"/>
    <col min="15882" max="15882" width="53.85546875" style="1031" customWidth="1"/>
    <col min="15883" max="15920" width="0" style="1031" hidden="1" customWidth="1"/>
    <col min="15921" max="15933" width="10.7109375" style="1031" customWidth="1"/>
    <col min="15934" max="15934" width="9.140625" style="1031"/>
    <col min="15935" max="15935" width="15.5703125" style="1031" customWidth="1"/>
    <col min="15936" max="16137" width="9.140625" style="1031"/>
    <col min="16138" max="16138" width="53.85546875" style="1031" customWidth="1"/>
    <col min="16139" max="16176" width="0" style="1031" hidden="1" customWidth="1"/>
    <col min="16177" max="16189" width="10.7109375" style="1031" customWidth="1"/>
    <col min="16190" max="16190" width="9.140625" style="1031"/>
    <col min="16191" max="16191" width="15.5703125" style="1031" customWidth="1"/>
    <col min="16192" max="16384" width="9.140625" style="1031"/>
  </cols>
  <sheetData>
    <row r="1" spans="1:67" ht="24">
      <c r="A1" s="1027" t="s">
        <v>2588</v>
      </c>
      <c r="B1" s="1028"/>
      <c r="C1" s="1028"/>
      <c r="D1" s="1028"/>
      <c r="E1" s="1028"/>
      <c r="F1" s="1028"/>
      <c r="G1" s="1028"/>
      <c r="H1" s="1028"/>
      <c r="I1" s="1028"/>
      <c r="J1" s="1028"/>
      <c r="K1" s="1028"/>
      <c r="L1" s="1028"/>
      <c r="M1" s="1028"/>
      <c r="N1" s="1028"/>
      <c r="O1" s="1028"/>
      <c r="P1" s="1028"/>
      <c r="Q1" s="1028"/>
      <c r="R1" s="1028"/>
      <c r="S1" s="1028"/>
      <c r="T1" s="1028"/>
      <c r="U1" s="1028"/>
      <c r="V1" s="1028"/>
      <c r="W1" s="1028"/>
      <c r="X1" s="1028"/>
      <c r="Y1" s="1028"/>
      <c r="Z1" s="1028"/>
      <c r="AA1" s="1029"/>
      <c r="AB1" s="1029"/>
      <c r="AC1" s="1029"/>
      <c r="AD1" s="1029"/>
      <c r="AE1" s="1029"/>
      <c r="AF1" s="1029"/>
      <c r="AG1" s="1028"/>
      <c r="AH1" s="1028"/>
      <c r="AI1" s="1028"/>
      <c r="AJ1" s="1028"/>
      <c r="AK1" s="1028"/>
      <c r="AL1" s="1028"/>
      <c r="AM1" s="1028"/>
      <c r="AN1" s="1028"/>
      <c r="AO1" s="1030"/>
      <c r="AP1" s="1030"/>
      <c r="AQ1" s="1030"/>
    </row>
    <row r="2" spans="1:67" ht="15" customHeight="1" thickBot="1">
      <c r="A2" s="1032"/>
      <c r="M2" s="3165"/>
      <c r="N2" s="3165"/>
      <c r="R2" s="1033"/>
      <c r="T2" s="1033"/>
      <c r="U2" s="1033"/>
      <c r="V2" s="1033"/>
      <c r="W2" s="1033"/>
      <c r="X2" s="1033"/>
      <c r="Y2" s="1033"/>
      <c r="Z2" s="1033"/>
      <c r="AA2" s="1033"/>
      <c r="AB2" s="1033"/>
      <c r="AC2" s="1033"/>
      <c r="AD2" s="1033"/>
      <c r="AE2" s="1033"/>
      <c r="AH2" s="1033"/>
      <c r="AI2" s="1033"/>
      <c r="AL2" s="1033"/>
      <c r="AM2" s="1033"/>
      <c r="AN2" s="1033"/>
      <c r="AO2" s="1033"/>
      <c r="AP2" s="1033"/>
      <c r="AU2" s="1033"/>
      <c r="AV2" s="1033"/>
      <c r="AW2" s="1033"/>
      <c r="AX2" s="1033"/>
      <c r="BA2" s="1034"/>
      <c r="BB2" s="1034"/>
      <c r="BC2" s="1034"/>
      <c r="BD2" s="1034"/>
      <c r="BE2" s="1034"/>
      <c r="BF2" s="1034"/>
      <c r="BG2" s="1034"/>
      <c r="BH2" s="1034"/>
      <c r="BI2" s="1034"/>
      <c r="BJ2" s="1034"/>
      <c r="BK2" s="1034"/>
      <c r="BL2" s="1034"/>
      <c r="BM2" s="1034"/>
      <c r="BN2" s="1034"/>
      <c r="BO2" s="1034" t="s">
        <v>49</v>
      </c>
    </row>
    <row r="3" spans="1:67" ht="26.25" customHeight="1" thickTop="1" thickBot="1">
      <c r="A3" s="1035"/>
      <c r="B3" s="1036">
        <v>40179</v>
      </c>
      <c r="C3" s="1036">
        <v>40210</v>
      </c>
      <c r="D3" s="1036">
        <v>40238</v>
      </c>
      <c r="E3" s="1036">
        <v>40269</v>
      </c>
      <c r="F3" s="1036">
        <v>40299</v>
      </c>
      <c r="G3" s="1036">
        <v>40330</v>
      </c>
      <c r="H3" s="1036">
        <v>40360</v>
      </c>
      <c r="I3" s="1036">
        <v>40391</v>
      </c>
      <c r="J3" s="1036">
        <v>40422</v>
      </c>
      <c r="K3" s="1036">
        <v>40452</v>
      </c>
      <c r="L3" s="1036">
        <v>40483</v>
      </c>
      <c r="M3" s="1036">
        <v>40513</v>
      </c>
      <c r="N3" s="1036">
        <v>40544</v>
      </c>
      <c r="O3" s="1036">
        <v>40575</v>
      </c>
      <c r="P3" s="1036">
        <v>40603</v>
      </c>
      <c r="Q3" s="1036">
        <v>40634</v>
      </c>
      <c r="R3" s="1036">
        <v>40668</v>
      </c>
      <c r="S3" s="1036">
        <v>40699</v>
      </c>
      <c r="T3" s="1036">
        <v>40729</v>
      </c>
      <c r="U3" s="1036">
        <v>40760</v>
      </c>
      <c r="V3" s="1036">
        <v>40791</v>
      </c>
      <c r="W3" s="1036">
        <v>40821</v>
      </c>
      <c r="X3" s="1036">
        <v>40852</v>
      </c>
      <c r="Y3" s="1036">
        <v>40882</v>
      </c>
      <c r="Z3" s="1036">
        <v>40913</v>
      </c>
      <c r="AA3" s="1036">
        <v>40944</v>
      </c>
      <c r="AB3" s="1036">
        <v>40973</v>
      </c>
      <c r="AC3" s="1036">
        <v>41004</v>
      </c>
      <c r="AD3" s="1036">
        <v>41034</v>
      </c>
      <c r="AE3" s="1036">
        <v>41065</v>
      </c>
      <c r="AF3" s="1036">
        <v>41095</v>
      </c>
      <c r="AG3" s="1036">
        <v>41126</v>
      </c>
      <c r="AH3" s="1037">
        <v>41157</v>
      </c>
      <c r="AI3" s="1036">
        <v>41187</v>
      </c>
      <c r="AJ3" s="1036">
        <v>41218</v>
      </c>
      <c r="AK3" s="1036">
        <v>41248</v>
      </c>
      <c r="AL3" s="1036">
        <v>41279</v>
      </c>
      <c r="AM3" s="1036">
        <v>41310</v>
      </c>
      <c r="AN3" s="1036">
        <v>41338</v>
      </c>
      <c r="AO3" s="1036">
        <v>41369</v>
      </c>
      <c r="AP3" s="1036">
        <v>41399</v>
      </c>
      <c r="AQ3" s="1038">
        <v>41430</v>
      </c>
      <c r="AR3" s="1036">
        <v>41460</v>
      </c>
      <c r="AS3" s="1036">
        <v>41491</v>
      </c>
      <c r="AT3" s="1036">
        <v>41522</v>
      </c>
      <c r="AU3" s="1036">
        <v>41552</v>
      </c>
      <c r="AV3" s="1036">
        <v>41583</v>
      </c>
      <c r="AW3" s="1036">
        <v>41613</v>
      </c>
      <c r="AX3" s="1036">
        <v>41644</v>
      </c>
      <c r="AY3" s="1036">
        <v>41675</v>
      </c>
      <c r="AZ3" s="1039">
        <v>41703</v>
      </c>
      <c r="BA3" s="1039">
        <v>41734</v>
      </c>
      <c r="BB3" s="1039">
        <v>41764</v>
      </c>
      <c r="BC3" s="1039">
        <v>41795</v>
      </c>
      <c r="BD3" s="1039">
        <v>41825</v>
      </c>
      <c r="BE3" s="1039">
        <v>41856</v>
      </c>
      <c r="BF3" s="1039">
        <v>41887</v>
      </c>
      <c r="BG3" s="1039">
        <v>41917</v>
      </c>
      <c r="BH3" s="1039">
        <v>41948</v>
      </c>
      <c r="BI3" s="1039">
        <v>41978</v>
      </c>
      <c r="BJ3" s="1039">
        <v>42009</v>
      </c>
      <c r="BK3" s="1039">
        <v>42040</v>
      </c>
      <c r="BL3" s="1039">
        <v>42068</v>
      </c>
      <c r="BM3" s="1040" t="s">
        <v>198</v>
      </c>
      <c r="BN3" s="1039">
        <v>42129</v>
      </c>
      <c r="BO3" s="1039">
        <v>42160</v>
      </c>
    </row>
    <row r="4" spans="1:67" ht="18" customHeight="1" thickTop="1">
      <c r="A4" s="1041"/>
      <c r="B4" s="1042"/>
      <c r="C4" s="1042"/>
      <c r="D4" s="1042"/>
      <c r="E4" s="1042"/>
      <c r="F4" s="1042"/>
      <c r="G4" s="1042"/>
      <c r="H4" s="1042"/>
      <c r="I4" s="1042"/>
      <c r="J4" s="1042"/>
      <c r="K4" s="1042"/>
      <c r="L4" s="1042"/>
      <c r="M4" s="1042"/>
      <c r="N4" s="1042"/>
      <c r="O4" s="1042"/>
      <c r="P4" s="1042"/>
      <c r="Q4" s="1042"/>
      <c r="R4" s="1042"/>
      <c r="S4" s="1042"/>
      <c r="T4" s="1042"/>
      <c r="U4" s="1042"/>
      <c r="V4" s="1042"/>
      <c r="W4" s="1042"/>
      <c r="X4" s="1042"/>
      <c r="Y4" s="1042"/>
      <c r="Z4" s="1042"/>
      <c r="AA4" s="1042"/>
      <c r="AB4" s="1042"/>
      <c r="AC4" s="1042"/>
      <c r="AD4" s="1042"/>
      <c r="AE4" s="1042"/>
      <c r="AF4" s="1042"/>
      <c r="AG4" s="1042"/>
      <c r="AH4" s="1043"/>
      <c r="AI4" s="1044"/>
      <c r="AJ4" s="1042"/>
      <c r="AK4" s="1042"/>
      <c r="AL4" s="1042"/>
      <c r="AM4" s="1042"/>
      <c r="AN4" s="1042"/>
      <c r="AO4" s="1042"/>
      <c r="AP4" s="1045"/>
      <c r="AQ4" s="1046"/>
      <c r="AR4" s="1045"/>
      <c r="AS4" s="1045"/>
      <c r="AT4" s="1045"/>
      <c r="AU4" s="1045"/>
      <c r="AV4" s="1045"/>
      <c r="AW4" s="1045"/>
      <c r="AX4" s="1045"/>
      <c r="AY4" s="1045"/>
      <c r="AZ4" s="1047"/>
      <c r="BA4" s="1047"/>
      <c r="BB4" s="1047"/>
      <c r="BC4" s="1047"/>
      <c r="BD4" s="1047"/>
      <c r="BE4" s="1047"/>
      <c r="BF4" s="1047"/>
      <c r="BG4" s="1047"/>
      <c r="BH4" s="1047"/>
      <c r="BI4" s="1047"/>
      <c r="BJ4" s="1047"/>
      <c r="BK4" s="1047"/>
      <c r="BL4" s="1047"/>
      <c r="BM4" s="1047"/>
      <c r="BN4" s="1047"/>
      <c r="BO4" s="1047"/>
    </row>
    <row r="5" spans="1:67" ht="22.5" customHeight="1">
      <c r="A5" s="1048" t="s">
        <v>2589</v>
      </c>
      <c r="B5" s="1049">
        <v>289410.72792542854</v>
      </c>
      <c r="C5" s="1049">
        <v>292791.70235634677</v>
      </c>
      <c r="D5" s="1049">
        <v>297432.04491911986</v>
      </c>
      <c r="E5" s="1049">
        <v>279938.10502433998</v>
      </c>
      <c r="F5" s="1049">
        <v>327910.8320255389</v>
      </c>
      <c r="G5" s="1049">
        <v>320171.30679858039</v>
      </c>
      <c r="H5" s="1049">
        <v>280822.53492081689</v>
      </c>
      <c r="I5" s="1049">
        <v>304449.98967204109</v>
      </c>
      <c r="J5" s="1049">
        <v>301088.89713564055</v>
      </c>
      <c r="K5" s="1049">
        <v>302930.04240626586</v>
      </c>
      <c r="L5" s="1049">
        <v>312451.91898554342</v>
      </c>
      <c r="M5" s="1049">
        <v>318118.48321293283</v>
      </c>
      <c r="N5" s="1049">
        <v>323227.47303719167</v>
      </c>
      <c r="O5" s="1049">
        <v>317121.40861257981</v>
      </c>
      <c r="P5" s="1049">
        <v>286354.90462211403</v>
      </c>
      <c r="Q5" s="1049">
        <v>301260.61578368506</v>
      </c>
      <c r="R5" s="1049">
        <v>291716.10072829016</v>
      </c>
      <c r="S5" s="1049">
        <v>318687.03130866907</v>
      </c>
      <c r="T5" s="1049">
        <v>305188.07283541822</v>
      </c>
      <c r="U5" s="1049">
        <v>287606.55099744862</v>
      </c>
      <c r="V5" s="1049">
        <v>293475.2466610134</v>
      </c>
      <c r="W5" s="1049">
        <v>292604.82713334222</v>
      </c>
      <c r="X5" s="1049">
        <v>347383.24200691615</v>
      </c>
      <c r="Y5" s="1049">
        <v>290654.23951224022</v>
      </c>
      <c r="Z5" s="1049">
        <v>267988.61551349226</v>
      </c>
      <c r="AA5" s="1049">
        <v>274768.44322053925</v>
      </c>
      <c r="AB5" s="1049">
        <v>321049.06011849875</v>
      </c>
      <c r="AC5" s="1049">
        <v>321847.61654908379</v>
      </c>
      <c r="AD5" s="1049">
        <v>340836.36152997706</v>
      </c>
      <c r="AE5" s="1049">
        <v>273456.51895855844</v>
      </c>
      <c r="AF5" s="1049">
        <v>304922.60916409292</v>
      </c>
      <c r="AG5" s="1049">
        <v>262526.97220607544</v>
      </c>
      <c r="AH5" s="1049">
        <v>286567.44082683767</v>
      </c>
      <c r="AI5" s="1050">
        <v>306184.25194562681</v>
      </c>
      <c r="AJ5" s="1049">
        <v>306172.36115914932</v>
      </c>
      <c r="AK5" s="1049">
        <v>309761.08105135418</v>
      </c>
      <c r="AL5" s="1049">
        <v>331111.15474308265</v>
      </c>
      <c r="AM5" s="1049">
        <v>278409.44842492574</v>
      </c>
      <c r="AN5" s="1049">
        <v>299533.06954427459</v>
      </c>
      <c r="AO5" s="1049">
        <v>310668.14065564412</v>
      </c>
      <c r="AP5" s="1049">
        <v>335198.83073661407</v>
      </c>
      <c r="AQ5" s="1051">
        <v>290541.90389346273</v>
      </c>
      <c r="AR5" s="1049">
        <v>307493.41187806381</v>
      </c>
      <c r="AS5" s="1049">
        <v>289118.00046138023</v>
      </c>
      <c r="AT5" s="1049">
        <v>281064.49624281575</v>
      </c>
      <c r="AU5" s="1049">
        <v>272297.13350531843</v>
      </c>
      <c r="AV5" s="1049">
        <v>276661.49469331006</v>
      </c>
      <c r="AW5" s="1049">
        <v>292801.9517582464</v>
      </c>
      <c r="AX5" s="1049">
        <v>268497.86107759853</v>
      </c>
      <c r="AY5" s="1049">
        <v>265920.13405156572</v>
      </c>
      <c r="AZ5" s="1052">
        <v>261333.85246753774</v>
      </c>
      <c r="BA5" s="1052">
        <v>281399.23989507044</v>
      </c>
      <c r="BB5" s="1052">
        <v>266165.4506704887</v>
      </c>
      <c r="BC5" s="1052">
        <v>262621.90154981613</v>
      </c>
      <c r="BD5" s="1052">
        <v>271259.19882236311</v>
      </c>
      <c r="BE5" s="1052">
        <v>285995.84924047318</v>
      </c>
      <c r="BF5" s="1052">
        <v>319933.42308586923</v>
      </c>
      <c r="BG5" s="1052">
        <v>358996.96364427783</v>
      </c>
      <c r="BH5" s="1052">
        <v>322355.93779513089</v>
      </c>
      <c r="BI5" s="1052">
        <v>335087.73974829266</v>
      </c>
      <c r="BJ5" s="1052">
        <v>355989.09586107393</v>
      </c>
      <c r="BK5" s="1052">
        <v>359122.29739360325</v>
      </c>
      <c r="BL5" s="1052">
        <v>418918.09434418491</v>
      </c>
      <c r="BM5" s="1052">
        <v>429695.2027612754</v>
      </c>
      <c r="BN5" s="1052">
        <v>395171.42290077568</v>
      </c>
      <c r="BO5" s="1052">
        <v>381222.78593859496</v>
      </c>
    </row>
    <row r="6" spans="1:67" ht="22.5" customHeight="1">
      <c r="A6" s="1053" t="s">
        <v>2590</v>
      </c>
      <c r="B6" s="1054">
        <v>554129.25189955614</v>
      </c>
      <c r="C6" s="1054">
        <v>574198.55662555143</v>
      </c>
      <c r="D6" s="1054">
        <v>595999.30990686174</v>
      </c>
      <c r="E6" s="1054">
        <v>592325.27184835775</v>
      </c>
      <c r="F6" s="1054">
        <v>690782.21328024485</v>
      </c>
      <c r="G6" s="1054">
        <v>671738.656082973</v>
      </c>
      <c r="H6" s="1054">
        <v>615185.20037483866</v>
      </c>
      <c r="I6" s="1054">
        <v>649487.02620965545</v>
      </c>
      <c r="J6" s="1054">
        <v>665659.57883432286</v>
      </c>
      <c r="K6" s="1054">
        <v>683035.47805789532</v>
      </c>
      <c r="L6" s="1054">
        <v>655369.07597230945</v>
      </c>
      <c r="M6" s="1054">
        <v>701809.95337544847</v>
      </c>
      <c r="N6" s="1054">
        <v>718145.26458332082</v>
      </c>
      <c r="O6" s="1054">
        <v>724484.74699546129</v>
      </c>
      <c r="P6" s="1054">
        <v>695498.74745078781</v>
      </c>
      <c r="Q6" s="1054">
        <v>757252.14003806759</v>
      </c>
      <c r="R6" s="1054">
        <v>683532.74611194688</v>
      </c>
      <c r="S6" s="1054">
        <v>739275.68099999998</v>
      </c>
      <c r="T6" s="1054">
        <v>713079.36609643954</v>
      </c>
      <c r="U6" s="1054">
        <v>689923.28349499148</v>
      </c>
      <c r="V6" s="1054">
        <v>770300.32276175159</v>
      </c>
      <c r="W6" s="1054">
        <v>743847.0539604628</v>
      </c>
      <c r="X6" s="1054">
        <v>776997.92170646996</v>
      </c>
      <c r="Y6" s="1054">
        <v>783159.19996672636</v>
      </c>
      <c r="Z6" s="1054">
        <v>803323.10318789806</v>
      </c>
      <c r="AA6" s="1054">
        <v>844333.87104523438</v>
      </c>
      <c r="AB6" s="1054">
        <v>855506.44080762076</v>
      </c>
      <c r="AC6" s="1054">
        <v>829173.73109211109</v>
      </c>
      <c r="AD6" s="1054">
        <v>863015.68687695405</v>
      </c>
      <c r="AE6" s="1054">
        <v>839674.20833327714</v>
      </c>
      <c r="AF6" s="1054">
        <v>873225.06715132389</v>
      </c>
      <c r="AG6" s="1054">
        <v>824222.32142519916</v>
      </c>
      <c r="AH6" s="1054">
        <v>842221.48180383351</v>
      </c>
      <c r="AI6" s="1055">
        <v>839944.4604024936</v>
      </c>
      <c r="AJ6" s="1054">
        <v>807682.83964783652</v>
      </c>
      <c r="AK6" s="1054">
        <v>802935.72269750375</v>
      </c>
      <c r="AL6" s="1054">
        <v>830727.99263529305</v>
      </c>
      <c r="AM6" s="1054">
        <v>788894.7544634412</v>
      </c>
      <c r="AN6" s="1054">
        <v>831590.79147575842</v>
      </c>
      <c r="AO6" s="1054">
        <v>816818.14189296542</v>
      </c>
      <c r="AP6" s="1054">
        <v>855003.56485537684</v>
      </c>
      <c r="AQ6" s="1056">
        <v>835164.11841797386</v>
      </c>
      <c r="AR6" s="1054">
        <v>876000.90766366245</v>
      </c>
      <c r="AS6" s="1054">
        <v>886516.84231797955</v>
      </c>
      <c r="AT6" s="1054">
        <v>867993.27974259004</v>
      </c>
      <c r="AU6" s="1054">
        <v>810184.50971048442</v>
      </c>
      <c r="AV6" s="1054">
        <v>793260.31807916111</v>
      </c>
      <c r="AW6" s="1054">
        <v>772471.29067283787</v>
      </c>
      <c r="AX6" s="1054">
        <v>741950.61904163694</v>
      </c>
      <c r="AY6" s="1054">
        <v>750807.72838511539</v>
      </c>
      <c r="AZ6" s="1057">
        <v>750315.003823495</v>
      </c>
      <c r="BA6" s="1057">
        <v>734324.2736315073</v>
      </c>
      <c r="BB6" s="1057">
        <v>717738.6893311129</v>
      </c>
      <c r="BC6" s="1057">
        <v>708659.48015011754</v>
      </c>
      <c r="BD6" s="1057">
        <v>687462.77767260105</v>
      </c>
      <c r="BE6" s="1057">
        <v>677085.65310546861</v>
      </c>
      <c r="BF6" s="1057">
        <v>766360.47981011763</v>
      </c>
      <c r="BG6" s="1057">
        <v>792280.73812625674</v>
      </c>
      <c r="BH6" s="1057">
        <v>760513.21455190761</v>
      </c>
      <c r="BI6" s="1057">
        <v>782494.49146167573</v>
      </c>
      <c r="BJ6" s="1057">
        <v>796735.95019848226</v>
      </c>
      <c r="BK6" s="1057">
        <v>794676.28122325859</v>
      </c>
      <c r="BL6" s="1057">
        <v>898881.93526850198</v>
      </c>
      <c r="BM6" s="1057">
        <v>899116.41149282467</v>
      </c>
      <c r="BN6" s="1057">
        <v>837223.64078272064</v>
      </c>
      <c r="BO6" s="1057">
        <v>789125.94891854352</v>
      </c>
    </row>
    <row r="7" spans="1:67" ht="22.5" customHeight="1">
      <c r="A7" s="1053" t="s">
        <v>2591</v>
      </c>
      <c r="B7" s="1054">
        <v>-264718.5239741276</v>
      </c>
      <c r="C7" s="1054">
        <v>-281406.85426920466</v>
      </c>
      <c r="D7" s="1054">
        <v>-298567.26498774189</v>
      </c>
      <c r="E7" s="1054">
        <v>-312387.16682401777</v>
      </c>
      <c r="F7" s="1054">
        <v>-362871.38125470595</v>
      </c>
      <c r="G7" s="1054">
        <v>-351567.34928439261</v>
      </c>
      <c r="H7" s="1054">
        <v>-334362.66545402177</v>
      </c>
      <c r="I7" s="1054">
        <v>-345037.03653761436</v>
      </c>
      <c r="J7" s="1054">
        <v>-364570.68169868231</v>
      </c>
      <c r="K7" s="1054">
        <v>-380105.43565162946</v>
      </c>
      <c r="L7" s="1054">
        <v>-342917.15698676603</v>
      </c>
      <c r="M7" s="1054">
        <v>-383691.47016251564</v>
      </c>
      <c r="N7" s="1054">
        <v>-394917.79154612916</v>
      </c>
      <c r="O7" s="1054">
        <v>-407363.33838288148</v>
      </c>
      <c r="P7" s="1054">
        <v>-409143.84282867378</v>
      </c>
      <c r="Q7" s="1054">
        <v>-455991.52425438253</v>
      </c>
      <c r="R7" s="1054">
        <v>-391816.64538365672</v>
      </c>
      <c r="S7" s="1054">
        <v>-420588.64969133091</v>
      </c>
      <c r="T7" s="1054">
        <v>-407891.29326102132</v>
      </c>
      <c r="U7" s="1054">
        <v>-402316.73249754286</v>
      </c>
      <c r="V7" s="1054">
        <v>-476825.0761007382</v>
      </c>
      <c r="W7" s="1054">
        <v>-451242.22682712058</v>
      </c>
      <c r="X7" s="1054">
        <v>-429614.67969955382</v>
      </c>
      <c r="Y7" s="1054">
        <v>-492504.96045448614</v>
      </c>
      <c r="Z7" s="1054">
        <v>-535334.4876744058</v>
      </c>
      <c r="AA7" s="1054">
        <v>-569565.42782469513</v>
      </c>
      <c r="AB7" s="1054">
        <v>-534457.38068912202</v>
      </c>
      <c r="AC7" s="1054">
        <v>-507326.1145430273</v>
      </c>
      <c r="AD7" s="1054">
        <v>-522179.32534697698</v>
      </c>
      <c r="AE7" s="1054">
        <v>-566217.6893747187</v>
      </c>
      <c r="AF7" s="1054">
        <v>-568302.45798723097</v>
      </c>
      <c r="AG7" s="1054">
        <v>-561695.34921912372</v>
      </c>
      <c r="AH7" s="1054">
        <v>-555654.04097699584</v>
      </c>
      <c r="AI7" s="1055">
        <v>-533760.20845686679</v>
      </c>
      <c r="AJ7" s="1054">
        <v>-501510.47848868719</v>
      </c>
      <c r="AK7" s="1054">
        <v>-493174.64164614957</v>
      </c>
      <c r="AL7" s="1054">
        <v>-499616.8378922104</v>
      </c>
      <c r="AM7" s="1054">
        <v>-510485.30603851547</v>
      </c>
      <c r="AN7" s="1054">
        <v>-532057.72193148383</v>
      </c>
      <c r="AO7" s="1054">
        <v>-506150.0012373213</v>
      </c>
      <c r="AP7" s="1054">
        <v>-519804.73411876278</v>
      </c>
      <c r="AQ7" s="1056">
        <v>-544622.21452451113</v>
      </c>
      <c r="AR7" s="1054">
        <v>-568507.49578559864</v>
      </c>
      <c r="AS7" s="1054">
        <v>-597398.84185659932</v>
      </c>
      <c r="AT7" s="1054">
        <v>-586928.78349977429</v>
      </c>
      <c r="AU7" s="1054">
        <v>-537887.37620516599</v>
      </c>
      <c r="AV7" s="1054">
        <v>-516598.82338585105</v>
      </c>
      <c r="AW7" s="1054">
        <v>-479669.33891459147</v>
      </c>
      <c r="AX7" s="1054">
        <v>-473452.75796403841</v>
      </c>
      <c r="AY7" s="1054">
        <v>-484887.59433354967</v>
      </c>
      <c r="AZ7" s="1057">
        <v>-488981.15135595726</v>
      </c>
      <c r="BA7" s="1057">
        <v>-452925.03373643686</v>
      </c>
      <c r="BB7" s="1057">
        <v>-451573.23866062419</v>
      </c>
      <c r="BC7" s="1057">
        <v>-446037.57860030141</v>
      </c>
      <c r="BD7" s="1057">
        <v>-416203.57885023794</v>
      </c>
      <c r="BE7" s="1057">
        <v>-391089.80386499543</v>
      </c>
      <c r="BF7" s="1057">
        <v>-446427.0567242484</v>
      </c>
      <c r="BG7" s="1057">
        <v>-433283.77448197891</v>
      </c>
      <c r="BH7" s="1057">
        <v>-438157.27675677673</v>
      </c>
      <c r="BI7" s="1057">
        <v>-447406.75171338307</v>
      </c>
      <c r="BJ7" s="1057">
        <v>-440746.85433740832</v>
      </c>
      <c r="BK7" s="1057">
        <v>-435553.98382965534</v>
      </c>
      <c r="BL7" s="1057">
        <v>-479963.84092431708</v>
      </c>
      <c r="BM7" s="1057">
        <v>-469421.20873154927</v>
      </c>
      <c r="BN7" s="1057">
        <v>-442052.21788194496</v>
      </c>
      <c r="BO7" s="1057">
        <v>-407903.16297994857</v>
      </c>
    </row>
    <row r="8" spans="1:67" ht="22.5" customHeight="1">
      <c r="A8" s="1053"/>
      <c r="B8" s="1054"/>
      <c r="C8" s="1054"/>
      <c r="D8" s="1054"/>
      <c r="E8" s="1054"/>
      <c r="F8" s="1054"/>
      <c r="G8" s="1054"/>
      <c r="H8" s="1054"/>
      <c r="I8" s="1054"/>
      <c r="J8" s="1054"/>
      <c r="K8" s="1054"/>
      <c r="L8" s="1054"/>
      <c r="M8" s="1054"/>
      <c r="N8" s="1054"/>
      <c r="O8" s="1054"/>
      <c r="P8" s="1054"/>
      <c r="Q8" s="1054"/>
      <c r="R8" s="1054"/>
      <c r="S8" s="1054"/>
      <c r="T8" s="1054"/>
      <c r="U8" s="1054"/>
      <c r="V8" s="1054"/>
      <c r="W8" s="1054"/>
      <c r="X8" s="1054"/>
      <c r="Y8" s="1054"/>
      <c r="Z8" s="1054"/>
      <c r="AA8" s="1054"/>
      <c r="AB8" s="1054"/>
      <c r="AC8" s="1054"/>
      <c r="AD8" s="1054"/>
      <c r="AE8" s="1054"/>
      <c r="AF8" s="1054"/>
      <c r="AG8" s="1054"/>
      <c r="AH8" s="1054"/>
      <c r="AI8" s="1055"/>
      <c r="AJ8" s="1054"/>
      <c r="AK8" s="1054"/>
      <c r="AL8" s="1054"/>
      <c r="AM8" s="1054"/>
      <c r="AN8" s="1054"/>
      <c r="AO8" s="1054"/>
      <c r="AP8" s="1054"/>
      <c r="AQ8" s="1056"/>
      <c r="AR8" s="1054"/>
      <c r="AS8" s="1054"/>
      <c r="AT8" s="1054"/>
      <c r="AU8" s="1054"/>
      <c r="AV8" s="1054"/>
      <c r="AW8" s="1054"/>
      <c r="AX8" s="1054"/>
      <c r="AY8" s="1054"/>
      <c r="AZ8" s="1057"/>
      <c r="BA8" s="1057"/>
      <c r="BB8" s="1057"/>
      <c r="BC8" s="1057"/>
      <c r="BD8" s="1057"/>
      <c r="BE8" s="1057"/>
      <c r="BF8" s="1057"/>
      <c r="BG8" s="1057"/>
      <c r="BH8" s="1057"/>
      <c r="BI8" s="1057"/>
      <c r="BJ8" s="1057"/>
      <c r="BK8" s="1057"/>
      <c r="BL8" s="1057"/>
      <c r="BM8" s="1057"/>
      <c r="BN8" s="1057"/>
      <c r="BO8" s="1057"/>
    </row>
    <row r="9" spans="1:67" ht="22.5" customHeight="1">
      <c r="A9" s="1048" t="s">
        <v>2592</v>
      </c>
      <c r="B9" s="1049">
        <v>15883.54626933713</v>
      </c>
      <c r="C9" s="1049">
        <v>19204.398491121799</v>
      </c>
      <c r="D9" s="1049">
        <v>22795.501324295175</v>
      </c>
      <c r="E9" s="1049">
        <v>20531.286862214078</v>
      </c>
      <c r="F9" s="1049">
        <v>20818.509804281664</v>
      </c>
      <c r="G9" s="1049">
        <v>22185.535998862859</v>
      </c>
      <c r="H9" s="1049">
        <v>23556.414353128181</v>
      </c>
      <c r="I9" s="1049">
        <v>21518.199613537079</v>
      </c>
      <c r="J9" s="1049">
        <v>25248.348319826946</v>
      </c>
      <c r="K9" s="1049">
        <v>27381.67336833676</v>
      </c>
      <c r="L9" s="1049">
        <v>28293.545060959175</v>
      </c>
      <c r="M9" s="1049">
        <v>29434.82293110558</v>
      </c>
      <c r="N9" s="1049">
        <v>30390.546227934283</v>
      </c>
      <c r="O9" s="1049">
        <v>31076.999940529997</v>
      </c>
      <c r="P9" s="1049">
        <v>30091.098269384391</v>
      </c>
      <c r="Q9" s="1049">
        <v>30980.17593003501</v>
      </c>
      <c r="R9" s="1049">
        <v>30034.995411972028</v>
      </c>
      <c r="S9" s="1049">
        <v>31617.683999999997</v>
      </c>
      <c r="T9" s="1049">
        <v>31908.506064140747</v>
      </c>
      <c r="U9" s="1049">
        <v>33473.694393502381</v>
      </c>
      <c r="V9" s="1049">
        <v>30969.328194597925</v>
      </c>
      <c r="W9" s="1049">
        <v>30773.4028834204</v>
      </c>
      <c r="X9" s="1049">
        <v>30649.208384962472</v>
      </c>
      <c r="Y9" s="1049">
        <v>33371.31098330504</v>
      </c>
      <c r="Z9" s="1049">
        <v>30528.812363751418</v>
      </c>
      <c r="AA9" s="1049">
        <v>31819.07879519276</v>
      </c>
      <c r="AB9" s="1049">
        <v>31406.353760574326</v>
      </c>
      <c r="AC9" s="1049">
        <v>31033.287909103608</v>
      </c>
      <c r="AD9" s="1049">
        <v>30952.833307015837</v>
      </c>
      <c r="AE9" s="1049">
        <v>31581.437679148868</v>
      </c>
      <c r="AF9" s="1049">
        <v>31415.124832631391</v>
      </c>
      <c r="AG9" s="1049">
        <v>30875.81402145933</v>
      </c>
      <c r="AH9" s="1049">
        <v>31887.315677383078</v>
      </c>
      <c r="AI9" s="1050">
        <v>30820.132658355989</v>
      </c>
      <c r="AJ9" s="1049">
        <v>29633.958087153787</v>
      </c>
      <c r="AK9" s="1049">
        <v>34037.183666135119</v>
      </c>
      <c r="AL9" s="1049">
        <v>35233.724996757279</v>
      </c>
      <c r="AM9" s="1049">
        <v>37081.318759745285</v>
      </c>
      <c r="AN9" s="1049">
        <v>38246.699542748305</v>
      </c>
      <c r="AO9" s="1049">
        <v>36037.6615946647</v>
      </c>
      <c r="AP9" s="1049">
        <v>41395.631779504234</v>
      </c>
      <c r="AQ9" s="1051">
        <v>42287.360183243058</v>
      </c>
      <c r="AR9" s="1049">
        <v>43225.636986448866</v>
      </c>
      <c r="AS9" s="1049">
        <v>42023.616847947887</v>
      </c>
      <c r="AT9" s="1049">
        <v>40823.307736586619</v>
      </c>
      <c r="AU9" s="1049">
        <v>42622.338426117305</v>
      </c>
      <c r="AV9" s="1049">
        <v>43925.061943251792</v>
      </c>
      <c r="AW9" s="1049">
        <v>49632.33640586229</v>
      </c>
      <c r="AX9" s="1049">
        <v>49473.037480839434</v>
      </c>
      <c r="AY9" s="1049">
        <v>54950.875877070568</v>
      </c>
      <c r="AZ9" s="1052">
        <v>55148.686053227022</v>
      </c>
      <c r="BA9" s="1052">
        <v>55642.872052752253</v>
      </c>
      <c r="BB9" s="1052">
        <v>57687.2608324178</v>
      </c>
      <c r="BC9" s="1052">
        <v>57341.817645797317</v>
      </c>
      <c r="BD9" s="1052">
        <v>58414.201097182864</v>
      </c>
      <c r="BE9" s="1052">
        <v>58439.635107671224</v>
      </c>
      <c r="BF9" s="1052">
        <v>54701.308099686437</v>
      </c>
      <c r="BG9" s="1052">
        <v>54740.539371784849</v>
      </c>
      <c r="BH9" s="1052">
        <v>56118.323095988118</v>
      </c>
      <c r="BI9" s="1052">
        <v>58250.509178515204</v>
      </c>
      <c r="BJ9" s="1052">
        <v>59026.17492475461</v>
      </c>
      <c r="BK9" s="1052">
        <v>60198.640688576401</v>
      </c>
      <c r="BL9" s="1052">
        <v>64958.585089628599</v>
      </c>
      <c r="BM9" s="1052">
        <v>65757.18537476749</v>
      </c>
      <c r="BN9" s="1052">
        <v>66462.342217031648</v>
      </c>
      <c r="BO9" s="1052">
        <v>72221.319072544851</v>
      </c>
    </row>
    <row r="10" spans="1:67" ht="22.5" customHeight="1">
      <c r="A10" s="1053" t="s">
        <v>2593</v>
      </c>
      <c r="B10" s="1054">
        <v>2780.4818602185601</v>
      </c>
      <c r="C10" s="1054">
        <v>2661.1428895894396</v>
      </c>
      <c r="D10" s="1054">
        <v>2898.1288821314602</v>
      </c>
      <c r="E10" s="1054">
        <v>2715.3582111474198</v>
      </c>
      <c r="F10" s="1054">
        <v>2684.0971327969996</v>
      </c>
      <c r="G10" s="1054">
        <v>2744.9043118847799</v>
      </c>
      <c r="H10" s="1054">
        <v>2589.7509924748701</v>
      </c>
      <c r="I10" s="1054">
        <v>2818.4901145357098</v>
      </c>
      <c r="J10" s="1054">
        <v>2854.1944993078296</v>
      </c>
      <c r="K10" s="1054">
        <v>2652.7364417868398</v>
      </c>
      <c r="L10" s="1054">
        <v>2792.7197988087801</v>
      </c>
      <c r="M10" s="1054">
        <v>3616.75520117109</v>
      </c>
      <c r="N10" s="1054">
        <v>3226.06529056934</v>
      </c>
      <c r="O10" s="1054">
        <v>2789.5613597740103</v>
      </c>
      <c r="P10" s="1054">
        <v>3064.4438332881496</v>
      </c>
      <c r="Q10" s="1054">
        <v>2706.3366797338899</v>
      </c>
      <c r="R10" s="1054">
        <v>3000.4766235805801</v>
      </c>
      <c r="S10" s="1054">
        <v>2937.2269999999999</v>
      </c>
      <c r="T10" s="1054">
        <v>2860.3833820514101</v>
      </c>
      <c r="U10" s="1054">
        <v>3375.9320411612498</v>
      </c>
      <c r="V10" s="1054">
        <v>3198.9278438555498</v>
      </c>
      <c r="W10" s="1054">
        <v>3543.8328578868195</v>
      </c>
      <c r="X10" s="1054">
        <v>3523.5380632228698</v>
      </c>
      <c r="Y10" s="1054">
        <v>4161.9693968672</v>
      </c>
      <c r="Z10" s="1054">
        <v>3378.4848058553798</v>
      </c>
      <c r="AA10" s="1054">
        <v>3248.23803906067</v>
      </c>
      <c r="AB10" s="1054">
        <v>2883.3512458578198</v>
      </c>
      <c r="AC10" s="1054">
        <v>2977.8079643617698</v>
      </c>
      <c r="AD10" s="1054">
        <v>3403.95765762887</v>
      </c>
      <c r="AE10" s="1054">
        <v>2731.8580123987799</v>
      </c>
      <c r="AF10" s="1054">
        <v>2921.5261027483198</v>
      </c>
      <c r="AG10" s="1054">
        <v>3285.2655863486998</v>
      </c>
      <c r="AH10" s="1054">
        <v>3218.97800381967</v>
      </c>
      <c r="AI10" s="1055">
        <v>3775.3428060113501</v>
      </c>
      <c r="AJ10" s="1054">
        <v>3586.6000795631298</v>
      </c>
      <c r="AK10" s="1054">
        <v>4791.5966149175529</v>
      </c>
      <c r="AL10" s="1054">
        <v>4198.8004375281098</v>
      </c>
      <c r="AM10" s="1054">
        <v>3718.4681231650479</v>
      </c>
      <c r="AN10" s="1054">
        <v>3968.0071440123438</v>
      </c>
      <c r="AO10" s="1054">
        <v>4263.4817446186689</v>
      </c>
      <c r="AP10" s="1054">
        <v>4030.7237780018918</v>
      </c>
      <c r="AQ10" s="1056">
        <v>3881.5519780801178</v>
      </c>
      <c r="AR10" s="1054">
        <v>4400.6176584587956</v>
      </c>
      <c r="AS10" s="1054">
        <v>4329.7500811983455</v>
      </c>
      <c r="AT10" s="1054">
        <v>4242.0866869116808</v>
      </c>
      <c r="AU10" s="1054">
        <v>4812.0552422003866</v>
      </c>
      <c r="AV10" s="1054">
        <v>4467.8940639118146</v>
      </c>
      <c r="AW10" s="1054">
        <v>6810.9656838341225</v>
      </c>
      <c r="AX10" s="1054">
        <v>5069.9095430427915</v>
      </c>
      <c r="AY10" s="1054">
        <v>4859.8693030329596</v>
      </c>
      <c r="AZ10" s="1057">
        <v>4678.5999159676958</v>
      </c>
      <c r="BA10" s="1057">
        <v>5002.6420686924439</v>
      </c>
      <c r="BB10" s="1057">
        <v>4285.1118852461977</v>
      </c>
      <c r="BC10" s="1057">
        <v>4659.9065244093199</v>
      </c>
      <c r="BD10" s="1057">
        <v>5162.9735006449473</v>
      </c>
      <c r="BE10" s="1057">
        <v>4784.119899514094</v>
      </c>
      <c r="BF10" s="1057">
        <v>4722.670419430573</v>
      </c>
      <c r="BG10" s="1057">
        <v>4493.5170977541047</v>
      </c>
      <c r="BH10" s="1057">
        <v>4728.3325385640619</v>
      </c>
      <c r="BI10" s="1057">
        <v>7139.7543311749869</v>
      </c>
      <c r="BJ10" s="1057">
        <v>4663.7387838217473</v>
      </c>
      <c r="BK10" s="1057">
        <v>4523.7478623699599</v>
      </c>
      <c r="BL10" s="1057">
        <v>4450.9223558028089</v>
      </c>
      <c r="BM10" s="1057">
        <v>4979.4203134760128</v>
      </c>
      <c r="BN10" s="1057">
        <v>4161.0018502116955</v>
      </c>
      <c r="BO10" s="1057">
        <v>4383.6580079079868</v>
      </c>
    </row>
    <row r="11" spans="1:67" ht="22.5" customHeight="1">
      <c r="A11" s="1053" t="s">
        <v>2594</v>
      </c>
      <c r="B11" s="1054">
        <v>13103.06440911857</v>
      </c>
      <c r="C11" s="1054">
        <v>15440.03880347136</v>
      </c>
      <c r="D11" s="1054">
        <v>19039.147348759965</v>
      </c>
      <c r="E11" s="1054">
        <v>16779.205501493328</v>
      </c>
      <c r="F11" s="1054">
        <v>15997.32476802577</v>
      </c>
      <c r="G11" s="1054">
        <v>18820.724511978078</v>
      </c>
      <c r="H11" s="1054">
        <v>19036.469558432131</v>
      </c>
      <c r="I11" s="1054">
        <v>17179.597992931718</v>
      </c>
      <c r="J11" s="1054">
        <v>17080.557081261119</v>
      </c>
      <c r="K11" s="1054">
        <v>19591.851296260469</v>
      </c>
      <c r="L11" s="1054">
        <v>20372.515139623167</v>
      </c>
      <c r="M11" s="1054">
        <v>22158.698883537549</v>
      </c>
      <c r="N11" s="1054">
        <v>22866.410367366283</v>
      </c>
      <c r="O11" s="1054">
        <v>22793.917400515667</v>
      </c>
      <c r="P11" s="1054">
        <v>21927.07894676127</v>
      </c>
      <c r="Q11" s="1054">
        <v>22959.958484987659</v>
      </c>
      <c r="R11" s="1054">
        <v>20852.85236387136</v>
      </c>
      <c r="S11" s="1054">
        <v>21290.077999999998</v>
      </c>
      <c r="T11" s="1054">
        <v>21041.356357863908</v>
      </c>
      <c r="U11" s="1054">
        <v>22394.577515877951</v>
      </c>
      <c r="V11" s="1054">
        <v>20955.744019507987</v>
      </c>
      <c r="W11" s="1054">
        <v>20389.512999437429</v>
      </c>
      <c r="X11" s="1054">
        <v>20287.807507148442</v>
      </c>
      <c r="Y11" s="1054">
        <v>23667.518772783042</v>
      </c>
      <c r="Z11" s="1054">
        <v>21143.898082034419</v>
      </c>
      <c r="AA11" s="1054">
        <v>22595.355402345889</v>
      </c>
      <c r="AB11" s="1054">
        <v>22642.908420646967</v>
      </c>
      <c r="AC11" s="1054">
        <v>22438.039174189456</v>
      </c>
      <c r="AD11" s="1054">
        <v>22470.955748627337</v>
      </c>
      <c r="AE11" s="1054">
        <v>23952.999551973287</v>
      </c>
      <c r="AF11" s="1054">
        <v>23711.907692205081</v>
      </c>
      <c r="AG11" s="1054">
        <v>23526.400576950011</v>
      </c>
      <c r="AH11" s="1054">
        <v>24570.12411190939</v>
      </c>
      <c r="AI11" s="1055">
        <v>23309.13281240355</v>
      </c>
      <c r="AJ11" s="1054">
        <v>22121.435074765439</v>
      </c>
      <c r="AK11" s="1054">
        <v>25339.887051448743</v>
      </c>
      <c r="AL11" s="1054">
        <v>24811.603418029583</v>
      </c>
      <c r="AM11" s="1054">
        <v>27616.35811862698</v>
      </c>
      <c r="AN11" s="1054">
        <v>26916.749406765295</v>
      </c>
      <c r="AO11" s="1054">
        <v>23732.996889685543</v>
      </c>
      <c r="AP11" s="1054">
        <v>28098.346732737707</v>
      </c>
      <c r="AQ11" s="1056">
        <v>28142.382556545286</v>
      </c>
      <c r="AR11" s="1054">
        <v>28846.291705289455</v>
      </c>
      <c r="AS11" s="1054">
        <v>26079.808146629897</v>
      </c>
      <c r="AT11" s="1054">
        <v>24891.543612324742</v>
      </c>
      <c r="AU11" s="1054">
        <v>26386.191195087289</v>
      </c>
      <c r="AV11" s="1054">
        <v>28215.631845464515</v>
      </c>
      <c r="AW11" s="1054">
        <v>32104.807109869311</v>
      </c>
      <c r="AX11" s="1054">
        <v>31278.728444616794</v>
      </c>
      <c r="AY11" s="1054">
        <v>37065.082675889476</v>
      </c>
      <c r="AZ11" s="1057">
        <v>35348.424453984</v>
      </c>
      <c r="BA11" s="1057">
        <v>34975.964181445357</v>
      </c>
      <c r="BB11" s="1057">
        <v>36294.811287839671</v>
      </c>
      <c r="BC11" s="1057">
        <v>35562.721802992994</v>
      </c>
      <c r="BD11" s="1057">
        <v>37436.540629326395</v>
      </c>
      <c r="BE11" s="1057">
        <v>39491.972824339624</v>
      </c>
      <c r="BF11" s="1057">
        <v>37018.289982058544</v>
      </c>
      <c r="BG11" s="1057">
        <v>38516.834474019604</v>
      </c>
      <c r="BH11" s="1057">
        <v>36098.028646470615</v>
      </c>
      <c r="BI11" s="1057">
        <v>35352.203031436744</v>
      </c>
      <c r="BJ11" s="1057">
        <v>40596.638702052791</v>
      </c>
      <c r="BK11" s="1057">
        <v>43101.961531756053</v>
      </c>
      <c r="BL11" s="1057">
        <v>47797.471520471467</v>
      </c>
      <c r="BM11" s="1057">
        <v>48837.429833669907</v>
      </c>
      <c r="BN11" s="1057">
        <v>46976.981750401275</v>
      </c>
      <c r="BO11" s="1057">
        <v>48706.533126328075</v>
      </c>
    </row>
    <row r="12" spans="1:67" ht="22.5" customHeight="1">
      <c r="A12" s="1053" t="s">
        <v>2595</v>
      </c>
      <c r="B12" s="1054">
        <v>0</v>
      </c>
      <c r="C12" s="1054">
        <v>1103.216798061</v>
      </c>
      <c r="D12" s="1054">
        <v>858.22509340374995</v>
      </c>
      <c r="E12" s="1054">
        <v>1036.7231495733299</v>
      </c>
      <c r="F12" s="1054">
        <v>2137.0879034588929</v>
      </c>
      <c r="G12" s="1054">
        <v>619.90717499999994</v>
      </c>
      <c r="H12" s="1054">
        <v>1930.1938022211798</v>
      </c>
      <c r="I12" s="1054">
        <v>1520.11150606965</v>
      </c>
      <c r="J12" s="1054">
        <v>5313.5967392580005</v>
      </c>
      <c r="K12" s="1054">
        <v>5137.0856302894499</v>
      </c>
      <c r="L12" s="1054">
        <v>5128.3101225272303</v>
      </c>
      <c r="M12" s="1054">
        <v>3659.3688463969402</v>
      </c>
      <c r="N12" s="1054">
        <v>4298.0705699986602</v>
      </c>
      <c r="O12" s="1054">
        <v>5493.5211802403201</v>
      </c>
      <c r="P12" s="1054">
        <v>5099.5754893349704</v>
      </c>
      <c r="Q12" s="1054">
        <v>5313.88076531346</v>
      </c>
      <c r="R12" s="1054">
        <v>6181.66642452009</v>
      </c>
      <c r="S12" s="1054">
        <v>7390.3789999999999</v>
      </c>
      <c r="T12" s="1054">
        <v>8006.7663242254293</v>
      </c>
      <c r="U12" s="1054">
        <v>7703.1848364631796</v>
      </c>
      <c r="V12" s="1054">
        <v>6814.6563312343897</v>
      </c>
      <c r="W12" s="1054">
        <v>6840.0570260961504</v>
      </c>
      <c r="X12" s="1054">
        <v>6837.8628145911598</v>
      </c>
      <c r="Y12" s="1054">
        <v>5541.8228136548005</v>
      </c>
      <c r="Z12" s="1054">
        <v>6006.4294758616197</v>
      </c>
      <c r="AA12" s="1054">
        <v>5975.4853537861991</v>
      </c>
      <c r="AB12" s="1054">
        <v>5880.09409406954</v>
      </c>
      <c r="AC12" s="1054">
        <v>5617.440770552379</v>
      </c>
      <c r="AD12" s="1054">
        <v>5077.9199007596299</v>
      </c>
      <c r="AE12" s="1054">
        <v>4896.5801147767997</v>
      </c>
      <c r="AF12" s="1054">
        <v>4781.6910376779897</v>
      </c>
      <c r="AG12" s="1054">
        <v>4064.1478581606202</v>
      </c>
      <c r="AH12" s="1054">
        <v>4098.2135616540199</v>
      </c>
      <c r="AI12" s="1055">
        <v>3735.6570399410898</v>
      </c>
      <c r="AJ12" s="1054">
        <v>3925.92293282522</v>
      </c>
      <c r="AK12" s="1054">
        <v>3905.6999997688235</v>
      </c>
      <c r="AL12" s="1054">
        <v>6223.3211411995881</v>
      </c>
      <c r="AM12" s="1054">
        <v>5746.4925179532611</v>
      </c>
      <c r="AN12" s="1054">
        <v>7361.9429919706654</v>
      </c>
      <c r="AO12" s="1054">
        <v>8041.182960360492</v>
      </c>
      <c r="AP12" s="1054">
        <v>9266.5612687646371</v>
      </c>
      <c r="AQ12" s="1056">
        <v>10263.425648617649</v>
      </c>
      <c r="AR12" s="1054">
        <v>9978.7276227006132</v>
      </c>
      <c r="AS12" s="1054">
        <v>11614.058620119647</v>
      </c>
      <c r="AT12" s="1054">
        <v>11689.677437350201</v>
      </c>
      <c r="AU12" s="1054">
        <v>11424.091988829627</v>
      </c>
      <c r="AV12" s="1054">
        <v>11241.53603387546</v>
      </c>
      <c r="AW12" s="1054">
        <v>10716.563612158852</v>
      </c>
      <c r="AX12" s="1054">
        <v>13124.399493179844</v>
      </c>
      <c r="AY12" s="1054">
        <v>13025.923898148132</v>
      </c>
      <c r="AZ12" s="1057">
        <v>15121.66168327533</v>
      </c>
      <c r="BA12" s="1057">
        <v>15664.265802614449</v>
      </c>
      <c r="BB12" s="1057">
        <v>17107.337659331937</v>
      </c>
      <c r="BC12" s="1057">
        <v>17119.189318394998</v>
      </c>
      <c r="BD12" s="1057">
        <v>15814.686967211521</v>
      </c>
      <c r="BE12" s="1057">
        <v>14163.542383817503</v>
      </c>
      <c r="BF12" s="1057">
        <v>12960.347698197322</v>
      </c>
      <c r="BG12" s="1057">
        <v>11730.187800011139</v>
      </c>
      <c r="BH12" s="1057">
        <v>15291.961910953436</v>
      </c>
      <c r="BI12" s="1057">
        <v>15758.551815903467</v>
      </c>
      <c r="BJ12" s="1057">
        <v>13765.797438880069</v>
      </c>
      <c r="BK12" s="1057">
        <v>12572.931294450393</v>
      </c>
      <c r="BL12" s="1057">
        <v>12710.191213354321</v>
      </c>
      <c r="BM12" s="1057">
        <v>11940.33522762157</v>
      </c>
      <c r="BN12" s="1057">
        <v>15324.358616418673</v>
      </c>
      <c r="BO12" s="1057">
        <v>19131.127938308789</v>
      </c>
    </row>
    <row r="13" spans="1:67" ht="22.5" customHeight="1">
      <c r="A13" s="1053"/>
      <c r="B13" s="1054"/>
      <c r="C13" s="1054"/>
      <c r="D13" s="1054"/>
      <c r="E13" s="1054"/>
      <c r="F13" s="1054"/>
      <c r="G13" s="1054"/>
      <c r="H13" s="1054"/>
      <c r="I13" s="1054"/>
      <c r="J13" s="1054"/>
      <c r="K13" s="1054"/>
      <c r="L13" s="1054"/>
      <c r="M13" s="1054"/>
      <c r="N13" s="1054"/>
      <c r="O13" s="1054"/>
      <c r="P13" s="1054"/>
      <c r="Q13" s="1054"/>
      <c r="R13" s="1054"/>
      <c r="S13" s="1054"/>
      <c r="T13" s="1054"/>
      <c r="U13" s="1054"/>
      <c r="V13" s="1054"/>
      <c r="W13" s="1054"/>
      <c r="X13" s="1054"/>
      <c r="Y13" s="1054"/>
      <c r="Z13" s="1054"/>
      <c r="AA13" s="1054"/>
      <c r="AB13" s="1054"/>
      <c r="AC13" s="1054"/>
      <c r="AD13" s="1054"/>
      <c r="AE13" s="1054"/>
      <c r="AF13" s="1054"/>
      <c r="AG13" s="1054"/>
      <c r="AH13" s="1054"/>
      <c r="AI13" s="1055"/>
      <c r="AJ13" s="1054"/>
      <c r="AK13" s="1054"/>
      <c r="AL13" s="1054"/>
      <c r="AM13" s="1054"/>
      <c r="AN13" s="1054"/>
      <c r="AO13" s="1054"/>
      <c r="AP13" s="1054"/>
      <c r="AQ13" s="1056"/>
      <c r="AR13" s="1054"/>
      <c r="AS13" s="1054"/>
      <c r="AT13" s="1054"/>
      <c r="AU13" s="1054"/>
      <c r="AV13" s="1054"/>
      <c r="AW13" s="1054"/>
      <c r="AX13" s="1054"/>
      <c r="AY13" s="1054"/>
      <c r="AZ13" s="1057"/>
      <c r="BA13" s="1057"/>
      <c r="BB13" s="1057"/>
      <c r="BC13" s="1057"/>
      <c r="BD13" s="1057"/>
      <c r="BE13" s="1057"/>
      <c r="BF13" s="1057"/>
      <c r="BG13" s="1057"/>
      <c r="BH13" s="1057"/>
      <c r="BI13" s="1057"/>
      <c r="BJ13" s="1057"/>
      <c r="BK13" s="1057"/>
      <c r="BL13" s="1057"/>
      <c r="BM13" s="1057"/>
      <c r="BN13" s="1057"/>
      <c r="BO13" s="1057"/>
    </row>
    <row r="14" spans="1:67" ht="22.5" customHeight="1">
      <c r="A14" s="1048" t="s">
        <v>2596</v>
      </c>
      <c r="B14" s="1049">
        <v>46202.381153037422</v>
      </c>
      <c r="C14" s="1049">
        <v>46228.406055545434</v>
      </c>
      <c r="D14" s="1049">
        <v>41536.992128390921</v>
      </c>
      <c r="E14" s="1049">
        <v>44882.80088516805</v>
      </c>
      <c r="F14" s="1049">
        <v>45475.44274596269</v>
      </c>
      <c r="G14" s="1049">
        <v>44794.197115178016</v>
      </c>
      <c r="H14" s="1049">
        <v>42743.634040358695</v>
      </c>
      <c r="I14" s="1049">
        <v>42684.666598872558</v>
      </c>
      <c r="J14" s="1049">
        <v>39512.084307652403</v>
      </c>
      <c r="K14" s="1049">
        <v>37873.234926130637</v>
      </c>
      <c r="L14" s="1049">
        <v>38047.671032386119</v>
      </c>
      <c r="M14" s="1049">
        <v>39530.568073384442</v>
      </c>
      <c r="N14" s="1049">
        <v>37970.913603621055</v>
      </c>
      <c r="O14" s="1049">
        <v>37627.442935225292</v>
      </c>
      <c r="P14" s="1049">
        <v>37124.316265183399</v>
      </c>
      <c r="Q14" s="1049">
        <v>37498.010716390738</v>
      </c>
      <c r="R14" s="1049">
        <v>39156.500657266479</v>
      </c>
      <c r="S14" s="1049">
        <v>39719.398716347743</v>
      </c>
      <c r="T14" s="1049">
        <v>40015.946904981633</v>
      </c>
      <c r="U14" s="1049">
        <v>38104.583793049038</v>
      </c>
      <c r="V14" s="1049">
        <v>38569.778049363464</v>
      </c>
      <c r="W14" s="1049">
        <v>39102.256814221233</v>
      </c>
      <c r="X14" s="1049">
        <v>40235.09569635136</v>
      </c>
      <c r="Y14" s="1049">
        <v>38010.725821035056</v>
      </c>
      <c r="Z14" s="1049">
        <v>37715.524786278307</v>
      </c>
      <c r="AA14" s="1049">
        <v>37198.005824070475</v>
      </c>
      <c r="AB14" s="1049">
        <v>39388.131370601855</v>
      </c>
      <c r="AC14" s="1049">
        <v>37729.771750879547</v>
      </c>
      <c r="AD14" s="1049">
        <v>38466.088325971257</v>
      </c>
      <c r="AE14" s="1049">
        <v>38614.536427936197</v>
      </c>
      <c r="AF14" s="1049">
        <v>36020.403238634601</v>
      </c>
      <c r="AG14" s="1049">
        <v>38023.271401596801</v>
      </c>
      <c r="AH14" s="1049">
        <v>38782.171932746089</v>
      </c>
      <c r="AI14" s="1050">
        <v>40042.67679724047</v>
      </c>
      <c r="AJ14" s="1049">
        <v>40388.807298398693</v>
      </c>
      <c r="AK14" s="1049">
        <v>38215.234501639141</v>
      </c>
      <c r="AL14" s="1049">
        <v>38620.833582376174</v>
      </c>
      <c r="AM14" s="1049">
        <v>39378.909148163963</v>
      </c>
      <c r="AN14" s="1049">
        <v>40525.143152874312</v>
      </c>
      <c r="AO14" s="1049">
        <v>41416.619773306156</v>
      </c>
      <c r="AP14" s="1049">
        <v>41078.313658385188</v>
      </c>
      <c r="AQ14" s="1051">
        <v>42602.287880723379</v>
      </c>
      <c r="AR14" s="1049">
        <v>43238.649830528462</v>
      </c>
      <c r="AS14" s="1049">
        <v>45405.208901882943</v>
      </c>
      <c r="AT14" s="1049">
        <v>46220.139047351651</v>
      </c>
      <c r="AU14" s="1049">
        <v>44656.885576869994</v>
      </c>
      <c r="AV14" s="1049">
        <v>45774.594745586095</v>
      </c>
      <c r="AW14" s="1049">
        <v>45691.741470481815</v>
      </c>
      <c r="AX14" s="1049">
        <v>47258.21111998758</v>
      </c>
      <c r="AY14" s="1049">
        <v>47281.17757882041</v>
      </c>
      <c r="AZ14" s="1052">
        <v>49241.285426161441</v>
      </c>
      <c r="BA14" s="1052">
        <v>50718.48109885717</v>
      </c>
      <c r="BB14" s="1052">
        <v>52289.78105109265</v>
      </c>
      <c r="BC14" s="1052">
        <v>53416.285285469537</v>
      </c>
      <c r="BD14" s="1052">
        <v>53547.879789756094</v>
      </c>
      <c r="BE14" s="1052">
        <v>54514.044100659296</v>
      </c>
      <c r="BF14" s="1052">
        <v>58687.724699497056</v>
      </c>
      <c r="BG14" s="1052">
        <v>61425.598183187853</v>
      </c>
      <c r="BH14" s="1052">
        <v>62018.620758286714</v>
      </c>
      <c r="BI14" s="1052">
        <v>65514.913034232362</v>
      </c>
      <c r="BJ14" s="1052">
        <v>64388.884232883029</v>
      </c>
      <c r="BK14" s="1052">
        <v>68680.541678861002</v>
      </c>
      <c r="BL14" s="1052">
        <v>64686.317615352782</v>
      </c>
      <c r="BM14" s="1052">
        <v>65762.691277930338</v>
      </c>
      <c r="BN14" s="1052">
        <v>68499.217784755587</v>
      </c>
      <c r="BO14" s="1052">
        <v>68182.650759181372</v>
      </c>
    </row>
    <row r="15" spans="1:67" ht="22.5" customHeight="1">
      <c r="A15" s="1053" t="s">
        <v>2597</v>
      </c>
      <c r="B15" s="1054">
        <v>61697.699491806692</v>
      </c>
      <c r="C15" s="1054">
        <v>61527.770521082202</v>
      </c>
      <c r="D15" s="1054">
        <v>58144.213647966099</v>
      </c>
      <c r="E15" s="1054">
        <v>60200.988352624197</v>
      </c>
      <c r="F15" s="1054">
        <v>60772.32521689569</v>
      </c>
      <c r="G15" s="1054">
        <v>61607.820306387795</v>
      </c>
      <c r="H15" s="1054">
        <v>58363.919896878702</v>
      </c>
      <c r="I15" s="1054">
        <v>57105.798453794298</v>
      </c>
      <c r="J15" s="1054">
        <v>55485.379014505001</v>
      </c>
      <c r="K15" s="1054">
        <v>54502.82545001019</v>
      </c>
      <c r="L15" s="1054">
        <v>55811.491806131999</v>
      </c>
      <c r="M15" s="1054">
        <v>57799.429730604592</v>
      </c>
      <c r="N15" s="1054">
        <v>55154.155917721793</v>
      </c>
      <c r="O15" s="1054">
        <v>53730.606421803001</v>
      </c>
      <c r="P15" s="1054">
        <v>53584.161687032698</v>
      </c>
      <c r="Q15" s="1054">
        <v>54224.1075535458</v>
      </c>
      <c r="R15" s="1054">
        <v>54041.613664753</v>
      </c>
      <c r="S15" s="1054">
        <v>53369.036999999997</v>
      </c>
      <c r="T15" s="1054">
        <v>54168.068775473293</v>
      </c>
      <c r="U15" s="1054">
        <v>52462.482641120398</v>
      </c>
      <c r="V15" s="1054">
        <v>51968.032708957195</v>
      </c>
      <c r="W15" s="1054">
        <v>53745.253183736495</v>
      </c>
      <c r="X15" s="1054">
        <v>52340.988993587001</v>
      </c>
      <c r="Y15" s="1054">
        <v>51334.594771566495</v>
      </c>
      <c r="Z15" s="1054">
        <v>52042.447587275899</v>
      </c>
      <c r="AA15" s="1054">
        <v>50971.725694157401</v>
      </c>
      <c r="AB15" s="1054">
        <v>52771.889928957207</v>
      </c>
      <c r="AC15" s="1054">
        <v>51559.155262933498</v>
      </c>
      <c r="AD15" s="1054">
        <v>52664.915751283894</v>
      </c>
      <c r="AE15" s="1054">
        <v>53230.1549786256</v>
      </c>
      <c r="AF15" s="1054">
        <v>51457.523353041099</v>
      </c>
      <c r="AG15" s="1054">
        <v>52862.332407013098</v>
      </c>
      <c r="AH15" s="1054">
        <v>52766.2205435664</v>
      </c>
      <c r="AI15" s="1055">
        <v>54521.632375816698</v>
      </c>
      <c r="AJ15" s="1054">
        <v>56235.882947774793</v>
      </c>
      <c r="AK15" s="1054">
        <v>56068.183178167761</v>
      </c>
      <c r="AL15" s="1054">
        <v>55077.431588997802</v>
      </c>
      <c r="AM15" s="1054">
        <v>55087.760136904428</v>
      </c>
      <c r="AN15" s="1054">
        <v>56242.198198822225</v>
      </c>
      <c r="AO15" s="1054">
        <v>56644.260832215325</v>
      </c>
      <c r="AP15" s="1054">
        <v>56959.411963216669</v>
      </c>
      <c r="AQ15" s="1056">
        <v>56570.905357101823</v>
      </c>
      <c r="AR15" s="1054">
        <v>58205.509405643192</v>
      </c>
      <c r="AS15" s="1054">
        <v>59402.71315994102</v>
      </c>
      <c r="AT15" s="1054">
        <v>59682.560063146098</v>
      </c>
      <c r="AU15" s="1054">
        <v>59017.462286455491</v>
      </c>
      <c r="AV15" s="1054">
        <v>58507.486551949019</v>
      </c>
      <c r="AW15" s="1054">
        <v>58807.708911047412</v>
      </c>
      <c r="AX15" s="1054">
        <v>59725.402208406747</v>
      </c>
      <c r="AY15" s="1054">
        <v>60950.761154975131</v>
      </c>
      <c r="AZ15" s="1057">
        <v>61983.411209069614</v>
      </c>
      <c r="BA15" s="1057">
        <v>64291.900730207402</v>
      </c>
      <c r="BB15" s="1057">
        <v>65769.893757727157</v>
      </c>
      <c r="BC15" s="1057">
        <v>68126.358653511197</v>
      </c>
      <c r="BD15" s="1057">
        <v>67162.29059532519</v>
      </c>
      <c r="BE15" s="1057">
        <v>67432.676164503297</v>
      </c>
      <c r="BF15" s="1057">
        <v>71111.826657722253</v>
      </c>
      <c r="BG15" s="1057">
        <v>72773.982965934192</v>
      </c>
      <c r="BH15" s="1057">
        <v>74085.674746929973</v>
      </c>
      <c r="BI15" s="1057">
        <v>73828.344555172196</v>
      </c>
      <c r="BJ15" s="1057">
        <v>73497.840716369916</v>
      </c>
      <c r="BK15" s="1057">
        <v>75448.817410137184</v>
      </c>
      <c r="BL15" s="1057">
        <v>72286.540236038301</v>
      </c>
      <c r="BM15" s="1057">
        <v>74272.042612170117</v>
      </c>
      <c r="BN15" s="1057">
        <v>77025.873876352707</v>
      </c>
      <c r="BO15" s="1057">
        <v>76190.370601122806</v>
      </c>
    </row>
    <row r="16" spans="1:67" ht="22.5" customHeight="1">
      <c r="A16" s="1053" t="s">
        <v>2598</v>
      </c>
      <c r="B16" s="1054">
        <v>-15495.318338769268</v>
      </c>
      <c r="C16" s="1054">
        <v>-15299.364465536764</v>
      </c>
      <c r="D16" s="1054">
        <v>-16607.221519575178</v>
      </c>
      <c r="E16" s="1054">
        <v>-15318.187467456148</v>
      </c>
      <c r="F16" s="1054">
        <v>-15296.882470933002</v>
      </c>
      <c r="G16" s="1054">
        <v>-16813.623191209776</v>
      </c>
      <c r="H16" s="1054">
        <v>-15620.285856520004</v>
      </c>
      <c r="I16" s="1054">
        <v>-14421.131854921736</v>
      </c>
      <c r="J16" s="1054">
        <v>-15973.294706852601</v>
      </c>
      <c r="K16" s="1054">
        <v>-16629.590523879549</v>
      </c>
      <c r="L16" s="1054">
        <v>-17763.820773745876</v>
      </c>
      <c r="M16" s="1054">
        <v>-18268.86165722015</v>
      </c>
      <c r="N16" s="1054">
        <v>-17183.242314100742</v>
      </c>
      <c r="O16" s="1054">
        <v>-16103.163486577711</v>
      </c>
      <c r="P16" s="1054">
        <v>-16459.845421849299</v>
      </c>
      <c r="Q16" s="1054">
        <v>-16726.096837155063</v>
      </c>
      <c r="R16" s="1054">
        <v>-14885.11300748652</v>
      </c>
      <c r="S16" s="1054">
        <v>-13649.638283652252</v>
      </c>
      <c r="T16" s="1054">
        <v>-14152.121870491659</v>
      </c>
      <c r="U16" s="1054">
        <v>-14357.898848071361</v>
      </c>
      <c r="V16" s="1054">
        <v>-13398.254659593729</v>
      </c>
      <c r="W16" s="1054">
        <v>-14642.99636951526</v>
      </c>
      <c r="X16" s="1054">
        <v>-12105.893297235638</v>
      </c>
      <c r="Y16" s="1054">
        <v>-13323.868950531438</v>
      </c>
      <c r="Z16" s="1054">
        <v>-14326.922800997592</v>
      </c>
      <c r="AA16" s="1054">
        <v>-13773.719870086928</v>
      </c>
      <c r="AB16" s="1054">
        <v>-13383.758558355355</v>
      </c>
      <c r="AC16" s="1054">
        <v>-13829.38351205395</v>
      </c>
      <c r="AD16" s="1054">
        <v>-14198.827425312636</v>
      </c>
      <c r="AE16" s="1054">
        <v>-14615.618550689402</v>
      </c>
      <c r="AF16" s="1054">
        <v>-15437.120114406496</v>
      </c>
      <c r="AG16" s="1054">
        <v>-14839.061005416299</v>
      </c>
      <c r="AH16" s="1054">
        <v>-13984.048610820311</v>
      </c>
      <c r="AI16" s="1055">
        <v>-14478.955578576226</v>
      </c>
      <c r="AJ16" s="1054">
        <v>-15847.075649376096</v>
      </c>
      <c r="AK16" s="1054">
        <v>-17852.94867652862</v>
      </c>
      <c r="AL16" s="1054">
        <v>-16456.598006621625</v>
      </c>
      <c r="AM16" s="1054">
        <v>-15708.850988740465</v>
      </c>
      <c r="AN16" s="1054">
        <v>-15717.055045947913</v>
      </c>
      <c r="AO16" s="1054">
        <v>-15227.641058909167</v>
      </c>
      <c r="AP16" s="1054">
        <v>-15881.098304831483</v>
      </c>
      <c r="AQ16" s="1056">
        <v>-13968.617476378444</v>
      </c>
      <c r="AR16" s="1054">
        <v>-14966.859575114733</v>
      </c>
      <c r="AS16" s="1054">
        <v>-13997.504258058081</v>
      </c>
      <c r="AT16" s="1054">
        <v>-13462.421015794444</v>
      </c>
      <c r="AU16" s="1054">
        <v>-14360.576709585495</v>
      </c>
      <c r="AV16" s="1054">
        <v>-12732.891806362924</v>
      </c>
      <c r="AW16" s="1054">
        <v>-13115.967440565595</v>
      </c>
      <c r="AX16" s="1054">
        <v>-12467.191088419166</v>
      </c>
      <c r="AY16" s="1054">
        <v>-13669.583576154722</v>
      </c>
      <c r="AZ16" s="1057">
        <v>-12742.125782908175</v>
      </c>
      <c r="BA16" s="1057">
        <v>-13573.419631350231</v>
      </c>
      <c r="BB16" s="1057">
        <v>-13480.112706634505</v>
      </c>
      <c r="BC16" s="1057">
        <v>-14710.07336804166</v>
      </c>
      <c r="BD16" s="1057">
        <v>-13614.410805569098</v>
      </c>
      <c r="BE16" s="1057">
        <v>-12918.632063844001</v>
      </c>
      <c r="BF16" s="1057">
        <v>-12424.101958225196</v>
      </c>
      <c r="BG16" s="1057">
        <v>-11348.38478274634</v>
      </c>
      <c r="BH16" s="1057">
        <v>-12067.053988643258</v>
      </c>
      <c r="BI16" s="1057">
        <v>-8313.4315209398355</v>
      </c>
      <c r="BJ16" s="1057">
        <v>-9108.956483486887</v>
      </c>
      <c r="BK16" s="1057">
        <v>-6768.2757312761842</v>
      </c>
      <c r="BL16" s="1057">
        <v>-7600.2226206855175</v>
      </c>
      <c r="BM16" s="1057">
        <v>-8509.35133423978</v>
      </c>
      <c r="BN16" s="1057">
        <v>-8526.6560915971204</v>
      </c>
      <c r="BO16" s="1057">
        <v>-8007.7198419414353</v>
      </c>
    </row>
    <row r="17" spans="1:67" ht="22.5" customHeight="1">
      <c r="A17" s="1048"/>
      <c r="B17" s="1049"/>
      <c r="C17" s="1049"/>
      <c r="D17" s="1049"/>
      <c r="E17" s="1049"/>
      <c r="F17" s="1049"/>
      <c r="G17" s="1049"/>
      <c r="H17" s="1049"/>
      <c r="I17" s="1049"/>
      <c r="J17" s="1049"/>
      <c r="K17" s="1049"/>
      <c r="L17" s="1049"/>
      <c r="M17" s="1049"/>
      <c r="N17" s="1049"/>
      <c r="O17" s="1049"/>
      <c r="P17" s="1049"/>
      <c r="Q17" s="1049"/>
      <c r="R17" s="1049"/>
      <c r="S17" s="1049"/>
      <c r="T17" s="1049"/>
      <c r="U17" s="1049"/>
      <c r="V17" s="1049"/>
      <c r="W17" s="1049"/>
      <c r="X17" s="1049"/>
      <c r="Y17" s="1049"/>
      <c r="Z17" s="1049"/>
      <c r="AA17" s="1049"/>
      <c r="AB17" s="1049"/>
      <c r="AC17" s="1049"/>
      <c r="AD17" s="1049"/>
      <c r="AE17" s="1049"/>
      <c r="AF17" s="1049"/>
      <c r="AG17" s="1049"/>
      <c r="AH17" s="1049"/>
      <c r="AI17" s="1050"/>
      <c r="AJ17" s="1049"/>
      <c r="AK17" s="1049"/>
      <c r="AL17" s="1049"/>
      <c r="AM17" s="1049"/>
      <c r="AN17" s="1049"/>
      <c r="AO17" s="1049"/>
      <c r="AP17" s="1049"/>
      <c r="AQ17" s="1051"/>
      <c r="AR17" s="1049"/>
      <c r="AS17" s="1049"/>
      <c r="AT17" s="1049"/>
      <c r="AU17" s="1049"/>
      <c r="AV17" s="1049"/>
      <c r="AW17" s="1049"/>
      <c r="AX17" s="1049"/>
      <c r="AY17" s="1049"/>
      <c r="AZ17" s="1052"/>
      <c r="BA17" s="1052"/>
      <c r="BB17" s="1052"/>
      <c r="BC17" s="1052"/>
      <c r="BD17" s="1052"/>
      <c r="BE17" s="1052"/>
      <c r="BF17" s="1052"/>
      <c r="BG17" s="1052"/>
      <c r="BH17" s="1052"/>
      <c r="BI17" s="1052"/>
      <c r="BJ17" s="1052"/>
      <c r="BK17" s="1052"/>
      <c r="BL17" s="1052"/>
      <c r="BM17" s="1052"/>
      <c r="BN17" s="1052"/>
      <c r="BO17" s="1052"/>
    </row>
    <row r="18" spans="1:67" ht="22.5" customHeight="1">
      <c r="A18" s="1048" t="s">
        <v>2571</v>
      </c>
      <c r="B18" s="1049">
        <v>248896.44796015669</v>
      </c>
      <c r="C18" s="1049">
        <v>248653.45619608354</v>
      </c>
      <c r="D18" s="1049">
        <v>251077.63427885834</v>
      </c>
      <c r="E18" s="1049">
        <v>252425.94624199052</v>
      </c>
      <c r="F18" s="1049">
        <v>263632.61535834562</v>
      </c>
      <c r="G18" s="1049">
        <v>267429.23357882927</v>
      </c>
      <c r="H18" s="1049">
        <v>266409.72737461125</v>
      </c>
      <c r="I18" s="1049">
        <v>271789.49549483845</v>
      </c>
      <c r="J18" s="1049">
        <v>272438.92333583586</v>
      </c>
      <c r="K18" s="1049">
        <v>274786.27410636976</v>
      </c>
      <c r="L18" s="1049">
        <v>276758.11127369711</v>
      </c>
      <c r="M18" s="1049">
        <v>278722.79442939977</v>
      </c>
      <c r="N18" s="1049">
        <v>278600.24378589995</v>
      </c>
      <c r="O18" s="1049">
        <v>281528.0408852456</v>
      </c>
      <c r="P18" s="1049">
        <v>282270.29557447811</v>
      </c>
      <c r="Q18" s="1049">
        <v>286205.00782829389</v>
      </c>
      <c r="R18" s="1049">
        <v>288062.89631386375</v>
      </c>
      <c r="S18" s="1049">
        <v>291979.36699999997</v>
      </c>
      <c r="T18" s="1049">
        <v>295765.24081791023</v>
      </c>
      <c r="U18" s="1049">
        <v>298723.10082013893</v>
      </c>
      <c r="V18" s="1049">
        <v>304169.75661760999</v>
      </c>
      <c r="W18" s="1049">
        <v>312829.84980890236</v>
      </c>
      <c r="X18" s="1049">
        <v>311259.87505072553</v>
      </c>
      <c r="Y18" s="1049">
        <v>310940.94408568816</v>
      </c>
      <c r="Z18" s="1049">
        <v>311430.19972326333</v>
      </c>
      <c r="AA18" s="1049">
        <v>311817.78021051805</v>
      </c>
      <c r="AB18" s="1049">
        <v>316023.83094058069</v>
      </c>
      <c r="AC18" s="1049">
        <v>322035.05858234013</v>
      </c>
      <c r="AD18" s="1049">
        <v>328217.72178075509</v>
      </c>
      <c r="AE18" s="1049">
        <v>339849.9028008671</v>
      </c>
      <c r="AF18" s="1049">
        <v>344055.84470338566</v>
      </c>
      <c r="AG18" s="1049">
        <v>346600.31551877788</v>
      </c>
      <c r="AH18" s="1049">
        <v>349150.76667742536</v>
      </c>
      <c r="AI18" s="1050">
        <v>353662.92069438443</v>
      </c>
      <c r="AJ18" s="1049">
        <v>357257.64889147726</v>
      </c>
      <c r="AK18" s="1049">
        <v>364089.16545909585</v>
      </c>
      <c r="AL18" s="1049">
        <v>365541.50957684341</v>
      </c>
      <c r="AM18" s="1049">
        <v>371871.74131732079</v>
      </c>
      <c r="AN18" s="1049">
        <v>369618.51315964782</v>
      </c>
      <c r="AO18" s="1049">
        <v>373394.63948564482</v>
      </c>
      <c r="AP18" s="1049">
        <v>371730.50697090762</v>
      </c>
      <c r="AQ18" s="1051">
        <v>371254.15903107461</v>
      </c>
      <c r="AR18" s="1049">
        <v>381390.04929219646</v>
      </c>
      <c r="AS18" s="1049">
        <v>403063.78199327271</v>
      </c>
      <c r="AT18" s="1049">
        <v>409690.2555806723</v>
      </c>
      <c r="AU18" s="1049">
        <v>403167.60833401035</v>
      </c>
      <c r="AV18" s="1049">
        <v>406264.59212819877</v>
      </c>
      <c r="AW18" s="1049">
        <v>413242.84634938056</v>
      </c>
      <c r="AX18" s="1049">
        <v>398464.06317138515</v>
      </c>
      <c r="AY18" s="1049">
        <v>400908.30294153123</v>
      </c>
      <c r="AZ18" s="1052">
        <v>402785.96424363606</v>
      </c>
      <c r="BA18" s="1052">
        <v>403811.99425607623</v>
      </c>
      <c r="BB18" s="1052">
        <v>397925.2993697779</v>
      </c>
      <c r="BC18" s="1052">
        <v>391817.662834491</v>
      </c>
      <c r="BD18" s="1052">
        <v>390269.53374281881</v>
      </c>
      <c r="BE18" s="1052">
        <v>389003.61252033565</v>
      </c>
      <c r="BF18" s="1052">
        <v>390191.53592435858</v>
      </c>
      <c r="BG18" s="1052">
        <v>394573.66480154311</v>
      </c>
      <c r="BH18" s="1052">
        <v>403487.2665493745</v>
      </c>
      <c r="BI18" s="1052">
        <v>401882.35468503676</v>
      </c>
      <c r="BJ18" s="1052">
        <v>402934.63282387966</v>
      </c>
      <c r="BK18" s="1052">
        <v>406582.5739196642</v>
      </c>
      <c r="BL18" s="1052">
        <v>420706.37299226795</v>
      </c>
      <c r="BM18" s="1052">
        <v>409627.57400568476</v>
      </c>
      <c r="BN18" s="1052">
        <v>409669.18132355774</v>
      </c>
      <c r="BO18" s="1052">
        <v>410792.76027623925</v>
      </c>
    </row>
    <row r="19" spans="1:67" ht="22.5" customHeight="1">
      <c r="A19" s="1058"/>
      <c r="B19" s="1054"/>
      <c r="C19" s="1054"/>
      <c r="D19" s="1054"/>
      <c r="E19" s="1054"/>
      <c r="F19" s="1054"/>
      <c r="G19" s="1054"/>
      <c r="H19" s="1054"/>
      <c r="I19" s="1054"/>
      <c r="J19" s="1054"/>
      <c r="K19" s="1054"/>
      <c r="L19" s="1054"/>
      <c r="M19" s="1054"/>
      <c r="N19" s="1054"/>
      <c r="O19" s="1054"/>
      <c r="P19" s="1054"/>
      <c r="Q19" s="1054"/>
      <c r="R19" s="1054"/>
      <c r="S19" s="1054"/>
      <c r="T19" s="1054"/>
      <c r="U19" s="1054"/>
      <c r="V19" s="1054"/>
      <c r="W19" s="1054"/>
      <c r="X19" s="1054"/>
      <c r="Y19" s="1054"/>
      <c r="Z19" s="1054"/>
      <c r="AA19" s="1054"/>
      <c r="AB19" s="1054"/>
      <c r="AC19" s="1054"/>
      <c r="AD19" s="1054"/>
      <c r="AE19" s="1054"/>
      <c r="AF19" s="1054"/>
      <c r="AG19" s="1054"/>
      <c r="AH19" s="1054"/>
      <c r="AI19" s="1055"/>
      <c r="AJ19" s="1054"/>
      <c r="AK19" s="1054"/>
      <c r="AL19" s="1054"/>
      <c r="AM19" s="1054"/>
      <c r="AN19" s="1054"/>
      <c r="AO19" s="1054"/>
      <c r="AP19" s="1054"/>
      <c r="AQ19" s="1056"/>
      <c r="AR19" s="1054"/>
      <c r="AS19" s="1054"/>
      <c r="AT19" s="1054"/>
      <c r="AU19" s="1054"/>
      <c r="AV19" s="1054"/>
      <c r="AW19" s="1054"/>
      <c r="AX19" s="1054"/>
      <c r="AY19" s="1054"/>
      <c r="AZ19" s="1057"/>
      <c r="BA19" s="1057"/>
      <c r="BB19" s="1057"/>
      <c r="BC19" s="1057"/>
      <c r="BD19" s="1057"/>
      <c r="BE19" s="1057"/>
      <c r="BF19" s="1057"/>
      <c r="BG19" s="1057"/>
      <c r="BH19" s="1057"/>
      <c r="BI19" s="1057"/>
      <c r="BJ19" s="1057"/>
      <c r="BK19" s="1057"/>
      <c r="BL19" s="1057"/>
      <c r="BM19" s="1057"/>
      <c r="BN19" s="1057"/>
      <c r="BO19" s="1057"/>
    </row>
    <row r="20" spans="1:67" ht="22.5" customHeight="1">
      <c r="A20" s="1048" t="s">
        <v>2599</v>
      </c>
      <c r="B20" s="1049">
        <v>354.97145637</v>
      </c>
      <c r="C20" s="1049">
        <v>1458.0634336810001</v>
      </c>
      <c r="D20" s="1049">
        <v>1234.8880738037499</v>
      </c>
      <c r="E20" s="1049">
        <v>1426.9580185933298</v>
      </c>
      <c r="F20" s="1049">
        <v>1799.6625738501998</v>
      </c>
      <c r="G20" s="1049">
        <v>1018.8706620099999</v>
      </c>
      <c r="H20" s="1049">
        <v>934.56167797000001</v>
      </c>
      <c r="I20" s="1049">
        <v>570.37408744000004</v>
      </c>
      <c r="J20" s="1049">
        <v>753.09918457000003</v>
      </c>
      <c r="K20" s="1049">
        <v>624.16111209999997</v>
      </c>
      <c r="L20" s="1049">
        <v>1020.68219698</v>
      </c>
      <c r="M20" s="1049">
        <v>1003.2277356599999</v>
      </c>
      <c r="N20" s="1049">
        <v>994.98082905999991</v>
      </c>
      <c r="O20" s="1049">
        <v>994.86971218999997</v>
      </c>
      <c r="P20" s="1049">
        <v>233.12811006999999</v>
      </c>
      <c r="Q20" s="1049">
        <v>222.31467438999996</v>
      </c>
      <c r="R20" s="1049">
        <v>623.47827548999999</v>
      </c>
      <c r="S20" s="1049">
        <v>208.369</v>
      </c>
      <c r="T20" s="1049">
        <v>1780.2658135799998</v>
      </c>
      <c r="U20" s="1049">
        <v>1060.8937028600001</v>
      </c>
      <c r="V20" s="1049">
        <v>753.35824074999994</v>
      </c>
      <c r="W20" s="1049">
        <v>939.68474980999986</v>
      </c>
      <c r="X20" s="1049">
        <v>1096.7768037200001</v>
      </c>
      <c r="Y20" s="1049">
        <v>1145.3559687899999</v>
      </c>
      <c r="Z20" s="1049">
        <v>1123.0559826400001</v>
      </c>
      <c r="AA20" s="1049">
        <v>1132.92843081</v>
      </c>
      <c r="AB20" s="1049">
        <v>1132.9984324300001</v>
      </c>
      <c r="AC20" s="1049">
        <v>1114.9996515999999</v>
      </c>
      <c r="AD20" s="1049">
        <v>82.772141879999992</v>
      </c>
      <c r="AE20" s="1049">
        <v>447.20645667000002</v>
      </c>
      <c r="AF20" s="1049">
        <v>181.53818857999997</v>
      </c>
      <c r="AG20" s="1049">
        <v>429.82487684</v>
      </c>
      <c r="AH20" s="1049">
        <v>771.05274240999995</v>
      </c>
      <c r="AI20" s="1050">
        <v>1174.1884462799999</v>
      </c>
      <c r="AJ20" s="1049">
        <v>1345.1627521099999</v>
      </c>
      <c r="AK20" s="1049">
        <v>1721.84122639</v>
      </c>
      <c r="AL20" s="1049">
        <v>2044.3475266400001</v>
      </c>
      <c r="AM20" s="1049">
        <v>2134.24912275</v>
      </c>
      <c r="AN20" s="1049">
        <v>2124.9154918429999</v>
      </c>
      <c r="AO20" s="1049">
        <v>2296.7695687609998</v>
      </c>
      <c r="AP20" s="1049">
        <v>1259.733286289</v>
      </c>
      <c r="AQ20" s="1051">
        <v>1518.3219098943753</v>
      </c>
      <c r="AR20" s="1049">
        <v>1694.6787664978499</v>
      </c>
      <c r="AS20" s="1049">
        <v>1973.2142783755003</v>
      </c>
      <c r="AT20" s="1049">
        <v>2988.8611264908004</v>
      </c>
      <c r="AU20" s="1049">
        <v>2494.2524502342753</v>
      </c>
      <c r="AV20" s="1049">
        <v>2635.7734011398752</v>
      </c>
      <c r="AW20" s="1049">
        <v>2626.8451721566498</v>
      </c>
      <c r="AX20" s="1049">
        <v>3645.3085861486002</v>
      </c>
      <c r="AY20" s="1049">
        <v>3500.2813603073996</v>
      </c>
      <c r="AZ20" s="1052">
        <v>3493.4737958735996</v>
      </c>
      <c r="BA20" s="1052">
        <v>3496.5289533664004</v>
      </c>
      <c r="BB20" s="1052">
        <v>2534.7028019690201</v>
      </c>
      <c r="BC20" s="1052">
        <v>2335.3993855694903</v>
      </c>
      <c r="BD20" s="1052">
        <v>1779.8687648113403</v>
      </c>
      <c r="BE20" s="1052">
        <v>2061.6950526299597</v>
      </c>
      <c r="BF20" s="1052">
        <v>2108.72433228514</v>
      </c>
      <c r="BG20" s="1052">
        <v>2101.9929374896651</v>
      </c>
      <c r="BH20" s="1052">
        <v>2268.8605227212502</v>
      </c>
      <c r="BI20" s="1052">
        <v>2237.0970716378151</v>
      </c>
      <c r="BJ20" s="1052">
        <v>2223.2476261923393</v>
      </c>
      <c r="BK20" s="1052">
        <v>2387.1009375569997</v>
      </c>
      <c r="BL20" s="1052">
        <v>2398.3699645123197</v>
      </c>
      <c r="BM20" s="1052">
        <v>2592.1940626814403</v>
      </c>
      <c r="BN20" s="1052">
        <v>2009.0889083875081</v>
      </c>
      <c r="BO20" s="1052">
        <v>1896.4873963501877</v>
      </c>
    </row>
    <row r="21" spans="1:67" ht="22.5" customHeight="1">
      <c r="A21" s="1048"/>
      <c r="B21" s="1054"/>
      <c r="C21" s="1054"/>
      <c r="D21" s="1054"/>
      <c r="E21" s="1054"/>
      <c r="F21" s="1054"/>
      <c r="G21" s="1054"/>
      <c r="H21" s="1054"/>
      <c r="I21" s="1054"/>
      <c r="J21" s="1054"/>
      <c r="K21" s="1054"/>
      <c r="L21" s="1054"/>
      <c r="M21" s="1054"/>
      <c r="N21" s="1054"/>
      <c r="O21" s="1054"/>
      <c r="P21" s="1054"/>
      <c r="Q21" s="1054"/>
      <c r="R21" s="1054"/>
      <c r="S21" s="1054"/>
      <c r="T21" s="1054"/>
      <c r="U21" s="1054"/>
      <c r="V21" s="1054"/>
      <c r="W21" s="1054"/>
      <c r="X21" s="1054"/>
      <c r="Y21" s="1054"/>
      <c r="Z21" s="1054"/>
      <c r="AA21" s="1054"/>
      <c r="AB21" s="1054"/>
      <c r="AC21" s="1054"/>
      <c r="AD21" s="1054"/>
      <c r="AE21" s="1054"/>
      <c r="AF21" s="1054"/>
      <c r="AG21" s="1054"/>
      <c r="AH21" s="1054"/>
      <c r="AI21" s="1055"/>
      <c r="AJ21" s="1054"/>
      <c r="AK21" s="1054"/>
      <c r="AL21" s="1054"/>
      <c r="AM21" s="1054"/>
      <c r="AN21" s="1054"/>
      <c r="AO21" s="1054"/>
      <c r="AP21" s="1054"/>
      <c r="AQ21" s="1056"/>
      <c r="AR21" s="1054"/>
      <c r="AS21" s="1054"/>
      <c r="AT21" s="1054"/>
      <c r="AU21" s="1054"/>
      <c r="AV21" s="1054"/>
      <c r="AW21" s="1054"/>
      <c r="AX21" s="1054"/>
      <c r="AY21" s="1054"/>
      <c r="AZ21" s="1057"/>
      <c r="BA21" s="1057"/>
      <c r="BB21" s="1057"/>
      <c r="BC21" s="1057"/>
      <c r="BD21" s="1057"/>
      <c r="BE21" s="1057"/>
      <c r="BF21" s="1057"/>
      <c r="BG21" s="1057"/>
      <c r="BH21" s="1057"/>
      <c r="BI21" s="1057"/>
      <c r="BJ21" s="1057"/>
      <c r="BK21" s="1057"/>
      <c r="BL21" s="1057"/>
      <c r="BM21" s="1057"/>
      <c r="BN21" s="1057"/>
      <c r="BO21" s="1057"/>
    </row>
    <row r="22" spans="1:67" ht="22.5" customHeight="1">
      <c r="A22" s="1048" t="s">
        <v>2600</v>
      </c>
      <c r="B22" s="1049">
        <v>68417.576114417345</v>
      </c>
      <c r="C22" s="1049">
        <v>69653.631969699985</v>
      </c>
      <c r="D22" s="1049">
        <v>70215.348591119095</v>
      </c>
      <c r="E22" s="1049">
        <v>68338.963920090217</v>
      </c>
      <c r="F22" s="1049">
        <v>70215.250846567549</v>
      </c>
      <c r="G22" s="1049">
        <v>71274.171742057268</v>
      </c>
      <c r="H22" s="1049">
        <v>64471.853299839051</v>
      </c>
      <c r="I22" s="1049">
        <v>60661.93993289076</v>
      </c>
      <c r="J22" s="1049">
        <v>62154.188763703103</v>
      </c>
      <c r="K22" s="1049">
        <v>64297.935015412811</v>
      </c>
      <c r="L22" s="1049">
        <v>62964.396630661162</v>
      </c>
      <c r="M22" s="1049">
        <v>66798.141782746941</v>
      </c>
      <c r="N22" s="1049">
        <v>66843.4212763182</v>
      </c>
      <c r="O22" s="1049">
        <v>64714.829885364074</v>
      </c>
      <c r="P22" s="1049">
        <v>64923.221281450686</v>
      </c>
      <c r="Q22" s="1049">
        <v>64083.54788373335</v>
      </c>
      <c r="R22" s="1049">
        <v>64808.801830606011</v>
      </c>
      <c r="S22" s="1049">
        <v>67724.779263747987</v>
      </c>
      <c r="T22" s="1049">
        <v>65041.300731756433</v>
      </c>
      <c r="U22" s="1049">
        <v>67309.642340643681</v>
      </c>
      <c r="V22" s="1049">
        <v>67613.559138661833</v>
      </c>
      <c r="W22" s="1049">
        <v>66007.450705723328</v>
      </c>
      <c r="X22" s="1049">
        <v>69174.68774187642</v>
      </c>
      <c r="Y22" s="1049">
        <v>69409.104881614985</v>
      </c>
      <c r="Z22" s="1049">
        <v>70398.977756641951</v>
      </c>
      <c r="AA22" s="1049">
        <v>68945.312493441015</v>
      </c>
      <c r="AB22" s="1049">
        <v>68951.221762668312</v>
      </c>
      <c r="AC22" s="1049">
        <v>69926.762835496062</v>
      </c>
      <c r="AD22" s="1049">
        <v>71122.489226837395</v>
      </c>
      <c r="AE22" s="1049">
        <v>72242.56115368141</v>
      </c>
      <c r="AF22" s="1049">
        <v>71290.812961026197</v>
      </c>
      <c r="AG22" s="1049">
        <v>70857.429743249348</v>
      </c>
      <c r="AH22" s="1049">
        <v>71447.475539043153</v>
      </c>
      <c r="AI22" s="1050">
        <v>72952.083069411558</v>
      </c>
      <c r="AJ22" s="1049">
        <v>74578.349415192075</v>
      </c>
      <c r="AK22" s="1049">
        <v>74618.532625004475</v>
      </c>
      <c r="AL22" s="1049">
        <v>71871.101379207234</v>
      </c>
      <c r="AM22" s="1049">
        <v>72479.192117654864</v>
      </c>
      <c r="AN22" s="1049">
        <v>73943.808174877224</v>
      </c>
      <c r="AO22" s="1049">
        <v>73234.279247781014</v>
      </c>
      <c r="AP22" s="1049">
        <v>72947.399607409403</v>
      </c>
      <c r="AQ22" s="1051">
        <v>74107.709862834367</v>
      </c>
      <c r="AR22" s="1049">
        <v>76824.334770920614</v>
      </c>
      <c r="AS22" s="1049">
        <v>76247.366230465879</v>
      </c>
      <c r="AT22" s="1049">
        <v>76056.609471451098</v>
      </c>
      <c r="AU22" s="1049">
        <v>74268.542712026101</v>
      </c>
      <c r="AV22" s="1049">
        <v>75843.457167872461</v>
      </c>
      <c r="AW22" s="1049">
        <v>80380.278819563566</v>
      </c>
      <c r="AX22" s="1049">
        <v>80986.327513685974</v>
      </c>
      <c r="AY22" s="1049">
        <v>83205.206720997492</v>
      </c>
      <c r="AZ22" s="1052">
        <v>80740.817193901355</v>
      </c>
      <c r="BA22" s="1052">
        <v>83532.929309591753</v>
      </c>
      <c r="BB22" s="1052">
        <v>84377.573074406901</v>
      </c>
      <c r="BC22" s="1052">
        <v>84977.208322015504</v>
      </c>
      <c r="BD22" s="1052">
        <v>81912.093754483169</v>
      </c>
      <c r="BE22" s="1052">
        <v>82517.765685236445</v>
      </c>
      <c r="BF22" s="1052">
        <v>83780.472174381124</v>
      </c>
      <c r="BG22" s="1052">
        <v>87235.429559917859</v>
      </c>
      <c r="BH22" s="1052">
        <v>89195.525666624046</v>
      </c>
      <c r="BI22" s="1052">
        <v>92691.37357843596</v>
      </c>
      <c r="BJ22" s="1052">
        <v>93171.902824633711</v>
      </c>
      <c r="BK22" s="1052">
        <v>96534.393163275367</v>
      </c>
      <c r="BL22" s="1052">
        <v>100564.33017739406</v>
      </c>
      <c r="BM22" s="1052">
        <v>101529.86765301334</v>
      </c>
      <c r="BN22" s="1052">
        <v>100767.71541834825</v>
      </c>
      <c r="BO22" s="1052">
        <v>102248.21337766193</v>
      </c>
    </row>
    <row r="23" spans="1:67" ht="22.5" customHeight="1">
      <c r="A23" s="1048"/>
      <c r="B23" s="1049"/>
      <c r="C23" s="1049"/>
      <c r="D23" s="1049"/>
      <c r="E23" s="1049"/>
      <c r="F23" s="1049"/>
      <c r="G23" s="1049"/>
      <c r="H23" s="1049"/>
      <c r="I23" s="1049"/>
      <c r="J23" s="1049"/>
      <c r="K23" s="1049"/>
      <c r="L23" s="1049"/>
      <c r="M23" s="1049"/>
      <c r="N23" s="1049"/>
      <c r="O23" s="1049"/>
      <c r="P23" s="1049"/>
      <c r="Q23" s="1049"/>
      <c r="R23" s="1049"/>
      <c r="S23" s="1049"/>
      <c r="T23" s="1049"/>
      <c r="U23" s="1049"/>
      <c r="V23" s="1049"/>
      <c r="W23" s="1049"/>
      <c r="X23" s="1049"/>
      <c r="Y23" s="1049"/>
      <c r="Z23" s="1049"/>
      <c r="AA23" s="1049"/>
      <c r="AB23" s="1049"/>
      <c r="AC23" s="1049"/>
      <c r="AD23" s="1049"/>
      <c r="AE23" s="1049"/>
      <c r="AF23" s="1049"/>
      <c r="AG23" s="1049"/>
      <c r="AH23" s="1049"/>
      <c r="AI23" s="1050"/>
      <c r="AJ23" s="1049"/>
      <c r="AK23" s="1049"/>
      <c r="AL23" s="1049"/>
      <c r="AM23" s="1049"/>
      <c r="AN23" s="1049"/>
      <c r="AO23" s="1049"/>
      <c r="AP23" s="1049"/>
      <c r="AQ23" s="1051"/>
      <c r="AR23" s="1049"/>
      <c r="AS23" s="1049"/>
      <c r="AT23" s="1049"/>
      <c r="AU23" s="1049"/>
      <c r="AV23" s="1049"/>
      <c r="AW23" s="1049"/>
      <c r="AX23" s="1049"/>
      <c r="AY23" s="1049"/>
      <c r="AZ23" s="1052"/>
      <c r="BA23" s="1052"/>
      <c r="BB23" s="1052"/>
      <c r="BC23" s="1052"/>
      <c r="BD23" s="1052"/>
      <c r="BE23" s="1052"/>
      <c r="BF23" s="1052"/>
      <c r="BG23" s="1052"/>
      <c r="BH23" s="1052"/>
      <c r="BI23" s="1052"/>
      <c r="BJ23" s="1052"/>
      <c r="BK23" s="1052"/>
      <c r="BL23" s="1052"/>
      <c r="BM23" s="1052"/>
      <c r="BN23" s="1052"/>
      <c r="BO23" s="1052"/>
    </row>
    <row r="24" spans="1:67" ht="22.5" customHeight="1">
      <c r="A24" s="1048" t="s">
        <v>2601</v>
      </c>
      <c r="B24" s="1049">
        <v>86002.005008486682</v>
      </c>
      <c r="C24" s="1049">
        <v>86430.334994463396</v>
      </c>
      <c r="D24" s="1049">
        <v>87980.657385565777</v>
      </c>
      <c r="E24" s="1049">
        <v>88701.149805639681</v>
      </c>
      <c r="F24" s="1049">
        <v>89270.248456882007</v>
      </c>
      <c r="G24" s="1049">
        <v>89154.323627973514</v>
      </c>
      <c r="H24" s="1049">
        <v>90701.193436550544</v>
      </c>
      <c r="I24" s="1049">
        <v>94966.115896958989</v>
      </c>
      <c r="J24" s="1049">
        <v>96640.404973560464</v>
      </c>
      <c r="K24" s="1049">
        <v>98032.756931829164</v>
      </c>
      <c r="L24" s="1049">
        <v>97861.717844145649</v>
      </c>
      <c r="M24" s="1049">
        <v>103724.85564967337</v>
      </c>
      <c r="N24" s="1049">
        <v>104389.22207054911</v>
      </c>
      <c r="O24" s="1049">
        <v>106664.57534290411</v>
      </c>
      <c r="P24" s="1049">
        <v>107206.88138370164</v>
      </c>
      <c r="Q24" s="1049">
        <v>108620.08748099591</v>
      </c>
      <c r="R24" s="1049">
        <v>107655.14280378608</v>
      </c>
      <c r="S24" s="1049">
        <v>108184.74986758425</v>
      </c>
      <c r="T24" s="1049">
        <v>108733.92540058088</v>
      </c>
      <c r="U24" s="1049">
        <v>109085.11095657838</v>
      </c>
      <c r="V24" s="1049">
        <v>108846.39305074242</v>
      </c>
      <c r="W24" s="1049">
        <v>109719.8377185056</v>
      </c>
      <c r="X24" s="1049">
        <v>109948.1827041051</v>
      </c>
      <c r="Y24" s="1049">
        <v>114277.70110134366</v>
      </c>
      <c r="Z24" s="1049">
        <v>113985.53990418378</v>
      </c>
      <c r="AA24" s="1049">
        <v>116610.20363369156</v>
      </c>
      <c r="AB24" s="1049">
        <v>117693.25363014425</v>
      </c>
      <c r="AC24" s="1049">
        <v>116060.31403665496</v>
      </c>
      <c r="AD24" s="1049">
        <v>116163.6332307518</v>
      </c>
      <c r="AE24" s="1049">
        <v>118175.51892211345</v>
      </c>
      <c r="AF24" s="1049">
        <v>117894.59109897181</v>
      </c>
      <c r="AG24" s="1049">
        <v>117293.51383782346</v>
      </c>
      <c r="AH24" s="1049">
        <v>118335.53065373108</v>
      </c>
      <c r="AI24" s="1050">
        <v>118419.04652726192</v>
      </c>
      <c r="AJ24" s="1049">
        <v>120267.96107586552</v>
      </c>
      <c r="AK24" s="1049">
        <v>123940.24706978291</v>
      </c>
      <c r="AL24" s="1049">
        <v>125927.59113183178</v>
      </c>
      <c r="AM24" s="1049">
        <v>127700.67489801101</v>
      </c>
      <c r="AN24" s="1049">
        <v>130221.61249399875</v>
      </c>
      <c r="AO24" s="1049">
        <v>129555.58381315233</v>
      </c>
      <c r="AP24" s="1049">
        <v>130874.52793089766</v>
      </c>
      <c r="AQ24" s="1051">
        <v>132412.54231621322</v>
      </c>
      <c r="AR24" s="1049">
        <v>134150.43078186901</v>
      </c>
      <c r="AS24" s="1049">
        <v>132965.69728082433</v>
      </c>
      <c r="AT24" s="1049">
        <v>132891.3405092886</v>
      </c>
      <c r="AU24" s="1049">
        <v>131916.76361065177</v>
      </c>
      <c r="AV24" s="1049">
        <v>132916.41188870533</v>
      </c>
      <c r="AW24" s="1049">
        <v>137028.58257943401</v>
      </c>
      <c r="AX24" s="1049">
        <v>139536.17451725059</v>
      </c>
      <c r="AY24" s="1049">
        <v>141374.11037787879</v>
      </c>
      <c r="AZ24" s="1052">
        <v>143389.44134980321</v>
      </c>
      <c r="BA24" s="1052">
        <v>143137.20575972123</v>
      </c>
      <c r="BB24" s="1052">
        <v>143112.36780075575</v>
      </c>
      <c r="BC24" s="1052">
        <v>145274.23009115169</v>
      </c>
      <c r="BD24" s="1052">
        <v>146738.11960623346</v>
      </c>
      <c r="BE24" s="1052">
        <v>146609.26600948314</v>
      </c>
      <c r="BF24" s="1052">
        <v>147441.75915400017</v>
      </c>
      <c r="BG24" s="1052">
        <v>150897.85414947488</v>
      </c>
      <c r="BH24" s="1052">
        <v>150022.70341062004</v>
      </c>
      <c r="BI24" s="1052">
        <v>151721.29844907482</v>
      </c>
      <c r="BJ24" s="1052">
        <v>155891.4138969772</v>
      </c>
      <c r="BK24" s="1052">
        <v>157687.33850349611</v>
      </c>
      <c r="BL24" s="1052">
        <v>157723.53110445768</v>
      </c>
      <c r="BM24" s="1052">
        <v>158508.70418172545</v>
      </c>
      <c r="BN24" s="1052">
        <v>159802.28138109492</v>
      </c>
      <c r="BO24" s="1052">
        <v>162367.58641059365</v>
      </c>
    </row>
    <row r="25" spans="1:67" ht="22.5" customHeight="1">
      <c r="A25" s="1048"/>
      <c r="B25" s="1049"/>
      <c r="C25" s="1049"/>
      <c r="D25" s="1049"/>
      <c r="E25" s="1049"/>
      <c r="F25" s="1049"/>
      <c r="G25" s="1049"/>
      <c r="H25" s="1049"/>
      <c r="I25" s="1049"/>
      <c r="J25" s="1049"/>
      <c r="K25" s="1049"/>
      <c r="L25" s="1049"/>
      <c r="M25" s="1049"/>
      <c r="N25" s="1049"/>
      <c r="O25" s="1049"/>
      <c r="P25" s="1049"/>
      <c r="Q25" s="1049"/>
      <c r="R25" s="1049"/>
      <c r="S25" s="1049"/>
      <c r="T25" s="1049"/>
      <c r="U25" s="1049"/>
      <c r="V25" s="1049"/>
      <c r="W25" s="1049"/>
      <c r="X25" s="1049"/>
      <c r="Y25" s="1049"/>
      <c r="Z25" s="1049"/>
      <c r="AA25" s="1049"/>
      <c r="AB25" s="1049"/>
      <c r="AC25" s="1049"/>
      <c r="AD25" s="1049"/>
      <c r="AE25" s="1049"/>
      <c r="AF25" s="1049"/>
      <c r="AG25" s="1049"/>
      <c r="AH25" s="1049"/>
      <c r="AI25" s="1050"/>
      <c r="AJ25" s="1049"/>
      <c r="AK25" s="1049"/>
      <c r="AL25" s="1049"/>
      <c r="AM25" s="1049"/>
      <c r="AN25" s="1049"/>
      <c r="AO25" s="1049"/>
      <c r="AP25" s="1049"/>
      <c r="AQ25" s="1051"/>
      <c r="AR25" s="1049"/>
      <c r="AS25" s="1049"/>
      <c r="AT25" s="1049"/>
      <c r="AU25" s="1049"/>
      <c r="AV25" s="1049"/>
      <c r="AW25" s="1049"/>
      <c r="AX25" s="1049"/>
      <c r="AY25" s="1049"/>
      <c r="AZ25" s="1052"/>
      <c r="BA25" s="1052"/>
      <c r="BB25" s="1052"/>
      <c r="BC25" s="1052"/>
      <c r="BD25" s="1052"/>
      <c r="BE25" s="1052"/>
      <c r="BF25" s="1052"/>
      <c r="BG25" s="1052"/>
      <c r="BH25" s="1052"/>
      <c r="BI25" s="1052"/>
      <c r="BJ25" s="1052"/>
      <c r="BK25" s="1052"/>
      <c r="BL25" s="1052"/>
      <c r="BM25" s="1052"/>
      <c r="BN25" s="1052"/>
      <c r="BO25" s="1052"/>
    </row>
    <row r="26" spans="1:67" ht="22.5" customHeight="1">
      <c r="A26" s="1048" t="s">
        <v>2602</v>
      </c>
      <c r="B26" s="1049">
        <v>108186.14460182063</v>
      </c>
      <c r="C26" s="1049">
        <v>107871.64613230935</v>
      </c>
      <c r="D26" s="1049">
        <v>106472.46624005419</v>
      </c>
      <c r="E26" s="1049">
        <v>108063.35612843526</v>
      </c>
      <c r="F26" s="1049">
        <v>109526.84877539893</v>
      </c>
      <c r="G26" s="1049">
        <v>109237.11205135696</v>
      </c>
      <c r="H26" s="1049">
        <v>109451.94414594011</v>
      </c>
      <c r="I26" s="1049">
        <v>108901.9461516438</v>
      </c>
      <c r="J26" s="1049">
        <v>106914.66391770453</v>
      </c>
      <c r="K26" s="1049">
        <v>107100.24215791043</v>
      </c>
      <c r="L26" s="1049">
        <v>109055.36053895146</v>
      </c>
      <c r="M26" s="1049">
        <v>109207.81382407888</v>
      </c>
      <c r="N26" s="1049">
        <v>107745.74287748217</v>
      </c>
      <c r="O26" s="1049">
        <v>107599.41045783951</v>
      </c>
      <c r="P26" s="1049">
        <v>106746.66606577481</v>
      </c>
      <c r="Q26" s="1049">
        <v>106849.11315212832</v>
      </c>
      <c r="R26" s="1049">
        <v>107417.14382677035</v>
      </c>
      <c r="S26" s="1049">
        <v>110511.24299510724</v>
      </c>
      <c r="T26" s="1049">
        <v>111052.85472120719</v>
      </c>
      <c r="U26" s="1049">
        <v>111654.30310460235</v>
      </c>
      <c r="V26" s="1049">
        <v>112467.72002936109</v>
      </c>
      <c r="W26" s="1049">
        <v>113219.37896141577</v>
      </c>
      <c r="X26" s="1049">
        <v>113547.22391566647</v>
      </c>
      <c r="Y26" s="1049">
        <v>113435.48782537348</v>
      </c>
      <c r="Z26" s="1049">
        <v>112461.82849679363</v>
      </c>
      <c r="AA26" s="1049">
        <v>111714.22892767936</v>
      </c>
      <c r="AB26" s="1049">
        <v>113270.70949100395</v>
      </c>
      <c r="AC26" s="1049">
        <v>114177.36675103454</v>
      </c>
      <c r="AD26" s="1049">
        <v>116075.87533956936</v>
      </c>
      <c r="AE26" s="1049">
        <v>116355.8678889685</v>
      </c>
      <c r="AF26" s="1049">
        <v>118325.33974725219</v>
      </c>
      <c r="AG26" s="1049">
        <v>119849.00138286772</v>
      </c>
      <c r="AH26" s="1049">
        <v>120208.58510439517</v>
      </c>
      <c r="AI26" s="1050">
        <v>121769.56355380318</v>
      </c>
      <c r="AJ26" s="1049">
        <v>120139.4397799687</v>
      </c>
      <c r="AK26" s="1049">
        <v>122767.9044164784</v>
      </c>
      <c r="AL26" s="1049">
        <v>119814.13086053214</v>
      </c>
      <c r="AM26" s="1049">
        <v>121449.11197988532</v>
      </c>
      <c r="AN26" s="1049">
        <v>119579.54509858412</v>
      </c>
      <c r="AO26" s="1049">
        <v>119309.98499980234</v>
      </c>
      <c r="AP26" s="1049">
        <v>118265.05726933386</v>
      </c>
      <c r="AQ26" s="1051">
        <v>120054.85814749781</v>
      </c>
      <c r="AR26" s="1049">
        <v>117254.17791251148</v>
      </c>
      <c r="AS26" s="1049">
        <v>116932.01019127456</v>
      </c>
      <c r="AT26" s="1049">
        <v>116847.83673386324</v>
      </c>
      <c r="AU26" s="1049">
        <v>118991.40012527069</v>
      </c>
      <c r="AV26" s="1049">
        <v>121061.1048357854</v>
      </c>
      <c r="AW26" s="1049">
        <v>121486.63215333641</v>
      </c>
      <c r="AX26" s="1049">
        <v>119293.63868033765</v>
      </c>
      <c r="AY26" s="1049">
        <v>119523.34795476634</v>
      </c>
      <c r="AZ26" s="1052">
        <v>122556.57036738006</v>
      </c>
      <c r="BA26" s="1052">
        <v>121362.37180555731</v>
      </c>
      <c r="BB26" s="1052">
        <v>121886.73219142022</v>
      </c>
      <c r="BC26" s="1052">
        <v>123005.80985975852</v>
      </c>
      <c r="BD26" s="1052">
        <v>123520.76447442369</v>
      </c>
      <c r="BE26" s="1052">
        <v>124601.74002718055</v>
      </c>
      <c r="BF26" s="1052">
        <v>123128.37278158699</v>
      </c>
      <c r="BG26" s="1052">
        <v>122407.12749760035</v>
      </c>
      <c r="BH26" s="1052">
        <v>124153.78349949441</v>
      </c>
      <c r="BI26" s="1052">
        <v>124261.75823891172</v>
      </c>
      <c r="BJ26" s="1052">
        <v>122185.88926902582</v>
      </c>
      <c r="BK26" s="1052">
        <v>121583.84295172573</v>
      </c>
      <c r="BL26" s="1052">
        <v>124112.74568214279</v>
      </c>
      <c r="BM26" s="1052">
        <v>122397.19621745318</v>
      </c>
      <c r="BN26" s="1052">
        <v>123524.84123770551</v>
      </c>
      <c r="BO26" s="1052">
        <v>126129.18119480774</v>
      </c>
    </row>
    <row r="27" spans="1:67" ht="22.5" customHeight="1">
      <c r="A27" s="1059"/>
      <c r="B27" s="1054"/>
      <c r="C27" s="1054"/>
      <c r="D27" s="1054"/>
      <c r="E27" s="1054"/>
      <c r="F27" s="1054"/>
      <c r="G27" s="1054"/>
      <c r="H27" s="1054"/>
      <c r="I27" s="1054"/>
      <c r="J27" s="1054"/>
      <c r="K27" s="1054"/>
      <c r="L27" s="1054"/>
      <c r="M27" s="1054"/>
      <c r="N27" s="1054"/>
      <c r="O27" s="1054"/>
      <c r="P27" s="1054"/>
      <c r="Q27" s="1054"/>
      <c r="R27" s="1054"/>
      <c r="S27" s="1054"/>
      <c r="T27" s="1054"/>
      <c r="U27" s="1054"/>
      <c r="V27" s="1054"/>
      <c r="W27" s="1054"/>
      <c r="X27" s="1054"/>
      <c r="Y27" s="1054"/>
      <c r="Z27" s="1054"/>
      <c r="AA27" s="1054"/>
      <c r="AB27" s="1054"/>
      <c r="AC27" s="1054"/>
      <c r="AD27" s="1054"/>
      <c r="AE27" s="1054"/>
      <c r="AF27" s="1054"/>
      <c r="AG27" s="1054"/>
      <c r="AH27" s="1054"/>
      <c r="AI27" s="1055"/>
      <c r="AJ27" s="1054"/>
      <c r="AK27" s="1054"/>
      <c r="AL27" s="1054"/>
      <c r="AM27" s="1054"/>
      <c r="AN27" s="1054"/>
      <c r="AO27" s="1054"/>
      <c r="AP27" s="1054"/>
      <c r="AQ27" s="1056"/>
      <c r="AR27" s="1054"/>
      <c r="AS27" s="1054"/>
      <c r="AT27" s="1054"/>
      <c r="AU27" s="1054"/>
      <c r="AV27" s="1054"/>
      <c r="AW27" s="1054"/>
      <c r="AX27" s="1054"/>
      <c r="AY27" s="1054"/>
      <c r="AZ27" s="1057"/>
      <c r="BA27" s="1057"/>
      <c r="BB27" s="1057"/>
      <c r="BC27" s="1057"/>
      <c r="BD27" s="1057"/>
      <c r="BE27" s="1057"/>
      <c r="BF27" s="1057"/>
      <c r="BG27" s="1057"/>
      <c r="BH27" s="1057"/>
      <c r="BI27" s="1057"/>
      <c r="BJ27" s="1057"/>
      <c r="BK27" s="1057"/>
      <c r="BL27" s="1057"/>
      <c r="BM27" s="1057"/>
      <c r="BN27" s="1057"/>
      <c r="BO27" s="1057"/>
    </row>
    <row r="28" spans="1:67" ht="22.5" customHeight="1">
      <c r="A28" s="1048" t="s">
        <v>2603</v>
      </c>
      <c r="B28" s="1049">
        <v>783.64372534999995</v>
      </c>
      <c r="C28" s="1049">
        <v>795.03426162999995</v>
      </c>
      <c r="D28" s="1049">
        <v>806.36142286999996</v>
      </c>
      <c r="E28" s="1049">
        <v>817.11920386999998</v>
      </c>
      <c r="F28" s="1049">
        <v>829.69099342999993</v>
      </c>
      <c r="G28" s="1049">
        <v>841.75958768999999</v>
      </c>
      <c r="H28" s="1049">
        <v>841.34192214999996</v>
      </c>
      <c r="I28" s="1049">
        <v>850.71337003999997</v>
      </c>
      <c r="J28" s="1049">
        <v>860.90493549999997</v>
      </c>
      <c r="K28" s="1049">
        <v>871.46817457999998</v>
      </c>
      <c r="L28" s="1049">
        <v>882.04527718999998</v>
      </c>
      <c r="M28" s="1049">
        <v>892.00809129999993</v>
      </c>
      <c r="N28" s="1049">
        <v>903.91998392999994</v>
      </c>
      <c r="O28" s="1049">
        <v>913.01940185000001</v>
      </c>
      <c r="P28" s="1049">
        <v>921.02394779999986</v>
      </c>
      <c r="Q28" s="1049">
        <v>929.69761501999994</v>
      </c>
      <c r="R28" s="1049">
        <v>941.94318426999996</v>
      </c>
      <c r="S28" s="1049">
        <v>951.54399999999998</v>
      </c>
      <c r="T28" s="1049">
        <v>951.26087802999996</v>
      </c>
      <c r="U28" s="1049">
        <v>960.51654224999993</v>
      </c>
      <c r="V28" s="1049">
        <v>959.27091483000004</v>
      </c>
      <c r="W28" s="1049">
        <v>968.69937096000001</v>
      </c>
      <c r="X28" s="1049">
        <v>976.84763184999997</v>
      </c>
      <c r="Y28" s="1049">
        <v>987.94876219000002</v>
      </c>
      <c r="Z28" s="1049">
        <v>997.67433128999994</v>
      </c>
      <c r="AA28" s="1049">
        <v>1008.33392694</v>
      </c>
      <c r="AB28" s="1049">
        <v>1018.04001825</v>
      </c>
      <c r="AC28" s="1049">
        <v>1027.9046779099999</v>
      </c>
      <c r="AD28" s="1049">
        <v>1034.54105153</v>
      </c>
      <c r="AE28" s="1049">
        <v>1046.3292143399999</v>
      </c>
      <c r="AF28" s="1049">
        <v>1056.93696527</v>
      </c>
      <c r="AG28" s="1049">
        <v>1068.1048831099999</v>
      </c>
      <c r="AH28" s="1049">
        <v>1086.2447271099998</v>
      </c>
      <c r="AI28" s="1050">
        <v>1094.8958103199998</v>
      </c>
      <c r="AJ28" s="1049">
        <v>1103.7077119</v>
      </c>
      <c r="AK28" s="1049">
        <v>1114.0039380399999</v>
      </c>
      <c r="AL28" s="1049">
        <v>1126.4172563299999</v>
      </c>
      <c r="AM28" s="1049">
        <v>1136.3494650599998</v>
      </c>
      <c r="AN28" s="1049">
        <v>1148.6181616200001</v>
      </c>
      <c r="AO28" s="1049">
        <v>1159.7702537600001</v>
      </c>
      <c r="AP28" s="1049">
        <v>1170.5591787599999</v>
      </c>
      <c r="AQ28" s="1051">
        <v>1181.90419982</v>
      </c>
      <c r="AR28" s="1049">
        <v>1190.8741275899999</v>
      </c>
      <c r="AS28" s="1049">
        <v>1201.6446606699999</v>
      </c>
      <c r="AT28" s="1049">
        <v>1213.0932805299999</v>
      </c>
      <c r="AU28" s="1049">
        <v>1224.16639169</v>
      </c>
      <c r="AV28" s="1049">
        <v>1235.9602562800001</v>
      </c>
      <c r="AW28" s="1049">
        <v>1250.3412743499998</v>
      </c>
      <c r="AX28" s="1049">
        <v>1263.11193826</v>
      </c>
      <c r="AY28" s="1049">
        <v>1275.6406891000001</v>
      </c>
      <c r="AZ28" s="1052">
        <v>1286.59783924</v>
      </c>
      <c r="BA28" s="1052">
        <v>1297.00956477</v>
      </c>
      <c r="BB28" s="1052">
        <v>1309.7397866099998</v>
      </c>
      <c r="BC28" s="1052">
        <v>1321.1902400800002</v>
      </c>
      <c r="BD28" s="1052">
        <v>1329.31778654</v>
      </c>
      <c r="BE28" s="1052">
        <v>1337.5223003600001</v>
      </c>
      <c r="BF28" s="1052">
        <v>1348.4084109800001</v>
      </c>
      <c r="BG28" s="1052">
        <v>1358.71483412</v>
      </c>
      <c r="BH28" s="1052">
        <v>1367.46305525</v>
      </c>
      <c r="BI28" s="1052">
        <v>1380.1434952499999</v>
      </c>
      <c r="BJ28" s="1052">
        <v>1392.2231166600002</v>
      </c>
      <c r="BK28" s="1052">
        <v>1404.5468900500002</v>
      </c>
      <c r="BL28" s="1052">
        <v>1413.72892305</v>
      </c>
      <c r="BM28" s="1052">
        <v>1419.5644658799999</v>
      </c>
      <c r="BN28" s="1052">
        <v>1426.2431410899999</v>
      </c>
      <c r="BO28" s="1052">
        <v>1439.1363995300001</v>
      </c>
    </row>
    <row r="29" spans="1:67" ht="22.5" customHeight="1">
      <c r="A29" s="1053"/>
      <c r="B29" s="1054"/>
      <c r="C29" s="1054"/>
      <c r="D29" s="1054"/>
      <c r="E29" s="1054"/>
      <c r="F29" s="1054"/>
      <c r="G29" s="1054"/>
      <c r="H29" s="1054"/>
      <c r="I29" s="1054"/>
      <c r="J29" s="1054"/>
      <c r="K29" s="1054"/>
      <c r="L29" s="1054"/>
      <c r="M29" s="1054"/>
      <c r="N29" s="1054"/>
      <c r="O29" s="1054"/>
      <c r="P29" s="1054"/>
      <c r="Q29" s="1054"/>
      <c r="R29" s="1054"/>
      <c r="S29" s="1054"/>
      <c r="T29" s="1054"/>
      <c r="U29" s="1054"/>
      <c r="V29" s="1054"/>
      <c r="W29" s="1054"/>
      <c r="X29" s="1054"/>
      <c r="Y29" s="1054"/>
      <c r="Z29" s="1054"/>
      <c r="AA29" s="1054"/>
      <c r="AB29" s="1054"/>
      <c r="AC29" s="1054"/>
      <c r="AD29" s="1054"/>
      <c r="AE29" s="1054"/>
      <c r="AF29" s="1054"/>
      <c r="AG29" s="1054"/>
      <c r="AH29" s="1054"/>
      <c r="AI29" s="1055"/>
      <c r="AJ29" s="1054"/>
      <c r="AK29" s="1054"/>
      <c r="AL29" s="1054"/>
      <c r="AM29" s="1054"/>
      <c r="AN29" s="1054"/>
      <c r="AO29" s="1054"/>
      <c r="AP29" s="1054"/>
      <c r="AQ29" s="1056"/>
      <c r="AR29" s="1054"/>
      <c r="AS29" s="1054"/>
      <c r="AT29" s="1054"/>
      <c r="AU29" s="1054"/>
      <c r="AV29" s="1054"/>
      <c r="AW29" s="1054"/>
      <c r="AX29" s="1054"/>
      <c r="AY29" s="1054"/>
      <c r="AZ29" s="1057"/>
      <c r="BA29" s="1057"/>
      <c r="BB29" s="1057"/>
      <c r="BC29" s="1057"/>
      <c r="BD29" s="1057"/>
      <c r="BE29" s="1057"/>
      <c r="BF29" s="1057"/>
      <c r="BG29" s="1057"/>
      <c r="BH29" s="1057"/>
      <c r="BI29" s="1057"/>
      <c r="BJ29" s="1057"/>
      <c r="BK29" s="1057"/>
      <c r="BL29" s="1057"/>
      <c r="BM29" s="1057"/>
      <c r="BN29" s="1057"/>
      <c r="BO29" s="1057"/>
    </row>
    <row r="30" spans="1:67" ht="22.5" customHeight="1">
      <c r="A30" s="1048" t="s">
        <v>2604</v>
      </c>
      <c r="B30" s="1049"/>
      <c r="C30" s="1049"/>
      <c r="D30" s="1049"/>
      <c r="E30" s="1049"/>
      <c r="F30" s="1049"/>
      <c r="G30" s="1049"/>
      <c r="H30" s="1049"/>
      <c r="I30" s="1049"/>
      <c r="J30" s="1049"/>
      <c r="K30" s="1049"/>
      <c r="L30" s="1049"/>
      <c r="M30" s="1049"/>
      <c r="N30" s="1049"/>
      <c r="O30" s="1049"/>
      <c r="P30" s="1049"/>
      <c r="Q30" s="1049"/>
      <c r="R30" s="1049"/>
      <c r="S30" s="1049"/>
      <c r="T30" s="1049"/>
      <c r="U30" s="1049"/>
      <c r="V30" s="1049"/>
      <c r="W30" s="1049"/>
      <c r="X30" s="1049"/>
      <c r="Y30" s="1049"/>
      <c r="Z30" s="1049"/>
      <c r="AA30" s="1049"/>
      <c r="AB30" s="1049"/>
      <c r="AC30" s="1049"/>
      <c r="AD30" s="1049"/>
      <c r="AE30" s="1049"/>
      <c r="AF30" s="1049"/>
      <c r="AG30" s="1049"/>
      <c r="AH30" s="1049"/>
      <c r="AI30" s="1050"/>
      <c r="AJ30" s="1049"/>
      <c r="AK30" s="1049"/>
      <c r="AL30" s="1049"/>
      <c r="AM30" s="1049"/>
      <c r="AN30" s="1049"/>
      <c r="AO30" s="1049"/>
      <c r="AP30" s="1049"/>
      <c r="AQ30" s="1051"/>
      <c r="AR30" s="1049"/>
      <c r="AS30" s="1049"/>
      <c r="AT30" s="1049"/>
      <c r="AU30" s="1049"/>
      <c r="AV30" s="1049"/>
      <c r="AW30" s="1049"/>
      <c r="AX30" s="1049"/>
      <c r="AY30" s="1049"/>
      <c r="AZ30" s="1052"/>
      <c r="BA30" s="1052"/>
      <c r="BB30" s="1052"/>
      <c r="BC30" s="1052"/>
      <c r="BD30" s="1052"/>
      <c r="BE30" s="1052"/>
      <c r="BF30" s="1052"/>
      <c r="BG30" s="1052"/>
      <c r="BH30" s="1052"/>
      <c r="BI30" s="1052"/>
      <c r="BJ30" s="1052"/>
      <c r="BK30" s="1052"/>
      <c r="BL30" s="1052"/>
      <c r="BM30" s="1052"/>
      <c r="BN30" s="1052"/>
      <c r="BO30" s="1052"/>
    </row>
    <row r="31" spans="1:67" ht="22.5" customHeight="1">
      <c r="A31" s="1060" t="s">
        <v>2605</v>
      </c>
      <c r="B31" s="1049">
        <v>249360.69651986239</v>
      </c>
      <c r="C31" s="1049">
        <v>251622.7170243435</v>
      </c>
      <c r="D31" s="1049">
        <v>257215.39942037046</v>
      </c>
      <c r="E31" s="1049">
        <v>240972.03568809986</v>
      </c>
      <c r="F31" s="1049">
        <v>288254.52867823391</v>
      </c>
      <c r="G31" s="1049">
        <v>283442.52268889075</v>
      </c>
      <c r="H31" s="1049">
        <v>249839.02988721139</v>
      </c>
      <c r="I31" s="1049">
        <v>274342.31773691805</v>
      </c>
      <c r="J31" s="1049">
        <v>273779.93564134021</v>
      </c>
      <c r="K31" s="1049">
        <v>272801.95000061835</v>
      </c>
      <c r="L31" s="1049">
        <v>280387.78172803833</v>
      </c>
      <c r="M31" s="1049">
        <v>285066.20083127124</v>
      </c>
      <c r="N31" s="1049">
        <v>285888.7361757406</v>
      </c>
      <c r="O31" s="1049">
        <v>282314.17421844183</v>
      </c>
      <c r="P31" s="1049">
        <v>252067.54477551434</v>
      </c>
      <c r="Q31" s="1049">
        <v>269744.23065324407</v>
      </c>
      <c r="R31" s="1049">
        <v>262472.03593615501</v>
      </c>
      <c r="S31" s="1049">
        <v>288101.32264357829</v>
      </c>
      <c r="T31" s="1049">
        <v>276970.62324911181</v>
      </c>
      <c r="U31" s="1049">
        <v>259096.97982526961</v>
      </c>
      <c r="V31" s="1049">
        <v>263239.52009323618</v>
      </c>
      <c r="W31" s="1049">
        <v>265845.06246742804</v>
      </c>
      <c r="X31" s="1049">
        <v>316404.36635368416</v>
      </c>
      <c r="Y31" s="1049">
        <v>258918.40932451026</v>
      </c>
      <c r="Z31" s="1049">
        <v>232975.13791190481</v>
      </c>
      <c r="AA31" s="1049">
        <v>237937.95141806465</v>
      </c>
      <c r="AB31" s="1049">
        <v>285684.36288633069</v>
      </c>
      <c r="AC31" s="1049">
        <v>285988.67051305622</v>
      </c>
      <c r="AD31" s="1049">
        <v>302666.35092124564</v>
      </c>
      <c r="AE31" s="1049">
        <v>237796.98005223632</v>
      </c>
      <c r="AF31" s="1049">
        <v>265847.36200055724</v>
      </c>
      <c r="AG31" s="1049">
        <v>226859.55689751479</v>
      </c>
      <c r="AH31" s="1049">
        <v>250067.2693901007</v>
      </c>
      <c r="AI31" s="1050">
        <v>267852.03612333984</v>
      </c>
      <c r="AJ31" s="1049">
        <v>268085.52613238478</v>
      </c>
      <c r="AK31" s="1049">
        <v>269984.1691173499</v>
      </c>
      <c r="AL31" s="1049">
        <v>293403.84355044481</v>
      </c>
      <c r="AM31" s="1049">
        <v>238330.56300423178</v>
      </c>
      <c r="AN31" s="1049">
        <v>260311.57647663605</v>
      </c>
      <c r="AO31" s="1049">
        <v>270455.5412878762</v>
      </c>
      <c r="AP31" s="1049">
        <v>301423.00157699449</v>
      </c>
      <c r="AQ31" s="1051">
        <v>257204.06170884101</v>
      </c>
      <c r="AR31" s="1049">
        <v>276078.62263399689</v>
      </c>
      <c r="AS31" s="1049">
        <v>260816.24722917966</v>
      </c>
      <c r="AT31" s="1049">
        <v>252659.8037139785</v>
      </c>
      <c r="AU31" s="1049">
        <v>249140.86970997555</v>
      </c>
      <c r="AV31" s="1049">
        <v>253128.59896445659</v>
      </c>
      <c r="AW31" s="1049">
        <v>273154.71810106433</v>
      </c>
      <c r="AX31" s="1049">
        <v>241847.93123396079</v>
      </c>
      <c r="AY31" s="1049">
        <v>243072.41931690247</v>
      </c>
      <c r="AZ31" s="1052">
        <v>235637.38906148812</v>
      </c>
      <c r="BA31" s="1052">
        <v>254346.87418876984</v>
      </c>
      <c r="BB31" s="1052">
        <v>240795.00739479513</v>
      </c>
      <c r="BC31" s="1052">
        <v>232605.36464353438</v>
      </c>
      <c r="BD31" s="1052">
        <v>245375.69599383362</v>
      </c>
      <c r="BE31" s="1052">
        <v>259527.91169330734</v>
      </c>
      <c r="BF31" s="1052">
        <v>291963.39838821907</v>
      </c>
      <c r="BG31" s="1052">
        <v>332129.08706283494</v>
      </c>
      <c r="BH31" s="1052">
        <v>299001.18680901983</v>
      </c>
      <c r="BI31" s="1052">
        <v>313532.88191786828</v>
      </c>
      <c r="BJ31" s="1052">
        <v>329756.0860107615</v>
      </c>
      <c r="BK31" s="1052">
        <v>332147.62063827831</v>
      </c>
      <c r="BL31" s="1052">
        <v>387323.26893354539</v>
      </c>
      <c r="BM31" s="1052">
        <v>398867.40882889036</v>
      </c>
      <c r="BN31" s="1052">
        <v>362645.92628307006</v>
      </c>
      <c r="BO31" s="1052">
        <v>350334.7932427529</v>
      </c>
    </row>
    <row r="32" spans="1:67" ht="22.5" customHeight="1">
      <c r="A32" s="1048"/>
      <c r="B32" s="1049"/>
      <c r="C32" s="1049"/>
      <c r="D32" s="1049"/>
      <c r="E32" s="1049"/>
      <c r="F32" s="1049"/>
      <c r="G32" s="1049"/>
      <c r="H32" s="1049"/>
      <c r="I32" s="1049"/>
      <c r="J32" s="1049"/>
      <c r="K32" s="1049"/>
      <c r="L32" s="1049"/>
      <c r="M32" s="1049"/>
      <c r="N32" s="1049"/>
      <c r="O32" s="1049"/>
      <c r="P32" s="1049"/>
      <c r="Q32" s="1049"/>
      <c r="R32" s="1049"/>
      <c r="S32" s="1049"/>
      <c r="T32" s="1049"/>
      <c r="U32" s="1049"/>
      <c r="V32" s="1049"/>
      <c r="W32" s="1049"/>
      <c r="X32" s="1049"/>
      <c r="Y32" s="1049"/>
      <c r="Z32" s="1049"/>
      <c r="AA32" s="1049"/>
      <c r="AB32" s="1049"/>
      <c r="AC32" s="1049"/>
      <c r="AD32" s="1049"/>
      <c r="AE32" s="1049"/>
      <c r="AF32" s="1049"/>
      <c r="AG32" s="1049"/>
      <c r="AH32" s="1049"/>
      <c r="AI32" s="1050"/>
      <c r="AJ32" s="1049"/>
      <c r="AK32" s="1049"/>
      <c r="AL32" s="1049"/>
      <c r="AM32" s="1049"/>
      <c r="AN32" s="1049"/>
      <c r="AO32" s="1049"/>
      <c r="AP32" s="1049"/>
      <c r="AQ32" s="1051"/>
      <c r="AR32" s="1049"/>
      <c r="AS32" s="1049"/>
      <c r="AT32" s="1049"/>
      <c r="AU32" s="1049"/>
      <c r="AV32" s="1049"/>
      <c r="AW32" s="1049"/>
      <c r="AX32" s="1049"/>
      <c r="AY32" s="1049"/>
      <c r="AZ32" s="1052"/>
      <c r="BA32" s="1052"/>
      <c r="BB32" s="1052"/>
      <c r="BC32" s="1052"/>
      <c r="BD32" s="1052"/>
      <c r="BE32" s="1052"/>
      <c r="BF32" s="1052"/>
      <c r="BG32" s="1052"/>
      <c r="BH32" s="1052"/>
      <c r="BI32" s="1052"/>
      <c r="BJ32" s="1052"/>
      <c r="BK32" s="1052"/>
      <c r="BL32" s="1052"/>
      <c r="BM32" s="1052"/>
      <c r="BN32" s="1052"/>
      <c r="BO32" s="1052"/>
    </row>
    <row r="33" spans="1:67" ht="22.5" customHeight="1">
      <c r="A33" s="1061"/>
      <c r="B33" s="1054"/>
      <c r="C33" s="1054"/>
      <c r="D33" s="1054"/>
      <c r="E33" s="1054"/>
      <c r="F33" s="1054"/>
      <c r="G33" s="1054"/>
      <c r="H33" s="1054"/>
      <c r="I33" s="1054"/>
      <c r="J33" s="1054"/>
      <c r="K33" s="1054"/>
      <c r="L33" s="1054"/>
      <c r="M33" s="1054"/>
      <c r="N33" s="1054"/>
      <c r="O33" s="1054"/>
      <c r="P33" s="1054"/>
      <c r="Q33" s="1054"/>
      <c r="R33" s="1054"/>
      <c r="S33" s="1054"/>
      <c r="T33" s="1054"/>
      <c r="U33" s="1054"/>
      <c r="V33" s="1054"/>
      <c r="W33" s="1054"/>
      <c r="X33" s="1054"/>
      <c r="Y33" s="1054"/>
      <c r="Z33" s="1054"/>
      <c r="AA33" s="1054"/>
      <c r="AB33" s="1054"/>
      <c r="AC33" s="1054"/>
      <c r="AD33" s="1054"/>
      <c r="AE33" s="1054"/>
      <c r="AF33" s="1054"/>
      <c r="AG33" s="1054"/>
      <c r="AH33" s="1054"/>
      <c r="AI33" s="1055"/>
      <c r="AJ33" s="1054"/>
      <c r="AK33" s="1054"/>
      <c r="AL33" s="1054"/>
      <c r="AM33" s="1054"/>
      <c r="AN33" s="1054"/>
      <c r="AO33" s="1054"/>
      <c r="AP33" s="1054"/>
      <c r="AQ33" s="1056"/>
      <c r="AR33" s="1054"/>
      <c r="AS33" s="1054"/>
      <c r="AT33" s="1054"/>
      <c r="AU33" s="1054"/>
      <c r="AV33" s="1054"/>
      <c r="AW33" s="1054"/>
      <c r="AX33" s="1054"/>
      <c r="AY33" s="1054"/>
      <c r="AZ33" s="1057"/>
      <c r="BA33" s="1057"/>
      <c r="BB33" s="1057"/>
      <c r="BC33" s="1057"/>
      <c r="BD33" s="1057"/>
      <c r="BE33" s="1057"/>
      <c r="BF33" s="1057"/>
      <c r="BG33" s="1057"/>
      <c r="BH33" s="1057"/>
      <c r="BI33" s="1057"/>
      <c r="BJ33" s="1057"/>
      <c r="BK33" s="1057"/>
      <c r="BL33" s="1057"/>
      <c r="BM33" s="1057"/>
      <c r="BN33" s="1057"/>
      <c r="BO33" s="1057"/>
    </row>
    <row r="34" spans="1:67" ht="22.5" customHeight="1">
      <c r="A34" s="1048" t="s">
        <v>2606</v>
      </c>
      <c r="B34" s="1049">
        <v>779.8563754780231</v>
      </c>
      <c r="C34" s="1049">
        <v>1306.3706472020708</v>
      </c>
      <c r="D34" s="1049">
        <v>869.81856441823697</v>
      </c>
      <c r="E34" s="1049">
        <v>905.77134001740285</v>
      </c>
      <c r="F34" s="1049">
        <v>953.61912509870194</v>
      </c>
      <c r="G34" s="1049">
        <v>905.59047324829282</v>
      </c>
      <c r="H34" s="1049">
        <v>893.14782032191704</v>
      </c>
      <c r="I34" s="1049">
        <v>886.28017686064481</v>
      </c>
      <c r="J34" s="1049">
        <v>918.87860321704704</v>
      </c>
      <c r="K34" s="1049">
        <v>960.71175483604384</v>
      </c>
      <c r="L34" s="1049">
        <v>1029.7745460104779</v>
      </c>
      <c r="M34" s="1049">
        <v>975.48743325026498</v>
      </c>
      <c r="N34" s="1049">
        <v>1031.204026959666</v>
      </c>
      <c r="O34" s="1049">
        <v>978.166643874898</v>
      </c>
      <c r="P34" s="1049">
        <v>965.73138316948803</v>
      </c>
      <c r="Q34" s="1049">
        <v>1075.015738483263</v>
      </c>
      <c r="R34" s="1049">
        <v>922.63988792454199</v>
      </c>
      <c r="S34" s="1049">
        <v>850.86400000000003</v>
      </c>
      <c r="T34" s="1049">
        <v>788.9558609616289</v>
      </c>
      <c r="U34" s="1049">
        <v>790.719423331896</v>
      </c>
      <c r="V34" s="1049">
        <v>793.71809299350195</v>
      </c>
      <c r="W34" s="1049">
        <v>954.91120817975002</v>
      </c>
      <c r="X34" s="1049">
        <v>1214.5715763658072</v>
      </c>
      <c r="Y34" s="1049">
        <v>1019.2733192047189</v>
      </c>
      <c r="Z34" s="1049">
        <v>1086.111822120298</v>
      </c>
      <c r="AA34" s="1049">
        <v>1082.1906095791599</v>
      </c>
      <c r="AB34" s="1049">
        <v>1127.0450183855298</v>
      </c>
      <c r="AC34" s="1049">
        <v>1032.7614692868167</v>
      </c>
      <c r="AD34" s="1049">
        <v>989.92551787866694</v>
      </c>
      <c r="AE34" s="1049">
        <v>1120.38707868651</v>
      </c>
      <c r="AF34" s="1049">
        <v>979.2667800134459</v>
      </c>
      <c r="AG34" s="1049">
        <v>1063.945033827616</v>
      </c>
      <c r="AH34" s="1049">
        <v>1203.5788762601721</v>
      </c>
      <c r="AI34" s="1050">
        <v>1240.2975364657088</v>
      </c>
      <c r="AJ34" s="1049">
        <v>1027.1574170188649</v>
      </c>
      <c r="AK34" s="1049">
        <v>878.796846807836</v>
      </c>
      <c r="AL34" s="1049">
        <v>1192.2947044366099</v>
      </c>
      <c r="AM34" s="1049">
        <v>1328.794689429548</v>
      </c>
      <c r="AN34" s="1049">
        <v>987.77430103862844</v>
      </c>
      <c r="AO34" s="1049">
        <v>963.23997870440735</v>
      </c>
      <c r="AP34" s="1049">
        <v>1095.9881694846295</v>
      </c>
      <c r="AQ34" s="1051">
        <v>1083.4216265967143</v>
      </c>
      <c r="AR34" s="1049">
        <v>1134.9238888761838</v>
      </c>
      <c r="AS34" s="1049">
        <v>4887.6047848808576</v>
      </c>
      <c r="AT34" s="1049">
        <v>4867.060514409859</v>
      </c>
      <c r="AU34" s="1049">
        <v>4805.9840402648806</v>
      </c>
      <c r="AV34" s="1049">
        <v>4815.6010543365264</v>
      </c>
      <c r="AW34" s="1049">
        <v>4573.4654754329376</v>
      </c>
      <c r="AX34" s="1049">
        <v>4726.2561336399431</v>
      </c>
      <c r="AY34" s="1049">
        <v>4635.9334007893376</v>
      </c>
      <c r="AZ34" s="1052">
        <v>6152.3381018723958</v>
      </c>
      <c r="BA34" s="1052">
        <v>6316.0841679209325</v>
      </c>
      <c r="BB34" s="1052">
        <v>6774.3354044690504</v>
      </c>
      <c r="BC34" s="1052">
        <v>7220.3972456638403</v>
      </c>
      <c r="BD34" s="1052">
        <v>7416.8118291044275</v>
      </c>
      <c r="BE34" s="1052">
        <v>7345.4232554220962</v>
      </c>
      <c r="BF34" s="1052">
        <v>7298.1644446360369</v>
      </c>
      <c r="BG34" s="1052">
        <v>5229.285345397212</v>
      </c>
      <c r="BH34" s="1052">
        <v>4870.1768714820701</v>
      </c>
      <c r="BI34" s="1052">
        <v>5416.6512399672183</v>
      </c>
      <c r="BJ34" s="1052">
        <v>5269.6261494441269</v>
      </c>
      <c r="BK34" s="1052">
        <v>5171.4021802074258</v>
      </c>
      <c r="BL34" s="1052">
        <v>5378.7808937291002</v>
      </c>
      <c r="BM34" s="1052">
        <v>6433.8233095129963</v>
      </c>
      <c r="BN34" s="1052">
        <v>6465.1103841093573</v>
      </c>
      <c r="BO34" s="1052">
        <v>2137.7109790786021</v>
      </c>
    </row>
    <row r="35" spans="1:67" ht="22.5" customHeight="1">
      <c r="A35" s="1061"/>
      <c r="B35" s="1054"/>
      <c r="C35" s="1054"/>
      <c r="D35" s="1054"/>
      <c r="E35" s="1054"/>
      <c r="F35" s="1054"/>
      <c r="G35" s="1054"/>
      <c r="H35" s="1054"/>
      <c r="I35" s="1054"/>
      <c r="J35" s="1054"/>
      <c r="K35" s="1054"/>
      <c r="L35" s="1054"/>
      <c r="M35" s="1054"/>
      <c r="N35" s="1054"/>
      <c r="O35" s="1054"/>
      <c r="P35" s="1054"/>
      <c r="Q35" s="1054"/>
      <c r="R35" s="1054"/>
      <c r="S35" s="1054"/>
      <c r="T35" s="1054"/>
      <c r="U35" s="1054"/>
      <c r="V35" s="1054"/>
      <c r="W35" s="1054"/>
      <c r="X35" s="1054"/>
      <c r="Y35" s="1054"/>
      <c r="Z35" s="1054"/>
      <c r="AA35" s="1054"/>
      <c r="AB35" s="1054"/>
      <c r="AC35" s="1054"/>
      <c r="AD35" s="1054"/>
      <c r="AE35" s="1054"/>
      <c r="AF35" s="1054"/>
      <c r="AG35" s="1054"/>
      <c r="AH35" s="1054"/>
      <c r="AI35" s="1055"/>
      <c r="AJ35" s="1054"/>
      <c r="AK35" s="1054"/>
      <c r="AL35" s="1054"/>
      <c r="AM35" s="1054"/>
      <c r="AN35" s="1054"/>
      <c r="AO35" s="1054"/>
      <c r="AP35" s="1054"/>
      <c r="AQ35" s="1056"/>
      <c r="AR35" s="1054"/>
      <c r="AS35" s="1054"/>
      <c r="AT35" s="1054"/>
      <c r="AU35" s="1054"/>
      <c r="AV35" s="1054"/>
      <c r="AW35" s="1054"/>
      <c r="AX35" s="1054"/>
      <c r="AY35" s="1054"/>
      <c r="AZ35" s="1057"/>
      <c r="BA35" s="1057"/>
      <c r="BB35" s="1057"/>
      <c r="BC35" s="1057"/>
      <c r="BD35" s="1057"/>
      <c r="BE35" s="1057"/>
      <c r="BF35" s="1057"/>
      <c r="BG35" s="1057"/>
      <c r="BH35" s="1057"/>
      <c r="BI35" s="1057"/>
      <c r="BJ35" s="1057"/>
      <c r="BK35" s="1057"/>
      <c r="BL35" s="1057"/>
      <c r="BM35" s="1057"/>
      <c r="BN35" s="1057"/>
      <c r="BO35" s="1057"/>
    </row>
    <row r="36" spans="1:67" ht="22.5" customHeight="1">
      <c r="A36" s="1048" t="s">
        <v>2312</v>
      </c>
      <c r="B36" s="1049">
        <v>954.40139647000001</v>
      </c>
      <c r="C36" s="1049">
        <v>773.83237627999995</v>
      </c>
      <c r="D36" s="1049">
        <v>832.74037261000001</v>
      </c>
      <c r="E36" s="1049">
        <v>877.0711045999999</v>
      </c>
      <c r="F36" s="1049">
        <v>912.78641126999992</v>
      </c>
      <c r="G36" s="1049">
        <v>990.83616271999995</v>
      </c>
      <c r="H36" s="1049">
        <v>1178.8645466399998</v>
      </c>
      <c r="I36" s="1049">
        <v>1144.15429767</v>
      </c>
      <c r="J36" s="1049">
        <v>935.40036557999997</v>
      </c>
      <c r="K36" s="1049">
        <v>736.85754703999999</v>
      </c>
      <c r="L36" s="1049">
        <v>890.49728249999998</v>
      </c>
      <c r="M36" s="1049">
        <v>1197.75504847</v>
      </c>
      <c r="N36" s="1049">
        <v>1098.23310578</v>
      </c>
      <c r="O36" s="1049">
        <v>1073.3048325499999</v>
      </c>
      <c r="P36" s="1049">
        <v>1154.3039894599997</v>
      </c>
      <c r="Q36" s="1049">
        <v>1163.7714331699999</v>
      </c>
      <c r="R36" s="1049">
        <v>1462.8666796499999</v>
      </c>
      <c r="S36" s="1049">
        <v>1434.5940000000001</v>
      </c>
      <c r="T36" s="1049">
        <v>1579.19917358</v>
      </c>
      <c r="U36" s="1049">
        <v>1497.92577121</v>
      </c>
      <c r="V36" s="1049">
        <v>1707.9922760499999</v>
      </c>
      <c r="W36" s="1049">
        <v>1700.3897597799998</v>
      </c>
      <c r="X36" s="1049">
        <v>1729.7772085899996</v>
      </c>
      <c r="Y36" s="1049">
        <v>1762.5908422200002</v>
      </c>
      <c r="Z36" s="1049">
        <v>1682.78710776</v>
      </c>
      <c r="AA36" s="1049">
        <v>1713.32924157</v>
      </c>
      <c r="AB36" s="1049">
        <v>1656.5536764200001</v>
      </c>
      <c r="AC36" s="1049">
        <v>1632.2673410399998</v>
      </c>
      <c r="AD36" s="1049">
        <v>1685.5414563100001</v>
      </c>
      <c r="AE36" s="1049">
        <v>1851.5900833599997</v>
      </c>
      <c r="AF36" s="1049">
        <v>1868.84614268</v>
      </c>
      <c r="AG36" s="1049">
        <v>1748.8815379</v>
      </c>
      <c r="AH36" s="1049">
        <v>1722.18598217</v>
      </c>
      <c r="AI36" s="1050">
        <v>1714.25887257</v>
      </c>
      <c r="AJ36" s="1049">
        <v>2049.9443790199998</v>
      </c>
      <c r="AK36" s="1049">
        <v>2023.3571086500001</v>
      </c>
      <c r="AL36" s="1049">
        <v>2043.31956182</v>
      </c>
      <c r="AM36" s="1049">
        <v>2002.55015974</v>
      </c>
      <c r="AN36" s="1049">
        <v>2078.8768424</v>
      </c>
      <c r="AO36" s="1049">
        <v>2122.2261027499999</v>
      </c>
      <c r="AP36" s="1049">
        <v>2003.80352659</v>
      </c>
      <c r="AQ36" s="1051">
        <v>2339.1142400200001</v>
      </c>
      <c r="AR36" s="1049">
        <v>2357.4444714199999</v>
      </c>
      <c r="AS36" s="1049">
        <v>2598.09075153</v>
      </c>
      <c r="AT36" s="1049">
        <v>3525.4559250552802</v>
      </c>
      <c r="AU36" s="1049">
        <v>3753.9238259589997</v>
      </c>
      <c r="AV36" s="1049">
        <v>3807.8426272781999</v>
      </c>
      <c r="AW36" s="1049">
        <v>4047.3651736438596</v>
      </c>
      <c r="AX36" s="1049">
        <v>4084.9571735700001</v>
      </c>
      <c r="AY36" s="1049">
        <v>4097.551853063861</v>
      </c>
      <c r="AZ36" s="1052">
        <v>4224.5270528158399</v>
      </c>
      <c r="BA36" s="1052">
        <v>4476.8457098246809</v>
      </c>
      <c r="BB36" s="1052">
        <v>4638.9772561358905</v>
      </c>
      <c r="BC36" s="1052">
        <v>4251.5199626081203</v>
      </c>
      <c r="BD36" s="1052">
        <v>4433.6908449118746</v>
      </c>
      <c r="BE36" s="1052">
        <v>4562.4686395815997</v>
      </c>
      <c r="BF36" s="1052">
        <v>4752.2897572731999</v>
      </c>
      <c r="BG36" s="1052">
        <v>4709.609627492101</v>
      </c>
      <c r="BH36" s="1052">
        <v>4851.0005767818602</v>
      </c>
      <c r="BI36" s="1052">
        <v>4642.3921049384098</v>
      </c>
      <c r="BJ36" s="1052">
        <v>4677.6723879410001</v>
      </c>
      <c r="BK36" s="1052">
        <v>4763.0074741839999</v>
      </c>
      <c r="BL36" s="1052">
        <v>4796.4405217106996</v>
      </c>
      <c r="BM36" s="1052">
        <v>4452.9241270059247</v>
      </c>
      <c r="BN36" s="1052">
        <v>4408.7073510668697</v>
      </c>
      <c r="BO36" s="1052">
        <v>4214.0726971081122</v>
      </c>
    </row>
    <row r="37" spans="1:67" ht="22.5" customHeight="1">
      <c r="A37" s="1061"/>
      <c r="B37" s="1054"/>
      <c r="C37" s="1054"/>
      <c r="D37" s="1054"/>
      <c r="E37" s="1054"/>
      <c r="F37" s="1054"/>
      <c r="G37" s="1054"/>
      <c r="H37" s="1054"/>
      <c r="I37" s="1054"/>
      <c r="J37" s="1054"/>
      <c r="K37" s="1054"/>
      <c r="L37" s="1054"/>
      <c r="M37" s="1054"/>
      <c r="N37" s="1054"/>
      <c r="O37" s="1054"/>
      <c r="P37" s="1054"/>
      <c r="Q37" s="1054"/>
      <c r="R37" s="1054"/>
      <c r="S37" s="1054"/>
      <c r="T37" s="1054"/>
      <c r="U37" s="1054"/>
      <c r="V37" s="1054"/>
      <c r="W37" s="1054"/>
      <c r="X37" s="1054"/>
      <c r="Y37" s="1054"/>
      <c r="Z37" s="1054"/>
      <c r="AA37" s="1054"/>
      <c r="AB37" s="1054"/>
      <c r="AC37" s="1054"/>
      <c r="AD37" s="1054"/>
      <c r="AE37" s="1054"/>
      <c r="AF37" s="1054"/>
      <c r="AG37" s="1054"/>
      <c r="AH37" s="1054"/>
      <c r="AI37" s="1055"/>
      <c r="AJ37" s="1054"/>
      <c r="AK37" s="1054"/>
      <c r="AL37" s="1054"/>
      <c r="AM37" s="1054"/>
      <c r="AN37" s="1054"/>
      <c r="AO37" s="1054"/>
      <c r="AP37" s="1054"/>
      <c r="AQ37" s="1056"/>
      <c r="AR37" s="1054"/>
      <c r="AS37" s="1054"/>
      <c r="AT37" s="1054"/>
      <c r="AU37" s="1054"/>
      <c r="AV37" s="1054"/>
      <c r="AW37" s="1054"/>
      <c r="AX37" s="1054"/>
      <c r="AY37" s="1054"/>
      <c r="AZ37" s="1057"/>
      <c r="BA37" s="1057"/>
      <c r="BB37" s="1057"/>
      <c r="BC37" s="1057"/>
      <c r="BD37" s="1057"/>
      <c r="BE37" s="1057"/>
      <c r="BF37" s="1057"/>
      <c r="BG37" s="1057"/>
      <c r="BH37" s="1057"/>
      <c r="BI37" s="1057"/>
      <c r="BJ37" s="1057"/>
      <c r="BK37" s="1057"/>
      <c r="BL37" s="1057"/>
      <c r="BM37" s="1057"/>
      <c r="BN37" s="1057"/>
      <c r="BO37" s="1057"/>
    </row>
    <row r="38" spans="1:67" ht="22.5" customHeight="1">
      <c r="A38" s="1048" t="s">
        <v>2510</v>
      </c>
      <c r="B38" s="1049">
        <v>8004.9418573799994</v>
      </c>
      <c r="C38" s="1049">
        <v>6345.2660890399993</v>
      </c>
      <c r="D38" s="1049">
        <v>7274.3973694999995</v>
      </c>
      <c r="E38" s="1049">
        <v>7471.1022488100007</v>
      </c>
      <c r="F38" s="1049">
        <v>12450.12102138</v>
      </c>
      <c r="G38" s="1049">
        <v>13043.306204839999</v>
      </c>
      <c r="H38" s="1049">
        <v>13172.8547151776</v>
      </c>
      <c r="I38" s="1049">
        <v>14515.80547266</v>
      </c>
      <c r="J38" s="1049">
        <v>13240.189651499</v>
      </c>
      <c r="K38" s="1049">
        <v>13236.251026315998</v>
      </c>
      <c r="L38" s="1049">
        <v>13317.192274773599</v>
      </c>
      <c r="M38" s="1049">
        <v>9501.1873320228879</v>
      </c>
      <c r="N38" s="1049">
        <v>10357.0032780292</v>
      </c>
      <c r="O38" s="1049">
        <v>11055.461459829201</v>
      </c>
      <c r="P38" s="1049">
        <v>11127.2517693058</v>
      </c>
      <c r="Q38" s="1049">
        <v>12865.488681405699</v>
      </c>
      <c r="R38" s="1049">
        <v>12319.008321619429</v>
      </c>
      <c r="S38" s="1049">
        <v>12482.525</v>
      </c>
      <c r="T38" s="1049">
        <v>14247.6379276189</v>
      </c>
      <c r="U38" s="1049">
        <v>14089.231251202</v>
      </c>
      <c r="V38" s="1049">
        <v>16530.263901124497</v>
      </c>
      <c r="W38" s="1049">
        <v>20328.644211066796</v>
      </c>
      <c r="X38" s="1049">
        <v>17594.954029616001</v>
      </c>
      <c r="Y38" s="1049">
        <v>17280.523779515599</v>
      </c>
      <c r="Z38" s="1049">
        <v>17821.451958536396</v>
      </c>
      <c r="AA38" s="1049">
        <v>18147.069136084898</v>
      </c>
      <c r="AB38" s="1049">
        <v>17882.999953672599</v>
      </c>
      <c r="AC38" s="1049">
        <v>20587.424013521402</v>
      </c>
      <c r="AD38" s="1049">
        <v>24441.2549489757</v>
      </c>
      <c r="AE38" s="1049">
        <v>27500.8282418255</v>
      </c>
      <c r="AF38" s="1049">
        <v>31205.986672913001</v>
      </c>
      <c r="AG38" s="1049">
        <v>29918.687292360497</v>
      </c>
      <c r="AH38" s="1049">
        <v>30731.6072824232</v>
      </c>
      <c r="AI38" s="1050">
        <v>31935.307121929403</v>
      </c>
      <c r="AJ38" s="1049">
        <v>31548.632029781798</v>
      </c>
      <c r="AK38" s="1049">
        <v>33922.982514620904</v>
      </c>
      <c r="AL38" s="1049">
        <v>37130.725390234526</v>
      </c>
      <c r="AM38" s="1049">
        <v>40196.987263964569</v>
      </c>
      <c r="AN38" s="1049">
        <v>36119.447936337179</v>
      </c>
      <c r="AO38" s="1049">
        <v>39442.185711229904</v>
      </c>
      <c r="AP38" s="1049">
        <v>37721.251117337226</v>
      </c>
      <c r="AQ38" s="1051">
        <v>31613.741695206623</v>
      </c>
      <c r="AR38" s="1049">
        <v>37412.899783422552</v>
      </c>
      <c r="AS38" s="1049">
        <v>54416.710918332916</v>
      </c>
      <c r="AT38" s="1049">
        <v>56432.192213846894</v>
      </c>
      <c r="AU38" s="1049">
        <v>50440.246592234478</v>
      </c>
      <c r="AV38" s="1049">
        <v>48881.789015601302</v>
      </c>
      <c r="AW38" s="1049">
        <v>48880.560964746386</v>
      </c>
      <c r="AX38" s="1049">
        <v>39948.766296267277</v>
      </c>
      <c r="AY38" s="1049">
        <v>38593.980605309778</v>
      </c>
      <c r="AZ38" s="1052">
        <v>40498.299068308806</v>
      </c>
      <c r="BA38" s="1052">
        <v>41178.206022089078</v>
      </c>
      <c r="BB38" s="1052">
        <v>33805.521873733574</v>
      </c>
      <c r="BC38" s="1052">
        <v>29398.686670884017</v>
      </c>
      <c r="BD38" s="1052">
        <v>27257.72379902887</v>
      </c>
      <c r="BE38" s="1052">
        <v>22869.704785399732</v>
      </c>
      <c r="BF38" s="1052">
        <v>24039.086564300596</v>
      </c>
      <c r="BG38" s="1052">
        <v>25613.554496006123</v>
      </c>
      <c r="BH38" s="1052">
        <v>26795.004876852636</v>
      </c>
      <c r="BI38" s="1052">
        <v>24875.937234929897</v>
      </c>
      <c r="BJ38" s="1052">
        <v>25516.752884201425</v>
      </c>
      <c r="BK38" s="1052">
        <v>27691.003048840001</v>
      </c>
      <c r="BL38" s="1052">
        <v>30158.965265442595</v>
      </c>
      <c r="BM38" s="1052">
        <v>25886.464964752795</v>
      </c>
      <c r="BN38" s="1052">
        <v>27114.111732047993</v>
      </c>
      <c r="BO38" s="1052">
        <v>24374.629169193489</v>
      </c>
    </row>
    <row r="39" spans="1:67" ht="22.5" customHeight="1">
      <c r="A39" s="1048"/>
      <c r="B39" s="1049"/>
      <c r="C39" s="1049"/>
      <c r="D39" s="1049"/>
      <c r="E39" s="1049"/>
      <c r="F39" s="1049"/>
      <c r="G39" s="1049"/>
      <c r="H39" s="1049"/>
      <c r="I39" s="1049"/>
      <c r="J39" s="1049"/>
      <c r="K39" s="1049"/>
      <c r="L39" s="1049"/>
      <c r="M39" s="1049"/>
      <c r="N39" s="1049"/>
      <c r="O39" s="1049"/>
      <c r="P39" s="1049"/>
      <c r="Q39" s="1049"/>
      <c r="R39" s="1049"/>
      <c r="S39" s="1049"/>
      <c r="T39" s="1049"/>
      <c r="U39" s="1049"/>
      <c r="V39" s="1049"/>
      <c r="W39" s="1049"/>
      <c r="X39" s="1049"/>
      <c r="Y39" s="1049"/>
      <c r="Z39" s="1049"/>
      <c r="AA39" s="1049"/>
      <c r="AB39" s="1049"/>
      <c r="AC39" s="1049"/>
      <c r="AD39" s="1049"/>
      <c r="AE39" s="1049"/>
      <c r="AF39" s="1049"/>
      <c r="AG39" s="1049"/>
      <c r="AH39" s="1049"/>
      <c r="AI39" s="1050"/>
      <c r="AJ39" s="1049"/>
      <c r="AK39" s="1049"/>
      <c r="AL39" s="1049"/>
      <c r="AM39" s="1049"/>
      <c r="AN39" s="1049"/>
      <c r="AO39" s="1049"/>
      <c r="AP39" s="1049"/>
      <c r="AQ39" s="1051"/>
      <c r="AR39" s="1049"/>
      <c r="AS39" s="1049"/>
      <c r="AT39" s="1049"/>
      <c r="AU39" s="1049"/>
      <c r="AV39" s="1049"/>
      <c r="AW39" s="1049"/>
      <c r="AX39" s="1049"/>
      <c r="AY39" s="1049"/>
      <c r="AZ39" s="1052"/>
      <c r="BA39" s="1052"/>
      <c r="BB39" s="1052"/>
      <c r="BC39" s="1052"/>
      <c r="BD39" s="1052"/>
      <c r="BE39" s="1052"/>
      <c r="BF39" s="1052"/>
      <c r="BG39" s="1052"/>
      <c r="BH39" s="1052"/>
      <c r="BI39" s="1052"/>
      <c r="BJ39" s="1052"/>
      <c r="BK39" s="1052"/>
      <c r="BL39" s="1052"/>
      <c r="BM39" s="1052"/>
      <c r="BN39" s="1052"/>
      <c r="BO39" s="1052"/>
    </row>
    <row r="40" spans="1:67" ht="22.5" customHeight="1">
      <c r="A40" s="1048" t="s">
        <v>2508</v>
      </c>
      <c r="B40" s="1049">
        <v>0</v>
      </c>
      <c r="C40" s="1049">
        <v>0</v>
      </c>
      <c r="D40" s="1049">
        <v>0</v>
      </c>
      <c r="E40" s="1049">
        <v>0</v>
      </c>
      <c r="F40" s="1049">
        <v>0</v>
      </c>
      <c r="G40" s="1049">
        <v>0</v>
      </c>
      <c r="H40" s="1049">
        <v>0</v>
      </c>
      <c r="I40" s="1049">
        <v>0</v>
      </c>
      <c r="J40" s="1049">
        <v>0</v>
      </c>
      <c r="K40" s="1049">
        <v>0</v>
      </c>
      <c r="L40" s="1049">
        <v>0</v>
      </c>
      <c r="M40" s="1049">
        <v>0</v>
      </c>
      <c r="N40" s="1049">
        <v>0</v>
      </c>
      <c r="O40" s="1049">
        <v>0</v>
      </c>
      <c r="P40" s="1049">
        <v>0</v>
      </c>
      <c r="Q40" s="1049">
        <v>0</v>
      </c>
      <c r="R40" s="1049">
        <v>0</v>
      </c>
      <c r="S40" s="1049">
        <v>0</v>
      </c>
      <c r="T40" s="1049">
        <v>0</v>
      </c>
      <c r="U40" s="1049">
        <v>0</v>
      </c>
      <c r="V40" s="1049">
        <v>0</v>
      </c>
      <c r="W40" s="1049">
        <v>0</v>
      </c>
      <c r="X40" s="1049">
        <v>0</v>
      </c>
      <c r="Y40" s="1049">
        <v>0</v>
      </c>
      <c r="Z40" s="1049">
        <v>0</v>
      </c>
      <c r="AA40" s="1049">
        <v>0</v>
      </c>
      <c r="AB40" s="1049">
        <v>0</v>
      </c>
      <c r="AC40" s="1049">
        <v>0</v>
      </c>
      <c r="AD40" s="1049">
        <v>0</v>
      </c>
      <c r="AE40" s="1049">
        <v>0</v>
      </c>
      <c r="AF40" s="1049">
        <v>0</v>
      </c>
      <c r="AG40" s="1049">
        <v>0</v>
      </c>
      <c r="AH40" s="1049">
        <v>0</v>
      </c>
      <c r="AI40" s="1050">
        <v>0</v>
      </c>
      <c r="AJ40" s="1049">
        <v>0</v>
      </c>
      <c r="AK40" s="1049">
        <v>0</v>
      </c>
      <c r="AL40" s="1049">
        <v>0</v>
      </c>
      <c r="AM40" s="1049">
        <v>0</v>
      </c>
      <c r="AN40" s="1049">
        <v>0</v>
      </c>
      <c r="AO40" s="1049">
        <v>0</v>
      </c>
      <c r="AP40" s="1049">
        <v>0</v>
      </c>
      <c r="AQ40" s="1051">
        <v>0</v>
      </c>
      <c r="AR40" s="1049">
        <v>0</v>
      </c>
      <c r="AS40" s="1049">
        <v>0</v>
      </c>
      <c r="AT40" s="1049">
        <v>0</v>
      </c>
      <c r="AU40" s="1049">
        <v>0</v>
      </c>
      <c r="AV40" s="1049">
        <v>0</v>
      </c>
      <c r="AW40" s="1049">
        <v>0</v>
      </c>
      <c r="AX40" s="1049">
        <v>0</v>
      </c>
      <c r="AY40" s="1049">
        <v>0</v>
      </c>
      <c r="AZ40" s="1052">
        <v>0</v>
      </c>
      <c r="BA40" s="1052">
        <v>0</v>
      </c>
      <c r="BB40" s="1052">
        <v>0</v>
      </c>
      <c r="BC40" s="1052">
        <v>0</v>
      </c>
      <c r="BD40" s="1052">
        <v>0</v>
      </c>
      <c r="BE40" s="1052">
        <v>0</v>
      </c>
      <c r="BF40" s="1052">
        <v>0</v>
      </c>
      <c r="BG40" s="1052">
        <v>0</v>
      </c>
      <c r="BH40" s="1052">
        <v>0</v>
      </c>
      <c r="BI40" s="1052">
        <v>0</v>
      </c>
      <c r="BJ40" s="1052">
        <v>0</v>
      </c>
      <c r="BK40" s="1052">
        <v>0</v>
      </c>
      <c r="BL40" s="1052">
        <v>0</v>
      </c>
      <c r="BM40" s="1052">
        <v>0</v>
      </c>
      <c r="BN40" s="1052">
        <v>0</v>
      </c>
      <c r="BO40" s="1052">
        <v>0</v>
      </c>
    </row>
    <row r="41" spans="1:67" ht="22.5" customHeight="1">
      <c r="A41" s="1061"/>
      <c r="B41" s="1054"/>
      <c r="C41" s="1054"/>
      <c r="D41" s="1054"/>
      <c r="E41" s="1054"/>
      <c r="F41" s="1054"/>
      <c r="G41" s="1054"/>
      <c r="H41" s="1054"/>
      <c r="I41" s="1054"/>
      <c r="J41" s="1054"/>
      <c r="K41" s="1054"/>
      <c r="L41" s="1054"/>
      <c r="M41" s="1054"/>
      <c r="N41" s="1054"/>
      <c r="O41" s="1054"/>
      <c r="P41" s="1054"/>
      <c r="Q41" s="1054"/>
      <c r="R41" s="1054"/>
      <c r="S41" s="1054"/>
      <c r="T41" s="1054"/>
      <c r="U41" s="1054"/>
      <c r="V41" s="1054"/>
      <c r="W41" s="1054"/>
      <c r="X41" s="1054"/>
      <c r="Y41" s="1054"/>
      <c r="Z41" s="1054"/>
      <c r="AA41" s="1054"/>
      <c r="AB41" s="1054"/>
      <c r="AC41" s="1054"/>
      <c r="AD41" s="1054"/>
      <c r="AE41" s="1054"/>
      <c r="AF41" s="1054"/>
      <c r="AG41" s="1054"/>
      <c r="AH41" s="1054"/>
      <c r="AI41" s="1055"/>
      <c r="AJ41" s="1054"/>
      <c r="AK41" s="1054"/>
      <c r="AL41" s="1054"/>
      <c r="AM41" s="1054"/>
      <c r="AN41" s="1054"/>
      <c r="AO41" s="1054"/>
      <c r="AP41" s="1054"/>
      <c r="AQ41" s="1056"/>
      <c r="AR41" s="1054"/>
      <c r="AS41" s="1054"/>
      <c r="AT41" s="1054"/>
      <c r="AU41" s="1054"/>
      <c r="AV41" s="1054"/>
      <c r="AW41" s="1054"/>
      <c r="AX41" s="1054"/>
      <c r="AY41" s="1054"/>
      <c r="AZ41" s="1057"/>
      <c r="BA41" s="1057"/>
      <c r="BB41" s="1057"/>
      <c r="BC41" s="1057"/>
      <c r="BD41" s="1057"/>
      <c r="BE41" s="1057"/>
      <c r="BF41" s="1057"/>
      <c r="BG41" s="1057"/>
      <c r="BH41" s="1057"/>
      <c r="BI41" s="1057"/>
      <c r="BJ41" s="1057"/>
      <c r="BK41" s="1057"/>
      <c r="BL41" s="1057"/>
      <c r="BM41" s="1057"/>
      <c r="BN41" s="1057"/>
      <c r="BO41" s="1057"/>
    </row>
    <row r="42" spans="1:67" ht="22.5" customHeight="1">
      <c r="A42" s="1048" t="s">
        <v>2506</v>
      </c>
      <c r="B42" s="1049">
        <v>71967.09499391506</v>
      </c>
      <c r="C42" s="1049">
        <v>73271.353804589889</v>
      </c>
      <c r="D42" s="1049">
        <v>73849.64023806437</v>
      </c>
      <c r="E42" s="1049">
        <v>73862.058317793577</v>
      </c>
      <c r="F42" s="1049">
        <v>77052.783139840336</v>
      </c>
      <c r="G42" s="1049">
        <v>79057.57761715159</v>
      </c>
      <c r="H42" s="1049">
        <v>77330.420374281079</v>
      </c>
      <c r="I42" s="1049">
        <v>78550.015576745995</v>
      </c>
      <c r="J42" s="1049">
        <v>78280.792370200536</v>
      </c>
      <c r="K42" s="1049">
        <v>79300.37753948255</v>
      </c>
      <c r="L42" s="1049">
        <v>84473.648619102561</v>
      </c>
      <c r="M42" s="1049">
        <v>85038.856916136458</v>
      </c>
      <c r="N42" s="1049">
        <v>85694.832314834028</v>
      </c>
      <c r="O42" s="1049">
        <v>86701.463298792325</v>
      </c>
      <c r="P42" s="1049">
        <v>87084.157034179283</v>
      </c>
      <c r="Q42" s="1049">
        <v>87096.461957007064</v>
      </c>
      <c r="R42" s="1049">
        <v>87336.869322237821</v>
      </c>
      <c r="S42" s="1049">
        <v>89036.786999999982</v>
      </c>
      <c r="T42" s="1049">
        <v>89235.765023424581</v>
      </c>
      <c r="U42" s="1049">
        <v>89112.41465844195</v>
      </c>
      <c r="V42" s="1049">
        <v>92001.030889734771</v>
      </c>
      <c r="W42" s="1049">
        <v>92823.985168123545</v>
      </c>
      <c r="X42" s="1049">
        <v>94911.198696198597</v>
      </c>
      <c r="Y42" s="1049">
        <v>92655.583889346017</v>
      </c>
      <c r="Z42" s="1049">
        <v>93387.414470685457</v>
      </c>
      <c r="AA42" s="1049">
        <v>94311.266267564599</v>
      </c>
      <c r="AB42" s="1049">
        <v>96065.613651277527</v>
      </c>
      <c r="AC42" s="1049">
        <v>96868.179552567439</v>
      </c>
      <c r="AD42" s="1049">
        <v>99970.689341133475</v>
      </c>
      <c r="AE42" s="1049">
        <v>102143.89963464859</v>
      </c>
      <c r="AF42" s="1049">
        <v>102986.73584132361</v>
      </c>
      <c r="AG42" s="1049">
        <v>103873.18199425921</v>
      </c>
      <c r="AH42" s="1049">
        <v>104115.39616690503</v>
      </c>
      <c r="AI42" s="1050">
        <v>105223.37593117298</v>
      </c>
      <c r="AJ42" s="1049">
        <v>106183.29106794487</v>
      </c>
      <c r="AK42" s="1049">
        <v>109157.30970641968</v>
      </c>
      <c r="AL42" s="1049">
        <v>110133.521328831</v>
      </c>
      <c r="AM42" s="1049">
        <v>112697.26542386686</v>
      </c>
      <c r="AN42" s="1049">
        <v>114456.85917704881</v>
      </c>
      <c r="AO42" s="1049">
        <v>115438.38624675125</v>
      </c>
      <c r="AP42" s="1049">
        <v>114636.22307468321</v>
      </c>
      <c r="AQ42" s="1051">
        <v>115780.45646126536</v>
      </c>
      <c r="AR42" s="1049">
        <v>116798.62575181547</v>
      </c>
      <c r="AS42" s="1049">
        <v>116718.37460353736</v>
      </c>
      <c r="AT42" s="1049">
        <v>115290.87593457245</v>
      </c>
      <c r="AU42" s="1049">
        <v>115816.73350059977</v>
      </c>
      <c r="AV42" s="1049">
        <v>116900.34417156519</v>
      </c>
      <c r="AW42" s="1049">
        <v>116443.72988501664</v>
      </c>
      <c r="AX42" s="1049">
        <v>117713.06556413938</v>
      </c>
      <c r="AY42" s="1049">
        <v>119477.91572915741</v>
      </c>
      <c r="AZ42" s="1052">
        <v>120389.23542704701</v>
      </c>
      <c r="BA42" s="1052">
        <v>121335.877731753</v>
      </c>
      <c r="BB42" s="1052">
        <v>122443.84253953373</v>
      </c>
      <c r="BC42" s="1052">
        <v>122754.56765158189</v>
      </c>
      <c r="BD42" s="1052">
        <v>122338.8886387339</v>
      </c>
      <c r="BE42" s="1052">
        <v>123098.98124813494</v>
      </c>
      <c r="BF42" s="1052">
        <v>122611.34617465544</v>
      </c>
      <c r="BG42" s="1052">
        <v>122987.7419303114</v>
      </c>
      <c r="BH42" s="1052">
        <v>124915.91391719095</v>
      </c>
      <c r="BI42" s="1052">
        <v>125985.94252650176</v>
      </c>
      <c r="BJ42" s="1052">
        <v>128848.74416195997</v>
      </c>
      <c r="BK42" s="1052">
        <v>131489.52230850048</v>
      </c>
      <c r="BL42" s="1052">
        <v>137285.56936983249</v>
      </c>
      <c r="BM42" s="1052">
        <v>136257.13142404263</v>
      </c>
      <c r="BN42" s="1052">
        <v>137734.56566677371</v>
      </c>
      <c r="BO42" s="1052">
        <v>141397.33848139661</v>
      </c>
    </row>
    <row r="43" spans="1:67" ht="22.5" customHeight="1">
      <c r="A43" s="1053"/>
      <c r="B43" s="1054"/>
      <c r="C43" s="1054"/>
      <c r="D43" s="1054"/>
      <c r="E43" s="1054"/>
      <c r="F43" s="1054"/>
      <c r="G43" s="1054"/>
      <c r="H43" s="1054"/>
      <c r="I43" s="1054"/>
      <c r="J43" s="1054"/>
      <c r="K43" s="1054"/>
      <c r="L43" s="1054"/>
      <c r="M43" s="1054"/>
      <c r="N43" s="1054"/>
      <c r="O43" s="1054"/>
      <c r="P43" s="1054"/>
      <c r="Q43" s="1054"/>
      <c r="R43" s="1054"/>
      <c r="S43" s="1054"/>
      <c r="T43" s="1054"/>
      <c r="U43" s="1054"/>
      <c r="V43" s="1054"/>
      <c r="W43" s="1054"/>
      <c r="X43" s="1054"/>
      <c r="Y43" s="1054"/>
      <c r="Z43" s="1054"/>
      <c r="AA43" s="1054"/>
      <c r="AB43" s="1054"/>
      <c r="AC43" s="1054"/>
      <c r="AD43" s="1054"/>
      <c r="AE43" s="1054"/>
      <c r="AF43" s="1054"/>
      <c r="AG43" s="1054"/>
      <c r="AH43" s="1054"/>
      <c r="AI43" s="1055"/>
      <c r="AJ43" s="1054"/>
      <c r="AK43" s="1054"/>
      <c r="AL43" s="1054"/>
      <c r="AM43" s="1054"/>
      <c r="AN43" s="1054"/>
      <c r="AO43" s="1054"/>
      <c r="AP43" s="1054"/>
      <c r="AQ43" s="1056"/>
      <c r="AR43" s="1054"/>
      <c r="AS43" s="1054"/>
      <c r="AT43" s="1054"/>
      <c r="AU43" s="1054"/>
      <c r="AV43" s="1054"/>
      <c r="AW43" s="1054"/>
      <c r="AX43" s="1054"/>
      <c r="AY43" s="1054"/>
      <c r="AZ43" s="1057"/>
      <c r="BA43" s="1057"/>
      <c r="BB43" s="1057"/>
      <c r="BC43" s="1057"/>
      <c r="BD43" s="1057"/>
      <c r="BE43" s="1057"/>
      <c r="BF43" s="1057"/>
      <c r="BG43" s="1057"/>
      <c r="BH43" s="1057"/>
      <c r="BI43" s="1057"/>
      <c r="BJ43" s="1057"/>
      <c r="BK43" s="1057"/>
      <c r="BL43" s="1057"/>
      <c r="BM43" s="1057"/>
      <c r="BN43" s="1057"/>
      <c r="BO43" s="1057"/>
    </row>
    <row r="44" spans="1:67" ht="22.5" customHeight="1">
      <c r="A44" s="1048" t="s">
        <v>2583</v>
      </c>
      <c r="B44" s="1049">
        <v>5581.7712577664606</v>
      </c>
      <c r="C44" s="1049">
        <v>7349.7123653095168</v>
      </c>
      <c r="D44" s="1049">
        <v>6090.4550390823679</v>
      </c>
      <c r="E44" s="1049">
        <v>6342.5532362396898</v>
      </c>
      <c r="F44" s="1049">
        <v>6571.8599122411506</v>
      </c>
      <c r="G44" s="1049">
        <v>5614.203526141453</v>
      </c>
      <c r="H44" s="1049">
        <v>4717.0988415455067</v>
      </c>
      <c r="I44" s="1049">
        <v>5052.6886590529721</v>
      </c>
      <c r="J44" s="1049">
        <v>3809.7946721767003</v>
      </c>
      <c r="K44" s="1049">
        <v>5008.5135263069751</v>
      </c>
      <c r="L44" s="1049">
        <v>3668.1493908827251</v>
      </c>
      <c r="M44" s="1049">
        <v>2401.1339812109291</v>
      </c>
      <c r="N44" s="1049">
        <v>5241.8806941717303</v>
      </c>
      <c r="O44" s="1049">
        <v>4344.6170981780451</v>
      </c>
      <c r="P44" s="1049">
        <v>3410.7049704305682</v>
      </c>
      <c r="Q44" s="1049">
        <v>3294.0737302186244</v>
      </c>
      <c r="R44" s="1049">
        <v>3010.5630233639567</v>
      </c>
      <c r="S44" s="1049">
        <v>2516.7033064554053</v>
      </c>
      <c r="T44" s="1049">
        <v>2495.977819549611</v>
      </c>
      <c r="U44" s="1049">
        <v>3250.1924065643507</v>
      </c>
      <c r="V44" s="1049">
        <v>2271.2828734367395</v>
      </c>
      <c r="W44" s="1049">
        <v>2802.2922956597322</v>
      </c>
      <c r="X44" s="1049">
        <v>2928.8344544064785</v>
      </c>
      <c r="Y44" s="1049">
        <v>2085.2406866995916</v>
      </c>
      <c r="Z44" s="1049">
        <v>1743.1726232611036</v>
      </c>
      <c r="AA44" s="1049">
        <v>3000.4939441840688</v>
      </c>
      <c r="AB44" s="1049">
        <v>3384.5776468462318</v>
      </c>
      <c r="AC44" s="1049">
        <v>4229.0839280067703</v>
      </c>
      <c r="AD44" s="1049">
        <v>4239.932745127011</v>
      </c>
      <c r="AE44" s="1049">
        <v>4821.2281403044799</v>
      </c>
      <c r="AF44" s="1049">
        <v>4776.5675367843505</v>
      </c>
      <c r="AG44" s="1049">
        <v>5064.2456663633056</v>
      </c>
      <c r="AH44" s="1049">
        <v>6698.7686477010793</v>
      </c>
      <c r="AI44" s="1050">
        <v>7334.9291003506769</v>
      </c>
      <c r="AJ44" s="1049">
        <v>7123.602673258807</v>
      </c>
      <c r="AK44" s="1049">
        <v>5973.5201074144206</v>
      </c>
      <c r="AL44" s="1049">
        <v>5819.9302087925425</v>
      </c>
      <c r="AM44" s="1049">
        <v>7285.6795270723705</v>
      </c>
      <c r="AN44" s="1049">
        <v>6950.3912453140183</v>
      </c>
      <c r="AO44" s="1049">
        <v>7539.0942966114817</v>
      </c>
      <c r="AP44" s="1049">
        <v>8005.7384057500822</v>
      </c>
      <c r="AQ44" s="1051">
        <v>9389.5788192721811</v>
      </c>
      <c r="AR44" s="1049">
        <v>10450.735097531222</v>
      </c>
      <c r="AS44" s="1049">
        <v>10853.647274648676</v>
      </c>
      <c r="AT44" s="1049">
        <v>15025.069182617273</v>
      </c>
      <c r="AU44" s="1049">
        <v>9891.0828833623236</v>
      </c>
      <c r="AV44" s="1049">
        <v>11398.860126135882</v>
      </c>
      <c r="AW44" s="1049">
        <v>11496.356383038172</v>
      </c>
      <c r="AX44" s="1049">
        <v>10647.635209540691</v>
      </c>
      <c r="AY44" s="1049">
        <v>10304.102440491606</v>
      </c>
      <c r="AZ44" s="1052">
        <v>10141.098932393797</v>
      </c>
      <c r="BA44" s="1052">
        <v>11092.654088857191</v>
      </c>
      <c r="BB44" s="1052">
        <v>12388.991799637617</v>
      </c>
      <c r="BC44" s="1052">
        <v>12053.293241865951</v>
      </c>
      <c r="BD44" s="1052">
        <v>11387.83796091472</v>
      </c>
      <c r="BE44" s="1052">
        <v>13420.662271783258</v>
      </c>
      <c r="BF44" s="1052">
        <v>15041.969625893358</v>
      </c>
      <c r="BG44" s="1052">
        <v>15066.368559763432</v>
      </c>
      <c r="BH44" s="1052">
        <v>16538.528991176696</v>
      </c>
      <c r="BI44" s="1052">
        <v>13990.040787758608</v>
      </c>
      <c r="BJ44" s="1052">
        <v>13405.229513672228</v>
      </c>
      <c r="BK44" s="1052">
        <v>13724.275583859027</v>
      </c>
      <c r="BL44" s="1052">
        <v>18113.639204468367</v>
      </c>
      <c r="BM44" s="1052">
        <v>12497.374181604508</v>
      </c>
      <c r="BN44" s="1052">
        <v>13903.572720565739</v>
      </c>
      <c r="BO44" s="1052">
        <v>15880.366694728375</v>
      </c>
    </row>
    <row r="45" spans="1:67" ht="18.600000000000001" customHeight="1" thickBot="1">
      <c r="A45" s="1062"/>
      <c r="B45" s="1063"/>
      <c r="C45" s="1063"/>
      <c r="D45" s="1063"/>
      <c r="E45" s="1063"/>
      <c r="F45" s="1063"/>
      <c r="G45" s="1063"/>
      <c r="H45" s="1063"/>
      <c r="I45" s="1063"/>
      <c r="J45" s="1063"/>
      <c r="K45" s="1063"/>
      <c r="L45" s="1063"/>
      <c r="M45" s="1063"/>
      <c r="N45" s="1063"/>
      <c r="O45" s="1063"/>
      <c r="P45" s="1063"/>
      <c r="Q45" s="1063"/>
      <c r="R45" s="1063"/>
      <c r="S45" s="1063"/>
      <c r="T45" s="1063"/>
      <c r="U45" s="1063"/>
      <c r="V45" s="1063"/>
      <c r="W45" s="1063"/>
      <c r="X45" s="1063"/>
      <c r="Y45" s="1063"/>
      <c r="Z45" s="1063"/>
      <c r="AA45" s="1063"/>
      <c r="AB45" s="1063"/>
      <c r="AC45" s="1063"/>
      <c r="AD45" s="1063"/>
      <c r="AE45" s="1063"/>
      <c r="AF45" s="1063"/>
      <c r="AG45" s="1063"/>
      <c r="AH45" s="1063"/>
      <c r="AI45" s="1064"/>
      <c r="AJ45" s="1063"/>
      <c r="AK45" s="1063"/>
      <c r="AL45" s="1063"/>
      <c r="AM45" s="1063"/>
      <c r="AN45" s="1063"/>
      <c r="AO45" s="1063"/>
      <c r="AP45" s="1063"/>
      <c r="AQ45" s="1065"/>
      <c r="AR45" s="1063"/>
      <c r="AS45" s="1063"/>
      <c r="AT45" s="1063"/>
      <c r="AU45" s="1063"/>
      <c r="AV45" s="1063"/>
      <c r="AW45" s="1063"/>
      <c r="AX45" s="1063"/>
      <c r="AY45" s="1063"/>
      <c r="AZ45" s="1066"/>
      <c r="BA45" s="1066"/>
      <c r="BB45" s="1066"/>
      <c r="BC45" s="1066"/>
      <c r="BD45" s="1066"/>
      <c r="BE45" s="1066"/>
      <c r="BF45" s="1066"/>
      <c r="BG45" s="1066"/>
      <c r="BH45" s="1066"/>
      <c r="BI45" s="1066"/>
      <c r="BJ45" s="1066"/>
      <c r="BK45" s="1066"/>
      <c r="BL45" s="1066"/>
      <c r="BM45" s="1066"/>
      <c r="BN45" s="1066"/>
      <c r="BO45" s="1066"/>
    </row>
    <row r="46" spans="1:67" ht="15" hidden="1" customHeight="1">
      <c r="A46" s="1067" t="s">
        <v>2607</v>
      </c>
    </row>
    <row r="47" spans="1:67" ht="15" customHeight="1" thickTop="1">
      <c r="A47" s="1068" t="s">
        <v>2608</v>
      </c>
      <c r="B47" s="1046"/>
      <c r="C47" s="1046"/>
      <c r="D47" s="1046"/>
      <c r="E47" s="1046"/>
      <c r="F47" s="1046"/>
      <c r="G47" s="1046"/>
      <c r="H47" s="1046"/>
      <c r="I47" s="1046"/>
      <c r="J47" s="1046"/>
      <c r="K47" s="1046"/>
      <c r="L47" s="1046"/>
      <c r="M47" s="1046"/>
      <c r="N47" s="1046"/>
      <c r="O47" s="1046"/>
      <c r="P47" s="1046"/>
      <c r="Q47" s="1046"/>
      <c r="R47" s="1046"/>
      <c r="S47" s="1046"/>
      <c r="T47" s="1046"/>
      <c r="U47" s="1046"/>
      <c r="V47" s="1046"/>
      <c r="W47" s="1046"/>
      <c r="X47" s="1046"/>
      <c r="Y47" s="1046"/>
      <c r="Z47" s="1046"/>
      <c r="AA47" s="1046"/>
      <c r="AB47" s="1046"/>
      <c r="AC47" s="1046"/>
      <c r="AD47" s="1046"/>
      <c r="AE47" s="1046"/>
      <c r="AF47" s="1046"/>
      <c r="AG47" s="1046"/>
      <c r="AH47" s="1046"/>
      <c r="AI47" s="1046"/>
      <c r="AJ47" s="1046"/>
      <c r="AK47" s="1046"/>
      <c r="AL47" s="1046"/>
      <c r="AM47" s="1046"/>
      <c r="AN47" s="1046"/>
      <c r="AO47" s="1046"/>
      <c r="AP47" s="1046"/>
      <c r="AQ47" s="1046"/>
      <c r="AR47" s="1046"/>
      <c r="AS47" s="1046"/>
      <c r="AT47" s="1046"/>
      <c r="AU47" s="1046"/>
      <c r="AV47" s="1046"/>
      <c r="AW47" s="1046"/>
      <c r="AX47" s="1046"/>
      <c r="AY47" s="1046"/>
      <c r="AZ47" s="1046"/>
      <c r="BA47" s="1046"/>
      <c r="BB47" s="1046"/>
      <c r="BC47" s="1046"/>
      <c r="BD47" s="1046"/>
      <c r="BE47" s="1046"/>
      <c r="BF47" s="1046"/>
      <c r="BG47" s="1046"/>
      <c r="BH47" s="1046"/>
      <c r="BI47" s="1046"/>
      <c r="BJ47" s="1046"/>
      <c r="BK47" s="1046"/>
      <c r="BL47" s="1046"/>
      <c r="BM47" s="1046"/>
      <c r="BN47" s="1046"/>
      <c r="BO47" s="1046"/>
    </row>
    <row r="48" spans="1:67" ht="15" customHeight="1">
      <c r="A48" s="1069" t="s">
        <v>2609</v>
      </c>
      <c r="B48" s="1046"/>
      <c r="C48" s="1046"/>
      <c r="D48" s="1046"/>
      <c r="E48" s="1046"/>
      <c r="F48" s="1046"/>
      <c r="G48" s="1046"/>
      <c r="H48" s="1046"/>
      <c r="I48" s="1046"/>
      <c r="J48" s="1046"/>
      <c r="K48" s="1046"/>
      <c r="L48" s="1046"/>
      <c r="M48" s="1046"/>
      <c r="N48" s="1046"/>
      <c r="O48" s="1046"/>
      <c r="P48" s="1046"/>
      <c r="Q48" s="1046"/>
      <c r="R48" s="1046"/>
      <c r="S48" s="1046"/>
      <c r="T48" s="1046"/>
      <c r="U48" s="1046"/>
      <c r="V48" s="1046"/>
      <c r="W48" s="1046"/>
      <c r="X48" s="1046"/>
      <c r="Y48" s="1046"/>
      <c r="Z48" s="1046"/>
      <c r="AA48" s="1046"/>
      <c r="AB48" s="1046"/>
      <c r="AC48" s="1046"/>
      <c r="AD48" s="1046"/>
      <c r="AE48" s="1046"/>
      <c r="AF48" s="1046"/>
      <c r="AG48" s="1046"/>
      <c r="AH48" s="1046"/>
      <c r="AI48" s="1046"/>
      <c r="AJ48" s="1046"/>
      <c r="AK48" s="1046"/>
      <c r="AL48" s="1046"/>
      <c r="AM48" s="1046"/>
      <c r="AN48" s="1046"/>
      <c r="AO48" s="1046"/>
      <c r="AP48" s="1046"/>
      <c r="AQ48" s="1046"/>
      <c r="AR48" s="1046"/>
      <c r="AS48" s="1046"/>
      <c r="AT48" s="1046"/>
      <c r="AU48" s="1046"/>
      <c r="AV48" s="1046"/>
      <c r="AW48" s="1046"/>
      <c r="AX48" s="1046"/>
      <c r="AY48" s="1046"/>
      <c r="AZ48" s="1046"/>
      <c r="BA48" s="1046"/>
      <c r="BB48" s="1046"/>
      <c r="BC48" s="1046"/>
      <c r="BD48" s="1046"/>
      <c r="BE48" s="1046"/>
      <c r="BF48" s="1046"/>
      <c r="BG48" s="1046"/>
      <c r="BH48" s="1046"/>
      <c r="BI48" s="1046"/>
      <c r="BJ48" s="1046"/>
      <c r="BK48" s="1046"/>
      <c r="BL48" s="1046"/>
      <c r="BM48" s="1046"/>
      <c r="BN48" s="1046"/>
      <c r="BO48" s="1046"/>
    </row>
    <row r="49" spans="1:67" s="1074" customFormat="1" ht="24" customHeight="1">
      <c r="A49" s="1070" t="s">
        <v>2610</v>
      </c>
      <c r="B49" s="1071"/>
      <c r="C49" s="1071"/>
      <c r="D49" s="1071"/>
      <c r="E49" s="1071"/>
      <c r="F49" s="1072"/>
      <c r="G49" s="1071"/>
      <c r="H49" s="1071"/>
      <c r="I49" s="1071"/>
      <c r="J49" s="1073"/>
      <c r="K49" s="1073"/>
      <c r="L49" s="1073"/>
      <c r="M49" s="1073"/>
      <c r="N49" s="1073"/>
      <c r="O49" s="1073"/>
      <c r="P49" s="1073"/>
      <c r="Q49" s="1073"/>
      <c r="R49" s="1073"/>
      <c r="S49" s="1073"/>
      <c r="T49" s="1073"/>
      <c r="U49" s="1073"/>
      <c r="V49" s="1073"/>
      <c r="W49" s="1073"/>
      <c r="X49" s="1073"/>
      <c r="Y49" s="1073"/>
      <c r="Z49" s="1073"/>
      <c r="AA49" s="1073"/>
      <c r="AB49" s="1073"/>
      <c r="AC49" s="1073"/>
      <c r="AD49" s="1073"/>
      <c r="AE49" s="1073"/>
      <c r="AF49" s="1073"/>
      <c r="AG49" s="1073"/>
      <c r="AH49" s="1073"/>
      <c r="AI49" s="1073"/>
      <c r="AJ49" s="1073"/>
      <c r="AK49" s="1073"/>
      <c r="AL49" s="1073"/>
      <c r="AM49" s="1073"/>
      <c r="AN49" s="1073"/>
      <c r="AO49" s="1073"/>
      <c r="AP49" s="1073"/>
      <c r="AQ49" s="1073"/>
      <c r="AR49" s="1073"/>
      <c r="AS49" s="1073"/>
      <c r="AT49" s="1073"/>
      <c r="AU49" s="1073"/>
      <c r="AV49" s="1073"/>
      <c r="AW49" s="1073"/>
      <c r="AX49" s="1073"/>
      <c r="AY49" s="1073"/>
      <c r="AZ49" s="1073"/>
      <c r="BA49" s="1073"/>
      <c r="BB49" s="1073"/>
      <c r="BC49" s="1073"/>
      <c r="BD49" s="1073"/>
      <c r="BE49" s="1073"/>
      <c r="BF49" s="1073"/>
      <c r="BG49" s="1073"/>
      <c r="BH49" s="1073"/>
      <c r="BI49" s="1073"/>
      <c r="BJ49" s="1073"/>
      <c r="BK49" s="1073"/>
      <c r="BL49" s="1073"/>
      <c r="BM49" s="1073"/>
      <c r="BN49" s="1073"/>
      <c r="BO49" s="1073"/>
    </row>
    <row r="50" spans="1:67" ht="15" customHeight="1">
      <c r="A50" s="1075" t="s">
        <v>2346</v>
      </c>
      <c r="B50" s="1076"/>
    </row>
    <row r="51" spans="1:67" ht="15" customHeight="1">
      <c r="A51" s="1077" t="s">
        <v>2053</v>
      </c>
      <c r="B51" s="1076"/>
    </row>
    <row r="52" spans="1:67" ht="15" customHeight="1">
      <c r="B52" s="1076"/>
    </row>
  </sheetData>
  <mergeCells count="1">
    <mergeCell ref="M2:N2"/>
  </mergeCells>
  <printOptions horizontalCentered="1" verticalCentered="1"/>
  <pageMargins left="0" right="0" top="0" bottom="0" header="0" footer="0"/>
  <pageSetup paperSize="9" scale="41"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71"/>
  <sheetViews>
    <sheetView zoomScaleNormal="100" workbookViewId="0">
      <pane xSplit="48" ySplit="5" topLeftCell="AW6" activePane="bottomRight" state="frozen"/>
      <selection pane="topRight" activeCell="AW1" sqref="AW1"/>
      <selection pane="bottomLeft" activeCell="A6" sqref="A6"/>
      <selection pane="bottomRight" activeCell="BX17" sqref="BX17"/>
    </sheetView>
  </sheetViews>
  <sheetFormatPr defaultRowHeight="15.75" customHeight="1"/>
  <cols>
    <col min="1" max="1" width="65.5703125" style="1079" customWidth="1"/>
    <col min="2" max="14" width="9.7109375" style="1079" hidden="1" customWidth="1"/>
    <col min="15" max="15" width="12" style="1079" hidden="1" customWidth="1"/>
    <col min="16" max="40" width="9.7109375" style="1079" hidden="1" customWidth="1"/>
    <col min="41" max="54" width="13.42578125" style="1079" hidden="1" customWidth="1"/>
    <col min="55" max="67" width="13.42578125" style="1079" customWidth="1"/>
    <col min="68" max="265" width="9.140625" style="1079"/>
    <col min="266" max="266" width="57.28515625" style="1079" customWidth="1"/>
    <col min="267" max="304" width="0" style="1079" hidden="1" customWidth="1"/>
    <col min="305" max="317" width="9.7109375" style="1079" customWidth="1"/>
    <col min="318" max="521" width="9.140625" style="1079"/>
    <col min="522" max="522" width="57.28515625" style="1079" customWidth="1"/>
    <col min="523" max="560" width="0" style="1079" hidden="1" customWidth="1"/>
    <col min="561" max="573" width="9.7109375" style="1079" customWidth="1"/>
    <col min="574" max="777" width="9.140625" style="1079"/>
    <col min="778" max="778" width="57.28515625" style="1079" customWidth="1"/>
    <col min="779" max="816" width="0" style="1079" hidden="1" customWidth="1"/>
    <col min="817" max="829" width="9.7109375" style="1079" customWidth="1"/>
    <col min="830" max="1033" width="9.140625" style="1079"/>
    <col min="1034" max="1034" width="57.28515625" style="1079" customWidth="1"/>
    <col min="1035" max="1072" width="0" style="1079" hidden="1" customWidth="1"/>
    <col min="1073" max="1085" width="9.7109375" style="1079" customWidth="1"/>
    <col min="1086" max="1289" width="9.140625" style="1079"/>
    <col min="1290" max="1290" width="57.28515625" style="1079" customWidth="1"/>
    <col min="1291" max="1328" width="0" style="1079" hidden="1" customWidth="1"/>
    <col min="1329" max="1341" width="9.7109375" style="1079" customWidth="1"/>
    <col min="1342" max="1545" width="9.140625" style="1079"/>
    <col min="1546" max="1546" width="57.28515625" style="1079" customWidth="1"/>
    <col min="1547" max="1584" width="0" style="1079" hidden="1" customWidth="1"/>
    <col min="1585" max="1597" width="9.7109375" style="1079" customWidth="1"/>
    <col min="1598" max="1801" width="9.140625" style="1079"/>
    <col min="1802" max="1802" width="57.28515625" style="1079" customWidth="1"/>
    <col min="1803" max="1840" width="0" style="1079" hidden="1" customWidth="1"/>
    <col min="1841" max="1853" width="9.7109375" style="1079" customWidth="1"/>
    <col min="1854" max="2057" width="9.140625" style="1079"/>
    <col min="2058" max="2058" width="57.28515625" style="1079" customWidth="1"/>
    <col min="2059" max="2096" width="0" style="1079" hidden="1" customWidth="1"/>
    <col min="2097" max="2109" width="9.7109375" style="1079" customWidth="1"/>
    <col min="2110" max="2313" width="9.140625" style="1079"/>
    <col min="2314" max="2314" width="57.28515625" style="1079" customWidth="1"/>
    <col min="2315" max="2352" width="0" style="1079" hidden="1" customWidth="1"/>
    <col min="2353" max="2365" width="9.7109375" style="1079" customWidth="1"/>
    <col min="2366" max="2569" width="9.140625" style="1079"/>
    <col min="2570" max="2570" width="57.28515625" style="1079" customWidth="1"/>
    <col min="2571" max="2608" width="0" style="1079" hidden="1" customWidth="1"/>
    <col min="2609" max="2621" width="9.7109375" style="1079" customWidth="1"/>
    <col min="2622" max="2825" width="9.140625" style="1079"/>
    <col min="2826" max="2826" width="57.28515625" style="1079" customWidth="1"/>
    <col min="2827" max="2864" width="0" style="1079" hidden="1" customWidth="1"/>
    <col min="2865" max="2877" width="9.7109375" style="1079" customWidth="1"/>
    <col min="2878" max="3081" width="9.140625" style="1079"/>
    <col min="3082" max="3082" width="57.28515625" style="1079" customWidth="1"/>
    <col min="3083" max="3120" width="0" style="1079" hidden="1" customWidth="1"/>
    <col min="3121" max="3133" width="9.7109375" style="1079" customWidth="1"/>
    <col min="3134" max="3337" width="9.140625" style="1079"/>
    <col min="3338" max="3338" width="57.28515625" style="1079" customWidth="1"/>
    <col min="3339" max="3376" width="0" style="1079" hidden="1" customWidth="1"/>
    <col min="3377" max="3389" width="9.7109375" style="1079" customWidth="1"/>
    <col min="3390" max="3593" width="9.140625" style="1079"/>
    <col min="3594" max="3594" width="57.28515625" style="1079" customWidth="1"/>
    <col min="3595" max="3632" width="0" style="1079" hidden="1" customWidth="1"/>
    <col min="3633" max="3645" width="9.7109375" style="1079" customWidth="1"/>
    <col min="3646" max="3849" width="9.140625" style="1079"/>
    <col min="3850" max="3850" width="57.28515625" style="1079" customWidth="1"/>
    <col min="3851" max="3888" width="0" style="1079" hidden="1" customWidth="1"/>
    <col min="3889" max="3901" width="9.7109375" style="1079" customWidth="1"/>
    <col min="3902" max="4105" width="9.140625" style="1079"/>
    <col min="4106" max="4106" width="57.28515625" style="1079" customWidth="1"/>
    <col min="4107" max="4144" width="0" style="1079" hidden="1" customWidth="1"/>
    <col min="4145" max="4157" width="9.7109375" style="1079" customWidth="1"/>
    <col min="4158" max="4361" width="9.140625" style="1079"/>
    <col min="4362" max="4362" width="57.28515625" style="1079" customWidth="1"/>
    <col min="4363" max="4400" width="0" style="1079" hidden="1" customWidth="1"/>
    <col min="4401" max="4413" width="9.7109375" style="1079" customWidth="1"/>
    <col min="4414" max="4617" width="9.140625" style="1079"/>
    <col min="4618" max="4618" width="57.28515625" style="1079" customWidth="1"/>
    <col min="4619" max="4656" width="0" style="1079" hidden="1" customWidth="1"/>
    <col min="4657" max="4669" width="9.7109375" style="1079" customWidth="1"/>
    <col min="4670" max="4873" width="9.140625" style="1079"/>
    <col min="4874" max="4874" width="57.28515625" style="1079" customWidth="1"/>
    <col min="4875" max="4912" width="0" style="1079" hidden="1" customWidth="1"/>
    <col min="4913" max="4925" width="9.7109375" style="1079" customWidth="1"/>
    <col min="4926" max="5129" width="9.140625" style="1079"/>
    <col min="5130" max="5130" width="57.28515625" style="1079" customWidth="1"/>
    <col min="5131" max="5168" width="0" style="1079" hidden="1" customWidth="1"/>
    <col min="5169" max="5181" width="9.7109375" style="1079" customWidth="1"/>
    <col min="5182" max="5385" width="9.140625" style="1079"/>
    <col min="5386" max="5386" width="57.28515625" style="1079" customWidth="1"/>
    <col min="5387" max="5424" width="0" style="1079" hidden="1" customWidth="1"/>
    <col min="5425" max="5437" width="9.7109375" style="1079" customWidth="1"/>
    <col min="5438" max="5641" width="9.140625" style="1079"/>
    <col min="5642" max="5642" width="57.28515625" style="1079" customWidth="1"/>
    <col min="5643" max="5680" width="0" style="1079" hidden="1" customWidth="1"/>
    <col min="5681" max="5693" width="9.7109375" style="1079" customWidth="1"/>
    <col min="5694" max="5897" width="9.140625" style="1079"/>
    <col min="5898" max="5898" width="57.28515625" style="1079" customWidth="1"/>
    <col min="5899" max="5936" width="0" style="1079" hidden="1" customWidth="1"/>
    <col min="5937" max="5949" width="9.7109375" style="1079" customWidth="1"/>
    <col min="5950" max="6153" width="9.140625" style="1079"/>
    <col min="6154" max="6154" width="57.28515625" style="1079" customWidth="1"/>
    <col min="6155" max="6192" width="0" style="1079" hidden="1" customWidth="1"/>
    <col min="6193" max="6205" width="9.7109375" style="1079" customWidth="1"/>
    <col min="6206" max="6409" width="9.140625" style="1079"/>
    <col min="6410" max="6410" width="57.28515625" style="1079" customWidth="1"/>
    <col min="6411" max="6448" width="0" style="1079" hidden="1" customWidth="1"/>
    <col min="6449" max="6461" width="9.7109375" style="1079" customWidth="1"/>
    <col min="6462" max="6665" width="9.140625" style="1079"/>
    <col min="6666" max="6666" width="57.28515625" style="1079" customWidth="1"/>
    <col min="6667" max="6704" width="0" style="1079" hidden="1" customWidth="1"/>
    <col min="6705" max="6717" width="9.7109375" style="1079" customWidth="1"/>
    <col min="6718" max="6921" width="9.140625" style="1079"/>
    <col min="6922" max="6922" width="57.28515625" style="1079" customWidth="1"/>
    <col min="6923" max="6960" width="0" style="1079" hidden="1" customWidth="1"/>
    <col min="6961" max="6973" width="9.7109375" style="1079" customWidth="1"/>
    <col min="6974" max="7177" width="9.140625" style="1079"/>
    <col min="7178" max="7178" width="57.28515625" style="1079" customWidth="1"/>
    <col min="7179" max="7216" width="0" style="1079" hidden="1" customWidth="1"/>
    <col min="7217" max="7229" width="9.7109375" style="1079" customWidth="1"/>
    <col min="7230" max="7433" width="9.140625" style="1079"/>
    <col min="7434" max="7434" width="57.28515625" style="1079" customWidth="1"/>
    <col min="7435" max="7472" width="0" style="1079" hidden="1" customWidth="1"/>
    <col min="7473" max="7485" width="9.7109375" style="1079" customWidth="1"/>
    <col min="7486" max="7689" width="9.140625" style="1079"/>
    <col min="7690" max="7690" width="57.28515625" style="1079" customWidth="1"/>
    <col min="7691" max="7728" width="0" style="1079" hidden="1" customWidth="1"/>
    <col min="7729" max="7741" width="9.7109375" style="1079" customWidth="1"/>
    <col min="7742" max="7945" width="9.140625" style="1079"/>
    <col min="7946" max="7946" width="57.28515625" style="1079" customWidth="1"/>
    <col min="7947" max="7984" width="0" style="1079" hidden="1" customWidth="1"/>
    <col min="7985" max="7997" width="9.7109375" style="1079" customWidth="1"/>
    <col min="7998" max="8201" width="9.140625" style="1079"/>
    <col min="8202" max="8202" width="57.28515625" style="1079" customWidth="1"/>
    <col min="8203" max="8240" width="0" style="1079" hidden="1" customWidth="1"/>
    <col min="8241" max="8253" width="9.7109375" style="1079" customWidth="1"/>
    <col min="8254" max="8457" width="9.140625" style="1079"/>
    <col min="8458" max="8458" width="57.28515625" style="1079" customWidth="1"/>
    <col min="8459" max="8496" width="0" style="1079" hidden="1" customWidth="1"/>
    <col min="8497" max="8509" width="9.7109375" style="1079" customWidth="1"/>
    <col min="8510" max="8713" width="9.140625" style="1079"/>
    <col min="8714" max="8714" width="57.28515625" style="1079" customWidth="1"/>
    <col min="8715" max="8752" width="0" style="1079" hidden="1" customWidth="1"/>
    <col min="8753" max="8765" width="9.7109375" style="1079" customWidth="1"/>
    <col min="8766" max="8969" width="9.140625" style="1079"/>
    <col min="8970" max="8970" width="57.28515625" style="1079" customWidth="1"/>
    <col min="8971" max="9008" width="0" style="1079" hidden="1" customWidth="1"/>
    <col min="9009" max="9021" width="9.7109375" style="1079" customWidth="1"/>
    <col min="9022" max="9225" width="9.140625" style="1079"/>
    <col min="9226" max="9226" width="57.28515625" style="1079" customWidth="1"/>
    <col min="9227" max="9264" width="0" style="1079" hidden="1" customWidth="1"/>
    <col min="9265" max="9277" width="9.7109375" style="1079" customWidth="1"/>
    <col min="9278" max="9481" width="9.140625" style="1079"/>
    <col min="9482" max="9482" width="57.28515625" style="1079" customWidth="1"/>
    <col min="9483" max="9520" width="0" style="1079" hidden="1" customWidth="1"/>
    <col min="9521" max="9533" width="9.7109375" style="1079" customWidth="1"/>
    <col min="9534" max="9737" width="9.140625" style="1079"/>
    <col min="9738" max="9738" width="57.28515625" style="1079" customWidth="1"/>
    <col min="9739" max="9776" width="0" style="1079" hidden="1" customWidth="1"/>
    <col min="9777" max="9789" width="9.7109375" style="1079" customWidth="1"/>
    <col min="9790" max="9993" width="9.140625" style="1079"/>
    <col min="9994" max="9994" width="57.28515625" style="1079" customWidth="1"/>
    <col min="9995" max="10032" width="0" style="1079" hidden="1" customWidth="1"/>
    <col min="10033" max="10045" width="9.7109375" style="1079" customWidth="1"/>
    <col min="10046" max="10249" width="9.140625" style="1079"/>
    <col min="10250" max="10250" width="57.28515625" style="1079" customWidth="1"/>
    <col min="10251" max="10288" width="0" style="1079" hidden="1" customWidth="1"/>
    <col min="10289" max="10301" width="9.7109375" style="1079" customWidth="1"/>
    <col min="10302" max="10505" width="9.140625" style="1079"/>
    <col min="10506" max="10506" width="57.28515625" style="1079" customWidth="1"/>
    <col min="10507" max="10544" width="0" style="1079" hidden="1" customWidth="1"/>
    <col min="10545" max="10557" width="9.7109375" style="1079" customWidth="1"/>
    <col min="10558" max="10761" width="9.140625" style="1079"/>
    <col min="10762" max="10762" width="57.28515625" style="1079" customWidth="1"/>
    <col min="10763" max="10800" width="0" style="1079" hidden="1" customWidth="1"/>
    <col min="10801" max="10813" width="9.7109375" style="1079" customWidth="1"/>
    <col min="10814" max="11017" width="9.140625" style="1079"/>
    <col min="11018" max="11018" width="57.28515625" style="1079" customWidth="1"/>
    <col min="11019" max="11056" width="0" style="1079" hidden="1" customWidth="1"/>
    <col min="11057" max="11069" width="9.7109375" style="1079" customWidth="1"/>
    <col min="11070" max="11273" width="9.140625" style="1079"/>
    <col min="11274" max="11274" width="57.28515625" style="1079" customWidth="1"/>
    <col min="11275" max="11312" width="0" style="1079" hidden="1" customWidth="1"/>
    <col min="11313" max="11325" width="9.7109375" style="1079" customWidth="1"/>
    <col min="11326" max="11529" width="9.140625" style="1079"/>
    <col min="11530" max="11530" width="57.28515625" style="1079" customWidth="1"/>
    <col min="11531" max="11568" width="0" style="1079" hidden="1" customWidth="1"/>
    <col min="11569" max="11581" width="9.7109375" style="1079" customWidth="1"/>
    <col min="11582" max="11785" width="9.140625" style="1079"/>
    <col min="11786" max="11786" width="57.28515625" style="1079" customWidth="1"/>
    <col min="11787" max="11824" width="0" style="1079" hidden="1" customWidth="1"/>
    <col min="11825" max="11837" width="9.7109375" style="1079" customWidth="1"/>
    <col min="11838" max="12041" width="9.140625" style="1079"/>
    <col min="12042" max="12042" width="57.28515625" style="1079" customWidth="1"/>
    <col min="12043" max="12080" width="0" style="1079" hidden="1" customWidth="1"/>
    <col min="12081" max="12093" width="9.7109375" style="1079" customWidth="1"/>
    <col min="12094" max="12297" width="9.140625" style="1079"/>
    <col min="12298" max="12298" width="57.28515625" style="1079" customWidth="1"/>
    <col min="12299" max="12336" width="0" style="1079" hidden="1" customWidth="1"/>
    <col min="12337" max="12349" width="9.7109375" style="1079" customWidth="1"/>
    <col min="12350" max="12553" width="9.140625" style="1079"/>
    <col min="12554" max="12554" width="57.28515625" style="1079" customWidth="1"/>
    <col min="12555" max="12592" width="0" style="1079" hidden="1" customWidth="1"/>
    <col min="12593" max="12605" width="9.7109375" style="1079" customWidth="1"/>
    <col min="12606" max="12809" width="9.140625" style="1079"/>
    <col min="12810" max="12810" width="57.28515625" style="1079" customWidth="1"/>
    <col min="12811" max="12848" width="0" style="1079" hidden="1" customWidth="1"/>
    <col min="12849" max="12861" width="9.7109375" style="1079" customWidth="1"/>
    <col min="12862" max="13065" width="9.140625" style="1079"/>
    <col min="13066" max="13066" width="57.28515625" style="1079" customWidth="1"/>
    <col min="13067" max="13104" width="0" style="1079" hidden="1" customWidth="1"/>
    <col min="13105" max="13117" width="9.7109375" style="1079" customWidth="1"/>
    <col min="13118" max="13321" width="9.140625" style="1079"/>
    <col min="13322" max="13322" width="57.28515625" style="1079" customWidth="1"/>
    <col min="13323" max="13360" width="0" style="1079" hidden="1" customWidth="1"/>
    <col min="13361" max="13373" width="9.7109375" style="1079" customWidth="1"/>
    <col min="13374" max="13577" width="9.140625" style="1079"/>
    <col min="13578" max="13578" width="57.28515625" style="1079" customWidth="1"/>
    <col min="13579" max="13616" width="0" style="1079" hidden="1" customWidth="1"/>
    <col min="13617" max="13629" width="9.7109375" style="1079" customWidth="1"/>
    <col min="13630" max="13833" width="9.140625" style="1079"/>
    <col min="13834" max="13834" width="57.28515625" style="1079" customWidth="1"/>
    <col min="13835" max="13872" width="0" style="1079" hidden="1" customWidth="1"/>
    <col min="13873" max="13885" width="9.7109375" style="1079" customWidth="1"/>
    <col min="13886" max="14089" width="9.140625" style="1079"/>
    <col min="14090" max="14090" width="57.28515625" style="1079" customWidth="1"/>
    <col min="14091" max="14128" width="0" style="1079" hidden="1" customWidth="1"/>
    <col min="14129" max="14141" width="9.7109375" style="1079" customWidth="1"/>
    <col min="14142" max="14345" width="9.140625" style="1079"/>
    <col min="14346" max="14346" width="57.28515625" style="1079" customWidth="1"/>
    <col min="14347" max="14384" width="0" style="1079" hidden="1" customWidth="1"/>
    <col min="14385" max="14397" width="9.7109375" style="1079" customWidth="1"/>
    <col min="14398" max="14601" width="9.140625" style="1079"/>
    <col min="14602" max="14602" width="57.28515625" style="1079" customWidth="1"/>
    <col min="14603" max="14640" width="0" style="1079" hidden="1" customWidth="1"/>
    <col min="14641" max="14653" width="9.7109375" style="1079" customWidth="1"/>
    <col min="14654" max="14857" width="9.140625" style="1079"/>
    <col min="14858" max="14858" width="57.28515625" style="1079" customWidth="1"/>
    <col min="14859" max="14896" width="0" style="1079" hidden="1" customWidth="1"/>
    <col min="14897" max="14909" width="9.7109375" style="1079" customWidth="1"/>
    <col min="14910" max="15113" width="9.140625" style="1079"/>
    <col min="15114" max="15114" width="57.28515625" style="1079" customWidth="1"/>
    <col min="15115" max="15152" width="0" style="1079" hidden="1" customWidth="1"/>
    <col min="15153" max="15165" width="9.7109375" style="1079" customWidth="1"/>
    <col min="15166" max="15369" width="9.140625" style="1079"/>
    <col min="15370" max="15370" width="57.28515625" style="1079" customWidth="1"/>
    <col min="15371" max="15408" width="0" style="1079" hidden="1" customWidth="1"/>
    <col min="15409" max="15421" width="9.7109375" style="1079" customWidth="1"/>
    <col min="15422" max="15625" width="9.140625" style="1079"/>
    <col min="15626" max="15626" width="57.28515625" style="1079" customWidth="1"/>
    <col min="15627" max="15664" width="0" style="1079" hidden="1" customWidth="1"/>
    <col min="15665" max="15677" width="9.7109375" style="1079" customWidth="1"/>
    <col min="15678" max="15881" width="9.140625" style="1079"/>
    <col min="15882" max="15882" width="57.28515625" style="1079" customWidth="1"/>
    <col min="15883" max="15920" width="0" style="1079" hidden="1" customWidth="1"/>
    <col min="15921" max="15933" width="9.7109375" style="1079" customWidth="1"/>
    <col min="15934" max="16137" width="9.140625" style="1079"/>
    <col min="16138" max="16138" width="57.28515625" style="1079" customWidth="1"/>
    <col min="16139" max="16176" width="0" style="1079" hidden="1" customWidth="1"/>
    <col min="16177" max="16189" width="9.7109375" style="1079" customWidth="1"/>
    <col min="16190" max="16384" width="9.140625" style="1079"/>
  </cols>
  <sheetData>
    <row r="1" spans="1:67" ht="27" customHeight="1">
      <c r="A1" s="1078" t="s">
        <v>2611</v>
      </c>
      <c r="AA1" s="1080"/>
      <c r="AB1" s="1080"/>
      <c r="AC1" s="1080"/>
      <c r="AD1" s="1080"/>
      <c r="AE1" s="1080"/>
      <c r="AF1" s="1080"/>
      <c r="AG1" s="1080"/>
      <c r="AH1" s="1080"/>
      <c r="AI1" s="1080"/>
      <c r="AJ1" s="1080"/>
      <c r="AK1" s="1080"/>
      <c r="AL1" s="1080"/>
      <c r="AM1" s="1080"/>
      <c r="AN1" s="1080"/>
      <c r="AO1" s="1080"/>
      <c r="AP1" s="1080"/>
      <c r="AQ1" s="1080"/>
      <c r="AR1" s="1080"/>
      <c r="AS1" s="1080"/>
      <c r="AT1" s="1080"/>
      <c r="AU1" s="1080"/>
      <c r="AV1" s="1080"/>
      <c r="AW1" s="1080"/>
      <c r="AX1" s="1080"/>
      <c r="AY1" s="1080"/>
      <c r="AZ1" s="1080"/>
    </row>
    <row r="2" spans="1:67" ht="0.75" customHeight="1">
      <c r="A2" s="1081"/>
    </row>
    <row r="3" spans="1:67" ht="15" customHeight="1">
      <c r="A3" s="1081"/>
      <c r="B3" s="1082"/>
      <c r="C3" s="1082"/>
      <c r="D3" s="1082"/>
      <c r="E3" s="1082"/>
      <c r="F3" s="1082"/>
      <c r="G3" s="1082"/>
      <c r="H3" s="1082"/>
      <c r="I3" s="1082"/>
      <c r="J3" s="1082"/>
      <c r="K3" s="1082"/>
      <c r="L3" s="1082"/>
      <c r="M3" s="1082"/>
      <c r="N3" s="1082"/>
      <c r="O3" s="1082"/>
      <c r="P3" s="1082"/>
      <c r="Q3" s="1082"/>
      <c r="R3" s="1082"/>
      <c r="S3" s="1082"/>
      <c r="T3" s="1082"/>
      <c r="U3" s="1082"/>
      <c r="V3" s="1082"/>
      <c r="W3" s="1082"/>
      <c r="X3" s="1082"/>
      <c r="Y3" s="1082"/>
      <c r="Z3" s="1082"/>
      <c r="AA3" s="1082"/>
      <c r="AB3" s="1082"/>
      <c r="AC3" s="1082"/>
      <c r="AD3" s="1082"/>
      <c r="AE3" s="1082"/>
    </row>
    <row r="4" spans="1:67" ht="15" thickBot="1">
      <c r="A4" s="1083"/>
      <c r="R4" s="1084"/>
      <c r="S4" s="1085"/>
      <c r="T4" s="1086"/>
      <c r="U4" s="1086"/>
      <c r="V4" s="1086"/>
      <c r="W4" s="1086"/>
      <c r="X4" s="1086"/>
      <c r="Y4" s="1086"/>
      <c r="Z4" s="1086"/>
      <c r="AB4" s="1086"/>
      <c r="AC4" s="1086"/>
      <c r="AD4" s="1086"/>
      <c r="AH4" s="1086"/>
      <c r="AI4" s="1086"/>
      <c r="AL4" s="1086"/>
      <c r="AM4" s="1086"/>
      <c r="AN4" s="1086"/>
      <c r="AO4" s="1086"/>
      <c r="AP4" s="1086"/>
      <c r="AQ4" s="1086"/>
      <c r="AR4" s="1086"/>
      <c r="AU4" s="1086"/>
      <c r="AV4" s="1086"/>
      <c r="AW4" s="1086"/>
      <c r="AX4" s="1086"/>
      <c r="BA4" s="1034"/>
      <c r="BB4" s="1034"/>
      <c r="BC4" s="1034"/>
      <c r="BD4" s="1034"/>
      <c r="BE4" s="1034"/>
      <c r="BF4" s="1034"/>
      <c r="BG4" s="1034"/>
      <c r="BH4" s="1034"/>
      <c r="BI4" s="1034"/>
      <c r="BJ4" s="1034"/>
      <c r="BK4" s="1034"/>
      <c r="BL4" s="1034"/>
      <c r="BM4" s="1034"/>
      <c r="BN4" s="1034"/>
      <c r="BO4" s="1034" t="s">
        <v>49</v>
      </c>
    </row>
    <row r="5" spans="1:67" ht="27" customHeight="1" thickTop="1" thickBot="1">
      <c r="A5" s="1087"/>
      <c r="B5" s="1088">
        <v>40179</v>
      </c>
      <c r="C5" s="1088">
        <v>40210</v>
      </c>
      <c r="D5" s="1088">
        <v>40238</v>
      </c>
      <c r="E5" s="1088">
        <v>40269</v>
      </c>
      <c r="F5" s="1088">
        <v>40299</v>
      </c>
      <c r="G5" s="1088">
        <v>40330</v>
      </c>
      <c r="H5" s="1088">
        <v>40360</v>
      </c>
      <c r="I5" s="1088">
        <v>40391</v>
      </c>
      <c r="J5" s="1088">
        <v>40422</v>
      </c>
      <c r="K5" s="1088">
        <v>40452</v>
      </c>
      <c r="L5" s="1088">
        <v>40483</v>
      </c>
      <c r="M5" s="1088">
        <v>40513</v>
      </c>
      <c r="N5" s="1088">
        <v>40544</v>
      </c>
      <c r="O5" s="1088">
        <v>40575</v>
      </c>
      <c r="P5" s="1088">
        <v>40603</v>
      </c>
      <c r="Q5" s="1088">
        <v>40634</v>
      </c>
      <c r="R5" s="1088">
        <v>40664</v>
      </c>
      <c r="S5" s="1088">
        <v>40695</v>
      </c>
      <c r="T5" s="1088">
        <v>40725</v>
      </c>
      <c r="U5" s="1088">
        <v>40756</v>
      </c>
      <c r="V5" s="1088">
        <v>40787</v>
      </c>
      <c r="W5" s="1088">
        <v>40817</v>
      </c>
      <c r="X5" s="1088">
        <v>40848</v>
      </c>
      <c r="Y5" s="1088">
        <v>40878</v>
      </c>
      <c r="Z5" s="1088">
        <v>40909</v>
      </c>
      <c r="AA5" s="1088">
        <v>40940</v>
      </c>
      <c r="AB5" s="1088">
        <v>40969</v>
      </c>
      <c r="AC5" s="1088">
        <v>41000</v>
      </c>
      <c r="AD5" s="1088">
        <v>41030</v>
      </c>
      <c r="AE5" s="1088">
        <v>41061</v>
      </c>
      <c r="AF5" s="1088">
        <v>41091</v>
      </c>
      <c r="AG5" s="1088">
        <v>41122</v>
      </c>
      <c r="AH5" s="1088">
        <v>41153</v>
      </c>
      <c r="AI5" s="1088">
        <v>41183</v>
      </c>
      <c r="AJ5" s="1088">
        <v>41214</v>
      </c>
      <c r="AK5" s="1088">
        <v>41244</v>
      </c>
      <c r="AL5" s="1088">
        <v>41275</v>
      </c>
      <c r="AM5" s="1088">
        <v>41306</v>
      </c>
      <c r="AN5" s="1088">
        <v>41334</v>
      </c>
      <c r="AO5" s="1088">
        <v>41365</v>
      </c>
      <c r="AP5" s="1088">
        <v>41395</v>
      </c>
      <c r="AQ5" s="1089">
        <v>41426</v>
      </c>
      <c r="AR5" s="1088">
        <v>41456</v>
      </c>
      <c r="AS5" s="1088">
        <v>41487</v>
      </c>
      <c r="AT5" s="1088">
        <v>41518</v>
      </c>
      <c r="AU5" s="1088">
        <v>41548</v>
      </c>
      <c r="AV5" s="1088">
        <v>41579</v>
      </c>
      <c r="AW5" s="1088">
        <v>41609</v>
      </c>
      <c r="AX5" s="1088">
        <v>41640</v>
      </c>
      <c r="AY5" s="1088">
        <v>41671</v>
      </c>
      <c r="AZ5" s="1090">
        <v>41699</v>
      </c>
      <c r="BA5" s="1090">
        <v>41730</v>
      </c>
      <c r="BB5" s="1090">
        <v>41760</v>
      </c>
      <c r="BC5" s="1091" t="s">
        <v>2612</v>
      </c>
      <c r="BD5" s="1090">
        <v>41821</v>
      </c>
      <c r="BE5" s="1090">
        <v>41852</v>
      </c>
      <c r="BF5" s="1090">
        <v>41883</v>
      </c>
      <c r="BG5" s="1090">
        <v>41913</v>
      </c>
      <c r="BH5" s="1090">
        <v>41944</v>
      </c>
      <c r="BI5" s="1090">
        <v>41974</v>
      </c>
      <c r="BJ5" s="1090">
        <v>42005</v>
      </c>
      <c r="BK5" s="1090">
        <v>42036</v>
      </c>
      <c r="BL5" s="1090">
        <v>42064</v>
      </c>
      <c r="BM5" s="1090">
        <v>42095</v>
      </c>
      <c r="BN5" s="1090">
        <v>42125</v>
      </c>
      <c r="BO5" s="1090">
        <v>42156</v>
      </c>
    </row>
    <row r="6" spans="1:67" ht="27" customHeight="1" thickTop="1">
      <c r="A6" s="1092"/>
      <c r="B6" s="1093"/>
      <c r="C6" s="1093"/>
      <c r="D6" s="1093"/>
      <c r="E6" s="1093"/>
      <c r="F6" s="1093"/>
      <c r="G6" s="1093"/>
      <c r="H6" s="1093"/>
      <c r="I6" s="1093"/>
      <c r="J6" s="1093"/>
      <c r="K6" s="1093"/>
      <c r="L6" s="1093"/>
      <c r="M6" s="1093"/>
      <c r="N6" s="1093"/>
      <c r="O6" s="1093"/>
      <c r="P6" s="1093"/>
      <c r="Q6" s="1093"/>
      <c r="R6" s="1093"/>
      <c r="S6" s="1093"/>
      <c r="T6" s="1093"/>
      <c r="U6" s="1093"/>
      <c r="V6" s="1093"/>
      <c r="W6" s="1093"/>
      <c r="X6" s="1093"/>
      <c r="Y6" s="1093"/>
      <c r="Z6" s="1093"/>
      <c r="AA6" s="1093"/>
      <c r="AB6" s="1093"/>
      <c r="AC6" s="1093"/>
      <c r="AD6" s="1093"/>
      <c r="AE6" s="1093"/>
      <c r="AF6" s="1093"/>
      <c r="AG6" s="1093"/>
      <c r="AH6" s="1093"/>
      <c r="AI6" s="1093"/>
      <c r="AJ6" s="1093"/>
      <c r="AK6" s="1093"/>
      <c r="AL6" s="1093"/>
      <c r="AM6" s="1093"/>
      <c r="AN6" s="1093"/>
      <c r="AO6" s="1093"/>
      <c r="AP6" s="1093"/>
      <c r="AR6" s="1093"/>
      <c r="AS6" s="1093"/>
      <c r="AT6" s="1093"/>
      <c r="AU6" s="1093"/>
      <c r="AV6" s="1093"/>
      <c r="AW6" s="1093"/>
      <c r="AX6" s="1093"/>
      <c r="AY6" s="1093"/>
      <c r="AZ6" s="1094"/>
      <c r="BA6" s="1094"/>
      <c r="BB6" s="1094"/>
      <c r="BC6" s="1094"/>
      <c r="BD6" s="1094"/>
      <c r="BE6" s="1094"/>
      <c r="BF6" s="1094"/>
      <c r="BG6" s="1094"/>
      <c r="BH6" s="1094"/>
      <c r="BI6" s="1094"/>
      <c r="BJ6" s="1094"/>
      <c r="BK6" s="1094"/>
      <c r="BL6" s="1094"/>
      <c r="BM6" s="1094"/>
      <c r="BN6" s="1094"/>
      <c r="BO6" s="1094"/>
    </row>
    <row r="7" spans="1:67" ht="22.5" customHeight="1">
      <c r="A7" s="1095" t="s">
        <v>2564</v>
      </c>
      <c r="B7" s="1096">
        <v>355837.03116140142</v>
      </c>
      <c r="C7" s="1096">
        <v>360605.04953497002</v>
      </c>
      <c r="D7" s="1096">
        <v>364782.5979084057</v>
      </c>
      <c r="E7" s="1096">
        <v>347836.52930073522</v>
      </c>
      <c r="F7" s="1096">
        <v>398474.36596555047</v>
      </c>
      <c r="G7" s="1096">
        <v>389200.51288481901</v>
      </c>
      <c r="H7" s="1096">
        <v>349996.3624868911</v>
      </c>
      <c r="I7" s="1096">
        <v>374559.74357372645</v>
      </c>
      <c r="J7" s="1096">
        <v>374311.56619276927</v>
      </c>
      <c r="K7" s="1096">
        <v>375558.9529931749</v>
      </c>
      <c r="L7" s="1096">
        <v>387400.46029459574</v>
      </c>
      <c r="M7" s="1096">
        <v>396025.74941314518</v>
      </c>
      <c r="N7" s="1096">
        <v>397868.12297975575</v>
      </c>
      <c r="O7" s="1096">
        <v>391740.02392533404</v>
      </c>
      <c r="P7" s="1096">
        <v>362731.64003700012</v>
      </c>
      <c r="Q7" s="1096">
        <v>376961.4054074281</v>
      </c>
      <c r="R7" s="1096">
        <v>368985.79309799575</v>
      </c>
      <c r="S7" s="1096">
        <v>398640.04925210681</v>
      </c>
      <c r="T7" s="1096">
        <v>384262.82808588771</v>
      </c>
      <c r="U7" s="1096">
        <v>367127.21882008214</v>
      </c>
      <c r="V7" s="1096">
        <v>372146.50669052522</v>
      </c>
      <c r="W7" s="1096">
        <v>373804.4944400455</v>
      </c>
      <c r="X7" s="1096">
        <v>424939.29194978258</v>
      </c>
      <c r="Y7" s="1096">
        <v>370755.1153975288</v>
      </c>
      <c r="Z7" s="1096">
        <v>348029.36244730791</v>
      </c>
      <c r="AA7" s="1096">
        <v>354708.02445732511</v>
      </c>
      <c r="AB7" s="1096">
        <v>400460.7283425614</v>
      </c>
      <c r="AC7" s="1096">
        <v>400880.36506270594</v>
      </c>
      <c r="AD7" s="1096">
        <v>418934.88927327801</v>
      </c>
      <c r="AE7" s="1096">
        <v>358615.76786022121</v>
      </c>
      <c r="AF7" s="1096">
        <v>391317.48373264505</v>
      </c>
      <c r="AG7" s="1096">
        <v>349407.08494980843</v>
      </c>
      <c r="AH7" s="1096">
        <v>374495.6656296209</v>
      </c>
      <c r="AI7" s="1096">
        <v>394291.12349107314</v>
      </c>
      <c r="AJ7" s="1096">
        <v>396660.75575007958</v>
      </c>
      <c r="AK7" s="1096">
        <v>401320.90685726877</v>
      </c>
      <c r="AL7" s="1096">
        <v>425209.26168858795</v>
      </c>
      <c r="AM7" s="1096">
        <v>371958.7623117551</v>
      </c>
      <c r="AN7" s="1096">
        <v>396287.87252488441</v>
      </c>
      <c r="AO7" s="1096">
        <v>406538.14793432248</v>
      </c>
      <c r="AP7" s="1096">
        <v>439271.34989535093</v>
      </c>
      <c r="AQ7" s="1097">
        <v>394121.83621676941</v>
      </c>
      <c r="AR7" s="1096">
        <v>408187.61987977172</v>
      </c>
      <c r="AS7" s="1096">
        <v>388409.770447916</v>
      </c>
      <c r="AT7" s="1096">
        <v>381997.94592616044</v>
      </c>
      <c r="AU7" s="1096">
        <v>372526.31475613813</v>
      </c>
      <c r="AV7" s="1096">
        <v>375922.76888081006</v>
      </c>
      <c r="AW7" s="1096">
        <v>396299.89658375003</v>
      </c>
      <c r="AX7" s="1096">
        <v>371419.29907392245</v>
      </c>
      <c r="AY7" s="1096">
        <v>374464.4740224086</v>
      </c>
      <c r="AZ7" s="1098">
        <v>371676.94106507872</v>
      </c>
      <c r="BA7" s="1098">
        <v>396120.44744818617</v>
      </c>
      <c r="BB7" s="1098">
        <v>383220.66580576624</v>
      </c>
      <c r="BC7" s="1098">
        <v>382241.50857958262</v>
      </c>
      <c r="BD7" s="1098">
        <v>392334.94110129162</v>
      </c>
      <c r="BE7" s="1098">
        <v>409256.21862257965</v>
      </c>
      <c r="BF7" s="1098">
        <v>440686.40925503481</v>
      </c>
      <c r="BG7" s="1098">
        <v>478691.88928722724</v>
      </c>
      <c r="BH7" s="1098">
        <v>440194.91016732703</v>
      </c>
      <c r="BI7" s="1098">
        <v>457823.19600778719</v>
      </c>
      <c r="BJ7" s="1098">
        <v>476038.28698620788</v>
      </c>
      <c r="BK7" s="1098">
        <v>485169.87018662738</v>
      </c>
      <c r="BL7" s="1098">
        <v>557980.5835344377</v>
      </c>
      <c r="BM7" s="1098">
        <v>567281.29490467883</v>
      </c>
      <c r="BN7" s="1098">
        <v>533346.63558336208</v>
      </c>
      <c r="BO7" s="1098">
        <v>519851.2626041802</v>
      </c>
    </row>
    <row r="8" spans="1:67" ht="22.5" customHeight="1">
      <c r="A8" s="1099" t="s">
        <v>2613</v>
      </c>
      <c r="B8" s="1100">
        <v>620621.837699419</v>
      </c>
      <c r="C8" s="1100">
        <v>642060.5751907127</v>
      </c>
      <c r="D8" s="1100">
        <v>663429.32725319162</v>
      </c>
      <c r="E8" s="1100">
        <v>660270.72395054298</v>
      </c>
      <c r="F8" s="1100">
        <v>761396.68320768641</v>
      </c>
      <c r="G8" s="1100">
        <v>740816.47303832963</v>
      </c>
      <c r="H8" s="1100">
        <v>684450.63034732884</v>
      </c>
      <c r="I8" s="1100">
        <v>719711.28924938058</v>
      </c>
      <c r="J8" s="1100">
        <v>738966.31493576558</v>
      </c>
      <c r="K8" s="1100">
        <v>755773.34799536539</v>
      </c>
      <c r="L8" s="1100">
        <v>730427.97133117379</v>
      </c>
      <c r="M8" s="1100">
        <v>779836.93405729183</v>
      </c>
      <c r="N8" s="1100">
        <v>792904.66706368059</v>
      </c>
      <c r="O8" s="1100">
        <v>799241.37941142917</v>
      </c>
      <c r="P8" s="1100">
        <v>772002.0620707114</v>
      </c>
      <c r="Q8" s="1100">
        <v>833074.86156630307</v>
      </c>
      <c r="R8" s="1100">
        <v>760932.48047136737</v>
      </c>
      <c r="S8" s="1100">
        <v>819704.2215900477</v>
      </c>
      <c r="T8" s="1100">
        <v>792283.31229378958</v>
      </c>
      <c r="U8" s="1100">
        <v>769573.7503542318</v>
      </c>
      <c r="V8" s="1100">
        <v>849145.78153435339</v>
      </c>
      <c r="W8" s="1100">
        <v>825213.0197940846</v>
      </c>
      <c r="X8" s="1100">
        <v>854786.67227450153</v>
      </c>
      <c r="Y8" s="1100">
        <v>863396.30990770692</v>
      </c>
      <c r="Z8" s="1100">
        <v>883499.28029810451</v>
      </c>
      <c r="AA8" s="1100">
        <v>924410.43065504672</v>
      </c>
      <c r="AB8" s="1100">
        <v>935054.73596600047</v>
      </c>
      <c r="AC8" s="1100">
        <v>908344.72760092339</v>
      </c>
      <c r="AD8" s="1100">
        <v>941275.38883481221</v>
      </c>
      <c r="AE8" s="1100">
        <v>924975.40282542526</v>
      </c>
      <c r="AF8" s="1100">
        <v>959761.68273227406</v>
      </c>
      <c r="AG8" s="1100">
        <v>911198.20442511863</v>
      </c>
      <c r="AH8" s="1100">
        <v>930253.01125973463</v>
      </c>
      <c r="AI8" s="1100">
        <v>928154.8538077781</v>
      </c>
      <c r="AJ8" s="1100">
        <v>898275.10606672254</v>
      </c>
      <c r="AK8" s="1100">
        <v>894597.72456951183</v>
      </c>
      <c r="AL8" s="1100">
        <v>924934.29948737414</v>
      </c>
      <c r="AM8" s="1100">
        <v>882547.70407548395</v>
      </c>
      <c r="AN8" s="1100">
        <v>928446.97753067315</v>
      </c>
      <c r="AO8" s="1100">
        <v>912790.97053313814</v>
      </c>
      <c r="AP8" s="1100">
        <v>959177.5175875118</v>
      </c>
      <c r="AQ8" s="1101">
        <v>938844.08762012294</v>
      </c>
      <c r="AR8" s="1100">
        <v>976788.90990477568</v>
      </c>
      <c r="AS8" s="1100">
        <v>985906.15371596976</v>
      </c>
      <c r="AT8" s="1100">
        <v>969022.04418560036</v>
      </c>
      <c r="AU8" s="1100">
        <v>910508.28106427356</v>
      </c>
      <c r="AV8" s="1100">
        <v>892613.99100418424</v>
      </c>
      <c r="AW8" s="1100">
        <v>876059.88719588786</v>
      </c>
      <c r="AX8" s="1100">
        <v>845007.45623206696</v>
      </c>
      <c r="AY8" s="1100">
        <v>859611.05145150574</v>
      </c>
      <c r="AZ8" s="1102">
        <v>860914.60592225753</v>
      </c>
      <c r="BA8" s="1102">
        <v>849298.33911979478</v>
      </c>
      <c r="BB8" s="1102">
        <v>835050.76741546381</v>
      </c>
      <c r="BC8" s="1102">
        <v>828604.13645683636</v>
      </c>
      <c r="BD8" s="1102">
        <v>808813.65900833067</v>
      </c>
      <c r="BE8" s="1102">
        <v>800621.00467713946</v>
      </c>
      <c r="BF8" s="1102">
        <v>887384.30444940843</v>
      </c>
      <c r="BG8" s="1102">
        <v>912144.35875707073</v>
      </c>
      <c r="BH8" s="1102">
        <v>878517.23137246759</v>
      </c>
      <c r="BI8" s="1102">
        <v>905397.36022433569</v>
      </c>
      <c r="BJ8" s="1102">
        <v>916960.50223673228</v>
      </c>
      <c r="BK8" s="1102">
        <v>920810.37303620414</v>
      </c>
      <c r="BL8" s="1102">
        <v>1038041.4919855945</v>
      </c>
      <c r="BM8" s="1102">
        <v>1036792.3627444834</v>
      </c>
      <c r="BN8" s="1102">
        <v>975493.7246657362</v>
      </c>
      <c r="BO8" s="1102">
        <v>927862.31180934072</v>
      </c>
    </row>
    <row r="9" spans="1:67" ht="22.5" customHeight="1">
      <c r="A9" s="1099" t="s">
        <v>2614</v>
      </c>
      <c r="B9" s="1100">
        <v>-264784.80653801758</v>
      </c>
      <c r="C9" s="1100">
        <v>-281455.52565574268</v>
      </c>
      <c r="D9" s="1100">
        <v>-298646.72934478591</v>
      </c>
      <c r="E9" s="1100">
        <v>-312434.19464980776</v>
      </c>
      <c r="F9" s="1100">
        <v>-362922.31724213593</v>
      </c>
      <c r="G9" s="1100">
        <v>-351615.96015351062</v>
      </c>
      <c r="H9" s="1100">
        <v>-334454.26786043774</v>
      </c>
      <c r="I9" s="1100">
        <v>-345151.54567565414</v>
      </c>
      <c r="J9" s="1100">
        <v>-364654.74874299631</v>
      </c>
      <c r="K9" s="1100">
        <v>-380214.39500219049</v>
      </c>
      <c r="L9" s="1100">
        <v>-343027.51103657804</v>
      </c>
      <c r="M9" s="1100">
        <v>-383811.18464414665</v>
      </c>
      <c r="N9" s="1100">
        <v>-395036.54408392485</v>
      </c>
      <c r="O9" s="1100">
        <v>-407501.35548609513</v>
      </c>
      <c r="P9" s="1100">
        <v>-409270.42203371128</v>
      </c>
      <c r="Q9" s="1100">
        <v>-456113.45615887496</v>
      </c>
      <c r="R9" s="1100">
        <v>-391946.68737337162</v>
      </c>
      <c r="S9" s="1100">
        <v>-421064.17233794089</v>
      </c>
      <c r="T9" s="1100">
        <v>-408020.48420790187</v>
      </c>
      <c r="U9" s="1100">
        <v>-402446.53153414966</v>
      </c>
      <c r="V9" s="1100">
        <v>-476999.27484382817</v>
      </c>
      <c r="W9" s="1100">
        <v>-451408.5253540391</v>
      </c>
      <c r="X9" s="1100">
        <v>-429847.38032471895</v>
      </c>
      <c r="Y9" s="1100">
        <v>-492641.19451017812</v>
      </c>
      <c r="Z9" s="1100">
        <v>-535469.9178507966</v>
      </c>
      <c r="AA9" s="1100">
        <v>-569702.4061977216</v>
      </c>
      <c r="AB9" s="1100">
        <v>-534594.00762343907</v>
      </c>
      <c r="AC9" s="1100">
        <v>-507464.36253821745</v>
      </c>
      <c r="AD9" s="1100">
        <v>-522340.4995615342</v>
      </c>
      <c r="AE9" s="1100">
        <v>-566359.63496520405</v>
      </c>
      <c r="AF9" s="1100">
        <v>-568444.19899962901</v>
      </c>
      <c r="AG9" s="1100">
        <v>-561791.1194753102</v>
      </c>
      <c r="AH9" s="1100">
        <v>-555757.34563011373</v>
      </c>
      <c r="AI9" s="1100">
        <v>-533863.73031670495</v>
      </c>
      <c r="AJ9" s="1100">
        <v>-501614.35031664296</v>
      </c>
      <c r="AK9" s="1100">
        <v>-493276.81771224306</v>
      </c>
      <c r="AL9" s="1100">
        <v>-499725.03779878619</v>
      </c>
      <c r="AM9" s="1100">
        <v>-510588.94176372886</v>
      </c>
      <c r="AN9" s="1100">
        <v>-532159.10500578873</v>
      </c>
      <c r="AO9" s="1100">
        <v>-506252.82259881566</v>
      </c>
      <c r="AP9" s="1100">
        <v>-519906.16769216087</v>
      </c>
      <c r="AQ9" s="1101">
        <v>-544722.25140335353</v>
      </c>
      <c r="AR9" s="1100">
        <v>-568601.29002500395</v>
      </c>
      <c r="AS9" s="1100">
        <v>-597496.38326805376</v>
      </c>
      <c r="AT9" s="1100">
        <v>-587024.09825943992</v>
      </c>
      <c r="AU9" s="1100">
        <v>-537981.96630813542</v>
      </c>
      <c r="AV9" s="1100">
        <v>-516691.22212337417</v>
      </c>
      <c r="AW9" s="1100">
        <v>-479759.99061213783</v>
      </c>
      <c r="AX9" s="1100">
        <v>-473588.15715814452</v>
      </c>
      <c r="AY9" s="1100">
        <v>-485146.57742909715</v>
      </c>
      <c r="AZ9" s="1102">
        <v>-489237.66485717881</v>
      </c>
      <c r="BA9" s="1102">
        <v>-453177.89167160861</v>
      </c>
      <c r="BB9" s="1102">
        <v>-451830.10160969757</v>
      </c>
      <c r="BC9" s="1102">
        <v>-446362.62787725375</v>
      </c>
      <c r="BD9" s="1102">
        <v>-416478.71790703904</v>
      </c>
      <c r="BE9" s="1102">
        <v>-391364.78605455981</v>
      </c>
      <c r="BF9" s="1102">
        <v>-446697.89519437362</v>
      </c>
      <c r="BG9" s="1102">
        <v>-433452.46946984349</v>
      </c>
      <c r="BH9" s="1102">
        <v>-438322.32120514056</v>
      </c>
      <c r="BI9" s="1102">
        <v>-447574.1642165485</v>
      </c>
      <c r="BJ9" s="1102">
        <v>-440922.2152505244</v>
      </c>
      <c r="BK9" s="1102">
        <v>-435640.50284957676</v>
      </c>
      <c r="BL9" s="1102">
        <v>-480060.90845115687</v>
      </c>
      <c r="BM9" s="1102">
        <v>-469511.06783980451</v>
      </c>
      <c r="BN9" s="1102">
        <v>-442147.08908237406</v>
      </c>
      <c r="BO9" s="1102">
        <v>-408011.04920516053</v>
      </c>
    </row>
    <row r="10" spans="1:67" ht="22.5" customHeight="1">
      <c r="A10" s="1099"/>
      <c r="B10" s="1100"/>
      <c r="C10" s="1100"/>
      <c r="D10" s="1100"/>
      <c r="E10" s="1100"/>
      <c r="F10" s="1100"/>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c r="AP10" s="1100"/>
      <c r="AQ10" s="1101"/>
      <c r="AR10" s="1100"/>
      <c r="AS10" s="1100"/>
      <c r="AT10" s="1100"/>
      <c r="AU10" s="1100"/>
      <c r="AV10" s="1100"/>
      <c r="AW10" s="1100"/>
      <c r="AX10" s="1100"/>
      <c r="AY10" s="1100"/>
      <c r="AZ10" s="1102"/>
      <c r="BA10" s="1102"/>
      <c r="BB10" s="1102"/>
      <c r="BC10" s="1102"/>
      <c r="BD10" s="1102"/>
      <c r="BE10" s="1102"/>
      <c r="BF10" s="1102"/>
      <c r="BG10" s="1102"/>
      <c r="BH10" s="1102"/>
      <c r="BI10" s="1102"/>
      <c r="BJ10" s="1102"/>
      <c r="BK10" s="1102"/>
      <c r="BL10" s="1102"/>
      <c r="BM10" s="1102"/>
      <c r="BN10" s="1102"/>
      <c r="BO10" s="1102"/>
    </row>
    <row r="11" spans="1:67" ht="22.5" customHeight="1">
      <c r="A11" s="1095" t="s">
        <v>2615</v>
      </c>
      <c r="B11" s="1096">
        <v>279157.43526341411</v>
      </c>
      <c r="C11" s="1096">
        <v>279902.18730475899</v>
      </c>
      <c r="D11" s="1096">
        <v>282179.07488706929</v>
      </c>
      <c r="E11" s="1096">
        <v>284293.81727101858</v>
      </c>
      <c r="F11" s="1096">
        <v>296063.50983825832</v>
      </c>
      <c r="G11" s="1096">
        <v>299764.75971159729</v>
      </c>
      <c r="H11" s="1096">
        <v>296640.42558030994</v>
      </c>
      <c r="I11" s="1096">
        <v>300612.49926796101</v>
      </c>
      <c r="J11" s="1096">
        <v>299807.49843978824</v>
      </c>
      <c r="K11" s="1096">
        <v>303317.11869252042</v>
      </c>
      <c r="L11" s="1096">
        <v>303677.90454960323</v>
      </c>
      <c r="M11" s="1096">
        <v>308854.78865813417</v>
      </c>
      <c r="N11" s="1096">
        <v>308512.13633570104</v>
      </c>
      <c r="O11" s="1096">
        <v>311686.10395471088</v>
      </c>
      <c r="P11" s="1096">
        <v>308500.08114763151</v>
      </c>
      <c r="Q11" s="1096">
        <v>314422.51627656468</v>
      </c>
      <c r="R11" s="1096">
        <v>316255.17832025024</v>
      </c>
      <c r="S11" s="1096">
        <v>321674.97265262774</v>
      </c>
      <c r="T11" s="1096">
        <v>324724.43733242183</v>
      </c>
      <c r="U11" s="1096">
        <v>328612.74738128798</v>
      </c>
      <c r="V11" s="1096">
        <v>332325.67400211346</v>
      </c>
      <c r="W11" s="1096">
        <v>340868.64420603361</v>
      </c>
      <c r="X11" s="1096">
        <v>342247.0393485669</v>
      </c>
      <c r="Y11" s="1096">
        <v>341302.03157849319</v>
      </c>
      <c r="Z11" s="1096">
        <v>339250.52614897164</v>
      </c>
      <c r="AA11" s="1096">
        <v>340559.42007212853</v>
      </c>
      <c r="AB11" s="1096">
        <v>346267.88169898256</v>
      </c>
      <c r="AC11" s="1096">
        <v>351086.9632465397</v>
      </c>
      <c r="AD11" s="1096">
        <v>358110.97389489633</v>
      </c>
      <c r="AE11" s="1096">
        <v>367426.84619048331</v>
      </c>
      <c r="AF11" s="1096">
        <v>368866.51602499024</v>
      </c>
      <c r="AG11" s="1096">
        <v>371601.85832135472</v>
      </c>
      <c r="AH11" s="1096">
        <v>376240.38390320149</v>
      </c>
      <c r="AI11" s="1096">
        <v>380541.05354163487</v>
      </c>
      <c r="AJ11" s="1096">
        <v>380895.71790494601</v>
      </c>
      <c r="AK11" s="1096">
        <v>391021.90605307498</v>
      </c>
      <c r="AL11" s="1096">
        <v>390670.56807425956</v>
      </c>
      <c r="AM11" s="1096">
        <v>399383.58689828479</v>
      </c>
      <c r="AN11" s="1096">
        <v>397812.20158805221</v>
      </c>
      <c r="AO11" s="1096">
        <v>400652.288198361</v>
      </c>
      <c r="AP11" s="1096">
        <v>395570.16558570298</v>
      </c>
      <c r="AQ11" s="1097">
        <v>395942.4653156143</v>
      </c>
      <c r="AR11" s="1096">
        <v>410710.68947570113</v>
      </c>
      <c r="AS11" s="1096">
        <v>434803.77510363708</v>
      </c>
      <c r="AT11" s="1096">
        <v>438731.62484525517</v>
      </c>
      <c r="AU11" s="1096">
        <v>432771.08952404722</v>
      </c>
      <c r="AV11" s="1096">
        <v>438650.54830013338</v>
      </c>
      <c r="AW11" s="1096">
        <v>448174.55755044182</v>
      </c>
      <c r="AX11" s="1096">
        <v>432659.16859272541</v>
      </c>
      <c r="AY11" s="1096">
        <v>435872.06325177965</v>
      </c>
      <c r="AZ11" s="1098">
        <v>438794.36667353794</v>
      </c>
      <c r="BA11" s="1098">
        <v>436791.86512686458</v>
      </c>
      <c r="BB11" s="1098">
        <v>433904.52131419996</v>
      </c>
      <c r="BC11" s="1098">
        <v>426481.2387282523</v>
      </c>
      <c r="BD11" s="1098">
        <v>424753.43668848957</v>
      </c>
      <c r="BE11" s="1098">
        <v>422782.09021782037</v>
      </c>
      <c r="BF11" s="1098">
        <v>424432.75786045159</v>
      </c>
      <c r="BG11" s="1098">
        <v>433513.12745475303</v>
      </c>
      <c r="BH11" s="1098">
        <v>445774.56219516002</v>
      </c>
      <c r="BI11" s="1098">
        <v>446806.05883179465</v>
      </c>
      <c r="BJ11" s="1098">
        <v>448085.98648171197</v>
      </c>
      <c r="BK11" s="1098">
        <v>453039.65448491456</v>
      </c>
      <c r="BL11" s="1098">
        <v>462016.85014535341</v>
      </c>
      <c r="BM11" s="1098">
        <v>453100.31442233932</v>
      </c>
      <c r="BN11" s="1098">
        <v>455669.89973050688</v>
      </c>
      <c r="BO11" s="1098">
        <v>460964.59352379234</v>
      </c>
    </row>
    <row r="12" spans="1:67" ht="22.5" customHeight="1">
      <c r="A12" s="1095" t="s">
        <v>2616</v>
      </c>
      <c r="B12" s="1096">
        <v>30107.789499937426</v>
      </c>
      <c r="C12" s="1096">
        <v>31094.415139565437</v>
      </c>
      <c r="D12" s="1096">
        <v>30962.734737710922</v>
      </c>
      <c r="E12" s="1096">
        <v>31722.669563358046</v>
      </c>
      <c r="F12" s="1096">
        <v>32291.245409282688</v>
      </c>
      <c r="G12" s="1096">
        <v>32190.982644318014</v>
      </c>
      <c r="H12" s="1096">
        <v>30094.231303218698</v>
      </c>
      <c r="I12" s="1096">
        <v>28685.302738552564</v>
      </c>
      <c r="J12" s="1096">
        <v>27202.292881792397</v>
      </c>
      <c r="K12" s="1096">
        <v>28366.741870910639</v>
      </c>
      <c r="L12" s="1096">
        <v>26731.423608776124</v>
      </c>
      <c r="M12" s="1096">
        <v>29842.888080704441</v>
      </c>
      <c r="N12" s="1096">
        <v>29586.633266821049</v>
      </c>
      <c r="O12" s="1096">
        <v>29891.802077865286</v>
      </c>
      <c r="P12" s="1096">
        <v>25947.623236333398</v>
      </c>
      <c r="Q12" s="1096">
        <v>27891.315556650741</v>
      </c>
      <c r="R12" s="1096">
        <v>27836.315869896483</v>
      </c>
      <c r="S12" s="1096">
        <v>29550.652640857745</v>
      </c>
      <c r="T12" s="1096">
        <v>28814.146909541632</v>
      </c>
      <c r="U12" s="1096">
        <v>29743.461993769037</v>
      </c>
      <c r="V12" s="1096">
        <v>28007.929026793463</v>
      </c>
      <c r="W12" s="1096">
        <v>27848.917471561232</v>
      </c>
      <c r="X12" s="1096">
        <v>30798.478573031363</v>
      </c>
      <c r="Y12" s="1096">
        <v>30173.425683765061</v>
      </c>
      <c r="Z12" s="1096">
        <v>27635.564013278301</v>
      </c>
      <c r="AA12" s="1096">
        <v>28505.675546840474</v>
      </c>
      <c r="AB12" s="1096">
        <v>30015.249470331852</v>
      </c>
      <c r="AC12" s="1096">
        <v>28849.601820639546</v>
      </c>
      <c r="AD12" s="1096">
        <v>29685.935308031258</v>
      </c>
      <c r="AE12" s="1096">
        <v>27434.626315896196</v>
      </c>
      <c r="AF12" s="1096">
        <v>24564.372512824608</v>
      </c>
      <c r="AG12" s="1096">
        <v>24843.929419416796</v>
      </c>
      <c r="AH12" s="1096">
        <v>26903.079659206087</v>
      </c>
      <c r="AI12" s="1096">
        <v>26692.130185590468</v>
      </c>
      <c r="AJ12" s="1096">
        <v>23489.867346898696</v>
      </c>
      <c r="AK12" s="1096">
        <v>26748.267328989139</v>
      </c>
      <c r="AL12" s="1096">
        <v>24970.557388426183</v>
      </c>
      <c r="AM12" s="1096">
        <v>27360.03419733396</v>
      </c>
      <c r="AN12" s="1096">
        <v>28048.947249844314</v>
      </c>
      <c r="AO12" s="1096">
        <v>27103.25020048616</v>
      </c>
      <c r="AP12" s="1096">
        <v>23704.250976455427</v>
      </c>
      <c r="AQ12" s="1097">
        <v>24490.234397729691</v>
      </c>
      <c r="AR12" s="1096">
        <v>29194.044954404722</v>
      </c>
      <c r="AS12" s="1096">
        <v>31589.148616054386</v>
      </c>
      <c r="AT12" s="1096">
        <v>28878.627380932827</v>
      </c>
      <c r="AU12" s="1096">
        <v>29438.984456836901</v>
      </c>
      <c r="AV12" s="1096">
        <v>32222.328507304621</v>
      </c>
      <c r="AW12" s="1096">
        <v>34759.046630821162</v>
      </c>
      <c r="AX12" s="1096">
        <v>34060.323408110286</v>
      </c>
      <c r="AY12" s="1096">
        <v>34817.594275368436</v>
      </c>
      <c r="AZ12" s="1098">
        <v>35853.595180281867</v>
      </c>
      <c r="BA12" s="1098">
        <v>32821.366597128312</v>
      </c>
      <c r="BB12" s="1098">
        <v>35817.305316602033</v>
      </c>
      <c r="BC12" s="1098">
        <v>34503.982019541334</v>
      </c>
      <c r="BD12" s="1098">
        <v>34366.650950250732</v>
      </c>
      <c r="BE12" s="1098">
        <v>33649.017850934637</v>
      </c>
      <c r="BF12" s="1098">
        <v>34106.491150883034</v>
      </c>
      <c r="BG12" s="1098">
        <v>38799.438567599893</v>
      </c>
      <c r="BH12" s="1098">
        <v>42147.937072095498</v>
      </c>
      <c r="BI12" s="1098">
        <v>44771.483064227883</v>
      </c>
      <c r="BJ12" s="1098">
        <v>45036.202349362313</v>
      </c>
      <c r="BK12" s="1098">
        <v>46331.067374710321</v>
      </c>
      <c r="BL12" s="1098">
        <v>41183.321744285538</v>
      </c>
      <c r="BM12" s="1098">
        <v>43101.216780224531</v>
      </c>
      <c r="BN12" s="1098">
        <v>45620.751845429135</v>
      </c>
      <c r="BO12" s="1098">
        <v>46467.822872853132</v>
      </c>
    </row>
    <row r="13" spans="1:67" ht="22.5" customHeight="1">
      <c r="A13" s="1099" t="s">
        <v>2617</v>
      </c>
      <c r="B13" s="1100">
        <v>62247.449598796695</v>
      </c>
      <c r="C13" s="1100">
        <v>62078.627513342202</v>
      </c>
      <c r="D13" s="1100">
        <v>58621.628512086099</v>
      </c>
      <c r="E13" s="1100">
        <v>61059.940191024194</v>
      </c>
      <c r="F13" s="1100">
        <v>62075.973603945691</v>
      </c>
      <c r="G13" s="1100">
        <v>63451.930288277792</v>
      </c>
      <c r="H13" s="1100">
        <v>60329.759144688702</v>
      </c>
      <c r="I13" s="1100">
        <v>59364.753885714301</v>
      </c>
      <c r="J13" s="1100">
        <v>58071.370773454997</v>
      </c>
      <c r="K13" s="1100">
        <v>58355.757920710188</v>
      </c>
      <c r="L13" s="1100">
        <v>60527.158519901997</v>
      </c>
      <c r="M13" s="1100">
        <v>63181.795107204591</v>
      </c>
      <c r="N13" s="1100">
        <v>60527.455175031791</v>
      </c>
      <c r="O13" s="1100">
        <v>59228.258593532999</v>
      </c>
      <c r="P13" s="1100">
        <v>59090.206294092699</v>
      </c>
      <c r="Q13" s="1100">
        <v>59977.721164235802</v>
      </c>
      <c r="R13" s="1100">
        <v>59610.460310873001</v>
      </c>
      <c r="S13" s="1100">
        <v>59154.092239929996</v>
      </c>
      <c r="T13" s="1100">
        <v>60056.864967213296</v>
      </c>
      <c r="U13" s="1100">
        <v>58790.068792390397</v>
      </c>
      <c r="V13" s="1100">
        <v>58238.144413407193</v>
      </c>
      <c r="W13" s="1100">
        <v>60426.469304216494</v>
      </c>
      <c r="X13" s="1100">
        <v>60787.891064987001</v>
      </c>
      <c r="Y13" s="1100">
        <v>60487.665919956497</v>
      </c>
      <c r="Z13" s="1100">
        <v>61557.747562835895</v>
      </c>
      <c r="AA13" s="1100">
        <v>60765.079328507403</v>
      </c>
      <c r="AB13" s="1100">
        <v>62239.532246027207</v>
      </c>
      <c r="AC13" s="1100">
        <v>61389.677588403494</v>
      </c>
      <c r="AD13" s="1100">
        <v>62491.376489843897</v>
      </c>
      <c r="AE13" s="1100">
        <v>62494.342657425601</v>
      </c>
      <c r="AF13" s="1100">
        <v>60676.384979231101</v>
      </c>
      <c r="AG13" s="1100">
        <v>61284.490368013096</v>
      </c>
      <c r="AH13" s="1100">
        <v>60724.533443126398</v>
      </c>
      <c r="AI13" s="1100">
        <v>61380.022424516697</v>
      </c>
      <c r="AJ13" s="1100">
        <v>61423.613334974791</v>
      </c>
      <c r="AK13" s="1100">
        <v>61251.304019367759</v>
      </c>
      <c r="AL13" s="1100">
        <v>61263.400885697803</v>
      </c>
      <c r="AM13" s="1100">
        <v>61529.145957104425</v>
      </c>
      <c r="AN13" s="1100">
        <v>63129.123083022227</v>
      </c>
      <c r="AO13" s="1100">
        <v>63466.015183915326</v>
      </c>
      <c r="AP13" s="1100">
        <v>63704.506322416666</v>
      </c>
      <c r="AQ13" s="1101">
        <v>63203.108327341819</v>
      </c>
      <c r="AR13" s="1100">
        <v>64822.12292138319</v>
      </c>
      <c r="AS13" s="1100">
        <v>65926.752736681025</v>
      </c>
      <c r="AT13" s="1100">
        <v>66073.018351476101</v>
      </c>
      <c r="AU13" s="1100">
        <v>65758.897825785491</v>
      </c>
      <c r="AV13" s="1100">
        <v>65415.171107779017</v>
      </c>
      <c r="AW13" s="1100">
        <v>65605.505796377416</v>
      </c>
      <c r="AX13" s="1100">
        <v>66551.458848736744</v>
      </c>
      <c r="AY13" s="1100">
        <v>67604.386516305123</v>
      </c>
      <c r="AZ13" s="1102">
        <v>68621.399317399613</v>
      </c>
      <c r="BA13" s="1102">
        <v>70840.141138037405</v>
      </c>
      <c r="BB13" s="1102">
        <v>71998.040262357157</v>
      </c>
      <c r="BC13" s="1102">
        <v>74354.521860141191</v>
      </c>
      <c r="BD13" s="1102">
        <v>73234.580482455189</v>
      </c>
      <c r="BE13" s="1102">
        <v>73327.151453633298</v>
      </c>
      <c r="BF13" s="1102">
        <v>76768.800994352248</v>
      </c>
      <c r="BG13" s="1102">
        <v>77874.862711564187</v>
      </c>
      <c r="BH13" s="1102">
        <v>78752.340945559976</v>
      </c>
      <c r="BI13" s="1102">
        <v>78031.361701802191</v>
      </c>
      <c r="BJ13" s="1102">
        <v>77528.589770499922</v>
      </c>
      <c r="BK13" s="1102">
        <v>79381.825628767183</v>
      </c>
      <c r="BL13" s="1102">
        <v>76119.444514248302</v>
      </c>
      <c r="BM13" s="1102">
        <v>77936.359502880121</v>
      </c>
      <c r="BN13" s="1102">
        <v>80582.376572562702</v>
      </c>
      <c r="BO13" s="1102">
        <v>79660.203736832802</v>
      </c>
    </row>
    <row r="14" spans="1:67" ht="22.5" customHeight="1">
      <c r="A14" s="1099" t="s">
        <v>2618</v>
      </c>
      <c r="B14" s="1100">
        <v>-32139.660098859269</v>
      </c>
      <c r="C14" s="1100">
        <v>-30984.212373776765</v>
      </c>
      <c r="D14" s="1100">
        <v>-27658.893774375178</v>
      </c>
      <c r="E14" s="1100">
        <v>-29337.270627666148</v>
      </c>
      <c r="F14" s="1100">
        <v>-29784.728194663003</v>
      </c>
      <c r="G14" s="1100">
        <v>-31260.947643959778</v>
      </c>
      <c r="H14" s="1100">
        <v>-30235.527841470004</v>
      </c>
      <c r="I14" s="1100">
        <v>-30679.451147161737</v>
      </c>
      <c r="J14" s="1100">
        <v>-30869.0778916626</v>
      </c>
      <c r="K14" s="1100">
        <v>-29989.016049799549</v>
      </c>
      <c r="L14" s="1100">
        <v>-33795.734911125874</v>
      </c>
      <c r="M14" s="1100">
        <v>-33338.90702650015</v>
      </c>
      <c r="N14" s="1100">
        <v>-30940.821908210743</v>
      </c>
      <c r="O14" s="1100">
        <v>-29336.456515667713</v>
      </c>
      <c r="P14" s="1100">
        <v>-33142.583057759301</v>
      </c>
      <c r="Q14" s="1100">
        <v>-32086.40560758506</v>
      </c>
      <c r="R14" s="1100">
        <v>-31774.144440976517</v>
      </c>
      <c r="S14" s="1100">
        <v>-29603.439599072251</v>
      </c>
      <c r="T14" s="1100">
        <v>-31242.718057671664</v>
      </c>
      <c r="U14" s="1100">
        <v>-29046.60679862136</v>
      </c>
      <c r="V14" s="1100">
        <v>-30230.215386613731</v>
      </c>
      <c r="W14" s="1100">
        <v>-32577.551832655263</v>
      </c>
      <c r="X14" s="1100">
        <v>-29989.412491955638</v>
      </c>
      <c r="Y14" s="1100">
        <v>-30314.240236191436</v>
      </c>
      <c r="Z14" s="1100">
        <v>-33922.183549557594</v>
      </c>
      <c r="AA14" s="1100">
        <v>-32259.40378166693</v>
      </c>
      <c r="AB14" s="1100">
        <v>-32224.282775695356</v>
      </c>
      <c r="AC14" s="1100">
        <v>-32540.075767763949</v>
      </c>
      <c r="AD14" s="1100">
        <v>-32805.441181812639</v>
      </c>
      <c r="AE14" s="1100">
        <v>-35059.716341529405</v>
      </c>
      <c r="AF14" s="1100">
        <v>-36112.012466406493</v>
      </c>
      <c r="AG14" s="1100">
        <v>-36440.5609485963</v>
      </c>
      <c r="AH14" s="1100">
        <v>-33821.453783920311</v>
      </c>
      <c r="AI14" s="1100">
        <v>-34687.89223892623</v>
      </c>
      <c r="AJ14" s="1100">
        <v>-37933.745988076094</v>
      </c>
      <c r="AK14" s="1100">
        <v>-34503.03669037862</v>
      </c>
      <c r="AL14" s="1100">
        <v>-36292.84349727162</v>
      </c>
      <c r="AM14" s="1100">
        <v>-34169.111759770465</v>
      </c>
      <c r="AN14" s="1100">
        <v>-35080.175833177913</v>
      </c>
      <c r="AO14" s="1100">
        <v>-36362.764983429166</v>
      </c>
      <c r="AP14" s="1100">
        <v>-40000.255345961239</v>
      </c>
      <c r="AQ14" s="1101">
        <v>-38712.873929612128</v>
      </c>
      <c r="AR14" s="1100">
        <v>-35628.077966978468</v>
      </c>
      <c r="AS14" s="1100">
        <v>-34337.604120626638</v>
      </c>
      <c r="AT14" s="1100">
        <v>-37194.390970543274</v>
      </c>
      <c r="AU14" s="1100">
        <v>-36319.91336894859</v>
      </c>
      <c r="AV14" s="1100">
        <v>-33192.842600474396</v>
      </c>
      <c r="AW14" s="1100">
        <v>-30846.459165556254</v>
      </c>
      <c r="AX14" s="1100">
        <v>-32491.135440626458</v>
      </c>
      <c r="AY14" s="1100">
        <v>-32786.792240936687</v>
      </c>
      <c r="AZ14" s="1102">
        <v>-32767.804137117746</v>
      </c>
      <c r="BA14" s="1102">
        <v>-38018.774540909093</v>
      </c>
      <c r="BB14" s="1102">
        <v>-36180.734945755124</v>
      </c>
      <c r="BC14" s="1102">
        <v>-39850.539840599857</v>
      </c>
      <c r="BD14" s="1102">
        <v>-38867.929532204456</v>
      </c>
      <c r="BE14" s="1102">
        <v>-39678.133602698661</v>
      </c>
      <c r="BF14" s="1102">
        <v>-42662.309843469215</v>
      </c>
      <c r="BG14" s="1102">
        <v>-39075.424143964294</v>
      </c>
      <c r="BH14" s="1102">
        <v>-36604.403873464478</v>
      </c>
      <c r="BI14" s="1102">
        <v>-33259.878637574308</v>
      </c>
      <c r="BJ14" s="1102">
        <v>-32492.38742113761</v>
      </c>
      <c r="BK14" s="1102">
        <v>-33050.758254056862</v>
      </c>
      <c r="BL14" s="1102">
        <v>-34936.122769962763</v>
      </c>
      <c r="BM14" s="1102">
        <v>-34835.14272265559</v>
      </c>
      <c r="BN14" s="1102">
        <v>-34961.624727133567</v>
      </c>
      <c r="BO14" s="1102">
        <v>-33192.38086397967</v>
      </c>
    </row>
    <row r="15" spans="1:67" ht="22.5" customHeight="1">
      <c r="A15" s="1095" t="s">
        <v>2619</v>
      </c>
      <c r="B15" s="1096">
        <v>249049.64576347667</v>
      </c>
      <c r="C15" s="1096">
        <v>248807.77216519357</v>
      </c>
      <c r="D15" s="1096">
        <v>251216.34014935835</v>
      </c>
      <c r="E15" s="1096">
        <v>252571.14770766054</v>
      </c>
      <c r="F15" s="1096">
        <v>263772.26442897564</v>
      </c>
      <c r="G15" s="1096">
        <v>267573.77706727927</v>
      </c>
      <c r="H15" s="1096">
        <v>266546.19427709124</v>
      </c>
      <c r="I15" s="1096">
        <v>271927.19652940845</v>
      </c>
      <c r="J15" s="1096">
        <v>272605.20555799583</v>
      </c>
      <c r="K15" s="1096">
        <v>274950.3768216098</v>
      </c>
      <c r="L15" s="1096">
        <v>276946.48094082711</v>
      </c>
      <c r="M15" s="1096">
        <v>279011.90057742974</v>
      </c>
      <c r="N15" s="1096">
        <v>278925.50306888</v>
      </c>
      <c r="O15" s="1096">
        <v>281794.30187684559</v>
      </c>
      <c r="P15" s="1096">
        <v>282552.45791129809</v>
      </c>
      <c r="Q15" s="1096">
        <v>286531.20071991393</v>
      </c>
      <c r="R15" s="1096">
        <v>288418.86245035374</v>
      </c>
      <c r="S15" s="1096">
        <v>292124.32001177</v>
      </c>
      <c r="T15" s="1096">
        <v>295910.29042288021</v>
      </c>
      <c r="U15" s="1096">
        <v>298869.28538751893</v>
      </c>
      <c r="V15" s="1096">
        <v>304317.74497532001</v>
      </c>
      <c r="W15" s="1096">
        <v>313019.72673447238</v>
      </c>
      <c r="X15" s="1096">
        <v>311448.56077553553</v>
      </c>
      <c r="Y15" s="1096">
        <v>311128.60589472816</v>
      </c>
      <c r="Z15" s="1096">
        <v>311614.96213569335</v>
      </c>
      <c r="AA15" s="1096">
        <v>312053.74452528806</v>
      </c>
      <c r="AB15" s="1096">
        <v>316252.63222865073</v>
      </c>
      <c r="AC15" s="1096">
        <v>322237.36142590013</v>
      </c>
      <c r="AD15" s="1096">
        <v>328425.03858686506</v>
      </c>
      <c r="AE15" s="1096">
        <v>339992.21987458714</v>
      </c>
      <c r="AF15" s="1096">
        <v>344302.14351216564</v>
      </c>
      <c r="AG15" s="1096">
        <v>346757.92890193791</v>
      </c>
      <c r="AH15" s="1096">
        <v>349337.3042439954</v>
      </c>
      <c r="AI15" s="1096">
        <v>353848.9233560444</v>
      </c>
      <c r="AJ15" s="1096">
        <v>357405.8505580473</v>
      </c>
      <c r="AK15" s="1096">
        <v>364273.63872408582</v>
      </c>
      <c r="AL15" s="1096">
        <v>365700.0106858334</v>
      </c>
      <c r="AM15" s="1096">
        <v>372023.55270095082</v>
      </c>
      <c r="AN15" s="1096">
        <v>369763.25433820789</v>
      </c>
      <c r="AO15" s="1096">
        <v>373549.03799787484</v>
      </c>
      <c r="AP15" s="1096">
        <v>371865.91460924759</v>
      </c>
      <c r="AQ15" s="1097">
        <v>371452.23091788462</v>
      </c>
      <c r="AR15" s="1096">
        <v>381516.64452129643</v>
      </c>
      <c r="AS15" s="1096">
        <v>403214.62648758269</v>
      </c>
      <c r="AT15" s="1096">
        <v>409852.99746432231</v>
      </c>
      <c r="AU15" s="1096">
        <v>403332.10506721033</v>
      </c>
      <c r="AV15" s="1096">
        <v>406428.21979282878</v>
      </c>
      <c r="AW15" s="1096">
        <v>413415.51091962063</v>
      </c>
      <c r="AX15" s="1096">
        <v>398598.84518461511</v>
      </c>
      <c r="AY15" s="1096">
        <v>401054.46897641121</v>
      </c>
      <c r="AZ15" s="1098">
        <v>402940.77149325609</v>
      </c>
      <c r="BA15" s="1098">
        <v>403970.49852973624</v>
      </c>
      <c r="BB15" s="1098">
        <v>398087.2159975979</v>
      </c>
      <c r="BC15" s="1098">
        <v>391977.25670871098</v>
      </c>
      <c r="BD15" s="1098">
        <v>390386.78573823883</v>
      </c>
      <c r="BE15" s="1098">
        <v>389133.07236688572</v>
      </c>
      <c r="BF15" s="1098">
        <v>390326.26670956856</v>
      </c>
      <c r="BG15" s="1098">
        <v>394713.68888715311</v>
      </c>
      <c r="BH15" s="1098">
        <v>403626.6251230645</v>
      </c>
      <c r="BI15" s="1098">
        <v>402034.5757675668</v>
      </c>
      <c r="BJ15" s="1098">
        <v>403049.78413234965</v>
      </c>
      <c r="BK15" s="1098">
        <v>406708.58711020421</v>
      </c>
      <c r="BL15" s="1098">
        <v>420833.52840106789</v>
      </c>
      <c r="BM15" s="1098">
        <v>409999.09764211479</v>
      </c>
      <c r="BN15" s="1098">
        <v>410049.14788507775</v>
      </c>
      <c r="BO15" s="1098">
        <v>414496.7706509392</v>
      </c>
    </row>
    <row r="16" spans="1:67" ht="22.5" customHeight="1">
      <c r="A16" s="1099"/>
      <c r="B16" s="1100"/>
      <c r="C16" s="1100"/>
      <c r="D16" s="1100"/>
      <c r="E16" s="1100"/>
      <c r="F16" s="1100"/>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c r="AP16" s="1100"/>
      <c r="AQ16" s="1101"/>
      <c r="AR16" s="1100"/>
      <c r="AS16" s="1100"/>
      <c r="AT16" s="1100"/>
      <c r="AU16" s="1100"/>
      <c r="AV16" s="1100"/>
      <c r="AW16" s="1100"/>
      <c r="AX16" s="1100"/>
      <c r="AY16" s="1100"/>
      <c r="AZ16" s="1102"/>
      <c r="BA16" s="1102"/>
      <c r="BB16" s="1102"/>
      <c r="BC16" s="1102"/>
      <c r="BD16" s="1102"/>
      <c r="BE16" s="1102"/>
      <c r="BF16" s="1102"/>
      <c r="BG16" s="1102"/>
      <c r="BH16" s="1102"/>
      <c r="BI16" s="1102"/>
      <c r="BJ16" s="1102"/>
      <c r="BK16" s="1102"/>
      <c r="BL16" s="1102"/>
      <c r="BM16" s="1102"/>
      <c r="BN16" s="1102"/>
      <c r="BO16" s="1102"/>
    </row>
    <row r="17" spans="1:67" ht="22.5" customHeight="1">
      <c r="A17" s="1095" t="s">
        <v>2620</v>
      </c>
      <c r="B17" s="1096">
        <v>279735.10531540611</v>
      </c>
      <c r="C17" s="1096">
        <v>280832.71616430738</v>
      </c>
      <c r="D17" s="1096">
        <v>281427.58380275633</v>
      </c>
      <c r="E17" s="1096">
        <v>282053.88717788778</v>
      </c>
      <c r="F17" s="1096">
        <v>286161.75081736082</v>
      </c>
      <c r="G17" s="1096">
        <v>286852.74157677876</v>
      </c>
      <c r="H17" s="1096">
        <v>281980.74913940532</v>
      </c>
      <c r="I17" s="1096">
        <v>282105.32767522556</v>
      </c>
      <c r="J17" s="1096">
        <v>283581.44315563818</v>
      </c>
      <c r="K17" s="1096">
        <v>287418.95498439157</v>
      </c>
      <c r="L17" s="1096">
        <v>288135.77511421102</v>
      </c>
      <c r="M17" s="1096">
        <v>300231.38741758832</v>
      </c>
      <c r="N17" s="1096">
        <v>298556.62578708364</v>
      </c>
      <c r="O17" s="1096">
        <v>298369.33004481444</v>
      </c>
      <c r="P17" s="1096">
        <v>298155.4975326315</v>
      </c>
      <c r="Q17" s="1096">
        <v>299059.78403224464</v>
      </c>
      <c r="R17" s="1096">
        <v>299494.63948161434</v>
      </c>
      <c r="S17" s="1096">
        <v>306227.71706558566</v>
      </c>
      <c r="T17" s="1096">
        <v>305393.34314475313</v>
      </c>
      <c r="U17" s="1096">
        <v>308770.06989294145</v>
      </c>
      <c r="V17" s="1096">
        <v>309120.82380339794</v>
      </c>
      <c r="W17" s="1096">
        <v>309586.03971583769</v>
      </c>
      <c r="X17" s="1096">
        <v>312758.67268372775</v>
      </c>
      <c r="Y17" s="1096">
        <v>319536.66994800227</v>
      </c>
      <c r="Z17" s="1096">
        <v>318174.79569418327</v>
      </c>
      <c r="AA17" s="1096">
        <v>318311.51350059046</v>
      </c>
      <c r="AB17" s="1096">
        <v>321028.1330225463</v>
      </c>
      <c r="AC17" s="1096">
        <v>321243.46464984753</v>
      </c>
      <c r="AD17" s="1096">
        <v>323994.44183545001</v>
      </c>
      <c r="AE17" s="1096">
        <v>327851.02421752224</v>
      </c>
      <c r="AF17" s="1096">
        <v>328873.41930057184</v>
      </c>
      <c r="AG17" s="1096">
        <v>329210.58830269566</v>
      </c>
      <c r="AH17" s="1096">
        <v>331263.67529123975</v>
      </c>
      <c r="AI17" s="1096">
        <v>334358.44301515532</v>
      </c>
      <c r="AJ17" s="1096">
        <v>336572.52553336316</v>
      </c>
      <c r="AK17" s="1096">
        <v>345617.19551340822</v>
      </c>
      <c r="AL17" s="1096">
        <v>340908.92052914307</v>
      </c>
      <c r="AM17" s="1096">
        <v>344826.53440251615</v>
      </c>
      <c r="AN17" s="1096">
        <v>348245.69090443774</v>
      </c>
      <c r="AO17" s="1096">
        <v>346565.10847846698</v>
      </c>
      <c r="AP17" s="1096">
        <v>346712.14590246271</v>
      </c>
      <c r="AQ17" s="1097">
        <v>351375.81885802944</v>
      </c>
      <c r="AR17" s="1096">
        <v>352944.69968920405</v>
      </c>
      <c r="AS17" s="1096">
        <v>351417.83862996538</v>
      </c>
      <c r="AT17" s="1096">
        <v>350499.23615290475</v>
      </c>
      <c r="AU17" s="1096">
        <v>349810.86009880248</v>
      </c>
      <c r="AV17" s="1096">
        <v>354693.08322884847</v>
      </c>
      <c r="AW17" s="1096">
        <v>365608.73772902408</v>
      </c>
      <c r="AX17" s="1096">
        <v>364980.69233736565</v>
      </c>
      <c r="AY17" s="1096">
        <v>369066.6968826761</v>
      </c>
      <c r="AZ17" s="1098">
        <v>371778.39312112692</v>
      </c>
      <c r="BA17" s="1098">
        <v>372675.4736776097</v>
      </c>
      <c r="BB17" s="1098">
        <v>374448.43718937907</v>
      </c>
      <c r="BC17" s="1098">
        <v>378456.25837457663</v>
      </c>
      <c r="BD17" s="1098">
        <v>377725.22592014022</v>
      </c>
      <c r="BE17" s="1098">
        <v>379201.60618379351</v>
      </c>
      <c r="BF17" s="1098">
        <v>379536.06867122132</v>
      </c>
      <c r="BG17" s="1098">
        <v>386009.67288569751</v>
      </c>
      <c r="BH17" s="1098">
        <v>389293.57228882512</v>
      </c>
      <c r="BI17" s="1098">
        <v>397556.54743014235</v>
      </c>
      <c r="BJ17" s="1098">
        <v>399865.77736164047</v>
      </c>
      <c r="BK17" s="1098">
        <v>404452.45097584795</v>
      </c>
      <c r="BL17" s="1098">
        <v>410915.27725647902</v>
      </c>
      <c r="BM17" s="1098">
        <v>410066.84698475082</v>
      </c>
      <c r="BN17" s="1098">
        <v>411917.76295781805</v>
      </c>
      <c r="BO17" s="1098">
        <v>418402.1040415793</v>
      </c>
    </row>
    <row r="18" spans="1:67" ht="22.5" customHeight="1">
      <c r="A18" s="1099" t="s">
        <v>2621</v>
      </c>
      <c r="B18" s="1100">
        <v>16171.960026841442</v>
      </c>
      <c r="C18" s="1100">
        <v>15979.91850439056</v>
      </c>
      <c r="D18" s="1100">
        <v>15845.174678718537</v>
      </c>
      <c r="E18" s="1100">
        <v>16036.327574022576</v>
      </c>
      <c r="F18" s="1100">
        <v>16227.254416493</v>
      </c>
      <c r="G18" s="1100">
        <v>15904.557043885219</v>
      </c>
      <c r="H18" s="1100">
        <v>16369.72122726513</v>
      </c>
      <c r="I18" s="1100">
        <v>16281.244842284286</v>
      </c>
      <c r="J18" s="1100">
        <v>16241.98075845217</v>
      </c>
      <c r="K18" s="1100">
        <v>16473.996105313156</v>
      </c>
      <c r="L18" s="1100">
        <v>16722.43897559122</v>
      </c>
      <c r="M18" s="1100">
        <v>18975.00627066891</v>
      </c>
      <c r="N18" s="1100">
        <v>18010.593082900661</v>
      </c>
      <c r="O18" s="1100">
        <v>17749.329653375993</v>
      </c>
      <c r="P18" s="1100">
        <v>17492.407133231849</v>
      </c>
      <c r="Q18" s="1100">
        <v>17646.497592686108</v>
      </c>
      <c r="R18" s="1100">
        <v>17594.772439179418</v>
      </c>
      <c r="S18" s="1100">
        <v>17516.570603709999</v>
      </c>
      <c r="T18" s="1100">
        <v>18045.28066906859</v>
      </c>
      <c r="U18" s="1100">
        <v>18269.48957031875</v>
      </c>
      <c r="V18" s="1100">
        <v>17957.873646394451</v>
      </c>
      <c r="W18" s="1100">
        <v>18294.304306683178</v>
      </c>
      <c r="X18" s="1100">
        <v>17891.407119467127</v>
      </c>
      <c r="Y18" s="1100">
        <v>20307.786446312799</v>
      </c>
      <c r="Z18" s="1100">
        <v>19209.573208944617</v>
      </c>
      <c r="AA18" s="1100">
        <v>18923.022119759327</v>
      </c>
      <c r="AB18" s="1100">
        <v>18978.695497382181</v>
      </c>
      <c r="AC18" s="1100">
        <v>18961.549992068227</v>
      </c>
      <c r="AD18" s="1100">
        <v>18678.032246711129</v>
      </c>
      <c r="AE18" s="1100">
        <v>19013.633662171218</v>
      </c>
      <c r="AF18" s="1100">
        <v>19228.100893541679</v>
      </c>
      <c r="AG18" s="1100">
        <v>19287.1599017013</v>
      </c>
      <c r="AH18" s="1100">
        <v>19233.798105900332</v>
      </c>
      <c r="AI18" s="1100">
        <v>19257.554559318651</v>
      </c>
      <c r="AJ18" s="1100">
        <v>19629.552590686868</v>
      </c>
      <c r="AK18" s="1100">
        <v>22169.717386902448</v>
      </c>
      <c r="AL18" s="1100">
        <v>20964.304899561892</v>
      </c>
      <c r="AM18" s="1100">
        <v>20780.286985424955</v>
      </c>
      <c r="AN18" s="1100">
        <v>20987.016268127656</v>
      </c>
      <c r="AO18" s="1100">
        <v>20656.089712851328</v>
      </c>
      <c r="AP18" s="1100">
        <v>20557.306859228109</v>
      </c>
      <c r="AQ18" s="1101">
        <v>20523.48661882988</v>
      </c>
      <c r="AR18" s="1100">
        <v>20820.159883091204</v>
      </c>
      <c r="AS18" s="1100">
        <v>20987.512445111654</v>
      </c>
      <c r="AT18" s="1100">
        <v>20664.185177378316</v>
      </c>
      <c r="AU18" s="1100">
        <v>20702.891560809614</v>
      </c>
      <c r="AV18" s="1100">
        <v>20888.105552438185</v>
      </c>
      <c r="AW18" s="1100">
        <v>23316.684992015878</v>
      </c>
      <c r="AX18" s="1100">
        <v>22265.883860057205</v>
      </c>
      <c r="AY18" s="1100">
        <v>22077.566872167037</v>
      </c>
      <c r="AZ18" s="1102">
        <v>22090.400144122301</v>
      </c>
      <c r="BA18" s="1102">
        <v>21718.536421617555</v>
      </c>
      <c r="BB18" s="1102">
        <v>21737.2264592838</v>
      </c>
      <c r="BC18" s="1102">
        <v>21684.992832060678</v>
      </c>
      <c r="BD18" s="1102">
        <v>22175.789473345048</v>
      </c>
      <c r="BE18" s="1102">
        <v>22196.112731025903</v>
      </c>
      <c r="BF18" s="1102">
        <v>21848.23998536943</v>
      </c>
      <c r="BG18" s="1102">
        <v>22102.50724703589</v>
      </c>
      <c r="BH18" s="1102">
        <v>22503.624769895934</v>
      </c>
      <c r="BI18" s="1102">
        <v>25391.16857677501</v>
      </c>
      <c r="BJ18" s="1102">
        <v>24029.803890028252</v>
      </c>
      <c r="BK18" s="1102">
        <v>24013.562842210038</v>
      </c>
      <c r="BL18" s="1102">
        <v>23784.870318967191</v>
      </c>
      <c r="BM18" s="1102">
        <v>23912.218911613985</v>
      </c>
      <c r="BN18" s="1102">
        <v>24220.596316528303</v>
      </c>
      <c r="BO18" s="1102">
        <v>24017.50101763201</v>
      </c>
    </row>
    <row r="19" spans="1:67" ht="22.5" customHeight="1">
      <c r="A19" s="1099" t="s">
        <v>2622</v>
      </c>
      <c r="B19" s="1100">
        <v>68440.163460267344</v>
      </c>
      <c r="C19" s="1100">
        <v>69678.376510214075</v>
      </c>
      <c r="D19" s="1100">
        <v>70239.198428667893</v>
      </c>
      <c r="E19" s="1100">
        <v>68357.192898560214</v>
      </c>
      <c r="F19" s="1100">
        <v>70233.514626166798</v>
      </c>
      <c r="G19" s="1100">
        <v>71294.937109063059</v>
      </c>
      <c r="H19" s="1100">
        <v>64491.572058049554</v>
      </c>
      <c r="I19" s="1100">
        <v>60686.73659774851</v>
      </c>
      <c r="J19" s="1100">
        <v>62178.475800750988</v>
      </c>
      <c r="K19" s="1100">
        <v>64317.477482118862</v>
      </c>
      <c r="L19" s="1100">
        <v>62986.395870102693</v>
      </c>
      <c r="M19" s="1100">
        <v>66822.635577947105</v>
      </c>
      <c r="N19" s="1100">
        <v>66857.771529601625</v>
      </c>
      <c r="O19" s="1100">
        <v>64726.969441204834</v>
      </c>
      <c r="P19" s="1100">
        <v>64935.200147133197</v>
      </c>
      <c r="Q19" s="1100">
        <v>64094.286390514229</v>
      </c>
      <c r="R19" s="1100">
        <v>64820.00739616865</v>
      </c>
      <c r="S19" s="1100">
        <v>67735.366582814095</v>
      </c>
      <c r="T19" s="1100">
        <v>65055.410495106407</v>
      </c>
      <c r="U19" s="1100">
        <v>67323.280074791997</v>
      </c>
      <c r="V19" s="1100">
        <v>67629.257695279957</v>
      </c>
      <c r="W19" s="1100">
        <v>66022.057503493124</v>
      </c>
      <c r="X19" s="1100">
        <v>69189.806936289024</v>
      </c>
      <c r="Y19" s="1100">
        <v>69425.492196942403</v>
      </c>
      <c r="Z19" s="1100">
        <v>70418.374468171169</v>
      </c>
      <c r="AA19" s="1100">
        <v>68961.007171570134</v>
      </c>
      <c r="AB19" s="1100">
        <v>68966.851754985924</v>
      </c>
      <c r="AC19" s="1100">
        <v>69935.361099149726</v>
      </c>
      <c r="AD19" s="1100">
        <v>71130.84171565772</v>
      </c>
      <c r="AE19" s="1100">
        <v>72252.999345979173</v>
      </c>
      <c r="AF19" s="1100">
        <v>71299.755115606196</v>
      </c>
      <c r="AG19" s="1100">
        <v>70869.552863209348</v>
      </c>
      <c r="AH19" s="1100">
        <v>71457.467026263155</v>
      </c>
      <c r="AI19" s="1100">
        <v>72962.716282801557</v>
      </c>
      <c r="AJ19" s="1100">
        <v>74593.484911332082</v>
      </c>
      <c r="AK19" s="1100">
        <v>74630.800585144476</v>
      </c>
      <c r="AL19" s="1100">
        <v>71880.550028447236</v>
      </c>
      <c r="AM19" s="1100">
        <v>72487.703800614865</v>
      </c>
      <c r="AN19" s="1100">
        <v>73952.786544837218</v>
      </c>
      <c r="AO19" s="1100">
        <v>73243.379458741008</v>
      </c>
      <c r="AP19" s="1100">
        <v>72956.856921409402</v>
      </c>
      <c r="AQ19" s="1101">
        <v>74120.659506834359</v>
      </c>
      <c r="AR19" s="1100">
        <v>76839.86410492062</v>
      </c>
      <c r="AS19" s="1100">
        <v>76259.488607465886</v>
      </c>
      <c r="AT19" s="1100">
        <v>76067.447345451103</v>
      </c>
      <c r="AU19" s="1100">
        <v>74280.950089026097</v>
      </c>
      <c r="AV19" s="1100">
        <v>75857.213298872462</v>
      </c>
      <c r="AW19" s="1100">
        <v>80391.360526563571</v>
      </c>
      <c r="AX19" s="1100">
        <v>80999.115349685977</v>
      </c>
      <c r="AY19" s="1100">
        <v>83224.490832997486</v>
      </c>
      <c r="AZ19" s="1102">
        <v>80761.726575901353</v>
      </c>
      <c r="BA19" s="1102">
        <v>83553.175236591749</v>
      </c>
      <c r="BB19" s="1102">
        <v>84398.374121406901</v>
      </c>
      <c r="BC19" s="1102">
        <v>85000.136815015503</v>
      </c>
      <c r="BD19" s="1102">
        <v>81933.482744483175</v>
      </c>
      <c r="BE19" s="1102">
        <v>82539.57779023645</v>
      </c>
      <c r="BF19" s="1102">
        <v>83803.160893381122</v>
      </c>
      <c r="BG19" s="1102">
        <v>87258.911577917854</v>
      </c>
      <c r="BH19" s="1102">
        <v>89220.384338624048</v>
      </c>
      <c r="BI19" s="1102">
        <v>92719.247110435957</v>
      </c>
      <c r="BJ19" s="1102">
        <v>93199.697006633709</v>
      </c>
      <c r="BK19" s="1102">
        <v>96562.361285275372</v>
      </c>
      <c r="BL19" s="1102">
        <v>100592.56512339406</v>
      </c>
      <c r="BM19" s="1102">
        <v>101556.93585501333</v>
      </c>
      <c r="BN19" s="1102">
        <v>100795.75258034824</v>
      </c>
      <c r="BO19" s="1102">
        <v>102269.97744766194</v>
      </c>
    </row>
    <row r="20" spans="1:67" ht="22.5" customHeight="1">
      <c r="A20" s="1099" t="s">
        <v>2623</v>
      </c>
      <c r="B20" s="1100">
        <v>86002.005008486682</v>
      </c>
      <c r="C20" s="1100">
        <v>86430.334994463396</v>
      </c>
      <c r="D20" s="1100">
        <v>87980.657385565777</v>
      </c>
      <c r="E20" s="1100">
        <v>88701.149805639681</v>
      </c>
      <c r="F20" s="1100">
        <v>89270.248456882007</v>
      </c>
      <c r="G20" s="1100">
        <v>89154.323627973514</v>
      </c>
      <c r="H20" s="1100">
        <v>90701.193436550544</v>
      </c>
      <c r="I20" s="1100">
        <v>94966.115896958989</v>
      </c>
      <c r="J20" s="1100">
        <v>96640.404973560464</v>
      </c>
      <c r="K20" s="1100">
        <v>98032.756931829164</v>
      </c>
      <c r="L20" s="1100">
        <v>97861.717844145649</v>
      </c>
      <c r="M20" s="1100">
        <v>103724.85564967337</v>
      </c>
      <c r="N20" s="1100">
        <v>104389.22207054911</v>
      </c>
      <c r="O20" s="1100">
        <v>106664.57534290411</v>
      </c>
      <c r="P20" s="1100">
        <v>107206.88138370164</v>
      </c>
      <c r="Q20" s="1100">
        <v>108620.08748099591</v>
      </c>
      <c r="R20" s="1100">
        <v>107655.14280378608</v>
      </c>
      <c r="S20" s="1100">
        <v>108184.74986758425</v>
      </c>
      <c r="T20" s="1100">
        <v>108733.92540058088</v>
      </c>
      <c r="U20" s="1100">
        <v>109085.11095657838</v>
      </c>
      <c r="V20" s="1100">
        <v>108846.39305074242</v>
      </c>
      <c r="W20" s="1100">
        <v>109719.8377185056</v>
      </c>
      <c r="X20" s="1100">
        <v>109948.1827041051</v>
      </c>
      <c r="Y20" s="1100">
        <v>114277.70110134366</v>
      </c>
      <c r="Z20" s="1100">
        <v>113985.53990418378</v>
      </c>
      <c r="AA20" s="1100">
        <v>116610.20363369156</v>
      </c>
      <c r="AB20" s="1100">
        <v>117693.25363014425</v>
      </c>
      <c r="AC20" s="1100">
        <v>116060.31403665496</v>
      </c>
      <c r="AD20" s="1100">
        <v>116163.6332307518</v>
      </c>
      <c r="AE20" s="1100">
        <v>118175.51892211345</v>
      </c>
      <c r="AF20" s="1100">
        <v>117894.59109897181</v>
      </c>
      <c r="AG20" s="1100">
        <v>117293.51383782346</v>
      </c>
      <c r="AH20" s="1100">
        <v>118335.53065373108</v>
      </c>
      <c r="AI20" s="1100">
        <v>118419.04652726192</v>
      </c>
      <c r="AJ20" s="1100">
        <v>120267.96107586552</v>
      </c>
      <c r="AK20" s="1100">
        <v>123940.24706978291</v>
      </c>
      <c r="AL20" s="1100">
        <v>125927.59113183178</v>
      </c>
      <c r="AM20" s="1100">
        <v>127700.67489801101</v>
      </c>
      <c r="AN20" s="1100">
        <v>130221.61249399875</v>
      </c>
      <c r="AO20" s="1100">
        <v>129555.58381315233</v>
      </c>
      <c r="AP20" s="1100">
        <v>130874.52793089766</v>
      </c>
      <c r="AQ20" s="1101">
        <v>132412.54231621322</v>
      </c>
      <c r="AR20" s="1100">
        <v>134150.43078186901</v>
      </c>
      <c r="AS20" s="1100">
        <v>132965.69728082433</v>
      </c>
      <c r="AT20" s="1100">
        <v>132891.3405092886</v>
      </c>
      <c r="AU20" s="1100">
        <v>131916.76361065177</v>
      </c>
      <c r="AV20" s="1100">
        <v>132916.41188870533</v>
      </c>
      <c r="AW20" s="1100">
        <v>137028.58257943401</v>
      </c>
      <c r="AX20" s="1100">
        <v>139536.17451725059</v>
      </c>
      <c r="AY20" s="1100">
        <v>141374.11037787879</v>
      </c>
      <c r="AZ20" s="1102">
        <v>143389.44134980321</v>
      </c>
      <c r="BA20" s="1102">
        <v>143137.20575972123</v>
      </c>
      <c r="BB20" s="1102">
        <v>143112.36780075575</v>
      </c>
      <c r="BC20" s="1102">
        <v>145274.23009115169</v>
      </c>
      <c r="BD20" s="1102">
        <v>146738.11960623346</v>
      </c>
      <c r="BE20" s="1102">
        <v>146609.26600948314</v>
      </c>
      <c r="BF20" s="1102">
        <v>147441.75915400017</v>
      </c>
      <c r="BG20" s="1102">
        <v>150897.85414947488</v>
      </c>
      <c r="BH20" s="1102">
        <v>150022.70341062004</v>
      </c>
      <c r="BI20" s="1102">
        <v>151721.29844907482</v>
      </c>
      <c r="BJ20" s="1102">
        <v>155891.4138969772</v>
      </c>
      <c r="BK20" s="1102">
        <v>157687.33850349611</v>
      </c>
      <c r="BL20" s="1102">
        <v>157723.53110445768</v>
      </c>
      <c r="BM20" s="1102">
        <v>158508.70418172545</v>
      </c>
      <c r="BN20" s="1102">
        <v>159802.28138109492</v>
      </c>
      <c r="BO20" s="1102">
        <v>162367.58641059365</v>
      </c>
    </row>
    <row r="21" spans="1:67" ht="22.5" customHeight="1">
      <c r="A21" s="1099" t="s">
        <v>2624</v>
      </c>
      <c r="B21" s="1100">
        <v>108337.33309446063</v>
      </c>
      <c r="C21" s="1100">
        <v>107949.05189360936</v>
      </c>
      <c r="D21" s="1100">
        <v>106556.19188693419</v>
      </c>
      <c r="E21" s="1100">
        <v>108142.09769579527</v>
      </c>
      <c r="F21" s="1100">
        <v>109601.04232438894</v>
      </c>
      <c r="G21" s="1100">
        <v>109657.16420816696</v>
      </c>
      <c r="H21" s="1100">
        <v>109576.92049539011</v>
      </c>
      <c r="I21" s="1100">
        <v>109016.7679681938</v>
      </c>
      <c r="J21" s="1100">
        <v>107157.51622137454</v>
      </c>
      <c r="K21" s="1100">
        <v>107221.09582455043</v>
      </c>
      <c r="L21" s="1100">
        <v>109181.01668118146</v>
      </c>
      <c r="M21" s="1100">
        <v>109339.50361199888</v>
      </c>
      <c r="N21" s="1100">
        <v>107872.76478810217</v>
      </c>
      <c r="O21" s="1100">
        <v>107752.41611847951</v>
      </c>
      <c r="P21" s="1100">
        <v>106890.97035476481</v>
      </c>
      <c r="Q21" s="1100">
        <v>107008.91315902832</v>
      </c>
      <c r="R21" s="1100">
        <v>107524.86084521035</v>
      </c>
      <c r="S21" s="1100">
        <v>110727.71958847724</v>
      </c>
      <c r="T21" s="1100">
        <v>111186.35170496718</v>
      </c>
      <c r="U21" s="1100">
        <v>111785.71807500235</v>
      </c>
      <c r="V21" s="1100">
        <v>112630.6284661511</v>
      </c>
      <c r="W21" s="1100">
        <v>113433.63924819577</v>
      </c>
      <c r="X21" s="1100">
        <v>113678.05241101647</v>
      </c>
      <c r="Y21" s="1100">
        <v>113563.84232721348</v>
      </c>
      <c r="Z21" s="1100">
        <v>112576.62210909363</v>
      </c>
      <c r="AA21" s="1100">
        <v>111821.33194981936</v>
      </c>
      <c r="AB21" s="1100">
        <v>113383.38799960395</v>
      </c>
      <c r="AC21" s="1100">
        <v>114294.08627406454</v>
      </c>
      <c r="AD21" s="1100">
        <v>116172.37551745937</v>
      </c>
      <c r="AE21" s="1100">
        <v>116533.5371812285</v>
      </c>
      <c r="AF21" s="1100">
        <v>118514.46922049219</v>
      </c>
      <c r="AG21" s="1100">
        <v>119908.68858915771</v>
      </c>
      <c r="AH21" s="1100">
        <v>120422.23327013517</v>
      </c>
      <c r="AI21" s="1100">
        <v>121997.54910909318</v>
      </c>
      <c r="AJ21" s="1100">
        <v>120275.77831936871</v>
      </c>
      <c r="AK21" s="1100">
        <v>122902.1138271384</v>
      </c>
      <c r="AL21" s="1100">
        <v>119874.03095146213</v>
      </c>
      <c r="AM21" s="1100">
        <v>121506.56051536532</v>
      </c>
      <c r="AN21" s="1100">
        <v>119635.54512883411</v>
      </c>
      <c r="AO21" s="1100">
        <v>119366.46899796234</v>
      </c>
      <c r="AP21" s="1100">
        <v>118324.11332331387</v>
      </c>
      <c r="AQ21" s="1101">
        <v>120353.39135312781</v>
      </c>
      <c r="AR21" s="1100">
        <v>117329.01579842149</v>
      </c>
      <c r="AS21" s="1100">
        <v>117008.62830640456</v>
      </c>
      <c r="AT21" s="1100">
        <v>117002.29754481323</v>
      </c>
      <c r="AU21" s="1100">
        <v>119075.81281598069</v>
      </c>
      <c r="AV21" s="1100">
        <v>121223.42782561541</v>
      </c>
      <c r="AW21" s="1100">
        <v>121803.1134269164</v>
      </c>
      <c r="AX21" s="1100">
        <v>119349.71920997766</v>
      </c>
      <c r="AY21" s="1100">
        <v>119596.13610690634</v>
      </c>
      <c r="AZ21" s="1102">
        <v>122623.36647979006</v>
      </c>
      <c r="BA21" s="1102">
        <v>121427.41756610731</v>
      </c>
      <c r="BB21" s="1102">
        <v>121944.95395148022</v>
      </c>
      <c r="BC21" s="1102">
        <v>123269.48505004852</v>
      </c>
      <c r="BD21" s="1102">
        <v>123616.54998110369</v>
      </c>
      <c r="BE21" s="1102">
        <v>124673.50818016056</v>
      </c>
      <c r="BF21" s="1102">
        <v>123280.64256473699</v>
      </c>
      <c r="BG21" s="1102">
        <v>122581.84382541035</v>
      </c>
      <c r="BH21" s="1102">
        <v>124245.50618848442</v>
      </c>
      <c r="BI21" s="1102">
        <v>124366.85410919171</v>
      </c>
      <c r="BJ21" s="1102">
        <v>122248.23520598582</v>
      </c>
      <c r="BK21" s="1102">
        <v>121654.08884032573</v>
      </c>
      <c r="BL21" s="1102">
        <v>124372.0333632828</v>
      </c>
      <c r="BM21" s="1102">
        <v>122476.30088527317</v>
      </c>
      <c r="BN21" s="1102">
        <v>123616.41263148551</v>
      </c>
      <c r="BO21" s="1102">
        <v>126313.12867005773</v>
      </c>
    </row>
    <row r="22" spans="1:67" ht="22.5" customHeight="1">
      <c r="A22" s="1099" t="s">
        <v>2625</v>
      </c>
      <c r="B22" s="1100">
        <v>783.64372534999995</v>
      </c>
      <c r="C22" s="1100">
        <v>795.03426162999995</v>
      </c>
      <c r="D22" s="1100">
        <v>806.36142286999996</v>
      </c>
      <c r="E22" s="1100">
        <v>817.11920386999998</v>
      </c>
      <c r="F22" s="1100">
        <v>829.69099342999993</v>
      </c>
      <c r="G22" s="1100">
        <v>841.75958768999999</v>
      </c>
      <c r="H22" s="1100">
        <v>841.34192214999996</v>
      </c>
      <c r="I22" s="1100">
        <v>1154.4623700399998</v>
      </c>
      <c r="J22" s="1100">
        <v>1363.0654015</v>
      </c>
      <c r="K22" s="1100">
        <v>1373.6286405800001</v>
      </c>
      <c r="L22" s="1100">
        <v>1384.20574319</v>
      </c>
      <c r="M22" s="1100">
        <v>1369.3863073</v>
      </c>
      <c r="N22" s="1100">
        <v>1426.2743159300001</v>
      </c>
      <c r="O22" s="1100">
        <v>1476.03948885</v>
      </c>
      <c r="P22" s="1100">
        <v>1630.0385137999997</v>
      </c>
      <c r="Q22" s="1100">
        <v>1689.9994090199998</v>
      </c>
      <c r="R22" s="1100">
        <v>1899.85599727</v>
      </c>
      <c r="S22" s="1100">
        <v>2063.3104229999999</v>
      </c>
      <c r="T22" s="1100">
        <v>2372.3748750300001</v>
      </c>
      <c r="U22" s="1100">
        <v>2306.47121625</v>
      </c>
      <c r="V22" s="1100">
        <v>2056.6709448299998</v>
      </c>
      <c r="W22" s="1100">
        <v>2116.2009389599998</v>
      </c>
      <c r="X22" s="1100">
        <v>2051.2235128499997</v>
      </c>
      <c r="Y22" s="1100">
        <v>1961.8478761899999</v>
      </c>
      <c r="Z22" s="1100">
        <v>1984.6860037900001</v>
      </c>
      <c r="AA22" s="1100">
        <v>1995.9486257499998</v>
      </c>
      <c r="AB22" s="1100">
        <v>2005.9441404300003</v>
      </c>
      <c r="AC22" s="1100">
        <v>1992.1532479099997</v>
      </c>
      <c r="AD22" s="1100">
        <v>1849.5591248699998</v>
      </c>
      <c r="AE22" s="1100">
        <v>1875.3351060299997</v>
      </c>
      <c r="AF22" s="1100">
        <v>1936.5029719600002</v>
      </c>
      <c r="AG22" s="1100">
        <v>1851.673110803793</v>
      </c>
      <c r="AH22" s="1100">
        <v>1814.6462352099998</v>
      </c>
      <c r="AI22" s="1100">
        <v>1721.5765366799997</v>
      </c>
      <c r="AJ22" s="1100">
        <v>1805.74863611</v>
      </c>
      <c r="AK22" s="1100">
        <v>1974.3166444399999</v>
      </c>
      <c r="AL22" s="1100">
        <v>2262.4435178399999</v>
      </c>
      <c r="AM22" s="1100">
        <v>2351.3082030999999</v>
      </c>
      <c r="AN22" s="1100">
        <v>3448.7304686399993</v>
      </c>
      <c r="AO22" s="1100">
        <v>3743.5864957599997</v>
      </c>
      <c r="AP22" s="1100">
        <v>3999.3408676136651</v>
      </c>
      <c r="AQ22" s="1101">
        <v>3965.7390630241857</v>
      </c>
      <c r="AR22" s="1100">
        <v>3805.2291209016812</v>
      </c>
      <c r="AS22" s="1100">
        <v>4196.5119901589333</v>
      </c>
      <c r="AT22" s="1100">
        <v>3873.9655759735083</v>
      </c>
      <c r="AU22" s="1100">
        <v>3834.4420223342331</v>
      </c>
      <c r="AV22" s="1100">
        <v>3807.9246632170971</v>
      </c>
      <c r="AW22" s="1100">
        <v>3068.9962040941982</v>
      </c>
      <c r="AX22" s="1100">
        <v>2829.7994003941976</v>
      </c>
      <c r="AY22" s="1100">
        <v>2794.3926927264838</v>
      </c>
      <c r="AZ22" s="1102">
        <v>2913.4585715098992</v>
      </c>
      <c r="BA22" s="1102">
        <v>2839.1386935717792</v>
      </c>
      <c r="BB22" s="1102">
        <v>3255.5148564524297</v>
      </c>
      <c r="BC22" s="1102">
        <v>3227.4135863002011</v>
      </c>
      <c r="BD22" s="1102">
        <v>3261.284114974846</v>
      </c>
      <c r="BE22" s="1102">
        <v>3183.1414728874179</v>
      </c>
      <c r="BF22" s="1102">
        <v>3162.2660737335982</v>
      </c>
      <c r="BG22" s="1102">
        <v>3168.5560858585532</v>
      </c>
      <c r="BH22" s="1102">
        <v>3301.3535812006594</v>
      </c>
      <c r="BI22" s="1102">
        <v>3357.9791846648477</v>
      </c>
      <c r="BJ22" s="1102">
        <v>4496.627362015477</v>
      </c>
      <c r="BK22" s="1102">
        <v>4535.0995045407535</v>
      </c>
      <c r="BL22" s="1102">
        <v>4442.2773463772428</v>
      </c>
      <c r="BM22" s="1102">
        <v>3612.6871511249556</v>
      </c>
      <c r="BN22" s="1102">
        <v>3482.7200483611373</v>
      </c>
      <c r="BO22" s="1102">
        <v>3433.9104956339547</v>
      </c>
    </row>
    <row r="23" spans="1:67" ht="22.5" customHeight="1">
      <c r="A23" s="1099"/>
      <c r="B23" s="1100"/>
      <c r="C23" s="1100"/>
      <c r="D23" s="1100"/>
      <c r="E23" s="1100"/>
      <c r="F23" s="1100"/>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c r="AP23" s="1100"/>
      <c r="AQ23" s="1101"/>
      <c r="AR23" s="1100"/>
      <c r="AS23" s="1100"/>
      <c r="AT23" s="1100"/>
      <c r="AU23" s="1100"/>
      <c r="AV23" s="1100"/>
      <c r="AW23" s="1100"/>
      <c r="AX23" s="1100"/>
      <c r="AY23" s="1100"/>
      <c r="AZ23" s="1102"/>
      <c r="BA23" s="1102"/>
      <c r="BB23" s="1102"/>
      <c r="BC23" s="1102"/>
      <c r="BD23" s="1102"/>
      <c r="BE23" s="1102"/>
      <c r="BF23" s="1102"/>
      <c r="BG23" s="1102"/>
      <c r="BH23" s="1102"/>
      <c r="BI23" s="1102"/>
      <c r="BJ23" s="1102"/>
      <c r="BK23" s="1102"/>
      <c r="BL23" s="1102"/>
      <c r="BM23" s="1102"/>
      <c r="BN23" s="1102"/>
      <c r="BO23" s="1102"/>
    </row>
    <row r="24" spans="1:67" ht="22.5" customHeight="1">
      <c r="A24" s="1095" t="s">
        <v>2626</v>
      </c>
      <c r="B24" s="1096">
        <v>249421.72343086239</v>
      </c>
      <c r="C24" s="1096">
        <v>251683.73343534349</v>
      </c>
      <c r="D24" s="1096">
        <v>257276.41783137046</v>
      </c>
      <c r="E24" s="1096">
        <v>241033.05509909985</v>
      </c>
      <c r="F24" s="1096">
        <v>288315.54908923391</v>
      </c>
      <c r="G24" s="1096">
        <v>283503.54409989074</v>
      </c>
      <c r="H24" s="1096">
        <v>249900.05129821139</v>
      </c>
      <c r="I24" s="1096">
        <v>274403.34114791802</v>
      </c>
      <c r="J24" s="1096">
        <v>273840.96005234023</v>
      </c>
      <c r="K24" s="1096">
        <v>272862.97441161837</v>
      </c>
      <c r="L24" s="1096">
        <v>280448.80813903833</v>
      </c>
      <c r="M24" s="1096">
        <v>285127.22824227123</v>
      </c>
      <c r="N24" s="1096">
        <v>285949.76458674058</v>
      </c>
      <c r="O24" s="1096">
        <v>282375.20362944185</v>
      </c>
      <c r="P24" s="1096">
        <v>252128.57518651435</v>
      </c>
      <c r="Q24" s="1096">
        <v>269805.26106424408</v>
      </c>
      <c r="R24" s="1096">
        <v>262543.19234715501</v>
      </c>
      <c r="S24" s="1096">
        <v>288168.8524665783</v>
      </c>
      <c r="T24" s="1096">
        <v>277038.15307211183</v>
      </c>
      <c r="U24" s="1096">
        <v>259164.5096482696</v>
      </c>
      <c r="V24" s="1096">
        <v>263307.0499162362</v>
      </c>
      <c r="W24" s="1096">
        <v>265912.59229042806</v>
      </c>
      <c r="X24" s="1096">
        <v>316471.89617668418</v>
      </c>
      <c r="Y24" s="1096">
        <v>258985.93914751025</v>
      </c>
      <c r="Z24" s="1096">
        <v>233042.6677349048</v>
      </c>
      <c r="AA24" s="1096">
        <v>238005.48124106464</v>
      </c>
      <c r="AB24" s="1096">
        <v>285751.89270933071</v>
      </c>
      <c r="AC24" s="1096">
        <v>286056.20333105623</v>
      </c>
      <c r="AD24" s="1096">
        <v>302733.88373924565</v>
      </c>
      <c r="AE24" s="1096">
        <v>237864.52270123633</v>
      </c>
      <c r="AF24" s="1096">
        <v>265914.89481855725</v>
      </c>
      <c r="AG24" s="1096">
        <v>226927.0897155148</v>
      </c>
      <c r="AH24" s="1096">
        <v>250134.81187810071</v>
      </c>
      <c r="AI24" s="1096">
        <v>267919.57561633986</v>
      </c>
      <c r="AJ24" s="1096">
        <v>268153.0656253848</v>
      </c>
      <c r="AK24" s="1096">
        <v>270051.70861034992</v>
      </c>
      <c r="AL24" s="1096">
        <v>293471.38304344483</v>
      </c>
      <c r="AM24" s="1096">
        <v>238398.10249723177</v>
      </c>
      <c r="AN24" s="1096">
        <v>260379.11596963604</v>
      </c>
      <c r="AO24" s="1096">
        <v>270523.08078087622</v>
      </c>
      <c r="AP24" s="1096">
        <v>301490.54106999451</v>
      </c>
      <c r="AQ24" s="1097">
        <v>257271.601201841</v>
      </c>
      <c r="AR24" s="1096">
        <v>276146.1621269969</v>
      </c>
      <c r="AS24" s="1096">
        <v>260883.78672217965</v>
      </c>
      <c r="AT24" s="1096">
        <v>252727.34320697849</v>
      </c>
      <c r="AU24" s="1096">
        <v>249208.40920297554</v>
      </c>
      <c r="AV24" s="1096">
        <v>253196.13845745657</v>
      </c>
      <c r="AW24" s="1096">
        <v>273222.25759406434</v>
      </c>
      <c r="AX24" s="1096">
        <v>241915.47072696078</v>
      </c>
      <c r="AY24" s="1096">
        <v>243137.21030990247</v>
      </c>
      <c r="AZ24" s="1098">
        <v>235702.18005448813</v>
      </c>
      <c r="BA24" s="1098">
        <v>254404.93768176984</v>
      </c>
      <c r="BB24" s="1098">
        <v>240853.07088779513</v>
      </c>
      <c r="BC24" s="1098">
        <v>232663.42813653438</v>
      </c>
      <c r="BD24" s="1098">
        <v>245433.75948683362</v>
      </c>
      <c r="BE24" s="1098">
        <v>259585.97518630733</v>
      </c>
      <c r="BF24" s="1098">
        <v>292021.46188121906</v>
      </c>
      <c r="BG24" s="1098">
        <v>332187.15055583493</v>
      </c>
      <c r="BH24" s="1098">
        <v>299059.25030201982</v>
      </c>
      <c r="BI24" s="1098">
        <v>313590.94541086827</v>
      </c>
      <c r="BJ24" s="1098">
        <v>329814.14950376149</v>
      </c>
      <c r="BK24" s="1098">
        <v>332205.68413127831</v>
      </c>
      <c r="BL24" s="1098">
        <v>387381.33242654538</v>
      </c>
      <c r="BM24" s="1098">
        <v>398925.47232189035</v>
      </c>
      <c r="BN24" s="1098">
        <v>362703.98977607006</v>
      </c>
      <c r="BO24" s="1098">
        <v>350392.8567357529</v>
      </c>
    </row>
    <row r="25" spans="1:67" ht="22.5" customHeight="1">
      <c r="A25" s="1099"/>
      <c r="B25" s="1100"/>
      <c r="C25" s="1100"/>
      <c r="D25" s="1100"/>
      <c r="E25" s="1100"/>
      <c r="F25" s="1100"/>
      <c r="G25" s="1100"/>
      <c r="H25" s="1100"/>
      <c r="I25" s="1100"/>
      <c r="J25" s="1100"/>
      <c r="K25" s="1100"/>
      <c r="L25" s="1100"/>
      <c r="M25" s="1100"/>
      <c r="N25" s="1100"/>
      <c r="O25" s="1100"/>
      <c r="P25" s="1100"/>
      <c r="Q25" s="1100"/>
      <c r="R25" s="1100"/>
      <c r="S25" s="1100"/>
      <c r="T25" s="1100"/>
      <c r="U25" s="1100"/>
      <c r="V25" s="1100"/>
      <c r="W25" s="1100"/>
      <c r="X25" s="1100"/>
      <c r="Y25" s="1100"/>
      <c r="Z25" s="1100"/>
      <c r="AA25" s="1100"/>
      <c r="AB25" s="1100"/>
      <c r="AC25" s="1100"/>
      <c r="AD25" s="1100"/>
      <c r="AE25" s="1100"/>
      <c r="AF25" s="1100"/>
      <c r="AG25" s="1100"/>
      <c r="AH25" s="1100"/>
      <c r="AI25" s="1100"/>
      <c r="AJ25" s="1100"/>
      <c r="AK25" s="1100"/>
      <c r="AL25" s="1100"/>
      <c r="AM25" s="1100"/>
      <c r="AN25" s="1100"/>
      <c r="AO25" s="1100"/>
      <c r="AP25" s="1100"/>
      <c r="AQ25" s="1101"/>
      <c r="AR25" s="1100"/>
      <c r="AS25" s="1100"/>
      <c r="AT25" s="1100"/>
      <c r="AU25" s="1100"/>
      <c r="AV25" s="1100"/>
      <c r="AW25" s="1100"/>
      <c r="AX25" s="1100"/>
      <c r="AY25" s="1100"/>
      <c r="AZ25" s="1102"/>
      <c r="BA25" s="1102"/>
      <c r="BB25" s="1102"/>
      <c r="BC25" s="1102"/>
      <c r="BD25" s="1102"/>
      <c r="BE25" s="1102"/>
      <c r="BF25" s="1102"/>
      <c r="BG25" s="1102"/>
      <c r="BH25" s="1102"/>
      <c r="BI25" s="1102"/>
      <c r="BJ25" s="1102"/>
      <c r="BK25" s="1102"/>
      <c r="BL25" s="1102"/>
      <c r="BM25" s="1102"/>
      <c r="BN25" s="1102"/>
      <c r="BO25" s="1102"/>
    </row>
    <row r="26" spans="1:67" ht="22.5" customHeight="1">
      <c r="A26" s="1095" t="s">
        <v>2552</v>
      </c>
      <c r="B26" s="1096">
        <v>780.83335447802313</v>
      </c>
      <c r="C26" s="1096">
        <v>1307.3476262020708</v>
      </c>
      <c r="D26" s="1096">
        <v>870.795543418237</v>
      </c>
      <c r="E26" s="1096">
        <v>906.74831901740288</v>
      </c>
      <c r="F26" s="1096">
        <v>954.59610409870197</v>
      </c>
      <c r="G26" s="1096">
        <v>906.56745224829285</v>
      </c>
      <c r="H26" s="1096">
        <v>894.12479932191707</v>
      </c>
      <c r="I26" s="1096">
        <v>887.25715586064484</v>
      </c>
      <c r="J26" s="1096">
        <v>919.85558221704707</v>
      </c>
      <c r="K26" s="1096">
        <v>961.68873383604387</v>
      </c>
      <c r="L26" s="1096">
        <v>1030.751525010478</v>
      </c>
      <c r="M26" s="1096">
        <v>976.46441225026501</v>
      </c>
      <c r="N26" s="1096">
        <v>1032.181005959666</v>
      </c>
      <c r="O26" s="1096">
        <v>979.14362287489803</v>
      </c>
      <c r="P26" s="1096">
        <v>966.705862169488</v>
      </c>
      <c r="Q26" s="1096">
        <v>1075.990217483263</v>
      </c>
      <c r="R26" s="1096">
        <v>923.61436692454197</v>
      </c>
      <c r="S26" s="1096">
        <v>851.83847900000001</v>
      </c>
      <c r="T26" s="1096">
        <v>789.93033996162887</v>
      </c>
      <c r="U26" s="1096">
        <v>791.66040233189597</v>
      </c>
      <c r="V26" s="1096">
        <v>794.65907199350193</v>
      </c>
      <c r="W26" s="1096">
        <v>955.85218717974999</v>
      </c>
      <c r="X26" s="1096">
        <v>1215.5125553658072</v>
      </c>
      <c r="Y26" s="1096">
        <v>1020.2142982047188</v>
      </c>
      <c r="Z26" s="1096">
        <v>1087.052801120298</v>
      </c>
      <c r="AA26" s="1096">
        <v>1083.1315885791598</v>
      </c>
      <c r="AB26" s="1096">
        <v>1127.9859973855298</v>
      </c>
      <c r="AC26" s="1096">
        <v>1033.7024482868167</v>
      </c>
      <c r="AD26" s="1096">
        <v>990.86649687866691</v>
      </c>
      <c r="AE26" s="1096">
        <v>1121.32805768651</v>
      </c>
      <c r="AF26" s="1096">
        <v>980.20775901344587</v>
      </c>
      <c r="AG26" s="1096">
        <v>1064.886012827616</v>
      </c>
      <c r="AH26" s="1096">
        <v>1204.5198552601721</v>
      </c>
      <c r="AI26" s="1096">
        <v>1241.2385154657088</v>
      </c>
      <c r="AJ26" s="1096">
        <v>1028.0983960188648</v>
      </c>
      <c r="AK26" s="1096">
        <v>879.73782580783597</v>
      </c>
      <c r="AL26" s="1096">
        <v>1193.2356834366099</v>
      </c>
      <c r="AM26" s="1096">
        <v>1329.735668429548</v>
      </c>
      <c r="AN26" s="1096">
        <v>988.71528003862841</v>
      </c>
      <c r="AO26" s="1096">
        <v>964.18095770440732</v>
      </c>
      <c r="AP26" s="1096">
        <v>1096.9291484846294</v>
      </c>
      <c r="AQ26" s="1097">
        <v>1084.3626055967143</v>
      </c>
      <c r="AR26" s="1096">
        <v>1135.8648678761838</v>
      </c>
      <c r="AS26" s="1096">
        <v>4888.5457638808575</v>
      </c>
      <c r="AT26" s="1096">
        <v>4868.001493409859</v>
      </c>
      <c r="AU26" s="1096">
        <v>4806.9250192648806</v>
      </c>
      <c r="AV26" s="1096">
        <v>4816.5420333365264</v>
      </c>
      <c r="AW26" s="1096">
        <v>4574.4064544329376</v>
      </c>
      <c r="AX26" s="1096">
        <v>4727.197112639943</v>
      </c>
      <c r="AY26" s="1096">
        <v>4636.8743797893376</v>
      </c>
      <c r="AZ26" s="1098">
        <v>6153.2790808723958</v>
      </c>
      <c r="BA26" s="1098">
        <v>6317.0251469209325</v>
      </c>
      <c r="BB26" s="1098">
        <v>6775.2763834690504</v>
      </c>
      <c r="BC26" s="1098">
        <v>7221.3382246638403</v>
      </c>
      <c r="BD26" s="1098">
        <v>7417.7528081044275</v>
      </c>
      <c r="BE26" s="1098">
        <v>7346.3642344220962</v>
      </c>
      <c r="BF26" s="1098">
        <v>7299.1054236360369</v>
      </c>
      <c r="BG26" s="1098">
        <v>5230.226324397212</v>
      </c>
      <c r="BH26" s="1098">
        <v>4871.11785048207</v>
      </c>
      <c r="BI26" s="1098">
        <v>5417.5922189672183</v>
      </c>
      <c r="BJ26" s="1098">
        <v>5270.5671284441269</v>
      </c>
      <c r="BK26" s="1098">
        <v>5172.3431592074257</v>
      </c>
      <c r="BL26" s="1098">
        <v>5379.6882937291002</v>
      </c>
      <c r="BM26" s="1098">
        <v>6434.7642885129962</v>
      </c>
      <c r="BN26" s="1098">
        <v>6466.0513631093572</v>
      </c>
      <c r="BO26" s="1098">
        <v>2138.6519580786021</v>
      </c>
    </row>
    <row r="27" spans="1:67" ht="22.5" customHeight="1">
      <c r="A27" s="1099"/>
      <c r="B27" s="1100"/>
      <c r="C27" s="1100"/>
      <c r="D27" s="1100"/>
      <c r="E27" s="1100"/>
      <c r="F27" s="1100"/>
      <c r="G27" s="1100"/>
      <c r="H27" s="1100"/>
      <c r="I27" s="1100"/>
      <c r="J27" s="1100"/>
      <c r="K27" s="1100"/>
      <c r="L27" s="1100"/>
      <c r="M27" s="1100"/>
      <c r="N27" s="1100"/>
      <c r="O27" s="1100"/>
      <c r="P27" s="1100"/>
      <c r="Q27" s="1100"/>
      <c r="R27" s="1100"/>
      <c r="S27" s="1100"/>
      <c r="T27" s="1100"/>
      <c r="U27" s="1100"/>
      <c r="V27" s="1100"/>
      <c r="W27" s="1100"/>
      <c r="X27" s="1100"/>
      <c r="Y27" s="1100"/>
      <c r="Z27" s="1100"/>
      <c r="AA27" s="1100"/>
      <c r="AB27" s="1100"/>
      <c r="AC27" s="1100"/>
      <c r="AD27" s="1100"/>
      <c r="AE27" s="1100"/>
      <c r="AF27" s="1100"/>
      <c r="AG27" s="1100"/>
      <c r="AH27" s="1100"/>
      <c r="AI27" s="1100"/>
      <c r="AJ27" s="1100"/>
      <c r="AK27" s="1100"/>
      <c r="AL27" s="1100"/>
      <c r="AM27" s="1100"/>
      <c r="AN27" s="1100"/>
      <c r="AO27" s="1100"/>
      <c r="AP27" s="1100"/>
      <c r="AQ27" s="1101"/>
      <c r="AR27" s="1100"/>
      <c r="AS27" s="1100"/>
      <c r="AT27" s="1100"/>
      <c r="AU27" s="1100"/>
      <c r="AV27" s="1100"/>
      <c r="AW27" s="1100"/>
      <c r="AX27" s="1100"/>
      <c r="AY27" s="1100"/>
      <c r="AZ27" s="1102"/>
      <c r="BA27" s="1102"/>
      <c r="BB27" s="1102"/>
      <c r="BC27" s="1102"/>
      <c r="BD27" s="1102"/>
      <c r="BE27" s="1102"/>
      <c r="BF27" s="1102"/>
      <c r="BG27" s="1102"/>
      <c r="BH27" s="1102"/>
      <c r="BI27" s="1102"/>
      <c r="BJ27" s="1102"/>
      <c r="BK27" s="1102"/>
      <c r="BL27" s="1102"/>
      <c r="BM27" s="1102"/>
      <c r="BN27" s="1102"/>
      <c r="BO27" s="1102"/>
    </row>
    <row r="28" spans="1:67" ht="22.5" customHeight="1">
      <c r="A28" s="1095" t="s">
        <v>2312</v>
      </c>
      <c r="B28" s="1096">
        <v>954.40139647000001</v>
      </c>
      <c r="C28" s="1096">
        <v>773.83237627999995</v>
      </c>
      <c r="D28" s="1096">
        <v>832.74037261000001</v>
      </c>
      <c r="E28" s="1096">
        <v>877.0711045999999</v>
      </c>
      <c r="F28" s="1096">
        <v>912.78641126999992</v>
      </c>
      <c r="G28" s="1096">
        <v>990.83616271999995</v>
      </c>
      <c r="H28" s="1096">
        <v>1178.8645466399998</v>
      </c>
      <c r="I28" s="1096">
        <v>1144.15429767</v>
      </c>
      <c r="J28" s="1096">
        <v>935.40036557999997</v>
      </c>
      <c r="K28" s="1096">
        <v>736.85754703999999</v>
      </c>
      <c r="L28" s="1096">
        <v>890.49728249999998</v>
      </c>
      <c r="M28" s="1096">
        <v>1197.75504847</v>
      </c>
      <c r="N28" s="1096">
        <v>1098.23310578</v>
      </c>
      <c r="O28" s="1096">
        <v>1073.3048325499999</v>
      </c>
      <c r="P28" s="1096">
        <v>1154.3039894599997</v>
      </c>
      <c r="Q28" s="1096">
        <v>1163.7714331699999</v>
      </c>
      <c r="R28" s="1096">
        <v>1462.8666796499999</v>
      </c>
      <c r="S28" s="1096">
        <v>1434.5940000000001</v>
      </c>
      <c r="T28" s="1096">
        <v>1579.19917358</v>
      </c>
      <c r="U28" s="1096">
        <v>1497.92577121</v>
      </c>
      <c r="V28" s="1096">
        <v>1707.9922760499999</v>
      </c>
      <c r="W28" s="1096">
        <v>1700.3897597799998</v>
      </c>
      <c r="X28" s="1096">
        <v>1729.7772085899996</v>
      </c>
      <c r="Y28" s="1096">
        <v>1762.5908422200002</v>
      </c>
      <c r="Z28" s="1096">
        <v>1682.78710776</v>
      </c>
      <c r="AA28" s="1096">
        <v>1713.32924157</v>
      </c>
      <c r="AB28" s="1096">
        <v>1656.5536764200001</v>
      </c>
      <c r="AC28" s="1096">
        <v>1632.2673410399998</v>
      </c>
      <c r="AD28" s="1096">
        <v>1685.5414563100001</v>
      </c>
      <c r="AE28" s="1096">
        <v>1851.5900833599997</v>
      </c>
      <c r="AF28" s="1096">
        <v>1868.84614268</v>
      </c>
      <c r="AG28" s="1096">
        <v>1748.8815379</v>
      </c>
      <c r="AH28" s="1096">
        <v>1722.18598217</v>
      </c>
      <c r="AI28" s="1096">
        <v>1714.25887257</v>
      </c>
      <c r="AJ28" s="1096">
        <v>2049.9443790199998</v>
      </c>
      <c r="AK28" s="1096">
        <v>2023.3571086500001</v>
      </c>
      <c r="AL28" s="1096">
        <v>2043.31956182</v>
      </c>
      <c r="AM28" s="1096">
        <v>2002.55015974</v>
      </c>
      <c r="AN28" s="1096">
        <v>2078.8768424</v>
      </c>
      <c r="AO28" s="1096">
        <v>2122.2261027499999</v>
      </c>
      <c r="AP28" s="1096">
        <v>2003.80352659</v>
      </c>
      <c r="AQ28" s="1097">
        <v>2339.1142400200001</v>
      </c>
      <c r="AR28" s="1096">
        <v>2357.4444714199999</v>
      </c>
      <c r="AS28" s="1096">
        <v>2598.09075153</v>
      </c>
      <c r="AT28" s="1096">
        <v>3525.4559250552802</v>
      </c>
      <c r="AU28" s="1096">
        <v>3753.9238259589997</v>
      </c>
      <c r="AV28" s="1096">
        <v>3807.8426272781999</v>
      </c>
      <c r="AW28" s="1096">
        <v>4047.3651736438596</v>
      </c>
      <c r="AX28" s="1096">
        <v>4084.9571735700001</v>
      </c>
      <c r="AY28" s="1096">
        <v>4097.551853063861</v>
      </c>
      <c r="AZ28" s="1098">
        <v>4224.5270528158399</v>
      </c>
      <c r="BA28" s="1098">
        <v>4476.8457098246809</v>
      </c>
      <c r="BB28" s="1098">
        <v>4638.9772561358905</v>
      </c>
      <c r="BC28" s="1098">
        <v>4251.5199626081203</v>
      </c>
      <c r="BD28" s="1098">
        <v>4433.6908449118746</v>
      </c>
      <c r="BE28" s="1098">
        <v>4562.4686395815997</v>
      </c>
      <c r="BF28" s="1098">
        <v>4752.2897572731999</v>
      </c>
      <c r="BG28" s="1098">
        <v>4709.609627492101</v>
      </c>
      <c r="BH28" s="1098">
        <v>4851.0005767818602</v>
      </c>
      <c r="BI28" s="1098">
        <v>4642.3921049384098</v>
      </c>
      <c r="BJ28" s="1098">
        <v>4677.6723879410001</v>
      </c>
      <c r="BK28" s="1098">
        <v>4763.0074741839999</v>
      </c>
      <c r="BL28" s="1098">
        <v>4796.4405217106996</v>
      </c>
      <c r="BM28" s="1098">
        <v>4452.9241270059247</v>
      </c>
      <c r="BN28" s="1098">
        <v>4408.7073510668697</v>
      </c>
      <c r="BO28" s="1098">
        <v>4214.0726971081122</v>
      </c>
    </row>
    <row r="29" spans="1:67" ht="22.5" customHeight="1">
      <c r="A29" s="1099"/>
      <c r="B29" s="1100"/>
      <c r="C29" s="1100"/>
      <c r="D29" s="1100"/>
      <c r="E29" s="1100"/>
      <c r="F29" s="1100"/>
      <c r="G29" s="1100"/>
      <c r="H29" s="1100"/>
      <c r="I29" s="1100"/>
      <c r="J29" s="1100"/>
      <c r="K29" s="1100"/>
      <c r="L29" s="1100"/>
      <c r="M29" s="1100"/>
      <c r="N29" s="1100"/>
      <c r="O29" s="1100"/>
      <c r="P29" s="1100"/>
      <c r="Q29" s="1100"/>
      <c r="R29" s="1100"/>
      <c r="S29" s="1100"/>
      <c r="T29" s="1100"/>
      <c r="U29" s="1100"/>
      <c r="V29" s="1100"/>
      <c r="W29" s="1100"/>
      <c r="X29" s="1100"/>
      <c r="Y29" s="1100"/>
      <c r="Z29" s="1100"/>
      <c r="AA29" s="1100"/>
      <c r="AB29" s="1100"/>
      <c r="AC29" s="1100"/>
      <c r="AD29" s="1100"/>
      <c r="AE29" s="1100"/>
      <c r="AF29" s="1100"/>
      <c r="AG29" s="1100"/>
      <c r="AH29" s="1100"/>
      <c r="AI29" s="1100"/>
      <c r="AJ29" s="1100"/>
      <c r="AK29" s="1100"/>
      <c r="AL29" s="1100"/>
      <c r="AM29" s="1100"/>
      <c r="AN29" s="1100"/>
      <c r="AO29" s="1100"/>
      <c r="AP29" s="1100"/>
      <c r="AQ29" s="1101"/>
      <c r="AR29" s="1100"/>
      <c r="AS29" s="1100"/>
      <c r="AT29" s="1100"/>
      <c r="AU29" s="1100"/>
      <c r="AV29" s="1100"/>
      <c r="AW29" s="1100"/>
      <c r="AX29" s="1100"/>
      <c r="AY29" s="1100"/>
      <c r="AZ29" s="1102"/>
      <c r="BA29" s="1102"/>
      <c r="BB29" s="1102"/>
      <c r="BC29" s="1102"/>
      <c r="BD29" s="1102"/>
      <c r="BE29" s="1102"/>
      <c r="BF29" s="1102"/>
      <c r="BG29" s="1102"/>
      <c r="BH29" s="1102"/>
      <c r="BI29" s="1102"/>
      <c r="BJ29" s="1102"/>
      <c r="BK29" s="1102"/>
      <c r="BL29" s="1102"/>
      <c r="BM29" s="1102"/>
      <c r="BN29" s="1102"/>
      <c r="BO29" s="1102"/>
    </row>
    <row r="30" spans="1:67" ht="22.5" customHeight="1">
      <c r="A30" s="1095" t="s">
        <v>2510</v>
      </c>
      <c r="B30" s="1096">
        <v>8004.9418573799994</v>
      </c>
      <c r="C30" s="1096">
        <v>6345.2660890399993</v>
      </c>
      <c r="D30" s="1096">
        <v>7274.3973694999995</v>
      </c>
      <c r="E30" s="1096">
        <v>7471.1022488100007</v>
      </c>
      <c r="F30" s="1096">
        <v>12450.12102138</v>
      </c>
      <c r="G30" s="1096">
        <v>13043.306204839999</v>
      </c>
      <c r="H30" s="1096">
        <v>13172.8547151776</v>
      </c>
      <c r="I30" s="1096">
        <v>14515.80547266</v>
      </c>
      <c r="J30" s="1096">
        <v>13240.189651499</v>
      </c>
      <c r="K30" s="1096">
        <v>13236.251026315998</v>
      </c>
      <c r="L30" s="1096">
        <v>13317.192274773599</v>
      </c>
      <c r="M30" s="1096">
        <v>9501.1873320228879</v>
      </c>
      <c r="N30" s="1096">
        <v>10357.0032780292</v>
      </c>
      <c r="O30" s="1096">
        <v>11055.461459829201</v>
      </c>
      <c r="P30" s="1096">
        <v>11127.2517693058</v>
      </c>
      <c r="Q30" s="1096">
        <v>12865.488681405699</v>
      </c>
      <c r="R30" s="1096">
        <v>12319.008321619429</v>
      </c>
      <c r="S30" s="1096">
        <v>12482.525</v>
      </c>
      <c r="T30" s="1096">
        <v>14247.6379276189</v>
      </c>
      <c r="U30" s="1096">
        <v>14089.231251202</v>
      </c>
      <c r="V30" s="1096">
        <v>16530.263901124497</v>
      </c>
      <c r="W30" s="1096">
        <v>20328.644211066796</v>
      </c>
      <c r="X30" s="1096">
        <v>17594.954029616001</v>
      </c>
      <c r="Y30" s="1096">
        <v>17280.523779515599</v>
      </c>
      <c r="Z30" s="1096">
        <v>17821.451958536396</v>
      </c>
      <c r="AA30" s="1096">
        <v>18147.069136084898</v>
      </c>
      <c r="AB30" s="1096">
        <v>17882.999953672599</v>
      </c>
      <c r="AC30" s="1096">
        <v>20587.424013521402</v>
      </c>
      <c r="AD30" s="1096">
        <v>24441.2549489757</v>
      </c>
      <c r="AE30" s="1096">
        <v>27500.8282418255</v>
      </c>
      <c r="AF30" s="1096">
        <v>31205.986672913001</v>
      </c>
      <c r="AG30" s="1096">
        <v>29918.687292360497</v>
      </c>
      <c r="AH30" s="1096">
        <v>30731.6072824232</v>
      </c>
      <c r="AI30" s="1096">
        <v>31935.307121929403</v>
      </c>
      <c r="AJ30" s="1096">
        <v>31548.632029781798</v>
      </c>
      <c r="AK30" s="1096">
        <v>33922.982514620904</v>
      </c>
      <c r="AL30" s="1096">
        <v>37130.725390234526</v>
      </c>
      <c r="AM30" s="1096">
        <v>40196.987263964569</v>
      </c>
      <c r="AN30" s="1096">
        <v>36119.447936337179</v>
      </c>
      <c r="AO30" s="1096">
        <v>39442.185711229904</v>
      </c>
      <c r="AP30" s="1096">
        <v>37721.251117337226</v>
      </c>
      <c r="AQ30" s="1097">
        <v>31613.741695206623</v>
      </c>
      <c r="AR30" s="1096">
        <v>37412.899783422552</v>
      </c>
      <c r="AS30" s="1096">
        <v>54416.710918332916</v>
      </c>
      <c r="AT30" s="1096">
        <v>56432.192213846894</v>
      </c>
      <c r="AU30" s="1096">
        <v>50440.246592234478</v>
      </c>
      <c r="AV30" s="1096">
        <v>48881.789015601302</v>
      </c>
      <c r="AW30" s="1096">
        <v>48880.560964746386</v>
      </c>
      <c r="AX30" s="1096">
        <v>39948.766296267277</v>
      </c>
      <c r="AY30" s="1096">
        <v>38593.980605309778</v>
      </c>
      <c r="AZ30" s="1098">
        <v>40498.299068308806</v>
      </c>
      <c r="BA30" s="1098">
        <v>41178.206022089078</v>
      </c>
      <c r="BB30" s="1098">
        <v>33805.521873733574</v>
      </c>
      <c r="BC30" s="1098">
        <v>29398.686670884017</v>
      </c>
      <c r="BD30" s="1098">
        <v>27257.72379902887</v>
      </c>
      <c r="BE30" s="1098">
        <v>22869.704785399732</v>
      </c>
      <c r="BF30" s="1098">
        <v>24039.086564300596</v>
      </c>
      <c r="BG30" s="1098">
        <v>25613.554496006123</v>
      </c>
      <c r="BH30" s="1098">
        <v>26795.004876852636</v>
      </c>
      <c r="BI30" s="1098">
        <v>24875.937234929897</v>
      </c>
      <c r="BJ30" s="1098">
        <v>25516.752884201425</v>
      </c>
      <c r="BK30" s="1098">
        <v>27691.003048840001</v>
      </c>
      <c r="BL30" s="1098">
        <v>30158.965265442595</v>
      </c>
      <c r="BM30" s="1098">
        <v>25886.464964752795</v>
      </c>
      <c r="BN30" s="1098">
        <v>27114.111732047993</v>
      </c>
      <c r="BO30" s="1098">
        <v>24374.629169193489</v>
      </c>
    </row>
    <row r="31" spans="1:67" ht="22.5" customHeight="1">
      <c r="A31" s="1099"/>
      <c r="B31" s="1100"/>
      <c r="C31" s="1100"/>
      <c r="D31" s="1100"/>
      <c r="E31" s="1100"/>
      <c r="F31" s="1100"/>
      <c r="G31" s="1100"/>
      <c r="H31" s="1100"/>
      <c r="I31" s="1100"/>
      <c r="J31" s="1100"/>
      <c r="K31" s="1100"/>
      <c r="L31" s="1100"/>
      <c r="M31" s="1100"/>
      <c r="N31" s="1100"/>
      <c r="O31" s="1100"/>
      <c r="P31" s="1100"/>
      <c r="Q31" s="1100"/>
      <c r="R31" s="1100"/>
      <c r="S31" s="1100"/>
      <c r="T31" s="1100"/>
      <c r="U31" s="1100"/>
      <c r="V31" s="1100"/>
      <c r="W31" s="1100"/>
      <c r="X31" s="1100"/>
      <c r="Y31" s="1100"/>
      <c r="Z31" s="1100"/>
      <c r="AA31" s="1100"/>
      <c r="AB31" s="1100"/>
      <c r="AC31" s="1100"/>
      <c r="AD31" s="1100"/>
      <c r="AE31" s="1100"/>
      <c r="AF31" s="1100"/>
      <c r="AG31" s="1100"/>
      <c r="AH31" s="1100"/>
      <c r="AI31" s="1100"/>
      <c r="AJ31" s="1100"/>
      <c r="AK31" s="1100"/>
      <c r="AL31" s="1100"/>
      <c r="AM31" s="1100"/>
      <c r="AN31" s="1100"/>
      <c r="AO31" s="1100"/>
      <c r="AP31" s="1100"/>
      <c r="AQ31" s="1101"/>
      <c r="AR31" s="1100"/>
      <c r="AS31" s="1100"/>
      <c r="AT31" s="1100"/>
      <c r="AU31" s="1100"/>
      <c r="AV31" s="1100"/>
      <c r="AW31" s="1100"/>
      <c r="AX31" s="1100"/>
      <c r="AY31" s="1100"/>
      <c r="AZ31" s="1102"/>
      <c r="BA31" s="1102"/>
      <c r="BB31" s="1102"/>
      <c r="BC31" s="1102"/>
      <c r="BD31" s="1102"/>
      <c r="BE31" s="1102"/>
      <c r="BF31" s="1102"/>
      <c r="BG31" s="1102"/>
      <c r="BH31" s="1102"/>
      <c r="BI31" s="1102"/>
      <c r="BJ31" s="1102"/>
      <c r="BK31" s="1102"/>
      <c r="BL31" s="1102"/>
      <c r="BM31" s="1102"/>
      <c r="BN31" s="1102"/>
      <c r="BO31" s="1102"/>
    </row>
    <row r="32" spans="1:67" ht="22.5" customHeight="1">
      <c r="A32" s="1095" t="s">
        <v>2508</v>
      </c>
      <c r="B32" s="1096">
        <v>0</v>
      </c>
      <c r="C32" s="1096">
        <v>0</v>
      </c>
      <c r="D32" s="1096">
        <v>0</v>
      </c>
      <c r="E32" s="1096">
        <v>0</v>
      </c>
      <c r="F32" s="1096">
        <v>0</v>
      </c>
      <c r="G32" s="1096">
        <v>0</v>
      </c>
      <c r="H32" s="1096">
        <v>0</v>
      </c>
      <c r="I32" s="1096">
        <v>0</v>
      </c>
      <c r="J32" s="1096">
        <v>0</v>
      </c>
      <c r="K32" s="1096">
        <v>0</v>
      </c>
      <c r="L32" s="1096">
        <v>0</v>
      </c>
      <c r="M32" s="1096">
        <v>0</v>
      </c>
      <c r="N32" s="1096">
        <v>0</v>
      </c>
      <c r="O32" s="1096">
        <v>0</v>
      </c>
      <c r="P32" s="1096">
        <v>0</v>
      </c>
      <c r="Q32" s="1096">
        <v>0</v>
      </c>
      <c r="R32" s="1096">
        <v>0</v>
      </c>
      <c r="S32" s="1096">
        <v>0</v>
      </c>
      <c r="T32" s="1096">
        <v>0</v>
      </c>
      <c r="U32" s="1096">
        <v>0</v>
      </c>
      <c r="V32" s="1096">
        <v>0</v>
      </c>
      <c r="W32" s="1096">
        <v>0</v>
      </c>
      <c r="X32" s="1096">
        <v>0</v>
      </c>
      <c r="Y32" s="1096">
        <v>0</v>
      </c>
      <c r="Z32" s="1096">
        <v>0</v>
      </c>
      <c r="AA32" s="1096">
        <v>0</v>
      </c>
      <c r="AB32" s="1096">
        <v>0</v>
      </c>
      <c r="AC32" s="1096">
        <v>0</v>
      </c>
      <c r="AD32" s="1096">
        <v>0</v>
      </c>
      <c r="AE32" s="1096">
        <v>0</v>
      </c>
      <c r="AF32" s="1096">
        <v>0</v>
      </c>
      <c r="AG32" s="1096">
        <v>0</v>
      </c>
      <c r="AH32" s="1096">
        <v>0</v>
      </c>
      <c r="AI32" s="1096">
        <v>0</v>
      </c>
      <c r="AJ32" s="1096">
        <v>0</v>
      </c>
      <c r="AK32" s="1096">
        <v>0</v>
      </c>
      <c r="AL32" s="1096">
        <v>0</v>
      </c>
      <c r="AM32" s="1096">
        <v>0</v>
      </c>
      <c r="AN32" s="1096">
        <v>0</v>
      </c>
      <c r="AO32" s="1096">
        <v>0</v>
      </c>
      <c r="AP32" s="1096">
        <v>0</v>
      </c>
      <c r="AQ32" s="1097">
        <v>0</v>
      </c>
      <c r="AR32" s="1096">
        <v>0</v>
      </c>
      <c r="AS32" s="1096">
        <v>0</v>
      </c>
      <c r="AT32" s="1096">
        <v>0</v>
      </c>
      <c r="AU32" s="1096">
        <v>0</v>
      </c>
      <c r="AV32" s="1096">
        <v>0</v>
      </c>
      <c r="AW32" s="1096">
        <v>0</v>
      </c>
      <c r="AX32" s="1096">
        <v>0</v>
      </c>
      <c r="AY32" s="1096">
        <v>0</v>
      </c>
      <c r="AZ32" s="1098">
        <v>0</v>
      </c>
      <c r="BA32" s="1098">
        <v>0</v>
      </c>
      <c r="BB32" s="1098">
        <v>0</v>
      </c>
      <c r="BC32" s="1098">
        <v>0</v>
      </c>
      <c r="BD32" s="1098">
        <v>0</v>
      </c>
      <c r="BE32" s="1098">
        <v>0</v>
      </c>
      <c r="BF32" s="1098">
        <v>0</v>
      </c>
      <c r="BG32" s="1098">
        <v>0</v>
      </c>
      <c r="BH32" s="1098">
        <v>0</v>
      </c>
      <c r="BI32" s="1098">
        <v>0</v>
      </c>
      <c r="BJ32" s="1098">
        <v>0</v>
      </c>
      <c r="BK32" s="1098">
        <v>0</v>
      </c>
      <c r="BL32" s="1098">
        <v>0</v>
      </c>
      <c r="BM32" s="1098">
        <v>0</v>
      </c>
      <c r="BN32" s="1098">
        <v>0</v>
      </c>
      <c r="BO32" s="1098">
        <v>0</v>
      </c>
    </row>
    <row r="33" spans="1:67" ht="22.5" customHeight="1">
      <c r="A33" s="1095"/>
      <c r="B33" s="1100"/>
      <c r="C33" s="1100"/>
      <c r="D33" s="1100"/>
      <c r="E33" s="1100"/>
      <c r="F33" s="1100"/>
      <c r="G33" s="1100"/>
      <c r="H33" s="1100"/>
      <c r="I33" s="1100"/>
      <c r="J33" s="1100"/>
      <c r="K33" s="1100"/>
      <c r="L33" s="1100"/>
      <c r="M33" s="1100"/>
      <c r="N33" s="1100"/>
      <c r="O33" s="1100"/>
      <c r="P33" s="1100"/>
      <c r="Q33" s="1100"/>
      <c r="R33" s="1100"/>
      <c r="S33" s="1100"/>
      <c r="T33" s="1100"/>
      <c r="U33" s="1100"/>
      <c r="V33" s="1100"/>
      <c r="W33" s="1100"/>
      <c r="X33" s="1100"/>
      <c r="Y33" s="1100"/>
      <c r="Z33" s="1100"/>
      <c r="AA33" s="1100"/>
      <c r="AB33" s="1100"/>
      <c r="AC33" s="1100"/>
      <c r="AD33" s="1100"/>
      <c r="AE33" s="1100"/>
      <c r="AF33" s="1100"/>
      <c r="AG33" s="1100"/>
      <c r="AH33" s="1100"/>
      <c r="AI33" s="1100"/>
      <c r="AJ33" s="1100"/>
      <c r="AK33" s="1100"/>
      <c r="AL33" s="1100"/>
      <c r="AM33" s="1100"/>
      <c r="AN33" s="1100"/>
      <c r="AO33" s="1100"/>
      <c r="AP33" s="1100"/>
      <c r="AQ33" s="1101"/>
      <c r="AR33" s="1100"/>
      <c r="AS33" s="1100"/>
      <c r="AT33" s="1100"/>
      <c r="AU33" s="1100"/>
      <c r="AV33" s="1100"/>
      <c r="AW33" s="1100"/>
      <c r="AX33" s="1100"/>
      <c r="AY33" s="1100"/>
      <c r="AZ33" s="1102"/>
      <c r="BA33" s="1102"/>
      <c r="BB33" s="1102"/>
      <c r="BC33" s="1102"/>
      <c r="BD33" s="1102"/>
      <c r="BE33" s="1102"/>
      <c r="BF33" s="1102"/>
      <c r="BG33" s="1102"/>
      <c r="BH33" s="1102"/>
      <c r="BI33" s="1102"/>
      <c r="BJ33" s="1102"/>
      <c r="BK33" s="1102"/>
      <c r="BL33" s="1102"/>
      <c r="BM33" s="1102"/>
      <c r="BN33" s="1102"/>
      <c r="BO33" s="1102"/>
    </row>
    <row r="34" spans="1:67" ht="22.5" customHeight="1">
      <c r="A34" s="1095" t="s">
        <v>2506</v>
      </c>
      <c r="B34" s="1096">
        <v>91931.205161325051</v>
      </c>
      <c r="C34" s="1096">
        <v>93727.510363099893</v>
      </c>
      <c r="D34" s="1096">
        <v>94506.183742594367</v>
      </c>
      <c r="E34" s="1096">
        <v>94838.528273953576</v>
      </c>
      <c r="F34" s="1096">
        <v>100595.16788201034</v>
      </c>
      <c r="G34" s="1096">
        <v>99331.44868220159</v>
      </c>
      <c r="H34" s="1096">
        <v>95838.989661111074</v>
      </c>
      <c r="I34" s="1096">
        <v>98022.360128515997</v>
      </c>
      <c r="J34" s="1096">
        <v>98776.014559370538</v>
      </c>
      <c r="K34" s="1096">
        <v>99602.168756712548</v>
      </c>
      <c r="L34" s="1096">
        <v>104664.66887425256</v>
      </c>
      <c r="M34" s="1096">
        <v>106399.90190484645</v>
      </c>
      <c r="N34" s="1096">
        <v>105108.65961164402</v>
      </c>
      <c r="O34" s="1096">
        <v>106283.79045313233</v>
      </c>
      <c r="P34" s="1096">
        <v>105327.64207053928</v>
      </c>
      <c r="Q34" s="1096">
        <v>105001.19883486707</v>
      </c>
      <c r="R34" s="1096">
        <v>106258.75707319782</v>
      </c>
      <c r="S34" s="1096">
        <v>109185.94717009999</v>
      </c>
      <c r="T34" s="1096">
        <v>107989.00679121458</v>
      </c>
      <c r="U34" s="1096">
        <v>108729.78240078196</v>
      </c>
      <c r="V34" s="1096">
        <v>111605.25449693477</v>
      </c>
      <c r="W34" s="1096">
        <v>114178.72364166354</v>
      </c>
      <c r="X34" s="1096">
        <v>115195.0824272186</v>
      </c>
      <c r="Y34" s="1096">
        <v>112198.55426725603</v>
      </c>
      <c r="Z34" s="1096">
        <v>114678.91798097546</v>
      </c>
      <c r="AA34" s="1096">
        <v>115906.3855018546</v>
      </c>
      <c r="AB34" s="1096">
        <v>116848.76121707752</v>
      </c>
      <c r="AC34" s="1096">
        <v>118071.64878841744</v>
      </c>
      <c r="AD34" s="1096">
        <v>119925.04522720347</v>
      </c>
      <c r="AE34" s="1096">
        <v>125927.4686794286</v>
      </c>
      <c r="AF34" s="1096">
        <v>126766.88139465361</v>
      </c>
      <c r="AG34" s="1096">
        <v>127443.02605404922</v>
      </c>
      <c r="AH34" s="1096">
        <v>129280.07779198514</v>
      </c>
      <c r="AI34" s="1096">
        <v>131248.79180393298</v>
      </c>
      <c r="AJ34" s="1096">
        <v>131875.50132312486</v>
      </c>
      <c r="AK34" s="1096">
        <v>134541.18717390965</v>
      </c>
      <c r="AL34" s="1096">
        <v>136064.41264635103</v>
      </c>
      <c r="AM34" s="1096">
        <v>137886.54470620683</v>
      </c>
      <c r="AN34" s="1096">
        <v>140070.71968185881</v>
      </c>
      <c r="AO34" s="1096">
        <v>140663.12940670119</v>
      </c>
      <c r="AP34" s="1096">
        <v>138584.42056945321</v>
      </c>
      <c r="AQ34" s="1097">
        <v>137630.49591039534</v>
      </c>
      <c r="AR34" s="1096">
        <v>139053.49700415551</v>
      </c>
      <c r="AS34" s="1096">
        <v>138598.10325879735</v>
      </c>
      <c r="AT34" s="1096">
        <v>137836.17712575244</v>
      </c>
      <c r="AU34" s="1096">
        <v>137918.32496904978</v>
      </c>
      <c r="AV34" s="1096">
        <v>138265.58759757516</v>
      </c>
      <c r="AW34" s="1096">
        <v>137324.87513103662</v>
      </c>
      <c r="AX34" s="1096">
        <v>138186.04176737939</v>
      </c>
      <c r="AY34" s="1096">
        <v>140965.70042205742</v>
      </c>
      <c r="AZ34" s="1098">
        <v>142317.50339027692</v>
      </c>
      <c r="BA34" s="1098">
        <v>143132.89270273305</v>
      </c>
      <c r="BB34" s="1098">
        <v>144530.03984466376</v>
      </c>
      <c r="BC34" s="1098">
        <v>145404.84491628187</v>
      </c>
      <c r="BD34" s="1098">
        <v>144018.79903569387</v>
      </c>
      <c r="BE34" s="1098">
        <v>145561.70968978491</v>
      </c>
      <c r="BF34" s="1098">
        <v>142900.20762331548</v>
      </c>
      <c r="BG34" s="1098">
        <v>141965.79410231134</v>
      </c>
      <c r="BH34" s="1098">
        <v>143107.57272787095</v>
      </c>
      <c r="BI34" s="1098">
        <v>143257.80748646177</v>
      </c>
      <c r="BJ34" s="1098">
        <v>145101.45879266993</v>
      </c>
      <c r="BK34" s="1098">
        <v>149814.99882359046</v>
      </c>
      <c r="BL34" s="1098">
        <v>164291.82205122249</v>
      </c>
      <c r="BM34" s="1098">
        <v>162358.62357286274</v>
      </c>
      <c r="BN34" s="1098">
        <v>162604.74182849855</v>
      </c>
      <c r="BO34" s="1098">
        <v>165868.98385879662</v>
      </c>
    </row>
    <row r="35" spans="1:67" ht="22.5" customHeight="1">
      <c r="A35" s="1099"/>
      <c r="B35" s="1100"/>
      <c r="C35" s="1100"/>
      <c r="D35" s="1100"/>
      <c r="E35" s="1100"/>
      <c r="F35" s="1100"/>
      <c r="G35" s="1100"/>
      <c r="H35" s="1100"/>
      <c r="I35" s="1100"/>
      <c r="J35" s="1100"/>
      <c r="K35" s="1100"/>
      <c r="L35" s="1100"/>
      <c r="M35" s="1100"/>
      <c r="N35" s="1100"/>
      <c r="O35" s="1100"/>
      <c r="P35" s="1100"/>
      <c r="Q35" s="1100"/>
      <c r="R35" s="1100"/>
      <c r="S35" s="1100"/>
      <c r="T35" s="1100"/>
      <c r="U35" s="1100"/>
      <c r="V35" s="1100"/>
      <c r="W35" s="1100"/>
      <c r="X35" s="1100"/>
      <c r="Y35" s="1100"/>
      <c r="Z35" s="1100"/>
      <c r="AA35" s="1100"/>
      <c r="AB35" s="1100"/>
      <c r="AC35" s="1100"/>
      <c r="AD35" s="1100"/>
      <c r="AE35" s="1100"/>
      <c r="AF35" s="1100"/>
      <c r="AG35" s="1100"/>
      <c r="AH35" s="1100"/>
      <c r="AI35" s="1100"/>
      <c r="AJ35" s="1100"/>
      <c r="AK35" s="1100"/>
      <c r="AL35" s="1100"/>
      <c r="AM35" s="1100"/>
      <c r="AN35" s="1100"/>
      <c r="AO35" s="1100"/>
      <c r="AP35" s="1100"/>
      <c r="AQ35" s="1101"/>
      <c r="AR35" s="1100"/>
      <c r="AS35" s="1100"/>
      <c r="AT35" s="1100"/>
      <c r="AU35" s="1100"/>
      <c r="AV35" s="1100"/>
      <c r="AW35" s="1100"/>
      <c r="AX35" s="1100"/>
      <c r="AY35" s="1100"/>
      <c r="AZ35" s="1102"/>
      <c r="BA35" s="1102"/>
      <c r="BB35" s="1102"/>
      <c r="BC35" s="1102"/>
      <c r="BD35" s="1102"/>
      <c r="BE35" s="1102"/>
      <c r="BF35" s="1102"/>
      <c r="BG35" s="1102"/>
      <c r="BH35" s="1102"/>
      <c r="BI35" s="1102"/>
      <c r="BJ35" s="1102"/>
      <c r="BK35" s="1102"/>
      <c r="BL35" s="1102"/>
      <c r="BM35" s="1102"/>
      <c r="BN35" s="1102"/>
      <c r="BO35" s="1102"/>
    </row>
    <row r="36" spans="1:67" ht="22.5" customHeight="1">
      <c r="A36" s="1095" t="s">
        <v>2583</v>
      </c>
      <c r="B36" s="1103">
        <v>4166.2559083107681</v>
      </c>
      <c r="C36" s="1103">
        <v>5836.8307848394315</v>
      </c>
      <c r="D36" s="1103">
        <v>4773.5541999522748</v>
      </c>
      <c r="E36" s="1103">
        <v>4949.9543473415715</v>
      </c>
      <c r="F36" s="1103">
        <v>5147.9044785482811</v>
      </c>
      <c r="G36" s="1103">
        <v>4336.8289647200054</v>
      </c>
      <c r="H36" s="1103">
        <v>3671.1543026623749</v>
      </c>
      <c r="I36" s="1103">
        <v>4093.9973592667557</v>
      </c>
      <c r="J36" s="1103">
        <v>2825.201247150314</v>
      </c>
      <c r="K36" s="1103">
        <v>4057.1762056371635</v>
      </c>
      <c r="L36" s="1103">
        <v>2590.6716106366011</v>
      </c>
      <c r="M36" s="1103">
        <v>1446.6136928997857</v>
      </c>
      <c r="N36" s="1103">
        <v>4277.7919181665729</v>
      </c>
      <c r="O36" s="1103">
        <v>3289.8936343798723</v>
      </c>
      <c r="P36" s="1103">
        <v>2371.7447532179149</v>
      </c>
      <c r="Q36" s="1103">
        <v>2412.4201621529996</v>
      </c>
      <c r="R36" s="1103">
        <v>2238.8931284029268</v>
      </c>
      <c r="S36" s="1103">
        <v>1963.5477770030498</v>
      </c>
      <c r="T36" s="1103">
        <v>1949.9947478903198</v>
      </c>
      <c r="U36" s="1103">
        <v>2696.786814233571</v>
      </c>
      <c r="V36" s="1103">
        <v>1406.1372073461521</v>
      </c>
      <c r="W36" s="1103">
        <v>2010.8968166979798</v>
      </c>
      <c r="X36" s="1103">
        <v>2220.4361954284714</v>
      </c>
      <c r="Y36" s="1103">
        <v>1272.6546704822965</v>
      </c>
      <c r="Z36" s="1103">
        <v>792.21529780152628</v>
      </c>
      <c r="AA36" s="1103">
        <v>2100.5342991543275</v>
      </c>
      <c r="AB36" s="1103">
        <v>2432.2834422394635</v>
      </c>
      <c r="AC36" s="1103">
        <v>3342.6177155972546</v>
      </c>
      <c r="AD36" s="1103">
        <v>3274.8304417881586</v>
      </c>
      <c r="AE36" s="1103">
        <v>3925.853069862545</v>
      </c>
      <c r="AF36" s="1103">
        <v>4573.7656659014074</v>
      </c>
      <c r="AG36" s="1103">
        <v>4695.7843545821997</v>
      </c>
      <c r="AH36" s="1103">
        <v>6399.17145052878</v>
      </c>
      <c r="AI36" s="1103">
        <v>6414.5620846104957</v>
      </c>
      <c r="AJ36" s="1103">
        <v>6328.7049696942104</v>
      </c>
      <c r="AK36" s="1103">
        <v>5306.6438209349626</v>
      </c>
      <c r="AL36" s="1103">
        <v>5067.8329082944792</v>
      </c>
      <c r="AM36" s="1103">
        <v>6701.894232284897</v>
      </c>
      <c r="AN36" s="1103">
        <v>6217.5076293957345</v>
      </c>
      <c r="AO36" s="1103">
        <v>6910.5249090891812</v>
      </c>
      <c r="AP36" s="1103">
        <v>7232.4241446583119</v>
      </c>
      <c r="AQ36" s="1104">
        <v>8749.1670206348845</v>
      </c>
      <c r="AR36" s="1103">
        <v>9847.7414118267607</v>
      </c>
      <c r="AS36" s="1103">
        <v>10410.469506132276</v>
      </c>
      <c r="AT36" s="1103">
        <v>14841.164652872918</v>
      </c>
      <c r="AU36" s="1103">
        <v>9358.7145716027208</v>
      </c>
      <c r="AV36" s="1103">
        <v>10912.334219159186</v>
      </c>
      <c r="AW36" s="1103">
        <v>10816.251084779213</v>
      </c>
      <c r="AX36" s="1103">
        <v>10235.342249522188</v>
      </c>
      <c r="AY36" s="1103">
        <v>9838.5228214073486</v>
      </c>
      <c r="AZ36" s="1105">
        <v>9797.1259705820448</v>
      </c>
      <c r="BA36" s="1105">
        <v>10726.931633296925</v>
      </c>
      <c r="BB36" s="1105">
        <v>12073.863684212154</v>
      </c>
      <c r="BC36" s="1105">
        <v>11326.671021321095</v>
      </c>
      <c r="BD36" s="1105">
        <v>10801.425896280352</v>
      </c>
      <c r="BE36" s="1105">
        <v>12910.480120332581</v>
      </c>
      <c r="BF36" s="1105">
        <v>14570.947193627353</v>
      </c>
      <c r="BG36" s="1105">
        <v>16489.008749524332</v>
      </c>
      <c r="BH36" s="1105">
        <v>17991.953738499964</v>
      </c>
      <c r="BI36" s="1105">
        <v>15288.032952154661</v>
      </c>
      <c r="BJ36" s="1105">
        <v>13877.89540863472</v>
      </c>
      <c r="BK36" s="1105">
        <v>14110.03705747331</v>
      </c>
      <c r="BL36" s="1105">
        <v>17073.937235824262</v>
      </c>
      <c r="BM36" s="1105">
        <v>12256.513064142209</v>
      </c>
      <c r="BN36" s="1105">
        <v>13801.170303397401</v>
      </c>
      <c r="BO36" s="1105">
        <v>15424.557664104779</v>
      </c>
    </row>
    <row r="37" spans="1:67" ht="22.5" customHeight="1" thickBot="1">
      <c r="A37" s="1106"/>
      <c r="B37" s="1107"/>
      <c r="C37" s="1107"/>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8"/>
      <c r="AR37" s="1107"/>
      <c r="AS37" s="1107"/>
      <c r="AT37" s="1107"/>
      <c r="AU37" s="1107"/>
      <c r="AV37" s="1107"/>
      <c r="AW37" s="1107"/>
      <c r="AX37" s="1107"/>
      <c r="AY37" s="1107"/>
      <c r="AZ37" s="1109"/>
      <c r="BA37" s="1109"/>
      <c r="BB37" s="1109"/>
      <c r="BC37" s="1109"/>
      <c r="BD37" s="1109"/>
      <c r="BE37" s="1109"/>
      <c r="BF37" s="1109"/>
      <c r="BG37" s="1109"/>
      <c r="BH37" s="1109"/>
      <c r="BI37" s="1109"/>
      <c r="BJ37" s="1109"/>
      <c r="BK37" s="1109"/>
      <c r="BL37" s="1109"/>
      <c r="BM37" s="1109"/>
      <c r="BN37" s="1109"/>
      <c r="BO37" s="1109"/>
    </row>
    <row r="38" spans="1:67" ht="14.25" hidden="1" thickTop="1">
      <c r="A38" s="1110" t="s">
        <v>2627</v>
      </c>
      <c r="Q38" s="1082"/>
      <c r="R38" s="1082"/>
      <c r="S38" s="1082"/>
      <c r="T38" s="1082"/>
      <c r="U38" s="1082"/>
      <c r="V38" s="1082"/>
      <c r="W38" s="1082"/>
      <c r="X38" s="1082"/>
      <c r="Y38" s="1082"/>
      <c r="Z38" s="1082"/>
      <c r="AA38" s="1082"/>
      <c r="AB38" s="1082"/>
      <c r="AC38" s="1082"/>
      <c r="AD38" s="1082"/>
      <c r="AE38" s="1082"/>
      <c r="AF38" s="1082"/>
      <c r="AG38" s="1082"/>
      <c r="AH38" s="1082"/>
      <c r="AI38" s="1082"/>
      <c r="AJ38" s="1082"/>
      <c r="AK38" s="1082"/>
      <c r="AL38" s="1082"/>
      <c r="AM38" s="1082"/>
      <c r="AN38" s="1082"/>
      <c r="AO38" s="1082"/>
      <c r="AP38" s="1082"/>
      <c r="AQ38" s="1082"/>
      <c r="AR38" s="1082"/>
      <c r="AS38" s="1082"/>
      <c r="AT38" s="1082"/>
      <c r="AU38" s="1082"/>
      <c r="AV38" s="1082"/>
      <c r="AW38" s="1082"/>
      <c r="AX38" s="1082"/>
      <c r="AY38" s="1082"/>
      <c r="AZ38" s="1082"/>
    </row>
    <row r="39" spans="1:67" ht="18.75" thickTop="1">
      <c r="A39" s="1068" t="s">
        <v>2628</v>
      </c>
      <c r="B39" s="1046"/>
      <c r="C39" s="1046"/>
      <c r="D39" s="1046"/>
      <c r="E39" s="1046"/>
      <c r="F39" s="1046"/>
      <c r="G39" s="1046"/>
      <c r="H39" s="1046"/>
      <c r="I39" s="1046"/>
      <c r="J39" s="1046"/>
      <c r="K39" s="1046"/>
      <c r="L39" s="1046"/>
      <c r="M39" s="1046"/>
      <c r="N39" s="1046"/>
      <c r="O39" s="1046"/>
      <c r="P39" s="1046"/>
      <c r="Q39" s="1046"/>
      <c r="R39" s="1046"/>
      <c r="S39" s="1046"/>
      <c r="T39" s="1046"/>
      <c r="U39" s="1046"/>
      <c r="V39" s="1046"/>
      <c r="W39" s="1046"/>
      <c r="X39" s="1046"/>
      <c r="Y39" s="1046"/>
      <c r="Z39" s="1046"/>
      <c r="AA39" s="1046"/>
      <c r="AB39" s="1046"/>
      <c r="AC39" s="1046"/>
      <c r="AD39" s="1046"/>
      <c r="AE39" s="1046"/>
      <c r="AF39" s="1046"/>
      <c r="AG39" s="1046"/>
      <c r="AH39" s="1046"/>
      <c r="AI39" s="1046"/>
      <c r="AJ39" s="1046"/>
      <c r="AK39" s="1046"/>
      <c r="AL39" s="1046"/>
      <c r="AM39" s="1046"/>
      <c r="AN39" s="1046"/>
      <c r="AO39" s="1046"/>
      <c r="AP39" s="1046"/>
      <c r="AQ39" s="1046"/>
      <c r="AR39" s="1046"/>
      <c r="AS39" s="1046"/>
      <c r="AT39" s="1046"/>
      <c r="AU39" s="1046"/>
      <c r="AV39" s="1046"/>
      <c r="AW39" s="1046"/>
      <c r="AX39" s="1046"/>
      <c r="AY39" s="1046"/>
      <c r="AZ39" s="1046"/>
    </row>
    <row r="40" spans="1:67" ht="18">
      <c r="A40" s="1111" t="s">
        <v>2629</v>
      </c>
      <c r="B40" s="1112"/>
      <c r="C40" s="1113"/>
      <c r="D40" s="1113"/>
      <c r="E40" s="1113"/>
      <c r="F40" s="1113"/>
      <c r="G40" s="1113"/>
      <c r="H40" s="1113"/>
      <c r="I40" s="1113"/>
      <c r="J40" s="1113"/>
      <c r="K40" s="1113"/>
      <c r="L40" s="1113"/>
      <c r="M40" s="1113"/>
      <c r="N40" s="1113"/>
      <c r="O40" s="1113"/>
      <c r="P40" s="1113"/>
      <c r="Q40" s="1113"/>
      <c r="R40" s="1113"/>
      <c r="S40" s="1113"/>
      <c r="T40" s="1113"/>
      <c r="U40" s="1113"/>
      <c r="V40" s="1113"/>
      <c r="W40" s="1113"/>
      <c r="X40" s="1113"/>
      <c r="Y40" s="1113"/>
      <c r="Z40" s="1113"/>
      <c r="AA40" s="1113"/>
      <c r="AB40" s="1113"/>
      <c r="AC40" s="1046"/>
      <c r="AD40" s="1046"/>
      <c r="AE40" s="1046"/>
      <c r="AF40" s="1046"/>
      <c r="AG40" s="1046"/>
      <c r="AH40" s="1046"/>
      <c r="AI40" s="1046"/>
      <c r="AJ40" s="1046"/>
      <c r="AK40" s="1046"/>
      <c r="AL40" s="1046"/>
      <c r="AM40" s="1046"/>
      <c r="AN40" s="1046"/>
      <c r="AO40" s="1046"/>
      <c r="AP40" s="1046"/>
      <c r="AQ40" s="1046"/>
      <c r="AR40" s="1046"/>
      <c r="AS40" s="1046"/>
      <c r="AT40" s="1046"/>
      <c r="AU40" s="1046"/>
      <c r="AV40" s="1046"/>
      <c r="AW40" s="1046"/>
      <c r="AX40" s="1046"/>
      <c r="AY40" s="1046"/>
      <c r="AZ40" s="1046"/>
    </row>
    <row r="41" spans="1:67" ht="15">
      <c r="A41" s="1111" t="s">
        <v>2630</v>
      </c>
      <c r="B41" s="1112"/>
      <c r="C41" s="1113"/>
      <c r="D41" s="1113"/>
      <c r="E41" s="1113"/>
      <c r="F41" s="1113"/>
      <c r="G41" s="1113"/>
      <c r="H41" s="1113"/>
      <c r="I41" s="1113"/>
      <c r="J41" s="1113"/>
      <c r="K41" s="1113"/>
      <c r="L41" s="1113"/>
      <c r="M41" s="1113"/>
      <c r="N41" s="1113"/>
      <c r="O41" s="1113"/>
      <c r="P41" s="1113"/>
      <c r="Q41" s="1113"/>
      <c r="R41" s="1113"/>
      <c r="S41" s="1113"/>
      <c r="T41" s="1113"/>
      <c r="U41" s="1113"/>
      <c r="V41" s="1113"/>
      <c r="W41" s="1113"/>
      <c r="X41" s="1113"/>
      <c r="Y41" s="1113"/>
      <c r="Z41" s="1113"/>
      <c r="AA41" s="1113"/>
      <c r="AB41" s="1113"/>
      <c r="AC41" s="1046"/>
      <c r="AD41" s="1046"/>
      <c r="AE41" s="1046"/>
      <c r="AF41" s="1046"/>
      <c r="AG41" s="1046"/>
      <c r="AH41" s="1046"/>
      <c r="AI41" s="1046"/>
      <c r="AJ41" s="1046"/>
      <c r="AK41" s="1046"/>
      <c r="AL41" s="1046"/>
      <c r="AM41" s="1046"/>
      <c r="AN41" s="1046"/>
      <c r="AO41" s="1046"/>
      <c r="AP41" s="1046"/>
      <c r="AQ41" s="1046"/>
      <c r="AR41" s="1046"/>
      <c r="AS41" s="1046"/>
      <c r="AT41" s="1046"/>
      <c r="AU41" s="1046"/>
      <c r="AV41" s="1046"/>
      <c r="AW41" s="1046"/>
      <c r="AX41" s="1046"/>
      <c r="AY41" s="1046"/>
      <c r="AZ41" s="1046"/>
    </row>
    <row r="42" spans="1:67" ht="15">
      <c r="A42" s="1077" t="s">
        <v>2053</v>
      </c>
      <c r="B42" s="1046"/>
      <c r="C42" s="1046"/>
      <c r="D42" s="1046"/>
      <c r="E42" s="1046"/>
      <c r="F42" s="1046"/>
      <c r="G42" s="1046"/>
      <c r="H42" s="1046"/>
      <c r="I42" s="1046"/>
      <c r="J42" s="1046"/>
      <c r="K42" s="1046"/>
      <c r="L42" s="1046"/>
      <c r="M42" s="1046"/>
      <c r="N42" s="1046"/>
      <c r="O42" s="1046"/>
      <c r="P42" s="1046"/>
      <c r="Q42" s="1046"/>
      <c r="R42" s="1046"/>
      <c r="S42" s="1046"/>
      <c r="T42" s="1046"/>
      <c r="U42" s="1046"/>
      <c r="V42" s="1046"/>
      <c r="W42" s="1046"/>
      <c r="X42" s="1114"/>
      <c r="Y42" s="1114"/>
      <c r="Z42" s="1114"/>
      <c r="AA42" s="1114"/>
      <c r="AB42" s="1114"/>
      <c r="AC42" s="1114"/>
      <c r="AD42" s="1114"/>
      <c r="AE42" s="1114"/>
      <c r="AF42" s="1114"/>
      <c r="AG42" s="1114"/>
      <c r="AH42" s="1114"/>
      <c r="AI42" s="1114"/>
      <c r="AJ42" s="1114"/>
      <c r="AK42" s="1114"/>
      <c r="AL42" s="1114"/>
      <c r="AM42" s="1114"/>
      <c r="AN42" s="1114"/>
      <c r="AO42" s="1114"/>
      <c r="AP42" s="1114"/>
      <c r="AQ42" s="1114"/>
      <c r="AR42" s="1114"/>
      <c r="AS42" s="1114"/>
      <c r="AT42" s="1114"/>
      <c r="AU42" s="1114"/>
      <c r="AV42" s="1114"/>
      <c r="AW42" s="1114"/>
      <c r="AX42" s="1114"/>
      <c r="AY42" s="1114"/>
      <c r="AZ42" s="1114"/>
    </row>
    <row r="43" spans="1:67" ht="15.75" customHeight="1">
      <c r="N43" s="1082"/>
      <c r="O43" s="1082"/>
      <c r="P43" s="1082"/>
      <c r="Q43" s="1082"/>
      <c r="R43" s="1082"/>
      <c r="S43" s="1082"/>
      <c r="T43" s="1082"/>
      <c r="U43" s="1082"/>
      <c r="V43" s="1082"/>
      <c r="W43" s="1082"/>
      <c r="X43" s="1082"/>
      <c r="Y43" s="1082"/>
      <c r="Z43" s="1082"/>
      <c r="AA43" s="1082"/>
      <c r="AB43" s="1082"/>
      <c r="AC43" s="1082"/>
      <c r="AD43" s="1082"/>
      <c r="AE43" s="1082"/>
      <c r="AF43" s="1082"/>
      <c r="AG43" s="1082"/>
      <c r="AH43" s="1082"/>
      <c r="AI43" s="1082"/>
      <c r="AJ43" s="1082"/>
      <c r="AK43" s="1082"/>
      <c r="AL43" s="1082"/>
      <c r="AM43" s="1082"/>
      <c r="AN43" s="1082"/>
      <c r="AO43" s="1082"/>
      <c r="AP43" s="1082"/>
      <c r="AQ43" s="1082"/>
      <c r="AR43" s="1082"/>
      <c r="AS43" s="1082"/>
      <c r="AT43" s="1082"/>
      <c r="AU43" s="1082"/>
      <c r="AV43" s="1082"/>
      <c r="AW43" s="1082"/>
      <c r="AX43" s="1082"/>
      <c r="AY43" s="1082"/>
      <c r="AZ43" s="1082"/>
    </row>
    <row r="44" spans="1:67" ht="15.75" customHeight="1">
      <c r="B44" s="1082"/>
      <c r="C44" s="1082"/>
      <c r="D44" s="1082"/>
      <c r="E44" s="1082"/>
      <c r="F44" s="1082"/>
      <c r="G44" s="1082"/>
      <c r="H44" s="1082"/>
      <c r="I44" s="1082"/>
      <c r="J44" s="1082"/>
      <c r="K44" s="1082"/>
      <c r="L44" s="1082"/>
      <c r="M44" s="1082"/>
      <c r="N44" s="1082"/>
      <c r="O44" s="1082"/>
      <c r="P44" s="1082"/>
      <c r="Q44" s="1082"/>
      <c r="R44" s="1082"/>
      <c r="S44" s="1082"/>
      <c r="T44" s="1082"/>
      <c r="U44" s="1082"/>
      <c r="V44" s="1082"/>
      <c r="W44" s="1082"/>
      <c r="X44" s="1082"/>
      <c r="Y44" s="1082"/>
      <c r="Z44" s="1082"/>
      <c r="AA44" s="1082"/>
      <c r="AB44" s="1082"/>
      <c r="AC44" s="1082"/>
      <c r="AD44" s="1082"/>
      <c r="AE44" s="1082"/>
      <c r="AF44" s="1082"/>
      <c r="AG44" s="1082"/>
      <c r="AH44" s="1082"/>
      <c r="AI44" s="1082"/>
      <c r="AJ44" s="1082"/>
      <c r="AK44" s="1082"/>
      <c r="AL44" s="1082"/>
      <c r="AM44" s="1082"/>
      <c r="AN44" s="1082"/>
      <c r="AO44" s="1082"/>
      <c r="AP44" s="1082"/>
      <c r="AQ44" s="1082"/>
      <c r="AR44" s="1082"/>
      <c r="AS44" s="1082"/>
      <c r="AT44" s="1082"/>
      <c r="AU44" s="1082"/>
      <c r="AV44" s="1082"/>
      <c r="AW44" s="1082"/>
      <c r="AX44" s="1082"/>
      <c r="AY44" s="1082"/>
      <c r="AZ44" s="1082"/>
    </row>
    <row r="45" spans="1:67" ht="15.75" customHeight="1">
      <c r="N45" s="1115"/>
      <c r="O45" s="1115"/>
      <c r="P45" s="1115"/>
    </row>
    <row r="61" spans="58:67" ht="15.75" customHeight="1">
      <c r="BF61" s="1079">
        <f t="shared" ref="BF61:BO61" si="0">(BF17-AT17)/AT17*100</f>
        <v>8.2844210552428432</v>
      </c>
      <c r="BG61" s="1079">
        <f t="shared" si="0"/>
        <v>10.348110054865318</v>
      </c>
      <c r="BH61" s="1079">
        <f t="shared" si="0"/>
        <v>9.755050407242468</v>
      </c>
      <c r="BI61" s="1079">
        <f t="shared" si="0"/>
        <v>8.738251142344641</v>
      </c>
      <c r="BJ61" s="1079">
        <f t="shared" si="0"/>
        <v>9.5580631405096916</v>
      </c>
      <c r="BK61" s="1079">
        <f t="shared" si="0"/>
        <v>9.587902238825075</v>
      </c>
      <c r="BL61" s="1079">
        <f t="shared" si="0"/>
        <v>10.52693885913944</v>
      </c>
      <c r="BM61" s="1079">
        <f t="shared" si="0"/>
        <v>10.033226211040459</v>
      </c>
      <c r="BN61" s="1079">
        <f t="shared" si="0"/>
        <v>10.006538163087244</v>
      </c>
      <c r="BO61" s="1079">
        <f t="shared" si="0"/>
        <v>10.554943876094212</v>
      </c>
    </row>
    <row r="68" spans="15:15" ht="15.75" customHeight="1">
      <c r="O68" s="1079">
        <f>23136-20420</f>
        <v>2716</v>
      </c>
    </row>
    <row r="69" spans="15:15" ht="15.75" customHeight="1">
      <c r="O69" s="1079">
        <f>23136/291715*100</f>
        <v>7.9310285724080014</v>
      </c>
    </row>
    <row r="70" spans="15:15" ht="15.75" customHeight="1">
      <c r="O70" s="1079">
        <f>23136-20420</f>
        <v>2716</v>
      </c>
    </row>
    <row r="71" spans="15:15" ht="15.75" customHeight="1">
      <c r="O71" s="1079">
        <f>23136/291715*100</f>
        <v>7.9310285724080014</v>
      </c>
    </row>
  </sheetData>
  <printOptions horizontalCentered="1" verticalCentered="1"/>
  <pageMargins left="0" right="0" top="0" bottom="0" header="0" footer="0"/>
  <pageSetup paperSize="9" scale="48"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7"/>
  <sheetViews>
    <sheetView zoomScaleNormal="100" workbookViewId="0">
      <pane xSplit="1" ySplit="4" topLeftCell="B5" activePane="bottomRight" state="frozen"/>
      <selection pane="topRight" activeCell="B1" sqref="B1"/>
      <selection pane="bottomLeft" activeCell="A4" sqref="A4"/>
      <selection pane="bottomRight" activeCell="AI46" sqref="AI46"/>
    </sheetView>
  </sheetViews>
  <sheetFormatPr defaultRowHeight="12.75"/>
  <cols>
    <col min="1" max="1" width="48.85546875" style="475" customWidth="1"/>
    <col min="2" max="29" width="13.28515625" style="475" hidden="1" customWidth="1"/>
    <col min="30" max="40" width="13.28515625" style="475" customWidth="1"/>
    <col min="41" max="41" width="15.140625" style="475" customWidth="1"/>
    <col min="42" max="16384" width="9.140625" style="475"/>
  </cols>
  <sheetData>
    <row r="1" spans="1:41" ht="15.75">
      <c r="A1" s="2525" t="s">
        <v>3856</v>
      </c>
    </row>
    <row r="2" spans="1:41" ht="15.75">
      <c r="A2" s="2525"/>
    </row>
    <row r="3" spans="1:41" ht="15.75">
      <c r="A3" s="2525"/>
      <c r="B3" s="2526"/>
      <c r="C3" s="2526"/>
      <c r="D3" s="2526"/>
      <c r="E3" s="2526"/>
      <c r="F3" s="2526"/>
      <c r="G3" s="2526"/>
      <c r="H3" s="2526"/>
      <c r="I3" s="2526"/>
      <c r="J3" s="2526"/>
      <c r="K3" s="2526"/>
      <c r="L3" s="2526"/>
      <c r="M3" s="2526"/>
      <c r="N3" s="2526"/>
      <c r="O3" s="2526"/>
      <c r="P3" s="2526"/>
      <c r="Q3" s="2526"/>
      <c r="R3" s="2526"/>
      <c r="S3" s="2526"/>
      <c r="T3" s="2526"/>
      <c r="U3" s="2526"/>
      <c r="V3" s="2526"/>
      <c r="W3" s="2526"/>
      <c r="X3" s="2526"/>
      <c r="Y3" s="2526"/>
      <c r="Z3" s="2526"/>
      <c r="AA3" s="2526"/>
      <c r="AB3" s="2526"/>
      <c r="AC3" s="2526"/>
      <c r="AD3" s="2526"/>
      <c r="AE3" s="2526"/>
      <c r="AF3" s="2526"/>
      <c r="AG3" s="2526"/>
      <c r="AH3" s="2526"/>
      <c r="AI3" s="2526"/>
      <c r="AJ3" s="2526"/>
      <c r="AK3" s="2526"/>
      <c r="AL3" s="2526"/>
      <c r="AM3" s="2526"/>
      <c r="AN3" s="2526"/>
      <c r="AO3" s="2526" t="s">
        <v>49</v>
      </c>
    </row>
    <row r="4" spans="1:41" ht="15.95" customHeight="1">
      <c r="A4" s="2527" t="s">
        <v>1</v>
      </c>
      <c r="B4" s="2528">
        <v>40940</v>
      </c>
      <c r="C4" s="2528">
        <v>40969</v>
      </c>
      <c r="D4" s="2528">
        <v>41000</v>
      </c>
      <c r="E4" s="2528">
        <v>41030</v>
      </c>
      <c r="F4" s="2528">
        <v>41061</v>
      </c>
      <c r="G4" s="2528">
        <v>41091</v>
      </c>
      <c r="H4" s="2528">
        <v>41122</v>
      </c>
      <c r="I4" s="2528">
        <v>41153</v>
      </c>
      <c r="J4" s="2528">
        <v>41183</v>
      </c>
      <c r="K4" s="2528">
        <v>41214</v>
      </c>
      <c r="L4" s="2528">
        <v>41244</v>
      </c>
      <c r="M4" s="2528">
        <v>41275</v>
      </c>
      <c r="N4" s="2528">
        <v>41306</v>
      </c>
      <c r="O4" s="2528">
        <v>41334</v>
      </c>
      <c r="P4" s="2528">
        <v>41365</v>
      </c>
      <c r="Q4" s="2528">
        <v>41395</v>
      </c>
      <c r="R4" s="2528">
        <v>41426</v>
      </c>
      <c r="S4" s="2528">
        <v>41456</v>
      </c>
      <c r="T4" s="2528">
        <v>41487</v>
      </c>
      <c r="U4" s="2528">
        <v>41518</v>
      </c>
      <c r="V4" s="2528">
        <v>41548</v>
      </c>
      <c r="W4" s="2528">
        <v>41579</v>
      </c>
      <c r="X4" s="2528">
        <v>41609</v>
      </c>
      <c r="Y4" s="2528">
        <v>41640</v>
      </c>
      <c r="Z4" s="2528">
        <v>41671</v>
      </c>
      <c r="AA4" s="2528">
        <v>41699</v>
      </c>
      <c r="AB4" s="2528">
        <v>41730</v>
      </c>
      <c r="AC4" s="2528">
        <v>41760</v>
      </c>
      <c r="AD4" s="2528">
        <v>41791</v>
      </c>
      <c r="AE4" s="2528">
        <v>41821</v>
      </c>
      <c r="AF4" s="2528">
        <v>41852</v>
      </c>
      <c r="AG4" s="2528">
        <v>41883</v>
      </c>
      <c r="AH4" s="2528">
        <v>41913</v>
      </c>
      <c r="AI4" s="2528">
        <v>41944</v>
      </c>
      <c r="AJ4" s="2528">
        <v>41974</v>
      </c>
      <c r="AK4" s="2528">
        <v>42005</v>
      </c>
      <c r="AL4" s="2528">
        <v>42036</v>
      </c>
      <c r="AM4" s="2528">
        <v>42064</v>
      </c>
      <c r="AN4" s="2528">
        <v>42095</v>
      </c>
      <c r="AO4" s="2528">
        <v>42125</v>
      </c>
    </row>
    <row r="5" spans="1:41" ht="15.95" customHeight="1">
      <c r="A5" s="2529" t="s">
        <v>3857</v>
      </c>
      <c r="B5" s="2530">
        <v>3784.9486335699999</v>
      </c>
      <c r="C5" s="2530">
        <v>4146.7953958849994</v>
      </c>
      <c r="D5" s="2530">
        <v>4022.084003985</v>
      </c>
      <c r="E5" s="2530">
        <v>3584.497060485</v>
      </c>
      <c r="F5" s="2530">
        <v>3225.2424225109999</v>
      </c>
      <c r="G5" s="2530">
        <v>3388.0164518410006</v>
      </c>
      <c r="H5" s="2530">
        <v>3213.4017549810055</v>
      </c>
      <c r="I5" s="2530">
        <v>3294.4372535110065</v>
      </c>
      <c r="J5" s="2530">
        <v>3154.4285983910063</v>
      </c>
      <c r="K5" s="2530">
        <v>3148.0892080410067</v>
      </c>
      <c r="L5" s="2530">
        <v>3345.1358636110058</v>
      </c>
      <c r="M5" s="2530">
        <v>3128.3774049100002</v>
      </c>
      <c r="N5" s="2530">
        <v>3203.3190910810063</v>
      </c>
      <c r="O5" s="2530">
        <v>3322.5468090010063</v>
      </c>
      <c r="P5" s="2530">
        <v>3313.392617461006</v>
      </c>
      <c r="Q5" s="2530">
        <v>3325.3249562447063</v>
      </c>
      <c r="R5" s="2530">
        <v>3428.9582647047064</v>
      </c>
      <c r="S5" s="2530">
        <v>3200.2595633639089</v>
      </c>
      <c r="T5" s="2530">
        <v>3427.7854060795316</v>
      </c>
      <c r="U5" s="2530">
        <v>3675.1366027608988</v>
      </c>
      <c r="V5" s="2530">
        <v>3458.5248819868975</v>
      </c>
      <c r="W5" s="2530">
        <v>3286.6199989168977</v>
      </c>
      <c r="X5" s="2530">
        <v>3316.0467721327036</v>
      </c>
      <c r="Y5" s="2530">
        <v>3201.0535848027043</v>
      </c>
      <c r="Z5" s="2530">
        <v>3244.2693786322957</v>
      </c>
      <c r="AA5" s="2530">
        <v>3209.5673300822955</v>
      </c>
      <c r="AB5" s="2530">
        <v>3372.8599289422968</v>
      </c>
      <c r="AC5" s="2530">
        <v>3262.1931688182876</v>
      </c>
      <c r="AD5" s="2530">
        <v>3357.269089338251</v>
      </c>
      <c r="AE5" s="2530">
        <v>3454.970170245861</v>
      </c>
      <c r="AF5" s="2530">
        <v>3199.8626864938701</v>
      </c>
      <c r="AG5" s="2530">
        <v>3611.2009549747509</v>
      </c>
      <c r="AH5" s="2530">
        <v>3738.534652824751</v>
      </c>
      <c r="AI5" s="2530">
        <v>3669.9878765200015</v>
      </c>
      <c r="AJ5" s="2530">
        <v>3829.0192880300006</v>
      </c>
      <c r="AK5" s="2530">
        <v>3696.6955143384366</v>
      </c>
      <c r="AL5" s="2530">
        <v>3877.2012400383878</v>
      </c>
      <c r="AM5" s="2530">
        <v>4057.4989944483882</v>
      </c>
      <c r="AN5" s="2530">
        <v>3787.1285439083886</v>
      </c>
      <c r="AO5" s="2530">
        <v>3805.8541573683879</v>
      </c>
    </row>
    <row r="6" spans="1:41" ht="15.95" customHeight="1">
      <c r="A6" s="2529" t="s">
        <v>3858</v>
      </c>
      <c r="B6" s="2531">
        <v>9316.2234302199995</v>
      </c>
      <c r="C6" s="2531">
        <v>9415.8096210905005</v>
      </c>
      <c r="D6" s="2531">
        <v>9535.3307578904987</v>
      </c>
      <c r="E6" s="2531">
        <v>7634.3834235704999</v>
      </c>
      <c r="F6" s="2531">
        <v>7685.6638522344992</v>
      </c>
      <c r="G6" s="2531">
        <v>7769.0335341344999</v>
      </c>
      <c r="H6" s="2531">
        <v>7781.6829723244946</v>
      </c>
      <c r="I6" s="2531">
        <v>7825.2223860644945</v>
      </c>
      <c r="J6" s="2531">
        <v>7905.8672250044929</v>
      </c>
      <c r="K6" s="2531">
        <v>7949.0957587237699</v>
      </c>
      <c r="L6" s="2531">
        <v>8093.0274049682712</v>
      </c>
      <c r="M6" s="2531">
        <v>8105.9256304500004</v>
      </c>
      <c r="N6" s="2531">
        <v>8122.4054758394614</v>
      </c>
      <c r="O6" s="2531">
        <v>8173.5077580255911</v>
      </c>
      <c r="P6" s="2531">
        <v>8181.4418704855907</v>
      </c>
      <c r="Q6" s="2531">
        <v>8248.0292083418917</v>
      </c>
      <c r="R6" s="2531">
        <v>8327.257198237392</v>
      </c>
      <c r="S6" s="2531">
        <v>8362.6018428981879</v>
      </c>
      <c r="T6" s="2531">
        <v>8616.3561014105671</v>
      </c>
      <c r="U6" s="2531">
        <v>8540.2080518612001</v>
      </c>
      <c r="V6" s="2531">
        <v>8725.4808364296132</v>
      </c>
      <c r="W6" s="2531">
        <v>8992.3185840638089</v>
      </c>
      <c r="X6" s="2531">
        <v>9146.039682133809</v>
      </c>
      <c r="Y6" s="2531">
        <v>9175.2192890207971</v>
      </c>
      <c r="Z6" s="2531">
        <v>9165.592346084215</v>
      </c>
      <c r="AA6" s="2531">
        <v>9268.3452642042157</v>
      </c>
      <c r="AB6" s="2531">
        <v>9265.6731395319603</v>
      </c>
      <c r="AC6" s="2531">
        <v>9443.9182049919418</v>
      </c>
      <c r="AD6" s="2531">
        <v>9436.8506816582358</v>
      </c>
      <c r="AE6" s="2531">
        <v>9484.7520766305843</v>
      </c>
      <c r="AF6" s="2531">
        <v>9672.0489355405734</v>
      </c>
      <c r="AG6" s="2531">
        <v>9624.0057615456135</v>
      </c>
      <c r="AH6" s="2531">
        <v>9714.1897551355596</v>
      </c>
      <c r="AI6" s="2531">
        <v>9831.3831511399912</v>
      </c>
      <c r="AJ6" s="2531">
        <v>9827.8521064000015</v>
      </c>
      <c r="AK6" s="2531">
        <v>9877.0160043965298</v>
      </c>
      <c r="AL6" s="2531">
        <v>9829.7011622365717</v>
      </c>
      <c r="AM6" s="2531">
        <v>9871.1268300740157</v>
      </c>
      <c r="AN6" s="2531">
        <v>9952.575729425751</v>
      </c>
      <c r="AO6" s="2530">
        <v>9997.967484201452</v>
      </c>
    </row>
    <row r="7" spans="1:41" ht="15.95" customHeight="1">
      <c r="A7" s="2529" t="s">
        <v>3859</v>
      </c>
      <c r="B7" s="2530">
        <v>1290.6051660000001</v>
      </c>
      <c r="C7" s="2530">
        <v>1277.0112658987998</v>
      </c>
      <c r="D7" s="2530">
        <v>1278.857266</v>
      </c>
      <c r="E7" s="2530">
        <v>1051.3130000000001</v>
      </c>
      <c r="F7" s="2530">
        <v>1106.2239999999999</v>
      </c>
      <c r="G7" s="2530">
        <v>1106.097</v>
      </c>
      <c r="H7" s="2530">
        <v>1105.9380000000001</v>
      </c>
      <c r="I7" s="2530">
        <v>1106.499</v>
      </c>
      <c r="J7" s="2530">
        <v>1186.9690000000001</v>
      </c>
      <c r="K7" s="2530">
        <v>1211.5940000000001</v>
      </c>
      <c r="L7" s="2530">
        <v>1212.627</v>
      </c>
      <c r="M7" s="2530">
        <v>1398.2760000000001</v>
      </c>
      <c r="N7" s="2530">
        <v>1399.2170000000001</v>
      </c>
      <c r="O7" s="2530">
        <v>1399.761</v>
      </c>
      <c r="P7" s="2530">
        <v>1193.356</v>
      </c>
      <c r="Q7" s="2530">
        <v>1130.297</v>
      </c>
      <c r="R7" s="2530">
        <v>1101.19</v>
      </c>
      <c r="S7" s="2530">
        <v>1057.5060000000001</v>
      </c>
      <c r="T7" s="2530">
        <v>1058.1569999999999</v>
      </c>
      <c r="U7" s="2530">
        <v>1110.588</v>
      </c>
      <c r="V7" s="2530">
        <v>1061.039</v>
      </c>
      <c r="W7" s="2530">
        <v>1061.634</v>
      </c>
      <c r="X7" s="2530">
        <v>1061.9880000000001</v>
      </c>
      <c r="Y7" s="2530">
        <v>957.51099999999997</v>
      </c>
      <c r="Z7" s="2530">
        <v>1007.919</v>
      </c>
      <c r="AA7" s="2530">
        <v>1110.106</v>
      </c>
      <c r="AB7" s="2530">
        <v>1135.75</v>
      </c>
      <c r="AC7" s="2530">
        <v>1168.5239999999999</v>
      </c>
      <c r="AD7" s="2530">
        <v>1173.8989999999999</v>
      </c>
      <c r="AE7" s="2530">
        <v>1173.9290000000001</v>
      </c>
      <c r="AF7" s="2530">
        <v>1128.962</v>
      </c>
      <c r="AG7" s="2530">
        <v>1153.1197500000001</v>
      </c>
      <c r="AH7" s="2530">
        <v>1099.771</v>
      </c>
      <c r="AI7" s="2530">
        <v>1093.9359999999999</v>
      </c>
      <c r="AJ7" s="2530">
        <v>1094.367</v>
      </c>
      <c r="AK7" s="2530">
        <v>1015.933</v>
      </c>
      <c r="AL7" s="2530">
        <v>939.09500000000003</v>
      </c>
      <c r="AM7" s="2530">
        <v>982.322</v>
      </c>
      <c r="AN7" s="2530">
        <v>1027.1479999999999</v>
      </c>
      <c r="AO7" s="2530">
        <v>838.95699999999999</v>
      </c>
    </row>
    <row r="8" spans="1:41" ht="15.95" customHeight="1">
      <c r="A8" s="2529" t="s">
        <v>2312</v>
      </c>
      <c r="B8" s="2531">
        <v>1049.5340839299993</v>
      </c>
      <c r="C8" s="2531">
        <v>1035.4049702700015</v>
      </c>
      <c r="D8" s="2531">
        <v>1040.5369035600033</v>
      </c>
      <c r="E8" s="2531">
        <v>1017.7621709900027</v>
      </c>
      <c r="F8" s="2531">
        <v>1053.8905977500001</v>
      </c>
      <c r="G8" s="2531">
        <v>1026.8778699199981</v>
      </c>
      <c r="H8" s="2531">
        <v>1029.0696868600005</v>
      </c>
      <c r="I8" s="2531">
        <v>1066.4551997700005</v>
      </c>
      <c r="J8" s="2531">
        <v>1035.9338482200012</v>
      </c>
      <c r="K8" s="2531">
        <v>1101.7836990000019</v>
      </c>
      <c r="L8" s="2531">
        <v>1101.4117712299994</v>
      </c>
      <c r="M8" s="2531">
        <v>1059.8975900900002</v>
      </c>
      <c r="N8" s="2531">
        <v>1144.7319792299995</v>
      </c>
      <c r="O8" s="2531">
        <v>1145.6658957799989</v>
      </c>
      <c r="P8" s="2531">
        <v>1034.1520761699983</v>
      </c>
      <c r="Q8" s="2531">
        <v>1024.829464619999</v>
      </c>
      <c r="R8" s="2531">
        <v>1116.2583365200005</v>
      </c>
      <c r="S8" s="2531">
        <v>1038.7184114700012</v>
      </c>
      <c r="T8" s="2531">
        <v>1128.2178182700004</v>
      </c>
      <c r="U8" s="2531">
        <v>1022.4848672200012</v>
      </c>
      <c r="V8" s="2531">
        <v>959.63591970000073</v>
      </c>
      <c r="W8" s="2531">
        <v>982.01230300999828</v>
      </c>
      <c r="X8" s="2531">
        <v>939.57567293000034</v>
      </c>
      <c r="Y8" s="2531">
        <v>939.52300000000002</v>
      </c>
      <c r="Z8" s="2531">
        <v>949.51946127000429</v>
      </c>
      <c r="AA8" s="2531">
        <v>944.67310577999501</v>
      </c>
      <c r="AB8" s="2531">
        <v>922.92985149999618</v>
      </c>
      <c r="AC8" s="2531">
        <v>925.58467952999501</v>
      </c>
      <c r="AD8" s="2531">
        <v>929.61111616999813</v>
      </c>
      <c r="AE8" s="2531">
        <v>927.90292083999634</v>
      </c>
      <c r="AF8" s="2531">
        <v>950.25936095999907</v>
      </c>
      <c r="AG8" s="2531">
        <v>947.22736095999903</v>
      </c>
      <c r="AH8" s="2531">
        <v>405.63400000000001</v>
      </c>
      <c r="AI8" s="2531">
        <v>973.7171097900009</v>
      </c>
      <c r="AJ8" s="2531">
        <v>2915.3857860599974</v>
      </c>
      <c r="AK8" s="2531">
        <v>914.95158881999964</v>
      </c>
      <c r="AL8" s="2531">
        <v>940.64749199000164</v>
      </c>
      <c r="AM8" s="2531">
        <v>898.06081856999776</v>
      </c>
      <c r="AN8" s="2531">
        <v>904.00015748000044</v>
      </c>
      <c r="AO8" s="2531">
        <v>923.54817405000017</v>
      </c>
    </row>
    <row r="9" spans="1:41" ht="15.95" customHeight="1">
      <c r="A9" s="2529" t="s">
        <v>15</v>
      </c>
      <c r="B9" s="2530">
        <v>1753.9680650199998</v>
      </c>
      <c r="C9" s="2530">
        <v>1774.1520941600004</v>
      </c>
      <c r="D9" s="2530">
        <v>1787.8331137299999</v>
      </c>
      <c r="E9" s="2530">
        <v>1395.2307854299997</v>
      </c>
      <c r="F9" s="2530">
        <v>1472.85677018</v>
      </c>
      <c r="G9" s="2530">
        <v>1475.1329524554644</v>
      </c>
      <c r="H9" s="2530">
        <v>1467.34213931</v>
      </c>
      <c r="I9" s="2530">
        <v>1470.5541987900001</v>
      </c>
      <c r="J9" s="2530">
        <v>1491.4065421199998</v>
      </c>
      <c r="K9" s="2530">
        <v>1518.9228208700001</v>
      </c>
      <c r="L9" s="2530">
        <v>1594.0724050400001</v>
      </c>
      <c r="M9" s="2530">
        <v>1606.2662365599999</v>
      </c>
      <c r="N9" s="2530">
        <v>1605.2700167499995</v>
      </c>
      <c r="O9" s="2530">
        <v>1585.0209128299998</v>
      </c>
      <c r="P9" s="2530">
        <v>1581.5227964000001</v>
      </c>
      <c r="Q9" s="2530">
        <v>1594.7889929200001</v>
      </c>
      <c r="R9" s="2530">
        <v>1633.2042625899996</v>
      </c>
      <c r="S9" s="2530">
        <v>1628.5791776099998</v>
      </c>
      <c r="T9" s="2530">
        <v>1607.4693381700001</v>
      </c>
      <c r="U9" s="2530">
        <v>1580.6486043600003</v>
      </c>
      <c r="V9" s="2530">
        <v>1608.4649095600003</v>
      </c>
      <c r="W9" s="2530">
        <v>1604.9155631599999</v>
      </c>
      <c r="X9" s="2530">
        <v>1595.2074937100001</v>
      </c>
      <c r="Y9" s="2530">
        <v>1586.6967480300002</v>
      </c>
      <c r="Z9" s="2530">
        <v>1576.4994108699998</v>
      </c>
      <c r="AA9" s="2530">
        <v>1587.5429659400004</v>
      </c>
      <c r="AB9" s="2530">
        <v>1582.2983194999997</v>
      </c>
      <c r="AC9" s="2530">
        <v>1610.9319729000001</v>
      </c>
      <c r="AD9" s="2530">
        <v>1633.3828057500002</v>
      </c>
      <c r="AE9" s="2530">
        <v>1636.210760430793</v>
      </c>
      <c r="AF9" s="2530">
        <v>1689.0061177341456</v>
      </c>
      <c r="AG9" s="2530">
        <v>1683.9681872263866</v>
      </c>
      <c r="AH9" s="2530">
        <v>1728.4101491355852</v>
      </c>
      <c r="AI9" s="2530">
        <v>1749.15051756</v>
      </c>
      <c r="AJ9" s="2530">
        <v>1784.8334949700002</v>
      </c>
      <c r="AK9" s="2530">
        <v>1746.4247669700007</v>
      </c>
      <c r="AL9" s="2530">
        <v>1723.7254569800004</v>
      </c>
      <c r="AM9" s="2530">
        <v>1703.6596541400013</v>
      </c>
      <c r="AN9" s="2530">
        <v>1772.4242830200019</v>
      </c>
      <c r="AO9" s="2531">
        <v>1734.3680079200019</v>
      </c>
    </row>
    <row r="10" spans="1:41" ht="15.95" customHeight="1">
      <c r="A10" s="2529" t="s">
        <v>16</v>
      </c>
      <c r="B10" s="2530">
        <v>3615.5609109199995</v>
      </c>
      <c r="C10" s="2530">
        <v>3591.6548253400001</v>
      </c>
      <c r="D10" s="2530">
        <v>3469.77614696</v>
      </c>
      <c r="E10" s="2530">
        <v>2711.2755812099999</v>
      </c>
      <c r="F10" s="2530">
        <v>2822.6144497200007</v>
      </c>
      <c r="G10" s="2530">
        <v>2681.4932744534253</v>
      </c>
      <c r="H10" s="2530">
        <v>2726.8820131899997</v>
      </c>
      <c r="I10" s="2530">
        <v>2798.1972356799997</v>
      </c>
      <c r="J10" s="2530">
        <v>2723.2698446399995</v>
      </c>
      <c r="K10" s="2530">
        <v>2718.6264536499998</v>
      </c>
      <c r="L10" s="2530">
        <v>2999.4531696499989</v>
      </c>
      <c r="M10" s="2530">
        <v>3074.4410800299988</v>
      </c>
      <c r="N10" s="2530">
        <v>3047.1624065300002</v>
      </c>
      <c r="O10" s="2530">
        <v>3136.2570574599995</v>
      </c>
      <c r="P10" s="2530">
        <v>3092.3309591300003</v>
      </c>
      <c r="Q10" s="2530">
        <v>3105.6022608900003</v>
      </c>
      <c r="R10" s="2530">
        <v>3188.7636856999998</v>
      </c>
      <c r="S10" s="2530">
        <v>3189.1649630400011</v>
      </c>
      <c r="T10" s="2530">
        <v>3188.2292967999992</v>
      </c>
      <c r="U10" s="2530">
        <v>3216.6004821800002</v>
      </c>
      <c r="V10" s="2530">
        <v>3217.7280058900005</v>
      </c>
      <c r="W10" s="2530">
        <v>3258.1434047400003</v>
      </c>
      <c r="X10" s="2530">
        <v>3448.6695504000004</v>
      </c>
      <c r="Y10" s="2530">
        <v>3562.8312456199988</v>
      </c>
      <c r="Z10" s="2530">
        <v>3494.8946900800001</v>
      </c>
      <c r="AA10" s="2530">
        <v>3446.7721609599998</v>
      </c>
      <c r="AB10" s="2530">
        <v>3386.3477944199999</v>
      </c>
      <c r="AC10" s="2530">
        <v>3332.902685234656</v>
      </c>
      <c r="AD10" s="2530">
        <v>3373.7901256299992</v>
      </c>
      <c r="AE10" s="2530">
        <v>3338.8892463825368</v>
      </c>
      <c r="AF10" s="2530">
        <v>3538.4120660798635</v>
      </c>
      <c r="AG10" s="2530">
        <v>3459.2873462780199</v>
      </c>
      <c r="AH10" s="2530">
        <v>3960.929102158429</v>
      </c>
      <c r="AI10" s="2530">
        <v>3676.5465251399992</v>
      </c>
      <c r="AJ10" s="2530">
        <v>1918.3702627100001</v>
      </c>
      <c r="AK10" s="2530">
        <v>4101.9822124599987</v>
      </c>
      <c r="AL10" s="2530">
        <v>3974.5677442600004</v>
      </c>
      <c r="AM10" s="2530">
        <v>3907.3169374400004</v>
      </c>
      <c r="AN10" s="2530">
        <v>3932.8893692599986</v>
      </c>
      <c r="AO10" s="2530">
        <v>4071.0051506499985</v>
      </c>
    </row>
    <row r="11" spans="1:41" ht="15.95" customHeight="1">
      <c r="A11" s="2532" t="s">
        <v>2515</v>
      </c>
      <c r="B11" s="2533">
        <v>20810.840289659995</v>
      </c>
      <c r="C11" s="2533">
        <v>21240.828172644302</v>
      </c>
      <c r="D11" s="2533">
        <v>21134.4181921255</v>
      </c>
      <c r="E11" s="2533">
        <v>17394.462021685504</v>
      </c>
      <c r="F11" s="2533">
        <v>17366.4920923955</v>
      </c>
      <c r="G11" s="2533">
        <v>17446.651082804387</v>
      </c>
      <c r="H11" s="2533">
        <v>17324.316566665497</v>
      </c>
      <c r="I11" s="2533">
        <v>17561.3652738155</v>
      </c>
      <c r="J11" s="2533">
        <v>17497.875058375503</v>
      </c>
      <c r="K11" s="2533">
        <v>17648.11194028478</v>
      </c>
      <c r="L11" s="2533">
        <v>18345.727614499276</v>
      </c>
      <c r="M11" s="2534">
        <v>18373.183942039999</v>
      </c>
      <c r="N11" s="2534">
        <v>18522.105969430468</v>
      </c>
      <c r="O11" s="2534">
        <v>18762.759433096595</v>
      </c>
      <c r="P11" s="2534">
        <v>18396.196319646595</v>
      </c>
      <c r="Q11" s="2534">
        <v>18428.871883016596</v>
      </c>
      <c r="R11" s="2534">
        <v>18795.631747752101</v>
      </c>
      <c r="S11" s="2534">
        <v>18476.829958382099</v>
      </c>
      <c r="T11" s="2534">
        <v>19026.214960730096</v>
      </c>
      <c r="U11" s="2534">
        <v>19145.6666083821</v>
      </c>
      <c r="V11" s="2534">
        <v>19030.873553566511</v>
      </c>
      <c r="W11" s="2534">
        <v>19185.643853890706</v>
      </c>
      <c r="X11" s="2534">
        <v>19507.527171306516</v>
      </c>
      <c r="Y11" s="2534">
        <v>19422.834867473503</v>
      </c>
      <c r="Z11" s="2534">
        <v>19438.694286936516</v>
      </c>
      <c r="AA11" s="2534">
        <v>19567.006826966506</v>
      </c>
      <c r="AB11" s="2534">
        <v>19665.859033894252</v>
      </c>
      <c r="AC11" s="2534">
        <v>19744.054711474877</v>
      </c>
      <c r="AD11" s="2534">
        <v>19904.802818546483</v>
      </c>
      <c r="AE11" s="2534">
        <v>20016.654174529769</v>
      </c>
      <c r="AF11" s="2534">
        <v>20178.551166808451</v>
      </c>
      <c r="AG11" s="2534">
        <v>20478.809360984771</v>
      </c>
      <c r="AH11" s="2534">
        <v>20647.468659254326</v>
      </c>
      <c r="AI11" s="2534">
        <v>20994.721180149991</v>
      </c>
      <c r="AJ11" s="2534">
        <v>21369.827938169998</v>
      </c>
      <c r="AK11" s="2534">
        <v>21353.003086984969</v>
      </c>
      <c r="AL11" s="2534">
        <v>21284.93809550496</v>
      </c>
      <c r="AM11" s="2534">
        <v>21419.985234672407</v>
      </c>
      <c r="AN11" s="2534">
        <v>21376.166083094144</v>
      </c>
      <c r="AO11" s="2534">
        <v>21371.69997418984</v>
      </c>
    </row>
    <row r="12" spans="1:41" s="2537" customFormat="1" ht="15.95" customHeight="1">
      <c r="A12" s="2535"/>
      <c r="B12" s="2536"/>
      <c r="C12" s="2536"/>
      <c r="D12" s="2536"/>
      <c r="E12" s="2536"/>
      <c r="F12" s="2536"/>
      <c r="G12" s="2536"/>
      <c r="H12" s="2536"/>
      <c r="I12" s="2536"/>
      <c r="J12" s="2536"/>
      <c r="K12" s="2536"/>
      <c r="L12" s="2536"/>
      <c r="M12" s="2536"/>
      <c r="N12" s="2536"/>
      <c r="O12" s="2536"/>
      <c r="P12" s="2536"/>
      <c r="Q12" s="2536"/>
      <c r="R12" s="2536"/>
      <c r="S12" s="2536"/>
      <c r="T12" s="2536"/>
      <c r="U12" s="2536"/>
      <c r="V12" s="2536"/>
      <c r="W12" s="2536"/>
      <c r="X12" s="2536"/>
      <c r="Y12" s="2536"/>
      <c r="Z12" s="2536"/>
      <c r="AA12" s="2536"/>
      <c r="AB12" s="2536"/>
      <c r="AC12" s="2536"/>
      <c r="AD12" s="2536"/>
      <c r="AE12" s="2536"/>
      <c r="AF12" s="2536"/>
      <c r="AG12" s="2536"/>
      <c r="AH12" s="2536"/>
      <c r="AI12" s="2536"/>
      <c r="AJ12" s="2536"/>
      <c r="AK12" s="2536"/>
      <c r="AL12" s="2536"/>
      <c r="AM12" s="2536"/>
      <c r="AN12" s="2536"/>
      <c r="AO12" s="2536"/>
    </row>
    <row r="13" spans="1:41" ht="15">
      <c r="A13" s="2538"/>
      <c r="B13" s="2539"/>
      <c r="C13" s="2539"/>
      <c r="D13" s="2539"/>
      <c r="E13" s="2539"/>
      <c r="F13" s="2539"/>
      <c r="G13" s="2539"/>
      <c r="H13" s="2539"/>
      <c r="I13" s="2539"/>
      <c r="J13" s="2539"/>
      <c r="K13" s="2539"/>
      <c r="L13" s="2539"/>
      <c r="M13" s="2539"/>
      <c r="N13" s="2539"/>
      <c r="O13" s="2539"/>
      <c r="P13" s="2539"/>
      <c r="Q13" s="2539"/>
      <c r="R13" s="2539"/>
      <c r="S13" s="2539"/>
      <c r="T13" s="2539"/>
      <c r="U13" s="2539"/>
      <c r="V13" s="2539"/>
      <c r="W13" s="2539"/>
      <c r="X13" s="2539"/>
      <c r="Y13" s="2539"/>
      <c r="Z13" s="2539"/>
      <c r="AA13" s="2539"/>
      <c r="AB13" s="2539"/>
      <c r="AC13" s="2539"/>
      <c r="AD13" s="2539"/>
      <c r="AE13" s="2539"/>
      <c r="AF13" s="2539"/>
      <c r="AG13" s="2539"/>
      <c r="AH13" s="2539"/>
      <c r="AI13" s="2539"/>
      <c r="AJ13" s="2539"/>
      <c r="AK13" s="2539"/>
      <c r="AL13" s="2539"/>
      <c r="AM13" s="2539"/>
      <c r="AN13" s="2539"/>
      <c r="AO13" s="2539" t="s">
        <v>49</v>
      </c>
    </row>
    <row r="14" spans="1:41" ht="15.95" customHeight="1">
      <c r="A14" s="2527" t="s">
        <v>0</v>
      </c>
      <c r="B14" s="2528">
        <v>40940</v>
      </c>
      <c r="C14" s="2528">
        <v>40969</v>
      </c>
      <c r="D14" s="2528">
        <v>41000</v>
      </c>
      <c r="E14" s="2528">
        <v>41030</v>
      </c>
      <c r="F14" s="2528">
        <v>41061</v>
      </c>
      <c r="G14" s="2528">
        <v>41091</v>
      </c>
      <c r="H14" s="2528">
        <v>41122</v>
      </c>
      <c r="I14" s="2528">
        <v>41153</v>
      </c>
      <c r="J14" s="2528">
        <v>41183</v>
      </c>
      <c r="K14" s="2528">
        <v>41214</v>
      </c>
      <c r="L14" s="2528">
        <v>41244</v>
      </c>
      <c r="M14" s="2528">
        <v>41275</v>
      </c>
      <c r="N14" s="2528">
        <v>41306</v>
      </c>
      <c r="O14" s="2528">
        <v>41334</v>
      </c>
      <c r="P14" s="2528">
        <v>41365</v>
      </c>
      <c r="Q14" s="2528">
        <v>41395</v>
      </c>
      <c r="R14" s="2528">
        <v>41426</v>
      </c>
      <c r="S14" s="2528">
        <v>41456</v>
      </c>
      <c r="T14" s="2528">
        <v>41487</v>
      </c>
      <c r="U14" s="2528">
        <v>41518</v>
      </c>
      <c r="V14" s="2528">
        <v>41548</v>
      </c>
      <c r="W14" s="2528">
        <v>41579</v>
      </c>
      <c r="X14" s="2528">
        <v>41609</v>
      </c>
      <c r="Y14" s="2528">
        <v>41640</v>
      </c>
      <c r="Z14" s="2528">
        <v>41671</v>
      </c>
      <c r="AA14" s="2528">
        <v>41699</v>
      </c>
      <c r="AB14" s="2528">
        <v>41730</v>
      </c>
      <c r="AC14" s="2528">
        <v>41760</v>
      </c>
      <c r="AD14" s="2528">
        <v>41791</v>
      </c>
      <c r="AE14" s="2528">
        <v>41821</v>
      </c>
      <c r="AF14" s="2528">
        <v>41852</v>
      </c>
      <c r="AG14" s="2528">
        <v>41883</v>
      </c>
      <c r="AH14" s="2528">
        <v>41913</v>
      </c>
      <c r="AI14" s="2528">
        <v>41944</v>
      </c>
      <c r="AJ14" s="2528">
        <v>41974</v>
      </c>
      <c r="AK14" s="2528">
        <v>42005</v>
      </c>
      <c r="AL14" s="2528">
        <v>42036</v>
      </c>
      <c r="AM14" s="2528">
        <v>42064</v>
      </c>
      <c r="AN14" s="2528">
        <v>42095</v>
      </c>
      <c r="AO14" s="2528">
        <v>42125</v>
      </c>
    </row>
    <row r="15" spans="1:41" ht="15.95" customHeight="1">
      <c r="A15" s="2529" t="s">
        <v>3860</v>
      </c>
      <c r="B15" s="2540">
        <v>1746.58243204</v>
      </c>
      <c r="C15" s="2540">
        <v>1746.58243204</v>
      </c>
      <c r="D15" s="2540">
        <v>1746.5824324499997</v>
      </c>
      <c r="E15" s="2540">
        <v>1325.00000004</v>
      </c>
      <c r="F15" s="2540">
        <v>1325.00000004</v>
      </c>
      <c r="G15" s="2540">
        <v>1325.00000004</v>
      </c>
      <c r="H15" s="2540">
        <v>1325.00000004</v>
      </c>
      <c r="I15" s="2540">
        <v>1325.00000004</v>
      </c>
      <c r="J15" s="2540">
        <v>1325.00000004</v>
      </c>
      <c r="K15" s="2540">
        <v>1325.00000004</v>
      </c>
      <c r="L15" s="2540">
        <v>1325.00000004</v>
      </c>
      <c r="M15" s="2540">
        <v>1325.00000004</v>
      </c>
      <c r="N15" s="2540">
        <v>1325.00000004</v>
      </c>
      <c r="O15" s="2540">
        <v>1325.00000004</v>
      </c>
      <c r="P15" s="2540">
        <v>1325.00000004</v>
      </c>
      <c r="Q15" s="2540">
        <v>1325.00000004</v>
      </c>
      <c r="R15" s="2540">
        <v>1325.00000004</v>
      </c>
      <c r="S15" s="2540">
        <v>1325.00000004</v>
      </c>
      <c r="T15" s="2540">
        <v>1325.00000004</v>
      </c>
      <c r="U15" s="2540">
        <v>1325.00000004</v>
      </c>
      <c r="V15" s="2540">
        <v>1325.00000004</v>
      </c>
      <c r="W15" s="2540">
        <v>1325.00000004</v>
      </c>
      <c r="X15" s="2540">
        <v>1325.00000004</v>
      </c>
      <c r="Y15" s="2540">
        <v>1325.00000004</v>
      </c>
      <c r="Z15" s="2540">
        <v>1325.00000004</v>
      </c>
      <c r="AA15" s="2540">
        <v>1325.00000004</v>
      </c>
      <c r="AB15" s="2540">
        <v>1325.00000004</v>
      </c>
      <c r="AC15" s="2540">
        <v>1325.00000004</v>
      </c>
      <c r="AD15" s="2540">
        <v>1325.00000004</v>
      </c>
      <c r="AE15" s="2540">
        <v>1325.00000004</v>
      </c>
      <c r="AF15" s="2540">
        <v>1325.00000004</v>
      </c>
      <c r="AG15" s="2540">
        <v>1325.00000004</v>
      </c>
      <c r="AH15" s="2540">
        <v>1325.00000004</v>
      </c>
      <c r="AI15" s="2540">
        <v>1325.00000004</v>
      </c>
      <c r="AJ15" s="2540">
        <v>1325.00000004</v>
      </c>
      <c r="AK15" s="2540">
        <v>1325.00000004</v>
      </c>
      <c r="AL15" s="2540">
        <v>1475.00000004</v>
      </c>
      <c r="AM15" s="2540">
        <v>1475.00000004</v>
      </c>
      <c r="AN15" s="2540">
        <v>1475.00000004</v>
      </c>
      <c r="AO15" s="2540">
        <v>1475.00000004</v>
      </c>
    </row>
    <row r="16" spans="1:41" ht="15.95" customHeight="1">
      <c r="A16" s="2529" t="s">
        <v>3861</v>
      </c>
      <c r="B16" s="2540">
        <v>599.53232722149994</v>
      </c>
      <c r="C16" s="2540">
        <v>597.48768222150011</v>
      </c>
      <c r="D16" s="2540">
        <v>585.08768969800064</v>
      </c>
      <c r="E16" s="2540">
        <v>550.85495347150015</v>
      </c>
      <c r="F16" s="2540">
        <v>550.85495377149937</v>
      </c>
      <c r="G16" s="2540">
        <v>645.15164702100037</v>
      </c>
      <c r="H16" s="2540">
        <v>646.24856795400092</v>
      </c>
      <c r="I16" s="2540">
        <v>672.13719595400096</v>
      </c>
      <c r="J16" s="2540">
        <v>719.21607130400037</v>
      </c>
      <c r="K16" s="2540">
        <v>719.21607129400115</v>
      </c>
      <c r="L16" s="2540">
        <v>694.21606729400105</v>
      </c>
      <c r="M16" s="2540">
        <v>670.71247913400077</v>
      </c>
      <c r="N16" s="2540">
        <v>670.71248195892997</v>
      </c>
      <c r="O16" s="2540">
        <v>670.71248957391742</v>
      </c>
      <c r="P16" s="2540">
        <v>670.71248505391691</v>
      </c>
      <c r="Q16" s="2540">
        <v>660.71248457391744</v>
      </c>
      <c r="R16" s="2540">
        <v>610.71248834191704</v>
      </c>
      <c r="S16" s="2540">
        <v>734.33972089841654</v>
      </c>
      <c r="T16" s="2540">
        <v>733.24190232691672</v>
      </c>
      <c r="U16" s="2540">
        <v>733.7838401344161</v>
      </c>
      <c r="V16" s="2540">
        <v>782.94232321041534</v>
      </c>
      <c r="W16" s="2540">
        <v>782.85444522441719</v>
      </c>
      <c r="X16" s="2540">
        <v>752.85457930648761</v>
      </c>
      <c r="Y16" s="2540">
        <v>763.24215569149976</v>
      </c>
      <c r="Z16" s="2540">
        <v>763.24215869149975</v>
      </c>
      <c r="AA16" s="2540">
        <v>763.24215869149975</v>
      </c>
      <c r="AB16" s="2540">
        <v>748.24215869149975</v>
      </c>
      <c r="AC16" s="2540">
        <v>748.32769254350285</v>
      </c>
      <c r="AD16" s="2540">
        <v>747.54909254350275</v>
      </c>
      <c r="AE16" s="2540">
        <v>773.27414996748257</v>
      </c>
      <c r="AF16" s="2540">
        <v>795.52384592534258</v>
      </c>
      <c r="AG16" s="2540">
        <v>793.82143868338437</v>
      </c>
      <c r="AH16" s="2540">
        <v>860.00679545936248</v>
      </c>
      <c r="AI16" s="2540">
        <v>866.69740693486267</v>
      </c>
      <c r="AJ16" s="2540">
        <v>832.47084905478573</v>
      </c>
      <c r="AK16" s="2540">
        <v>833.7203840475006</v>
      </c>
      <c r="AL16" s="2540">
        <v>832.06366670750049</v>
      </c>
      <c r="AM16" s="2540">
        <v>832.4695897075004</v>
      </c>
      <c r="AN16" s="2540">
        <v>832.06366825008206</v>
      </c>
      <c r="AO16" s="2540">
        <v>832.06366843008232</v>
      </c>
    </row>
    <row r="17" spans="1:41" ht="15.95" customHeight="1">
      <c r="A17" s="2529" t="s">
        <v>3862</v>
      </c>
      <c r="B17" s="2540">
        <v>0</v>
      </c>
      <c r="C17" s="2540">
        <v>0</v>
      </c>
      <c r="D17" s="2540">
        <v>0</v>
      </c>
      <c r="E17" s="2540">
        <v>0</v>
      </c>
      <c r="F17" s="2540">
        <v>0</v>
      </c>
      <c r="G17" s="2540">
        <v>0</v>
      </c>
      <c r="H17" s="2540">
        <v>0</v>
      </c>
      <c r="I17" s="2540">
        <v>0</v>
      </c>
      <c r="J17" s="2540">
        <v>0</v>
      </c>
      <c r="K17" s="2540">
        <v>0</v>
      </c>
      <c r="L17" s="2540">
        <v>0</v>
      </c>
      <c r="M17" s="2540">
        <v>0</v>
      </c>
      <c r="N17" s="2540">
        <v>0</v>
      </c>
      <c r="O17" s="2540">
        <v>0</v>
      </c>
      <c r="P17" s="2540">
        <v>0</v>
      </c>
      <c r="Q17" s="2540">
        <v>0</v>
      </c>
      <c r="R17" s="2540">
        <v>0</v>
      </c>
      <c r="S17" s="2540">
        <v>0</v>
      </c>
      <c r="T17" s="2540">
        <v>0</v>
      </c>
      <c r="U17" s="2540">
        <v>0</v>
      </c>
      <c r="V17" s="2540">
        <v>0</v>
      </c>
      <c r="W17" s="2540">
        <v>0</v>
      </c>
      <c r="X17" s="2540">
        <v>0</v>
      </c>
      <c r="Y17" s="2540">
        <v>0</v>
      </c>
      <c r="Z17" s="2540">
        <v>0</v>
      </c>
      <c r="AA17" s="2540">
        <v>0</v>
      </c>
      <c r="AB17" s="2540">
        <v>0</v>
      </c>
      <c r="AC17" s="2540">
        <v>0</v>
      </c>
      <c r="AD17" s="2540">
        <v>0</v>
      </c>
      <c r="AE17" s="2540">
        <v>0</v>
      </c>
      <c r="AF17" s="2540">
        <v>0</v>
      </c>
      <c r="AG17" s="2540">
        <v>0</v>
      </c>
      <c r="AH17" s="2540">
        <v>0</v>
      </c>
      <c r="AI17" s="2540">
        <v>0</v>
      </c>
      <c r="AJ17" s="2540">
        <v>0</v>
      </c>
      <c r="AK17" s="2540">
        <v>0</v>
      </c>
      <c r="AL17" s="2540">
        <v>0</v>
      </c>
      <c r="AM17" s="2540">
        <v>0</v>
      </c>
      <c r="AN17" s="2540">
        <v>0</v>
      </c>
      <c r="AO17" s="2540">
        <v>0</v>
      </c>
    </row>
    <row r="18" spans="1:41" ht="15.95" customHeight="1">
      <c r="A18" s="2529" t="s">
        <v>3863</v>
      </c>
      <c r="B18" s="2540">
        <v>174.68465315537588</v>
      </c>
      <c r="C18" s="2540">
        <v>138.83161136000064</v>
      </c>
      <c r="D18" s="2540">
        <v>166.05437092823649</v>
      </c>
      <c r="E18" s="2540">
        <v>184.09390129199969</v>
      </c>
      <c r="F18" s="2540">
        <v>214.51573574299965</v>
      </c>
      <c r="G18" s="2540">
        <v>152.83371287038995</v>
      </c>
      <c r="H18" s="2540">
        <v>183.68492711000061</v>
      </c>
      <c r="I18" s="2540">
        <v>97.722879887501534</v>
      </c>
      <c r="J18" s="2540">
        <v>78.951812543999964</v>
      </c>
      <c r="K18" s="2540">
        <v>106.59191788399994</v>
      </c>
      <c r="L18" s="2540">
        <v>129.06181087241649</v>
      </c>
      <c r="M18" s="2540">
        <v>138.63510564942897</v>
      </c>
      <c r="N18" s="2540">
        <v>174.03551509249951</v>
      </c>
      <c r="O18" s="2540">
        <v>138.81410591500051</v>
      </c>
      <c r="P18" s="2540">
        <v>166.94650340549961</v>
      </c>
      <c r="Q18" s="2540">
        <v>202.46809445749884</v>
      </c>
      <c r="R18" s="2540">
        <v>238.49052996700198</v>
      </c>
      <c r="S18" s="2540">
        <v>168.69020238549959</v>
      </c>
      <c r="T18" s="2540">
        <v>195.02616721850077</v>
      </c>
      <c r="U18" s="2540">
        <v>92.981908756502534</v>
      </c>
      <c r="V18" s="2540">
        <v>80.497340199501778</v>
      </c>
      <c r="W18" s="2540">
        <v>110.35300234900004</v>
      </c>
      <c r="X18" s="2540">
        <v>132.31135786501284</v>
      </c>
      <c r="Y18" s="2540">
        <v>154.90767153200554</v>
      </c>
      <c r="Z18" s="2540">
        <v>191.2673920019993</v>
      </c>
      <c r="AA18" s="2540">
        <v>134.18046513999943</v>
      </c>
      <c r="AB18" s="2540">
        <v>169.56187140749978</v>
      </c>
      <c r="AC18" s="2540">
        <v>204.00408966017156</v>
      </c>
      <c r="AD18" s="2540">
        <v>162.03582013999878</v>
      </c>
      <c r="AE18" s="2540">
        <v>181.02625737277651</v>
      </c>
      <c r="AF18" s="2540">
        <v>169.9038893095867</v>
      </c>
      <c r="AG18" s="2540">
        <v>186.86123331597574</v>
      </c>
      <c r="AH18" s="2540">
        <v>90.006159540000084</v>
      </c>
      <c r="AI18" s="2540">
        <v>102.00333708000016</v>
      </c>
      <c r="AJ18" s="2540">
        <v>150.19311207821463</v>
      </c>
      <c r="AK18" s="2540">
        <v>-216.06557044155002</v>
      </c>
      <c r="AL18" s="2540">
        <v>209.65880384789824</v>
      </c>
      <c r="AM18" s="2540">
        <v>150.29535886365224</v>
      </c>
      <c r="AN18" s="2540">
        <v>158.84471261826491</v>
      </c>
      <c r="AO18" s="2540">
        <v>194.65759772665669</v>
      </c>
    </row>
    <row r="19" spans="1:41" ht="15.95" customHeight="1">
      <c r="A19" s="2529" t="s">
        <v>3864</v>
      </c>
      <c r="B19" s="2540">
        <v>14673.987694020007</v>
      </c>
      <c r="C19" s="2540">
        <v>15022.280191680002</v>
      </c>
      <c r="D19" s="2540">
        <v>14950.51709168</v>
      </c>
      <c r="E19" s="2540">
        <v>12226.293971069999</v>
      </c>
      <c r="F19" s="2540">
        <v>11892.032891719997</v>
      </c>
      <c r="G19" s="2540">
        <v>12056.502985439998</v>
      </c>
      <c r="H19" s="2540">
        <v>12136.8419505</v>
      </c>
      <c r="I19" s="2540">
        <v>12195.952606729999</v>
      </c>
      <c r="J19" s="2540">
        <v>12297.28802287</v>
      </c>
      <c r="K19" s="2540">
        <v>12244.178058209996</v>
      </c>
      <c r="L19" s="2540">
        <v>12481.682409219993</v>
      </c>
      <c r="M19" s="2540">
        <v>12805.170594069996</v>
      </c>
      <c r="N19" s="2540">
        <v>12881.226528809995</v>
      </c>
      <c r="O19" s="2540">
        <v>13034.154719470002</v>
      </c>
      <c r="P19" s="2540">
        <v>12777.125437519997</v>
      </c>
      <c r="Q19" s="2540">
        <v>12855.538266410002</v>
      </c>
      <c r="R19" s="2540">
        <v>12936.980305380001</v>
      </c>
      <c r="S19" s="2540">
        <v>12753.110069369999</v>
      </c>
      <c r="T19" s="2540">
        <v>12769.440596630004</v>
      </c>
      <c r="U19" s="2540">
        <v>12859.20819573</v>
      </c>
      <c r="V19" s="2540">
        <v>12841.551802059997</v>
      </c>
      <c r="W19" s="2540">
        <v>12847.820847959993</v>
      </c>
      <c r="X19" s="2540">
        <v>12681.677415169997</v>
      </c>
      <c r="Y19" s="2540">
        <v>12598.589176169999</v>
      </c>
      <c r="Z19" s="2540">
        <v>12606.652558670003</v>
      </c>
      <c r="AA19" s="2540">
        <v>12516.867773700002</v>
      </c>
      <c r="AB19" s="2540">
        <v>12728.165184020003</v>
      </c>
      <c r="AC19" s="2540">
        <v>12619.011896249995</v>
      </c>
      <c r="AD19" s="2540">
        <v>12670.801787809994</v>
      </c>
      <c r="AE19" s="2540">
        <v>12746.752611029999</v>
      </c>
      <c r="AF19" s="2540">
        <v>12640.080890633646</v>
      </c>
      <c r="AG19" s="2540">
        <v>12886.816174719101</v>
      </c>
      <c r="AH19" s="2540">
        <v>12980.330780480786</v>
      </c>
      <c r="AI19" s="2540">
        <v>12986.737583169997</v>
      </c>
      <c r="AJ19" s="2540">
        <v>13046.342853210004</v>
      </c>
      <c r="AK19" s="2540">
        <v>12912.732273344805</v>
      </c>
      <c r="AL19" s="2540">
        <v>12792.471171226414</v>
      </c>
      <c r="AM19" s="2540">
        <v>12875.36210425326</v>
      </c>
      <c r="AN19" s="2540">
        <v>13219.451940166635</v>
      </c>
      <c r="AO19" s="2540">
        <v>13105.709520297352</v>
      </c>
    </row>
    <row r="20" spans="1:41" s="2543" customFormat="1" ht="15.95" customHeight="1">
      <c r="A20" s="2541" t="s">
        <v>3865</v>
      </c>
      <c r="B20" s="2542">
        <v>14551.555964250007</v>
      </c>
      <c r="C20" s="2542">
        <v>14902.643488680002</v>
      </c>
      <c r="D20" s="2542">
        <v>14831.144394680001</v>
      </c>
      <c r="E20" s="2542">
        <v>12109.832539069999</v>
      </c>
      <c r="F20" s="2542">
        <v>11778.019082239998</v>
      </c>
      <c r="G20" s="2542">
        <v>11949.233858439999</v>
      </c>
      <c r="H20" s="2542">
        <v>12026.675456499999</v>
      </c>
      <c r="I20" s="2542">
        <v>12076.429211659999</v>
      </c>
      <c r="J20" s="2542">
        <v>12177.216458729999</v>
      </c>
      <c r="K20" s="2542">
        <v>12127.075089559998</v>
      </c>
      <c r="L20" s="2542">
        <v>12370.895662509995</v>
      </c>
      <c r="M20" s="2542">
        <v>12696.615796389995</v>
      </c>
      <c r="N20" s="2542">
        <v>12774.912824429997</v>
      </c>
      <c r="O20" s="2542">
        <v>12930.049730080002</v>
      </c>
      <c r="P20" s="2542">
        <v>12675.321549519997</v>
      </c>
      <c r="Q20" s="2542">
        <v>12755.96350263</v>
      </c>
      <c r="R20" s="2542">
        <v>12794.52027936</v>
      </c>
      <c r="S20" s="2542">
        <v>12588.450738419999</v>
      </c>
      <c r="T20" s="2542">
        <v>12593.328752050003</v>
      </c>
      <c r="U20" s="2542">
        <v>12687.318257049999</v>
      </c>
      <c r="V20" s="2542">
        <v>12673.612646059997</v>
      </c>
      <c r="W20" s="2542">
        <v>12678.074341059993</v>
      </c>
      <c r="X20" s="2542">
        <v>12495.064819719997</v>
      </c>
      <c r="Y20" s="2542">
        <v>12416.832218329999</v>
      </c>
      <c r="Z20" s="2542">
        <v>12416.327303240001</v>
      </c>
      <c r="AA20" s="2542">
        <v>12398.51194604</v>
      </c>
      <c r="AB20" s="2542">
        <v>12612.756203890003</v>
      </c>
      <c r="AC20" s="2542">
        <v>12506.284809149995</v>
      </c>
      <c r="AD20" s="2542">
        <v>12560.846690849994</v>
      </c>
      <c r="AE20" s="2542">
        <v>12619.01920137</v>
      </c>
      <c r="AF20" s="2542">
        <v>12515.133505893646</v>
      </c>
      <c r="AG20" s="2542">
        <v>12762.893653859101</v>
      </c>
      <c r="AH20" s="2542">
        <v>12856.408259620786</v>
      </c>
      <c r="AI20" s="2542">
        <v>12846.057671599998</v>
      </c>
      <c r="AJ20" s="2542">
        <v>12898.127239020005</v>
      </c>
      <c r="AK20" s="2542">
        <v>12775.631758314805</v>
      </c>
      <c r="AL20" s="2542">
        <v>12655.370656226414</v>
      </c>
      <c r="AM20" s="2542">
        <v>12738.261589223259</v>
      </c>
      <c r="AN20" s="2542">
        <v>13043.080241426636</v>
      </c>
      <c r="AO20" s="2540">
        <v>12932.628574297352</v>
      </c>
    </row>
    <row r="21" spans="1:41" ht="15.95" customHeight="1">
      <c r="A21" s="2529" t="s">
        <v>21</v>
      </c>
      <c r="B21" s="2540">
        <v>1816.2484834300003</v>
      </c>
      <c r="C21" s="2540">
        <v>1871.3934472400003</v>
      </c>
      <c r="D21" s="2540">
        <v>1823.9683416599994</v>
      </c>
      <c r="E21" s="2540">
        <v>1415.7926568399998</v>
      </c>
      <c r="F21" s="2540">
        <v>1740.0558439700003</v>
      </c>
      <c r="G21" s="2540">
        <v>1573.7345048299999</v>
      </c>
      <c r="H21" s="2540">
        <v>1401.1215261600003</v>
      </c>
      <c r="I21" s="2540">
        <v>1583.2044379400002</v>
      </c>
      <c r="J21" s="2540">
        <v>1385.15929467</v>
      </c>
      <c r="K21" s="2540">
        <v>1459.4611832399996</v>
      </c>
      <c r="L21" s="2540">
        <v>1770.0614025900002</v>
      </c>
      <c r="M21" s="2540">
        <v>1850.4168175099996</v>
      </c>
      <c r="N21" s="2540">
        <v>1810.5282499099999</v>
      </c>
      <c r="O21" s="2540">
        <v>1949.0623081799997</v>
      </c>
      <c r="P21" s="2540">
        <v>1804.3358888600001</v>
      </c>
      <c r="Q21" s="2540">
        <v>1640.3018918900004</v>
      </c>
      <c r="R21" s="2540">
        <v>1865.9683750199999</v>
      </c>
      <c r="S21" s="2540">
        <v>1545.2656388999997</v>
      </c>
      <c r="T21" s="2540">
        <v>1910.7907514600001</v>
      </c>
      <c r="U21" s="2540">
        <v>2070.54935471</v>
      </c>
      <c r="V21" s="2540">
        <v>2120.6724401199999</v>
      </c>
      <c r="W21" s="2540">
        <v>2192.7014391800003</v>
      </c>
      <c r="X21" s="2540">
        <v>2396.9668014700001</v>
      </c>
      <c r="Y21" s="2540">
        <v>2595.5052623199995</v>
      </c>
      <c r="Z21" s="2540">
        <v>2580.2813334799998</v>
      </c>
      <c r="AA21" s="2540">
        <v>2899.7717887999997</v>
      </c>
      <c r="AB21" s="2540">
        <v>2793.1222935299993</v>
      </c>
      <c r="AC21" s="2540">
        <v>2960.8303499099993</v>
      </c>
      <c r="AD21" s="2540">
        <v>3078.3956087700003</v>
      </c>
      <c r="AE21" s="2540">
        <v>3025.6830691499995</v>
      </c>
      <c r="AF21" s="2540">
        <v>3254.0411064189998</v>
      </c>
      <c r="AG21" s="2540">
        <v>3301.8126503000003</v>
      </c>
      <c r="AH21" s="2540">
        <v>3477.2955768400002</v>
      </c>
      <c r="AI21" s="2540">
        <v>3575.1337587800008</v>
      </c>
      <c r="AJ21" s="2540">
        <v>3625.4098094999999</v>
      </c>
      <c r="AK21" s="2540">
        <v>3451.3163360500002</v>
      </c>
      <c r="AL21" s="2540">
        <v>4002.4317127300001</v>
      </c>
      <c r="AM21" s="2540">
        <v>4099.3227502899999</v>
      </c>
      <c r="AN21" s="2540">
        <v>3668.6098897894985</v>
      </c>
      <c r="AO21" s="2540">
        <v>3559.3600213699997</v>
      </c>
    </row>
    <row r="22" spans="1:41" ht="15.95" customHeight="1">
      <c r="A22" s="2529" t="s">
        <v>24</v>
      </c>
      <c r="B22" s="2540">
        <v>1799.8046994554986</v>
      </c>
      <c r="C22" s="2540">
        <v>1864.2528078224993</v>
      </c>
      <c r="D22" s="2540">
        <v>1862.2082661299992</v>
      </c>
      <c r="E22" s="2540">
        <v>1692.4265391454996</v>
      </c>
      <c r="F22" s="2540">
        <v>1644.0326673576606</v>
      </c>
      <c r="G22" s="2540">
        <v>1693.4282335971793</v>
      </c>
      <c r="H22" s="2540">
        <v>1631.4195957471791</v>
      </c>
      <c r="I22" s="2540">
        <v>1687.3481527838196</v>
      </c>
      <c r="J22" s="2540">
        <v>1692.2598568708188</v>
      </c>
      <c r="K22" s="2540">
        <v>1793.6647095710955</v>
      </c>
      <c r="L22" s="2540">
        <v>1945.7059241178026</v>
      </c>
      <c r="M22" s="2540">
        <v>1583.2489452885827</v>
      </c>
      <c r="N22" s="2540">
        <v>1660.603190898051</v>
      </c>
      <c r="O22" s="2540">
        <v>1645.0158121701809</v>
      </c>
      <c r="P22" s="2540">
        <v>1652.0760039620964</v>
      </c>
      <c r="Q22" s="2540">
        <v>1744.851146639181</v>
      </c>
      <c r="R22" s="2540">
        <v>1818.4800479889018</v>
      </c>
      <c r="S22" s="2540">
        <v>1950.424325898819</v>
      </c>
      <c r="T22" s="2540">
        <v>2092.7155430588191</v>
      </c>
      <c r="U22" s="2540">
        <v>2064.1435028648857</v>
      </c>
      <c r="V22" s="2540">
        <v>1880.2096480220112</v>
      </c>
      <c r="W22" s="2540">
        <v>1926.9139964014933</v>
      </c>
      <c r="X22" s="2540">
        <v>2218.7168944220116</v>
      </c>
      <c r="Y22" s="2540">
        <v>1985.5904765195039</v>
      </c>
      <c r="Z22" s="2540">
        <v>1972.2507203140117</v>
      </c>
      <c r="AA22" s="2540">
        <v>1927.9445168920113</v>
      </c>
      <c r="AB22" s="2540">
        <v>1901.7674149797515</v>
      </c>
      <c r="AC22" s="2540">
        <v>1886.8805592166605</v>
      </c>
      <c r="AD22" s="2540">
        <v>1921.0224354300935</v>
      </c>
      <c r="AE22" s="2540">
        <v>1964.920014049894</v>
      </c>
      <c r="AF22" s="2540">
        <v>1994.0033608783267</v>
      </c>
      <c r="AG22" s="2540">
        <v>1984.4977902220121</v>
      </c>
      <c r="AH22" s="2540">
        <v>1914.8292231520109</v>
      </c>
      <c r="AI22" s="2540">
        <v>2139.14897036</v>
      </c>
      <c r="AJ22" s="2540">
        <v>2390.4111904900005</v>
      </c>
      <c r="AK22" s="2540">
        <v>3046.2996005074833</v>
      </c>
      <c r="AL22" s="2540">
        <v>1973.312739295822</v>
      </c>
      <c r="AM22" s="2540">
        <v>1987.5354303920108</v>
      </c>
      <c r="AN22" s="2540">
        <v>2022.1958714371826</v>
      </c>
      <c r="AO22" s="2540">
        <v>2204.9091645160111</v>
      </c>
    </row>
    <row r="23" spans="1:41" ht="15.95" customHeight="1">
      <c r="A23" s="2544" t="s">
        <v>2542</v>
      </c>
      <c r="B23" s="2545">
        <v>20810.840289322379</v>
      </c>
      <c r="C23" s="2545">
        <v>21240.828172364003</v>
      </c>
      <c r="D23" s="2545">
        <v>21134.418192546233</v>
      </c>
      <c r="E23" s="2545">
        <v>17394.462021858999</v>
      </c>
      <c r="F23" s="2545">
        <v>17366.492092602155</v>
      </c>
      <c r="G23" s="2545">
        <v>17446.651083798566</v>
      </c>
      <c r="H23" s="2545">
        <v>17324.316567511185</v>
      </c>
      <c r="I23" s="2545">
        <v>17561.365273335323</v>
      </c>
      <c r="J23" s="2545">
        <v>17497.875058298818</v>
      </c>
      <c r="K23" s="2545">
        <v>17648.11194023909</v>
      </c>
      <c r="L23" s="2545">
        <v>18345.727614134215</v>
      </c>
      <c r="M23" s="2546">
        <v>18373.183941692008</v>
      </c>
      <c r="N23" s="2546">
        <v>18522.105966709474</v>
      </c>
      <c r="O23" s="2546">
        <v>18762.7594353491</v>
      </c>
      <c r="P23" s="2546">
        <v>18396.19631884151</v>
      </c>
      <c r="Q23" s="2546">
        <v>18428.871884010601</v>
      </c>
      <c r="R23" s="2546">
        <v>18795.631746737821</v>
      </c>
      <c r="S23" s="2546">
        <v>18476.829957492737</v>
      </c>
      <c r="T23" s="2546">
        <v>19026.214960734244</v>
      </c>
      <c r="U23" s="2546">
        <v>19145.666802235803</v>
      </c>
      <c r="V23" s="2546">
        <v>19030.873553651923</v>
      </c>
      <c r="W23" s="2546">
        <v>19185.643731154905</v>
      </c>
      <c r="X23" s="2546">
        <v>19507.527048273507</v>
      </c>
      <c r="Y23" s="2546">
        <v>19422.834742273008</v>
      </c>
      <c r="Z23" s="2546">
        <v>19438.694163197513</v>
      </c>
      <c r="AA23" s="2546">
        <v>19567.006703263512</v>
      </c>
      <c r="AB23" s="2546">
        <v>19665.858922668755</v>
      </c>
      <c r="AC23" s="2546">
        <v>19744.054587620329</v>
      </c>
      <c r="AD23" s="2546">
        <v>19904.804744733592</v>
      </c>
      <c r="AE23" s="2546">
        <v>20016.656101610151</v>
      </c>
      <c r="AF23" s="2546">
        <v>20178.553093205905</v>
      </c>
      <c r="AG23" s="2546">
        <v>20478.809287280474</v>
      </c>
      <c r="AH23" s="2546">
        <v>20647.468535512158</v>
      </c>
      <c r="AI23" s="2546">
        <v>20994.721056364862</v>
      </c>
      <c r="AJ23" s="2546">
        <v>21369.827814373006</v>
      </c>
      <c r="AK23" s="2546">
        <v>21353.003023548241</v>
      </c>
      <c r="AL23" s="2546">
        <v>21284.938093847635</v>
      </c>
      <c r="AM23" s="2546">
        <v>21419.985233546424</v>
      </c>
      <c r="AN23" s="2546">
        <v>21376.166082301665</v>
      </c>
      <c r="AO23" s="2546">
        <v>21371.699972380102</v>
      </c>
    </row>
    <row r="24" spans="1:41" s="2548" customFormat="1">
      <c r="A24" s="2547" t="s">
        <v>2346</v>
      </c>
    </row>
    <row r="25" spans="1:41" s="2548" customFormat="1" ht="14.25" customHeight="1">
      <c r="A25" s="2549" t="s">
        <v>3866</v>
      </c>
    </row>
    <row r="26" spans="1:41" s="2550" customFormat="1">
      <c r="A26" s="2547" t="s">
        <v>3867</v>
      </c>
    </row>
    <row r="27" spans="1:41" s="2550" customFormat="1" ht="15.75">
      <c r="A27" s="2525"/>
    </row>
  </sheetData>
  <sheetProtection selectLockedCells="1" selectUnlockedCells="1"/>
  <printOptions horizontalCentered="1"/>
  <pageMargins left="0" right="0" top="1" bottom="1" header="0.5" footer="0.5"/>
  <pageSetup paperSize="9" scale="6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0"/>
  <sheetViews>
    <sheetView zoomScaleNormal="100" zoomScaleSheetLayoutView="100" workbookViewId="0">
      <pane xSplit="1" ySplit="5" topLeftCell="B6" activePane="bottomRight" state="frozen"/>
      <selection pane="topRight" activeCell="B1" sqref="B1"/>
      <selection pane="bottomLeft" activeCell="A6" sqref="A6"/>
      <selection pane="bottomRight" activeCell="G3" sqref="G3"/>
    </sheetView>
  </sheetViews>
  <sheetFormatPr defaultRowHeight="15"/>
  <cols>
    <col min="1" max="1" width="52.5703125" style="541" customWidth="1"/>
    <col min="2" max="2" width="10.5703125" style="541" customWidth="1"/>
    <col min="3" max="3" width="11.85546875" style="541" customWidth="1"/>
    <col min="4" max="4" width="9.85546875" style="541" customWidth="1"/>
    <col min="5" max="5" width="10.42578125" style="541" customWidth="1"/>
    <col min="6" max="6" width="10.85546875" style="541" bestFit="1" customWidth="1"/>
    <col min="7" max="7" width="10.85546875" style="541" customWidth="1"/>
    <col min="8" max="8" width="10.85546875" style="541" bestFit="1" customWidth="1"/>
    <col min="9" max="20" width="10.7109375" style="541" customWidth="1"/>
    <col min="21" max="16384" width="9.140625" style="541"/>
  </cols>
  <sheetData>
    <row r="1" spans="1:20" ht="1.5" customHeight="1">
      <c r="A1" s="542"/>
    </row>
    <row r="2" spans="1:20" ht="15.75" hidden="1" customHeight="1">
      <c r="A2" s="542"/>
    </row>
    <row r="3" spans="1:20" ht="42" customHeight="1">
      <c r="A3" s="3166" t="s">
        <v>3868</v>
      </c>
      <c r="B3" s="3166"/>
      <c r="C3" s="3166"/>
      <c r="D3" s="3166"/>
    </row>
    <row r="4" spans="1:20" ht="21.75" customHeight="1" thickBot="1">
      <c r="A4" s="807"/>
      <c r="B4" s="807"/>
      <c r="C4" s="807"/>
      <c r="E4" s="2551"/>
      <c r="F4" s="2551"/>
      <c r="G4" s="2551"/>
      <c r="H4" s="2551"/>
      <c r="T4" s="541" t="s">
        <v>49</v>
      </c>
    </row>
    <row r="5" spans="1:20" ht="25.5" customHeight="1" thickBot="1">
      <c r="A5" s="2552"/>
      <c r="B5" s="2553">
        <v>40451</v>
      </c>
      <c r="C5" s="2554">
        <v>40543</v>
      </c>
      <c r="D5" s="2555">
        <v>40633</v>
      </c>
      <c r="E5" s="2555">
        <v>40724</v>
      </c>
      <c r="F5" s="2555">
        <v>40816</v>
      </c>
      <c r="G5" s="2555">
        <v>40907</v>
      </c>
      <c r="H5" s="2555">
        <v>40969</v>
      </c>
      <c r="I5" s="2555">
        <v>41061</v>
      </c>
      <c r="J5" s="2555">
        <v>41153</v>
      </c>
      <c r="K5" s="2555">
        <v>41244</v>
      </c>
      <c r="L5" s="2555">
        <v>41334</v>
      </c>
      <c r="M5" s="2555">
        <v>41426</v>
      </c>
      <c r="N5" s="2555">
        <v>41518</v>
      </c>
      <c r="O5" s="2555">
        <v>41609</v>
      </c>
      <c r="P5" s="2555">
        <v>41699</v>
      </c>
      <c r="Q5" s="2555">
        <v>41791</v>
      </c>
      <c r="R5" s="2555">
        <v>41883</v>
      </c>
      <c r="S5" s="2555">
        <v>41974</v>
      </c>
      <c r="T5" s="2555">
        <v>42064</v>
      </c>
    </row>
    <row r="6" spans="1:20" ht="18" customHeight="1">
      <c r="A6" s="2556" t="s">
        <v>3869</v>
      </c>
      <c r="B6" s="2557">
        <v>472.36257554000002</v>
      </c>
      <c r="C6" s="2558">
        <v>510</v>
      </c>
      <c r="D6" s="2559">
        <v>491</v>
      </c>
      <c r="E6" s="2559">
        <v>498</v>
      </c>
      <c r="F6" s="2559">
        <v>497</v>
      </c>
      <c r="G6" s="2559">
        <v>476</v>
      </c>
      <c r="H6" s="2559">
        <v>491</v>
      </c>
      <c r="I6" s="2559">
        <v>422</v>
      </c>
      <c r="J6" s="2559">
        <v>408.45183361999989</v>
      </c>
      <c r="K6" s="2559">
        <v>408</v>
      </c>
      <c r="L6" s="2559">
        <v>415</v>
      </c>
      <c r="M6" s="2559">
        <v>400</v>
      </c>
      <c r="N6" s="2559">
        <v>408</v>
      </c>
      <c r="O6" s="2559">
        <v>399</v>
      </c>
      <c r="P6" s="2559">
        <v>405</v>
      </c>
      <c r="Q6" s="2559">
        <v>412</v>
      </c>
      <c r="R6" s="2559">
        <v>400</v>
      </c>
      <c r="S6" s="2559">
        <v>398</v>
      </c>
      <c r="T6" s="2559">
        <v>414</v>
      </c>
    </row>
    <row r="7" spans="1:20" ht="18" customHeight="1">
      <c r="A7" s="2556" t="s">
        <v>3870</v>
      </c>
      <c r="B7" s="2557">
        <v>335.91336057999996</v>
      </c>
      <c r="C7" s="2558">
        <v>357</v>
      </c>
      <c r="D7" s="2559">
        <v>319</v>
      </c>
      <c r="E7" s="2559">
        <v>321</v>
      </c>
      <c r="F7" s="2559">
        <v>324</v>
      </c>
      <c r="G7" s="2559">
        <v>304</v>
      </c>
      <c r="H7" s="2559">
        <v>304</v>
      </c>
      <c r="I7" s="2559">
        <v>241</v>
      </c>
      <c r="J7" s="2559">
        <v>235.49498532999999</v>
      </c>
      <c r="K7" s="2559">
        <v>234</v>
      </c>
      <c r="L7" s="2559">
        <v>228</v>
      </c>
      <c r="M7" s="2559">
        <v>235</v>
      </c>
      <c r="N7" s="2559">
        <v>231</v>
      </c>
      <c r="O7" s="2559">
        <v>229</v>
      </c>
      <c r="P7" s="2559">
        <v>223</v>
      </c>
      <c r="Q7" s="2559">
        <v>224</v>
      </c>
      <c r="R7" s="2559">
        <v>224</v>
      </c>
      <c r="S7" s="2559">
        <v>219</v>
      </c>
      <c r="T7" s="2559">
        <v>241</v>
      </c>
    </row>
    <row r="8" spans="1:20" ht="18" customHeight="1">
      <c r="A8" s="2560" t="s">
        <v>3871</v>
      </c>
      <c r="B8" s="2561">
        <v>136.44921496000006</v>
      </c>
      <c r="C8" s="2562">
        <v>153</v>
      </c>
      <c r="D8" s="2563">
        <f>D6-D7</f>
        <v>172</v>
      </c>
      <c r="E8" s="2563">
        <f>E6-E7</f>
        <v>177</v>
      </c>
      <c r="F8" s="2563">
        <f>F6-F7</f>
        <v>173</v>
      </c>
      <c r="G8" s="2563">
        <v>172</v>
      </c>
      <c r="H8" s="2563">
        <f>H6-H7</f>
        <v>187</v>
      </c>
      <c r="I8" s="2563">
        <f>I6-I7</f>
        <v>181</v>
      </c>
      <c r="J8" s="2563">
        <f t="shared" ref="J8:O8" si="0">J6-J7</f>
        <v>172.9568482899999</v>
      </c>
      <c r="K8" s="2563">
        <v>174</v>
      </c>
      <c r="L8" s="2563">
        <f t="shared" si="0"/>
        <v>187</v>
      </c>
      <c r="M8" s="2563">
        <f t="shared" si="0"/>
        <v>165</v>
      </c>
      <c r="N8" s="2563">
        <f t="shared" si="0"/>
        <v>177</v>
      </c>
      <c r="O8" s="2563">
        <f t="shared" si="0"/>
        <v>170</v>
      </c>
      <c r="P8" s="2563">
        <v>182</v>
      </c>
      <c r="Q8" s="2563">
        <v>188</v>
      </c>
      <c r="R8" s="2563">
        <f>R6-R7</f>
        <v>176</v>
      </c>
      <c r="S8" s="2563">
        <f>S6-S7</f>
        <v>179</v>
      </c>
      <c r="T8" s="2563">
        <f>T6-T7</f>
        <v>173</v>
      </c>
    </row>
    <row r="9" spans="1:20" ht="18" customHeight="1">
      <c r="A9" s="2564"/>
      <c r="B9" s="2557"/>
      <c r="C9" s="2558"/>
      <c r="D9" s="2559"/>
      <c r="E9" s="2559"/>
      <c r="F9" s="2559"/>
      <c r="G9" s="2559"/>
      <c r="H9" s="2559"/>
      <c r="I9" s="2559"/>
      <c r="J9" s="2559"/>
      <c r="K9" s="2559"/>
      <c r="L9" s="2559"/>
      <c r="M9" s="2559"/>
      <c r="N9" s="2559"/>
      <c r="O9" s="2559"/>
      <c r="P9" s="2559"/>
      <c r="Q9" s="2559"/>
      <c r="R9" s="2559"/>
      <c r="S9" s="2559"/>
      <c r="T9" s="2559"/>
    </row>
    <row r="10" spans="1:20" ht="18" customHeight="1">
      <c r="A10" s="2560" t="s">
        <v>3872</v>
      </c>
      <c r="B10" s="2561">
        <v>184.51846550000002</v>
      </c>
      <c r="C10" s="2562">
        <v>202</v>
      </c>
      <c r="D10" s="2563">
        <f>D11+D12</f>
        <v>168.01905119000003</v>
      </c>
      <c r="E10" s="2563">
        <f>E11+E12</f>
        <v>175</v>
      </c>
      <c r="F10" s="2563">
        <f>F11+F12</f>
        <v>185</v>
      </c>
      <c r="G10" s="2563">
        <v>184</v>
      </c>
      <c r="H10" s="2563">
        <f>H11+H12</f>
        <v>189</v>
      </c>
      <c r="I10" s="2563">
        <f>I11+I12</f>
        <v>167</v>
      </c>
      <c r="J10" s="2563">
        <v>177.96196124999997</v>
      </c>
      <c r="K10" s="2563">
        <v>185</v>
      </c>
      <c r="L10" s="2563">
        <f>L11+L12</f>
        <v>182</v>
      </c>
      <c r="M10" s="2563">
        <f>M11+M12</f>
        <v>198</v>
      </c>
      <c r="N10" s="2563">
        <f>N11+N12</f>
        <v>193</v>
      </c>
      <c r="O10" s="2563">
        <f t="shared" ref="O10:T10" si="1">O11+O12</f>
        <v>202</v>
      </c>
      <c r="P10" s="2563">
        <v>191</v>
      </c>
      <c r="Q10" s="2563">
        <v>194</v>
      </c>
      <c r="R10" s="2563">
        <f t="shared" si="1"/>
        <v>197</v>
      </c>
      <c r="S10" s="2563">
        <f t="shared" si="1"/>
        <v>214</v>
      </c>
      <c r="T10" s="2563">
        <f t="shared" si="1"/>
        <v>197</v>
      </c>
    </row>
    <row r="11" spans="1:20" ht="18" customHeight="1">
      <c r="A11" s="2556" t="s">
        <v>3873</v>
      </c>
      <c r="B11" s="2557">
        <v>55.894596980000038</v>
      </c>
      <c r="C11" s="2558">
        <v>65</v>
      </c>
      <c r="D11" s="2559">
        <v>58.019051190000013</v>
      </c>
      <c r="E11" s="2559">
        <v>65</v>
      </c>
      <c r="F11" s="2559">
        <v>67</v>
      </c>
      <c r="G11" s="2559">
        <v>67</v>
      </c>
      <c r="H11" s="2559">
        <v>66</v>
      </c>
      <c r="I11" s="2559">
        <v>67</v>
      </c>
      <c r="J11" s="2559">
        <v>70.554284209999977</v>
      </c>
      <c r="K11" s="2559">
        <v>72</v>
      </c>
      <c r="L11" s="2559">
        <v>70</v>
      </c>
      <c r="M11" s="2559">
        <v>78</v>
      </c>
      <c r="N11" s="2559">
        <v>79</v>
      </c>
      <c r="O11" s="2559">
        <v>79</v>
      </c>
      <c r="P11" s="2559">
        <v>73</v>
      </c>
      <c r="Q11" s="2559">
        <v>81</v>
      </c>
      <c r="R11" s="2559">
        <v>81</v>
      </c>
      <c r="S11" s="2559">
        <v>97</v>
      </c>
      <c r="T11" s="2559">
        <v>83</v>
      </c>
    </row>
    <row r="12" spans="1:20" ht="18" customHeight="1">
      <c r="A12" s="2556" t="s">
        <v>3874</v>
      </c>
      <c r="B12" s="2557">
        <v>128.62386851999997</v>
      </c>
      <c r="C12" s="2558">
        <v>137</v>
      </c>
      <c r="D12" s="2559">
        <v>110</v>
      </c>
      <c r="E12" s="2559">
        <v>110</v>
      </c>
      <c r="F12" s="2559">
        <v>118</v>
      </c>
      <c r="G12" s="2559">
        <v>117</v>
      </c>
      <c r="H12" s="2559">
        <v>123</v>
      </c>
      <c r="I12" s="2559">
        <v>100</v>
      </c>
      <c r="J12" s="2559">
        <v>107.40767704</v>
      </c>
      <c r="K12" s="2559">
        <v>113</v>
      </c>
      <c r="L12" s="2559">
        <v>112</v>
      </c>
      <c r="M12" s="2559">
        <v>120</v>
      </c>
      <c r="N12" s="2559">
        <v>114</v>
      </c>
      <c r="O12" s="2559">
        <v>123</v>
      </c>
      <c r="P12" s="2559">
        <v>118</v>
      </c>
      <c r="Q12" s="2559">
        <v>113</v>
      </c>
      <c r="R12" s="2559">
        <v>116</v>
      </c>
      <c r="S12" s="2559">
        <v>117</v>
      </c>
      <c r="T12" s="2559">
        <v>114</v>
      </c>
    </row>
    <row r="13" spans="1:20" ht="18" customHeight="1">
      <c r="A13" s="2556"/>
      <c r="B13" s="2557"/>
      <c r="C13" s="2558"/>
      <c r="D13" s="2559"/>
      <c r="E13" s="2559"/>
      <c r="F13" s="2559"/>
      <c r="G13" s="2559"/>
      <c r="H13" s="2559"/>
      <c r="I13" s="2559"/>
      <c r="J13" s="2559"/>
      <c r="K13" s="2559"/>
      <c r="L13" s="2559"/>
      <c r="M13" s="2559"/>
      <c r="N13" s="2559"/>
      <c r="O13" s="2559"/>
      <c r="P13" s="2559"/>
      <c r="Q13" s="2559"/>
      <c r="R13" s="2559"/>
      <c r="S13" s="2559"/>
      <c r="T13" s="2559"/>
    </row>
    <row r="14" spans="1:20" ht="18" customHeight="1">
      <c r="A14" s="2560" t="s">
        <v>3875</v>
      </c>
      <c r="B14" s="2561">
        <v>320.96768046000011</v>
      </c>
      <c r="C14" s="2562">
        <v>355</v>
      </c>
      <c r="D14" s="2563">
        <f>D8+D10</f>
        <v>340.01905119000003</v>
      </c>
      <c r="E14" s="2563">
        <f>E8+E10</f>
        <v>352</v>
      </c>
      <c r="F14" s="2563">
        <f>F8+F10</f>
        <v>358</v>
      </c>
      <c r="G14" s="2563">
        <v>356</v>
      </c>
      <c r="H14" s="2563">
        <f>H8+H10</f>
        <v>376</v>
      </c>
      <c r="I14" s="2563">
        <f>I8+I10</f>
        <v>348</v>
      </c>
      <c r="J14" s="2563">
        <v>350.91880953999987</v>
      </c>
      <c r="K14" s="2563">
        <v>359</v>
      </c>
      <c r="L14" s="2563">
        <f>L8+L10</f>
        <v>369</v>
      </c>
      <c r="M14" s="2563">
        <f>M8+M10</f>
        <v>363</v>
      </c>
      <c r="N14" s="2563">
        <f>N8+N10</f>
        <v>370</v>
      </c>
      <c r="O14" s="2563">
        <f t="shared" ref="O14" si="2">O8+O10</f>
        <v>372</v>
      </c>
      <c r="P14" s="2563">
        <v>373</v>
      </c>
      <c r="Q14" s="2563">
        <v>382</v>
      </c>
      <c r="R14" s="2563">
        <f>R8+R10</f>
        <v>373</v>
      </c>
      <c r="S14" s="2563">
        <f>S8+S10</f>
        <v>393</v>
      </c>
      <c r="T14" s="2563">
        <f>T8+T10</f>
        <v>370</v>
      </c>
    </row>
    <row r="15" spans="1:20" ht="18" customHeight="1">
      <c r="A15" s="2560"/>
      <c r="B15" s="2557"/>
      <c r="C15" s="2558"/>
      <c r="D15" s="2559"/>
      <c r="E15" s="2559"/>
      <c r="F15" s="2559"/>
      <c r="G15" s="2559"/>
      <c r="H15" s="2559"/>
      <c r="I15" s="2559"/>
      <c r="J15" s="2559"/>
      <c r="K15" s="2559"/>
      <c r="L15" s="2559"/>
      <c r="M15" s="2559"/>
      <c r="N15" s="2559"/>
      <c r="O15" s="2559"/>
      <c r="P15" s="2559"/>
      <c r="Q15" s="2559"/>
      <c r="R15" s="2559"/>
      <c r="S15" s="2559"/>
      <c r="T15" s="2559"/>
    </row>
    <row r="16" spans="1:20" ht="18" customHeight="1">
      <c r="A16" s="2560" t="s">
        <v>3876</v>
      </c>
      <c r="B16" s="2561">
        <v>209.14297093000002</v>
      </c>
      <c r="C16" s="2562">
        <v>244</v>
      </c>
      <c r="D16" s="2563">
        <f>D17+D18</f>
        <v>231</v>
      </c>
      <c r="E16" s="2563">
        <f>E17+E18</f>
        <v>241</v>
      </c>
      <c r="F16" s="2563">
        <f>F17+F18</f>
        <v>251</v>
      </c>
      <c r="G16" s="2563">
        <v>240</v>
      </c>
      <c r="H16" s="2563">
        <f>H17+H18</f>
        <v>246</v>
      </c>
      <c r="I16" s="2563">
        <f>I17+I18</f>
        <v>225</v>
      </c>
      <c r="J16" s="2563">
        <v>223.43907991</v>
      </c>
      <c r="K16" s="2563">
        <v>240</v>
      </c>
      <c r="L16" s="2563">
        <f>L17+L18</f>
        <v>243</v>
      </c>
      <c r="M16" s="2563">
        <f>M17+M18</f>
        <v>220</v>
      </c>
      <c r="N16" s="2563">
        <f>N17+N18</f>
        <v>246</v>
      </c>
      <c r="O16" s="2563">
        <f t="shared" ref="O16:T16" si="3">O17+O18</f>
        <v>239</v>
      </c>
      <c r="P16" s="2563">
        <v>246</v>
      </c>
      <c r="Q16" s="2563">
        <v>248</v>
      </c>
      <c r="R16" s="2563">
        <f t="shared" si="3"/>
        <v>247</v>
      </c>
      <c r="S16" s="2563">
        <f t="shared" si="3"/>
        <v>265</v>
      </c>
      <c r="T16" s="2563">
        <f t="shared" si="3"/>
        <v>273</v>
      </c>
    </row>
    <row r="17" spans="1:20" ht="18" customHeight="1">
      <c r="A17" s="2556" t="s">
        <v>3877</v>
      </c>
      <c r="B17" s="2557">
        <v>61.287354260000001</v>
      </c>
      <c r="C17" s="2558">
        <v>66</v>
      </c>
      <c r="D17" s="2559">
        <v>64</v>
      </c>
      <c r="E17" s="2559">
        <v>67</v>
      </c>
      <c r="F17" s="2559">
        <v>73</v>
      </c>
      <c r="G17" s="2559">
        <v>68</v>
      </c>
      <c r="H17" s="2559">
        <v>71</v>
      </c>
      <c r="I17" s="2559">
        <v>59</v>
      </c>
      <c r="J17" s="2559">
        <v>56.377752529999903</v>
      </c>
      <c r="K17" s="2559">
        <v>64</v>
      </c>
      <c r="L17" s="2559">
        <v>65</v>
      </c>
      <c r="M17" s="2559">
        <v>64</v>
      </c>
      <c r="N17" s="2559">
        <v>61</v>
      </c>
      <c r="O17" s="2559">
        <v>65</v>
      </c>
      <c r="P17" s="2559">
        <v>68</v>
      </c>
      <c r="Q17" s="2559">
        <v>66</v>
      </c>
      <c r="R17" s="2559">
        <v>70</v>
      </c>
      <c r="S17" s="2559">
        <v>71</v>
      </c>
      <c r="T17" s="2559">
        <v>91</v>
      </c>
    </row>
    <row r="18" spans="1:20" ht="18" customHeight="1">
      <c r="A18" s="2556" t="s">
        <v>3878</v>
      </c>
      <c r="B18" s="2557">
        <v>147.85561667000002</v>
      </c>
      <c r="C18" s="2558">
        <v>178</v>
      </c>
      <c r="D18" s="2559">
        <v>167</v>
      </c>
      <c r="E18" s="2559">
        <v>174</v>
      </c>
      <c r="F18" s="2559">
        <v>178</v>
      </c>
      <c r="G18" s="2559">
        <v>172</v>
      </c>
      <c r="H18" s="2559">
        <v>175</v>
      </c>
      <c r="I18" s="2559">
        <v>166</v>
      </c>
      <c r="J18" s="2559">
        <v>167.06132738000011</v>
      </c>
      <c r="K18" s="2559">
        <v>176</v>
      </c>
      <c r="L18" s="2559">
        <v>178</v>
      </c>
      <c r="M18" s="2559">
        <v>156</v>
      </c>
      <c r="N18" s="2559">
        <v>185</v>
      </c>
      <c r="O18" s="2559">
        <v>174</v>
      </c>
      <c r="P18" s="2559">
        <v>178</v>
      </c>
      <c r="Q18" s="2559">
        <v>182</v>
      </c>
      <c r="R18" s="2559">
        <v>177</v>
      </c>
      <c r="S18" s="2559">
        <v>194</v>
      </c>
      <c r="T18" s="2559">
        <v>182</v>
      </c>
    </row>
    <row r="19" spans="1:20" ht="18" customHeight="1">
      <c r="A19" s="2556"/>
      <c r="B19" s="2557"/>
      <c r="C19" s="2558"/>
      <c r="D19" s="2559"/>
      <c r="E19" s="2559"/>
      <c r="F19" s="2559"/>
      <c r="G19" s="2559"/>
      <c r="H19" s="2559"/>
      <c r="I19" s="2559"/>
      <c r="J19" s="2559"/>
      <c r="K19" s="2559"/>
      <c r="L19" s="2559"/>
      <c r="M19" s="2559"/>
      <c r="N19" s="2559"/>
      <c r="O19" s="2559"/>
      <c r="P19" s="2559"/>
      <c r="Q19" s="2559"/>
      <c r="R19" s="2559"/>
      <c r="S19" s="2559"/>
      <c r="T19" s="2559"/>
    </row>
    <row r="20" spans="1:20" ht="18" customHeight="1">
      <c r="A20" s="2560" t="s">
        <v>3879</v>
      </c>
      <c r="B20" s="2561">
        <v>111.82470953000009</v>
      </c>
      <c r="C20" s="2562">
        <v>111</v>
      </c>
      <c r="D20" s="2563">
        <f>D14-D16</f>
        <v>109.01905119000003</v>
      </c>
      <c r="E20" s="2563">
        <f>E14-E16</f>
        <v>111</v>
      </c>
      <c r="F20" s="2563">
        <f>F14-F16</f>
        <v>107</v>
      </c>
      <c r="G20" s="2563">
        <v>116</v>
      </c>
      <c r="H20" s="2563">
        <f>H14-H16</f>
        <v>130</v>
      </c>
      <c r="I20" s="2563">
        <f>I14-I16</f>
        <v>123</v>
      </c>
      <c r="J20" s="2563">
        <v>128</v>
      </c>
      <c r="K20" s="2563">
        <v>119</v>
      </c>
      <c r="L20" s="2563">
        <f t="shared" ref="L20:T20" si="4">L14-L16</f>
        <v>126</v>
      </c>
      <c r="M20" s="2563">
        <f t="shared" si="4"/>
        <v>143</v>
      </c>
      <c r="N20" s="2563">
        <f t="shared" si="4"/>
        <v>124</v>
      </c>
      <c r="O20" s="2563">
        <f t="shared" si="4"/>
        <v>133</v>
      </c>
      <c r="P20" s="2563">
        <v>127</v>
      </c>
      <c r="Q20" s="2563">
        <v>134</v>
      </c>
      <c r="R20" s="2563">
        <f t="shared" si="4"/>
        <v>126</v>
      </c>
      <c r="S20" s="2563">
        <f t="shared" si="4"/>
        <v>128</v>
      </c>
      <c r="T20" s="2563">
        <f t="shared" si="4"/>
        <v>97</v>
      </c>
    </row>
    <row r="21" spans="1:20" ht="18" customHeight="1">
      <c r="A21" s="2556"/>
      <c r="B21" s="2557"/>
      <c r="C21" s="2558"/>
      <c r="D21" s="2559"/>
      <c r="E21" s="2559"/>
      <c r="F21" s="2559"/>
      <c r="G21" s="2559"/>
      <c r="H21" s="2559"/>
      <c r="I21" s="2559"/>
      <c r="J21" s="2559"/>
      <c r="K21" s="2559"/>
      <c r="L21" s="2559"/>
      <c r="M21" s="2559"/>
      <c r="N21" s="2559"/>
      <c r="O21" s="2559"/>
      <c r="P21" s="2559"/>
      <c r="Q21" s="2559"/>
      <c r="R21" s="2559"/>
      <c r="S21" s="2559"/>
      <c r="T21" s="2559"/>
    </row>
    <row r="22" spans="1:20" ht="18" customHeight="1">
      <c r="A22" s="2556" t="s">
        <v>3880</v>
      </c>
      <c r="B22" s="2557">
        <v>26.476855660000002</v>
      </c>
      <c r="C22" s="2558">
        <v>34</v>
      </c>
      <c r="D22" s="2559">
        <v>14</v>
      </c>
      <c r="E22" s="2559">
        <v>50</v>
      </c>
      <c r="F22" s="2559">
        <v>22</v>
      </c>
      <c r="G22" s="2559">
        <v>13</v>
      </c>
      <c r="H22" s="2559">
        <v>17</v>
      </c>
      <c r="I22" s="2559">
        <v>17</v>
      </c>
      <c r="J22" s="2559">
        <v>13.67015</v>
      </c>
      <c r="K22" s="2559">
        <v>22</v>
      </c>
      <c r="L22" s="2559">
        <v>17</v>
      </c>
      <c r="M22" s="2559">
        <v>17</v>
      </c>
      <c r="N22" s="2559">
        <v>12</v>
      </c>
      <c r="O22" s="2559">
        <v>31</v>
      </c>
      <c r="P22" s="2559">
        <v>17</v>
      </c>
      <c r="Q22" s="2559">
        <v>7</v>
      </c>
      <c r="R22" s="2565">
        <v>0.4</v>
      </c>
      <c r="S22" s="2559">
        <v>10</v>
      </c>
      <c r="T22" s="2559">
        <v>30</v>
      </c>
    </row>
    <row r="23" spans="1:20" ht="18" customHeight="1">
      <c r="A23" s="2556"/>
      <c r="B23" s="2557"/>
      <c r="C23" s="2558"/>
      <c r="D23" s="2559"/>
      <c r="E23" s="2559"/>
      <c r="F23" s="2559"/>
      <c r="G23" s="2559"/>
      <c r="H23" s="2559"/>
      <c r="I23" s="2559"/>
      <c r="J23" s="2559"/>
      <c r="K23" s="2559"/>
      <c r="L23" s="2559"/>
      <c r="M23" s="2559"/>
      <c r="N23" s="2559"/>
      <c r="O23" s="2559"/>
      <c r="P23" s="2559"/>
      <c r="Q23" s="2559"/>
      <c r="R23" s="2559"/>
      <c r="S23" s="2559"/>
      <c r="T23" s="2559"/>
    </row>
    <row r="24" spans="1:20" ht="18" customHeight="1">
      <c r="A24" s="2560" t="s">
        <v>3881</v>
      </c>
      <c r="B24" s="2561">
        <v>86</v>
      </c>
      <c r="C24" s="2562">
        <v>77</v>
      </c>
      <c r="D24" s="2563">
        <f>D20-D22</f>
        <v>95.019051190000027</v>
      </c>
      <c r="E24" s="2563">
        <f>E20-E22</f>
        <v>61</v>
      </c>
      <c r="F24" s="2563">
        <f>F20-F22</f>
        <v>85</v>
      </c>
      <c r="G24" s="2563">
        <v>103</v>
      </c>
      <c r="H24" s="2563">
        <f>H20-H22</f>
        <v>113</v>
      </c>
      <c r="I24" s="2563">
        <f>I20-I22</f>
        <v>106</v>
      </c>
      <c r="J24" s="2563">
        <v>114.32984999999999</v>
      </c>
      <c r="K24" s="2563">
        <v>97</v>
      </c>
      <c r="L24" s="2563">
        <f>L20-L22</f>
        <v>109</v>
      </c>
      <c r="M24" s="2563">
        <f>M20-M22</f>
        <v>126</v>
      </c>
      <c r="N24" s="2563">
        <f>N20-N22</f>
        <v>112</v>
      </c>
      <c r="O24" s="2563">
        <f t="shared" ref="O24:T24" si="5">O20-O22</f>
        <v>102</v>
      </c>
      <c r="P24" s="2563">
        <v>110</v>
      </c>
      <c r="Q24" s="2563">
        <v>127</v>
      </c>
      <c r="R24" s="2563">
        <f t="shared" si="5"/>
        <v>125.6</v>
      </c>
      <c r="S24" s="2563">
        <f t="shared" si="5"/>
        <v>118</v>
      </c>
      <c r="T24" s="2563">
        <f t="shared" si="5"/>
        <v>67</v>
      </c>
    </row>
    <row r="25" spans="1:20" ht="18" customHeight="1">
      <c r="A25" s="2556"/>
      <c r="B25" s="2557"/>
      <c r="C25" s="2558"/>
      <c r="D25" s="2559"/>
      <c r="E25" s="2559"/>
      <c r="F25" s="2559"/>
      <c r="G25" s="2559"/>
      <c r="H25" s="2559"/>
      <c r="I25" s="2559"/>
      <c r="J25" s="2559"/>
      <c r="K25" s="2559"/>
      <c r="L25" s="2559"/>
      <c r="M25" s="2559"/>
      <c r="N25" s="2559"/>
      <c r="O25" s="2559"/>
      <c r="P25" s="2559"/>
      <c r="Q25" s="2559"/>
      <c r="R25" s="2559"/>
      <c r="S25" s="2559"/>
      <c r="T25" s="2559"/>
    </row>
    <row r="26" spans="1:20" ht="18" customHeight="1">
      <c r="A26" s="2556" t="s">
        <v>3882</v>
      </c>
      <c r="B26" s="2557">
        <v>13.971818000000001</v>
      </c>
      <c r="C26" s="2558">
        <v>12</v>
      </c>
      <c r="D26" s="2559">
        <v>13</v>
      </c>
      <c r="E26" s="2559">
        <v>17</v>
      </c>
      <c r="F26" s="2559">
        <v>14</v>
      </c>
      <c r="G26" s="2559">
        <v>17</v>
      </c>
      <c r="H26" s="2559">
        <v>17</v>
      </c>
      <c r="I26" s="2559">
        <v>18</v>
      </c>
      <c r="J26" s="2559">
        <v>18.839625000000002</v>
      </c>
      <c r="K26" s="2559">
        <v>18</v>
      </c>
      <c r="L26" s="2559">
        <v>18</v>
      </c>
      <c r="M26" s="2559">
        <v>22</v>
      </c>
      <c r="N26" s="2559">
        <v>18</v>
      </c>
      <c r="O26" s="2559">
        <v>18</v>
      </c>
      <c r="P26" s="2559">
        <v>20</v>
      </c>
      <c r="Q26" s="2559">
        <v>12</v>
      </c>
      <c r="R26" s="2559">
        <v>18</v>
      </c>
      <c r="S26" s="2559">
        <v>19</v>
      </c>
      <c r="T26" s="2559">
        <v>21</v>
      </c>
    </row>
    <row r="27" spans="1:20" ht="18" customHeight="1">
      <c r="A27" s="2556"/>
      <c r="B27" s="2557"/>
      <c r="C27" s="2558"/>
      <c r="D27" s="2559"/>
      <c r="E27" s="2559"/>
      <c r="F27" s="2559"/>
      <c r="G27" s="2559"/>
      <c r="H27" s="2559"/>
      <c r="I27" s="2559"/>
      <c r="J27" s="2559"/>
      <c r="K27" s="2559"/>
      <c r="L27" s="2559"/>
      <c r="M27" s="2559"/>
      <c r="N27" s="2559"/>
      <c r="O27" s="2559"/>
      <c r="P27" s="2559"/>
      <c r="Q27" s="2559"/>
      <c r="R27" s="2559"/>
      <c r="S27" s="2559"/>
      <c r="T27" s="2559"/>
    </row>
    <row r="28" spans="1:20" ht="18" customHeight="1" thickBot="1">
      <c r="A28" s="2566" t="s">
        <v>3883</v>
      </c>
      <c r="B28" s="2567">
        <v>72.028182000000001</v>
      </c>
      <c r="C28" s="2568">
        <v>65</v>
      </c>
      <c r="D28" s="2569">
        <f>D24-D26</f>
        <v>82.019051190000027</v>
      </c>
      <c r="E28" s="2569">
        <f>E24-E26</f>
        <v>44</v>
      </c>
      <c r="F28" s="2569">
        <f>F24-F26</f>
        <v>71</v>
      </c>
      <c r="G28" s="2569">
        <v>86</v>
      </c>
      <c r="H28" s="2569">
        <f>H24-H26</f>
        <v>96</v>
      </c>
      <c r="I28" s="2569">
        <f>I24-I26</f>
        <v>88</v>
      </c>
      <c r="J28" s="2569">
        <v>95.490224999999995</v>
      </c>
      <c r="K28" s="2569">
        <v>79</v>
      </c>
      <c r="L28" s="2569">
        <f>L24-L26</f>
        <v>91</v>
      </c>
      <c r="M28" s="2569">
        <f>M24-M26</f>
        <v>104</v>
      </c>
      <c r="N28" s="2569">
        <f>N24-N26</f>
        <v>94</v>
      </c>
      <c r="O28" s="2569">
        <f t="shared" ref="O28:T28" si="6">O24-O26</f>
        <v>84</v>
      </c>
      <c r="P28" s="2569">
        <v>90</v>
      </c>
      <c r="Q28" s="2569">
        <v>115</v>
      </c>
      <c r="R28" s="2569">
        <f t="shared" si="6"/>
        <v>107.6</v>
      </c>
      <c r="S28" s="2569">
        <f t="shared" si="6"/>
        <v>99</v>
      </c>
      <c r="T28" s="2569">
        <f t="shared" si="6"/>
        <v>46</v>
      </c>
    </row>
    <row r="29" spans="1:20">
      <c r="A29" s="3167" t="s">
        <v>3866</v>
      </c>
      <c r="B29" s="3167"/>
      <c r="C29" s="3167"/>
      <c r="D29" s="3167"/>
      <c r="E29" s="3167"/>
      <c r="F29" s="3167"/>
      <c r="G29" s="3167"/>
      <c r="H29" s="3167"/>
    </row>
    <row r="30" spans="1:20">
      <c r="A30" s="2570" t="s">
        <v>3884</v>
      </c>
    </row>
  </sheetData>
  <mergeCells count="2">
    <mergeCell ref="A3:D3"/>
    <mergeCell ref="A29:H29"/>
  </mergeCells>
  <pageMargins left="0.19685039370078741" right="0.19685039370078741" top="0.51181102362204722" bottom="0" header="7.874015748031496E-2" footer="7.874015748031496E-2"/>
  <pageSetup paperSize="9" scale="57"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72"/>
  <sheetViews>
    <sheetView zoomScaleNormal="100" workbookViewId="0">
      <pane xSplit="49" ySplit="4" topLeftCell="BC5" activePane="bottomRight" state="frozen"/>
      <selection pane="topRight" activeCell="AX1" sqref="AX1"/>
      <selection pane="bottomLeft" activeCell="A5" sqref="A5"/>
      <selection pane="bottomRight" activeCell="BT26" sqref="BT26"/>
    </sheetView>
  </sheetViews>
  <sheetFormatPr defaultRowHeight="12.75"/>
  <cols>
    <col min="1" max="1" width="54.140625" style="1119" customWidth="1"/>
    <col min="2" max="39" width="8.7109375" style="1119" hidden="1" customWidth="1"/>
    <col min="40" max="40" width="15.42578125" style="1119" hidden="1" customWidth="1"/>
    <col min="41" max="54" width="14.7109375" style="1119" hidden="1" customWidth="1"/>
    <col min="55" max="58" width="14.7109375" style="1119" customWidth="1"/>
    <col min="59" max="67" width="14.5703125" style="1119" customWidth="1"/>
    <col min="68" max="267" width="9.140625" style="1119"/>
    <col min="268" max="268" width="54.140625" style="1119" customWidth="1"/>
    <col min="269" max="306" width="0" style="1119" hidden="1" customWidth="1"/>
    <col min="307" max="319" width="8.7109375" style="1119" customWidth="1"/>
    <col min="320" max="523" width="9.140625" style="1119"/>
    <col min="524" max="524" width="54.140625" style="1119" customWidth="1"/>
    <col min="525" max="562" width="0" style="1119" hidden="1" customWidth="1"/>
    <col min="563" max="575" width="8.7109375" style="1119" customWidth="1"/>
    <col min="576" max="779" width="9.140625" style="1119"/>
    <col min="780" max="780" width="54.140625" style="1119" customWidth="1"/>
    <col min="781" max="818" width="0" style="1119" hidden="1" customWidth="1"/>
    <col min="819" max="831" width="8.7109375" style="1119" customWidth="1"/>
    <col min="832" max="1035" width="9.140625" style="1119"/>
    <col min="1036" max="1036" width="54.140625" style="1119" customWidth="1"/>
    <col min="1037" max="1074" width="0" style="1119" hidden="1" customWidth="1"/>
    <col min="1075" max="1087" width="8.7109375" style="1119" customWidth="1"/>
    <col min="1088" max="1291" width="9.140625" style="1119"/>
    <col min="1292" max="1292" width="54.140625" style="1119" customWidth="1"/>
    <col min="1293" max="1330" width="0" style="1119" hidden="1" customWidth="1"/>
    <col min="1331" max="1343" width="8.7109375" style="1119" customWidth="1"/>
    <col min="1344" max="1547" width="9.140625" style="1119"/>
    <col min="1548" max="1548" width="54.140625" style="1119" customWidth="1"/>
    <col min="1549" max="1586" width="0" style="1119" hidden="1" customWidth="1"/>
    <col min="1587" max="1599" width="8.7109375" style="1119" customWidth="1"/>
    <col min="1600" max="1803" width="9.140625" style="1119"/>
    <col min="1804" max="1804" width="54.140625" style="1119" customWidth="1"/>
    <col min="1805" max="1842" width="0" style="1119" hidden="1" customWidth="1"/>
    <col min="1843" max="1855" width="8.7109375" style="1119" customWidth="1"/>
    <col min="1856" max="2059" width="9.140625" style="1119"/>
    <col min="2060" max="2060" width="54.140625" style="1119" customWidth="1"/>
    <col min="2061" max="2098" width="0" style="1119" hidden="1" customWidth="1"/>
    <col min="2099" max="2111" width="8.7109375" style="1119" customWidth="1"/>
    <col min="2112" max="2315" width="9.140625" style="1119"/>
    <col min="2316" max="2316" width="54.140625" style="1119" customWidth="1"/>
    <col min="2317" max="2354" width="0" style="1119" hidden="1" customWidth="1"/>
    <col min="2355" max="2367" width="8.7109375" style="1119" customWidth="1"/>
    <col min="2368" max="2571" width="9.140625" style="1119"/>
    <col min="2572" max="2572" width="54.140625" style="1119" customWidth="1"/>
    <col min="2573" max="2610" width="0" style="1119" hidden="1" customWidth="1"/>
    <col min="2611" max="2623" width="8.7109375" style="1119" customWidth="1"/>
    <col min="2624" max="2827" width="9.140625" style="1119"/>
    <col min="2828" max="2828" width="54.140625" style="1119" customWidth="1"/>
    <col min="2829" max="2866" width="0" style="1119" hidden="1" customWidth="1"/>
    <col min="2867" max="2879" width="8.7109375" style="1119" customWidth="1"/>
    <col min="2880" max="3083" width="9.140625" style="1119"/>
    <col min="3084" max="3084" width="54.140625" style="1119" customWidth="1"/>
    <col min="3085" max="3122" width="0" style="1119" hidden="1" customWidth="1"/>
    <col min="3123" max="3135" width="8.7109375" style="1119" customWidth="1"/>
    <col min="3136" max="3339" width="9.140625" style="1119"/>
    <col min="3340" max="3340" width="54.140625" style="1119" customWidth="1"/>
    <col min="3341" max="3378" width="0" style="1119" hidden="1" customWidth="1"/>
    <col min="3379" max="3391" width="8.7109375" style="1119" customWidth="1"/>
    <col min="3392" max="3595" width="9.140625" style="1119"/>
    <col min="3596" max="3596" width="54.140625" style="1119" customWidth="1"/>
    <col min="3597" max="3634" width="0" style="1119" hidden="1" customWidth="1"/>
    <col min="3635" max="3647" width="8.7109375" style="1119" customWidth="1"/>
    <col min="3648" max="3851" width="9.140625" style="1119"/>
    <col min="3852" max="3852" width="54.140625" style="1119" customWidth="1"/>
    <col min="3853" max="3890" width="0" style="1119" hidden="1" customWidth="1"/>
    <col min="3891" max="3903" width="8.7109375" style="1119" customWidth="1"/>
    <col min="3904" max="4107" width="9.140625" style="1119"/>
    <col min="4108" max="4108" width="54.140625" style="1119" customWidth="1"/>
    <col min="4109" max="4146" width="0" style="1119" hidden="1" customWidth="1"/>
    <col min="4147" max="4159" width="8.7109375" style="1119" customWidth="1"/>
    <col min="4160" max="4363" width="9.140625" style="1119"/>
    <col min="4364" max="4364" width="54.140625" style="1119" customWidth="1"/>
    <col min="4365" max="4402" width="0" style="1119" hidden="1" customWidth="1"/>
    <col min="4403" max="4415" width="8.7109375" style="1119" customWidth="1"/>
    <col min="4416" max="4619" width="9.140625" style="1119"/>
    <col min="4620" max="4620" width="54.140625" style="1119" customWidth="1"/>
    <col min="4621" max="4658" width="0" style="1119" hidden="1" customWidth="1"/>
    <col min="4659" max="4671" width="8.7109375" style="1119" customWidth="1"/>
    <col min="4672" max="4875" width="9.140625" style="1119"/>
    <col min="4876" max="4876" width="54.140625" style="1119" customWidth="1"/>
    <col min="4877" max="4914" width="0" style="1119" hidden="1" customWidth="1"/>
    <col min="4915" max="4927" width="8.7109375" style="1119" customWidth="1"/>
    <col min="4928" max="5131" width="9.140625" style="1119"/>
    <col min="5132" max="5132" width="54.140625" style="1119" customWidth="1"/>
    <col min="5133" max="5170" width="0" style="1119" hidden="1" customWidth="1"/>
    <col min="5171" max="5183" width="8.7109375" style="1119" customWidth="1"/>
    <col min="5184" max="5387" width="9.140625" style="1119"/>
    <col min="5388" max="5388" width="54.140625" style="1119" customWidth="1"/>
    <col min="5389" max="5426" width="0" style="1119" hidden="1" customWidth="1"/>
    <col min="5427" max="5439" width="8.7109375" style="1119" customWidth="1"/>
    <col min="5440" max="5643" width="9.140625" style="1119"/>
    <col min="5644" max="5644" width="54.140625" style="1119" customWidth="1"/>
    <col min="5645" max="5682" width="0" style="1119" hidden="1" customWidth="1"/>
    <col min="5683" max="5695" width="8.7109375" style="1119" customWidth="1"/>
    <col min="5696" max="5899" width="9.140625" style="1119"/>
    <col min="5900" max="5900" width="54.140625" style="1119" customWidth="1"/>
    <col min="5901" max="5938" width="0" style="1119" hidden="1" customWidth="1"/>
    <col min="5939" max="5951" width="8.7109375" style="1119" customWidth="1"/>
    <col min="5952" max="6155" width="9.140625" style="1119"/>
    <col min="6156" max="6156" width="54.140625" style="1119" customWidth="1"/>
    <col min="6157" max="6194" width="0" style="1119" hidden="1" customWidth="1"/>
    <col min="6195" max="6207" width="8.7109375" style="1119" customWidth="1"/>
    <col min="6208" max="6411" width="9.140625" style="1119"/>
    <col min="6412" max="6412" width="54.140625" style="1119" customWidth="1"/>
    <col min="6413" max="6450" width="0" style="1119" hidden="1" customWidth="1"/>
    <col min="6451" max="6463" width="8.7109375" style="1119" customWidth="1"/>
    <col min="6464" max="6667" width="9.140625" style="1119"/>
    <col min="6668" max="6668" width="54.140625" style="1119" customWidth="1"/>
    <col min="6669" max="6706" width="0" style="1119" hidden="1" customWidth="1"/>
    <col min="6707" max="6719" width="8.7109375" style="1119" customWidth="1"/>
    <col min="6720" max="6923" width="9.140625" style="1119"/>
    <col min="6924" max="6924" width="54.140625" style="1119" customWidth="1"/>
    <col min="6925" max="6962" width="0" style="1119" hidden="1" customWidth="1"/>
    <col min="6963" max="6975" width="8.7109375" style="1119" customWidth="1"/>
    <col min="6976" max="7179" width="9.140625" style="1119"/>
    <col min="7180" max="7180" width="54.140625" style="1119" customWidth="1"/>
    <col min="7181" max="7218" width="0" style="1119" hidden="1" customWidth="1"/>
    <col min="7219" max="7231" width="8.7109375" style="1119" customWidth="1"/>
    <col min="7232" max="7435" width="9.140625" style="1119"/>
    <col min="7436" max="7436" width="54.140625" style="1119" customWidth="1"/>
    <col min="7437" max="7474" width="0" style="1119" hidden="1" customWidth="1"/>
    <col min="7475" max="7487" width="8.7109375" style="1119" customWidth="1"/>
    <col min="7488" max="7691" width="9.140625" style="1119"/>
    <col min="7692" max="7692" width="54.140625" style="1119" customWidth="1"/>
    <col min="7693" max="7730" width="0" style="1119" hidden="1" customWidth="1"/>
    <col min="7731" max="7743" width="8.7109375" style="1119" customWidth="1"/>
    <col min="7744" max="7947" width="9.140625" style="1119"/>
    <col min="7948" max="7948" width="54.140625" style="1119" customWidth="1"/>
    <col min="7949" max="7986" width="0" style="1119" hidden="1" customWidth="1"/>
    <col min="7987" max="7999" width="8.7109375" style="1119" customWidth="1"/>
    <col min="8000" max="8203" width="9.140625" style="1119"/>
    <col min="8204" max="8204" width="54.140625" style="1119" customWidth="1"/>
    <col min="8205" max="8242" width="0" style="1119" hidden="1" customWidth="1"/>
    <col min="8243" max="8255" width="8.7109375" style="1119" customWidth="1"/>
    <col min="8256" max="8459" width="9.140625" style="1119"/>
    <col min="8460" max="8460" width="54.140625" style="1119" customWidth="1"/>
    <col min="8461" max="8498" width="0" style="1119" hidden="1" customWidth="1"/>
    <col min="8499" max="8511" width="8.7109375" style="1119" customWidth="1"/>
    <col min="8512" max="8715" width="9.140625" style="1119"/>
    <col min="8716" max="8716" width="54.140625" style="1119" customWidth="1"/>
    <col min="8717" max="8754" width="0" style="1119" hidden="1" customWidth="1"/>
    <col min="8755" max="8767" width="8.7109375" style="1119" customWidth="1"/>
    <col min="8768" max="8971" width="9.140625" style="1119"/>
    <col min="8972" max="8972" width="54.140625" style="1119" customWidth="1"/>
    <col min="8973" max="9010" width="0" style="1119" hidden="1" customWidth="1"/>
    <col min="9011" max="9023" width="8.7109375" style="1119" customWidth="1"/>
    <col min="9024" max="9227" width="9.140625" style="1119"/>
    <col min="9228" max="9228" width="54.140625" style="1119" customWidth="1"/>
    <col min="9229" max="9266" width="0" style="1119" hidden="1" customWidth="1"/>
    <col min="9267" max="9279" width="8.7109375" style="1119" customWidth="1"/>
    <col min="9280" max="9483" width="9.140625" style="1119"/>
    <col min="9484" max="9484" width="54.140625" style="1119" customWidth="1"/>
    <col min="9485" max="9522" width="0" style="1119" hidden="1" customWidth="1"/>
    <col min="9523" max="9535" width="8.7109375" style="1119" customWidth="1"/>
    <col min="9536" max="9739" width="9.140625" style="1119"/>
    <col min="9740" max="9740" width="54.140625" style="1119" customWidth="1"/>
    <col min="9741" max="9778" width="0" style="1119" hidden="1" customWidth="1"/>
    <col min="9779" max="9791" width="8.7109375" style="1119" customWidth="1"/>
    <col min="9792" max="9995" width="9.140625" style="1119"/>
    <col min="9996" max="9996" width="54.140625" style="1119" customWidth="1"/>
    <col min="9997" max="10034" width="0" style="1119" hidden="1" customWidth="1"/>
    <col min="10035" max="10047" width="8.7109375" style="1119" customWidth="1"/>
    <col min="10048" max="10251" width="9.140625" style="1119"/>
    <col min="10252" max="10252" width="54.140625" style="1119" customWidth="1"/>
    <col min="10253" max="10290" width="0" style="1119" hidden="1" customWidth="1"/>
    <col min="10291" max="10303" width="8.7109375" style="1119" customWidth="1"/>
    <col min="10304" max="10507" width="9.140625" style="1119"/>
    <col min="10508" max="10508" width="54.140625" style="1119" customWidth="1"/>
    <col min="10509" max="10546" width="0" style="1119" hidden="1" customWidth="1"/>
    <col min="10547" max="10559" width="8.7109375" style="1119" customWidth="1"/>
    <col min="10560" max="10763" width="9.140625" style="1119"/>
    <col min="10764" max="10764" width="54.140625" style="1119" customWidth="1"/>
    <col min="10765" max="10802" width="0" style="1119" hidden="1" customWidth="1"/>
    <col min="10803" max="10815" width="8.7109375" style="1119" customWidth="1"/>
    <col min="10816" max="11019" width="9.140625" style="1119"/>
    <col min="11020" max="11020" width="54.140625" style="1119" customWidth="1"/>
    <col min="11021" max="11058" width="0" style="1119" hidden="1" customWidth="1"/>
    <col min="11059" max="11071" width="8.7109375" style="1119" customWidth="1"/>
    <col min="11072" max="11275" width="9.140625" style="1119"/>
    <col min="11276" max="11276" width="54.140625" style="1119" customWidth="1"/>
    <col min="11277" max="11314" width="0" style="1119" hidden="1" customWidth="1"/>
    <col min="11315" max="11327" width="8.7109375" style="1119" customWidth="1"/>
    <col min="11328" max="11531" width="9.140625" style="1119"/>
    <col min="11532" max="11532" width="54.140625" style="1119" customWidth="1"/>
    <col min="11533" max="11570" width="0" style="1119" hidden="1" customWidth="1"/>
    <col min="11571" max="11583" width="8.7109375" style="1119" customWidth="1"/>
    <col min="11584" max="11787" width="9.140625" style="1119"/>
    <col min="11788" max="11788" width="54.140625" style="1119" customWidth="1"/>
    <col min="11789" max="11826" width="0" style="1119" hidden="1" customWidth="1"/>
    <col min="11827" max="11839" width="8.7109375" style="1119" customWidth="1"/>
    <col min="11840" max="12043" width="9.140625" style="1119"/>
    <col min="12044" max="12044" width="54.140625" style="1119" customWidth="1"/>
    <col min="12045" max="12082" width="0" style="1119" hidden="1" customWidth="1"/>
    <col min="12083" max="12095" width="8.7109375" style="1119" customWidth="1"/>
    <col min="12096" max="12299" width="9.140625" style="1119"/>
    <col min="12300" max="12300" width="54.140625" style="1119" customWidth="1"/>
    <col min="12301" max="12338" width="0" style="1119" hidden="1" customWidth="1"/>
    <col min="12339" max="12351" width="8.7109375" style="1119" customWidth="1"/>
    <col min="12352" max="12555" width="9.140625" style="1119"/>
    <col min="12556" max="12556" width="54.140625" style="1119" customWidth="1"/>
    <col min="12557" max="12594" width="0" style="1119" hidden="1" customWidth="1"/>
    <col min="12595" max="12607" width="8.7109375" style="1119" customWidth="1"/>
    <col min="12608" max="12811" width="9.140625" style="1119"/>
    <col min="12812" max="12812" width="54.140625" style="1119" customWidth="1"/>
    <col min="12813" max="12850" width="0" style="1119" hidden="1" customWidth="1"/>
    <col min="12851" max="12863" width="8.7109375" style="1119" customWidth="1"/>
    <col min="12864" max="13067" width="9.140625" style="1119"/>
    <col min="13068" max="13068" width="54.140625" style="1119" customWidth="1"/>
    <col min="13069" max="13106" width="0" style="1119" hidden="1" customWidth="1"/>
    <col min="13107" max="13119" width="8.7109375" style="1119" customWidth="1"/>
    <col min="13120" max="13323" width="9.140625" style="1119"/>
    <col min="13324" max="13324" width="54.140625" style="1119" customWidth="1"/>
    <col min="13325" max="13362" width="0" style="1119" hidden="1" customWidth="1"/>
    <col min="13363" max="13375" width="8.7109375" style="1119" customWidth="1"/>
    <col min="13376" max="13579" width="9.140625" style="1119"/>
    <col min="13580" max="13580" width="54.140625" style="1119" customWidth="1"/>
    <col min="13581" max="13618" width="0" style="1119" hidden="1" customWidth="1"/>
    <col min="13619" max="13631" width="8.7109375" style="1119" customWidth="1"/>
    <col min="13632" max="13835" width="9.140625" style="1119"/>
    <col min="13836" max="13836" width="54.140625" style="1119" customWidth="1"/>
    <col min="13837" max="13874" width="0" style="1119" hidden="1" customWidth="1"/>
    <col min="13875" max="13887" width="8.7109375" style="1119" customWidth="1"/>
    <col min="13888" max="14091" width="9.140625" style="1119"/>
    <col min="14092" max="14092" width="54.140625" style="1119" customWidth="1"/>
    <col min="14093" max="14130" width="0" style="1119" hidden="1" customWidth="1"/>
    <col min="14131" max="14143" width="8.7109375" style="1119" customWidth="1"/>
    <col min="14144" max="14347" width="9.140625" style="1119"/>
    <col min="14348" max="14348" width="54.140625" style="1119" customWidth="1"/>
    <col min="14349" max="14386" width="0" style="1119" hidden="1" customWidth="1"/>
    <col min="14387" max="14399" width="8.7109375" style="1119" customWidth="1"/>
    <col min="14400" max="14603" width="9.140625" style="1119"/>
    <col min="14604" max="14604" width="54.140625" style="1119" customWidth="1"/>
    <col min="14605" max="14642" width="0" style="1119" hidden="1" customWidth="1"/>
    <col min="14643" max="14655" width="8.7109375" style="1119" customWidth="1"/>
    <col min="14656" max="14859" width="9.140625" style="1119"/>
    <col min="14860" max="14860" width="54.140625" style="1119" customWidth="1"/>
    <col min="14861" max="14898" width="0" style="1119" hidden="1" customWidth="1"/>
    <col min="14899" max="14911" width="8.7109375" style="1119" customWidth="1"/>
    <col min="14912" max="15115" width="9.140625" style="1119"/>
    <col min="15116" max="15116" width="54.140625" style="1119" customWidth="1"/>
    <col min="15117" max="15154" width="0" style="1119" hidden="1" customWidth="1"/>
    <col min="15155" max="15167" width="8.7109375" style="1119" customWidth="1"/>
    <col min="15168" max="15371" width="9.140625" style="1119"/>
    <col min="15372" max="15372" width="54.140625" style="1119" customWidth="1"/>
    <col min="15373" max="15410" width="0" style="1119" hidden="1" customWidth="1"/>
    <col min="15411" max="15423" width="8.7109375" style="1119" customWidth="1"/>
    <col min="15424" max="15627" width="9.140625" style="1119"/>
    <col min="15628" max="15628" width="54.140625" style="1119" customWidth="1"/>
    <col min="15629" max="15666" width="0" style="1119" hidden="1" customWidth="1"/>
    <col min="15667" max="15679" width="8.7109375" style="1119" customWidth="1"/>
    <col min="15680" max="15883" width="9.140625" style="1119"/>
    <col min="15884" max="15884" width="54.140625" style="1119" customWidth="1"/>
    <col min="15885" max="15922" width="0" style="1119" hidden="1" customWidth="1"/>
    <col min="15923" max="15935" width="8.7109375" style="1119" customWidth="1"/>
    <col min="15936" max="16139" width="9.140625" style="1119"/>
    <col min="16140" max="16140" width="54.140625" style="1119" customWidth="1"/>
    <col min="16141" max="16178" width="0" style="1119" hidden="1" customWidth="1"/>
    <col min="16179" max="16191" width="8.7109375" style="1119" customWidth="1"/>
    <col min="16192" max="16384" width="9.140625" style="1119"/>
  </cols>
  <sheetData>
    <row r="1" spans="1:70" ht="24">
      <c r="A1" s="1116" t="s">
        <v>2631</v>
      </c>
      <c r="B1" s="1117"/>
      <c r="C1" s="1117"/>
      <c r="D1" s="1117"/>
      <c r="E1" s="1117"/>
      <c r="F1" s="1117"/>
      <c r="G1" s="1117"/>
      <c r="H1" s="1117"/>
      <c r="I1" s="1117"/>
      <c r="J1" s="1117"/>
      <c r="K1" s="1117"/>
      <c r="L1" s="1117"/>
      <c r="M1" s="1117"/>
      <c r="N1" s="1117"/>
      <c r="O1" s="1117"/>
      <c r="P1" s="1117"/>
      <c r="Q1" s="1117"/>
      <c r="R1" s="1117"/>
      <c r="S1" s="1117"/>
      <c r="T1" s="1117"/>
      <c r="U1" s="1117"/>
      <c r="V1" s="1117"/>
      <c r="W1" s="1117"/>
      <c r="X1" s="1117"/>
      <c r="Y1" s="1117"/>
      <c r="Z1" s="1118"/>
      <c r="AA1" s="1117"/>
      <c r="AB1" s="1117"/>
      <c r="AC1" s="1117"/>
      <c r="AD1" s="1117"/>
      <c r="AE1" s="1117"/>
      <c r="AF1" s="1117"/>
      <c r="AG1" s="1117"/>
      <c r="AH1" s="1117"/>
      <c r="AI1" s="1117"/>
      <c r="AJ1" s="1117"/>
      <c r="AK1" s="1117"/>
      <c r="AL1" s="1117"/>
      <c r="AM1" s="1117"/>
      <c r="AN1" s="1117"/>
      <c r="AO1" s="1117"/>
      <c r="AP1" s="1117"/>
      <c r="AQ1" s="1117"/>
    </row>
    <row r="2" spans="1:70" s="1120" customFormat="1" ht="15" thickBot="1">
      <c r="B2" s="1121"/>
      <c r="F2" s="1121"/>
      <c r="G2" s="1121"/>
      <c r="H2" s="1121"/>
      <c r="I2" s="1121"/>
      <c r="J2" s="1121"/>
      <c r="K2" s="1121"/>
      <c r="T2" s="1122"/>
      <c r="U2" s="1122"/>
      <c r="V2" s="1122"/>
      <c r="AA2" s="1120" t="s">
        <v>2632</v>
      </c>
      <c r="AB2" s="1123"/>
      <c r="AD2" s="1123"/>
      <c r="AH2" s="1123"/>
      <c r="AI2" s="1123"/>
      <c r="AM2" s="1123"/>
      <c r="AN2" s="1123"/>
      <c r="AP2" s="1123"/>
      <c r="AQ2" s="1123"/>
      <c r="AR2" s="1123"/>
      <c r="AU2" s="1123"/>
      <c r="AV2" s="1123"/>
      <c r="AX2" s="1123"/>
      <c r="AY2" s="1123"/>
      <c r="BB2" s="1124"/>
      <c r="BC2" s="1124"/>
      <c r="BD2" s="1124"/>
      <c r="BE2" s="1124"/>
      <c r="BF2" s="1124"/>
      <c r="BO2" s="1120" t="s">
        <v>49</v>
      </c>
    </row>
    <row r="3" spans="1:70" s="1129" customFormat="1" ht="18.75" customHeight="1" thickTop="1" thickBot="1">
      <c r="A3" s="1125"/>
      <c r="B3" s="1126">
        <v>40193</v>
      </c>
      <c r="C3" s="1126">
        <v>40224</v>
      </c>
      <c r="D3" s="1126">
        <v>40252</v>
      </c>
      <c r="E3" s="1126">
        <v>40284</v>
      </c>
      <c r="F3" s="1126">
        <v>40316</v>
      </c>
      <c r="G3" s="1126">
        <v>40347</v>
      </c>
      <c r="H3" s="1126">
        <v>40377</v>
      </c>
      <c r="I3" s="1126">
        <v>40408</v>
      </c>
      <c r="J3" s="1126">
        <v>40439</v>
      </c>
      <c r="K3" s="1126">
        <v>40469</v>
      </c>
      <c r="L3" s="1126">
        <v>40500</v>
      </c>
      <c r="M3" s="1126">
        <v>40530</v>
      </c>
      <c r="N3" s="1126">
        <v>40561</v>
      </c>
      <c r="O3" s="1126">
        <v>40592</v>
      </c>
      <c r="P3" s="1126">
        <v>40620</v>
      </c>
      <c r="Q3" s="1126">
        <v>40651</v>
      </c>
      <c r="R3" s="1126">
        <v>40681</v>
      </c>
      <c r="S3" s="1126">
        <v>40712</v>
      </c>
      <c r="T3" s="1126">
        <v>40742</v>
      </c>
      <c r="U3" s="1126">
        <v>40773</v>
      </c>
      <c r="V3" s="1126">
        <v>40804</v>
      </c>
      <c r="W3" s="1126">
        <v>40834</v>
      </c>
      <c r="X3" s="1126">
        <v>40865</v>
      </c>
      <c r="Y3" s="1127">
        <v>40895</v>
      </c>
      <c r="Z3" s="1126">
        <v>40926</v>
      </c>
      <c r="AA3" s="1127">
        <v>40957</v>
      </c>
      <c r="AB3" s="1126">
        <v>40986</v>
      </c>
      <c r="AC3" s="1126">
        <v>41017</v>
      </c>
      <c r="AD3" s="1126">
        <v>41047</v>
      </c>
      <c r="AE3" s="1126">
        <v>41078</v>
      </c>
      <c r="AF3" s="1126">
        <v>41108</v>
      </c>
      <c r="AG3" s="1126">
        <v>41139</v>
      </c>
      <c r="AH3" s="1126">
        <v>41170</v>
      </c>
      <c r="AI3" s="1126">
        <v>41200</v>
      </c>
      <c r="AJ3" s="1126">
        <v>41231</v>
      </c>
      <c r="AK3" s="1126">
        <v>41261</v>
      </c>
      <c r="AL3" s="1126">
        <v>41292</v>
      </c>
      <c r="AM3" s="1126">
        <v>41323</v>
      </c>
      <c r="AN3" s="1128">
        <v>41351</v>
      </c>
      <c r="AO3" s="1128">
        <v>41382</v>
      </c>
      <c r="AP3" s="1128">
        <v>41412</v>
      </c>
      <c r="AQ3" s="1128">
        <v>41443</v>
      </c>
      <c r="AR3" s="1128">
        <v>41473</v>
      </c>
      <c r="AS3" s="1128">
        <v>41504</v>
      </c>
      <c r="AT3" s="1128">
        <v>41535</v>
      </c>
      <c r="AU3" s="1128">
        <v>41565</v>
      </c>
      <c r="AV3" s="1128">
        <v>41596</v>
      </c>
      <c r="AW3" s="1128">
        <v>41626</v>
      </c>
      <c r="AX3" s="1128">
        <v>41657</v>
      </c>
      <c r="AY3" s="1128">
        <v>41688</v>
      </c>
      <c r="AZ3" s="1128">
        <v>41716</v>
      </c>
      <c r="BA3" s="1128">
        <v>41748</v>
      </c>
      <c r="BB3" s="1128">
        <v>41780</v>
      </c>
      <c r="BC3" s="1128">
        <v>41812</v>
      </c>
      <c r="BD3" s="1128">
        <v>41842</v>
      </c>
      <c r="BE3" s="1128">
        <v>41873</v>
      </c>
      <c r="BF3" s="1128">
        <v>41904</v>
      </c>
      <c r="BG3" s="1128">
        <v>41934</v>
      </c>
      <c r="BH3" s="1128">
        <v>41966</v>
      </c>
      <c r="BI3" s="1128">
        <v>41996</v>
      </c>
      <c r="BJ3" s="1128">
        <v>42034</v>
      </c>
      <c r="BK3" s="1128">
        <v>42062</v>
      </c>
      <c r="BL3" s="1128">
        <v>42090</v>
      </c>
      <c r="BM3" s="1128">
        <v>42121</v>
      </c>
      <c r="BN3" s="1128">
        <v>42151</v>
      </c>
      <c r="BO3" s="1128">
        <v>42182</v>
      </c>
    </row>
    <row r="4" spans="1:70" ht="21" customHeight="1" thickTop="1" thickBot="1">
      <c r="A4" s="1130" t="s">
        <v>2633</v>
      </c>
      <c r="B4" s="1131"/>
      <c r="C4" s="1131"/>
      <c r="D4" s="1131"/>
      <c r="E4" s="1131"/>
      <c r="F4" s="1131"/>
      <c r="G4" s="1131"/>
      <c r="H4" s="1131"/>
      <c r="I4" s="1131"/>
      <c r="J4" s="1131"/>
      <c r="K4" s="1131"/>
      <c r="L4" s="1131"/>
      <c r="M4" s="1131"/>
      <c r="N4" s="1131"/>
      <c r="O4" s="1131"/>
      <c r="P4" s="1131"/>
      <c r="Q4" s="1131"/>
      <c r="R4" s="1131"/>
      <c r="S4" s="1131"/>
      <c r="T4" s="1131"/>
      <c r="U4" s="1131"/>
      <c r="V4" s="1131"/>
      <c r="W4" s="1131"/>
      <c r="X4" s="1131"/>
      <c r="Y4" s="1131"/>
      <c r="Z4" s="1131"/>
      <c r="AA4" s="1131"/>
      <c r="AB4" s="1131"/>
      <c r="AC4" s="1131"/>
      <c r="AD4" s="1131"/>
      <c r="AE4" s="1131"/>
      <c r="AF4" s="1131"/>
      <c r="AG4" s="1131"/>
      <c r="AH4" s="1131"/>
      <c r="AI4" s="1131"/>
      <c r="AJ4" s="1131"/>
      <c r="AK4" s="1131"/>
      <c r="AL4" s="1131"/>
      <c r="AM4" s="1131"/>
      <c r="AN4" s="1132"/>
      <c r="AO4" s="1132"/>
      <c r="AP4" s="1132"/>
      <c r="AQ4" s="1132"/>
      <c r="AR4" s="1132"/>
      <c r="AS4" s="1132"/>
      <c r="AT4" s="1132"/>
      <c r="AU4" s="1132"/>
      <c r="AV4" s="1132"/>
      <c r="AW4" s="1132"/>
      <c r="AX4" s="1132"/>
      <c r="AY4" s="1132"/>
      <c r="AZ4" s="1132"/>
      <c r="BA4" s="1132"/>
      <c r="BB4" s="1132"/>
      <c r="BC4" s="1132"/>
      <c r="BD4" s="1132"/>
      <c r="BE4" s="1132"/>
      <c r="BF4" s="1132"/>
      <c r="BG4" s="1132"/>
      <c r="BH4" s="1132"/>
      <c r="BI4" s="1132"/>
      <c r="BJ4" s="1132"/>
      <c r="BK4" s="1132"/>
      <c r="BL4" s="1132"/>
      <c r="BM4" s="1132"/>
      <c r="BN4" s="1132"/>
      <c r="BO4" s="1132"/>
    </row>
    <row r="5" spans="1:70" ht="17.100000000000001" customHeight="1" thickTop="1">
      <c r="A5" s="1133"/>
      <c r="B5" s="1134"/>
      <c r="C5" s="1134"/>
      <c r="D5" s="1134"/>
      <c r="E5" s="1134"/>
      <c r="F5" s="1134"/>
      <c r="G5" s="1134"/>
      <c r="H5" s="1134"/>
      <c r="I5" s="1134"/>
      <c r="J5" s="1134"/>
      <c r="K5" s="1134"/>
      <c r="L5" s="1134"/>
      <c r="M5" s="1134"/>
      <c r="N5" s="1134"/>
      <c r="O5" s="1134"/>
      <c r="P5" s="1134"/>
      <c r="Q5" s="1134"/>
      <c r="R5" s="1134"/>
      <c r="S5" s="1134"/>
      <c r="T5" s="1134"/>
      <c r="U5" s="1134"/>
      <c r="V5" s="1134"/>
      <c r="W5" s="1134"/>
      <c r="X5" s="1134"/>
      <c r="Y5" s="1134"/>
      <c r="Z5" s="1134"/>
      <c r="AA5" s="1134"/>
      <c r="AB5" s="1134"/>
      <c r="AC5" s="1134"/>
      <c r="AD5" s="1134"/>
      <c r="AE5" s="1134"/>
      <c r="AF5" s="1134"/>
      <c r="AG5" s="1134"/>
      <c r="AH5" s="1134"/>
      <c r="AI5" s="1134"/>
      <c r="AJ5" s="1134"/>
      <c r="AK5" s="1134"/>
      <c r="AL5" s="1134"/>
      <c r="AM5" s="1134"/>
      <c r="AN5" s="1134"/>
      <c r="AO5" s="1134"/>
      <c r="AP5" s="1134"/>
      <c r="AQ5" s="1134"/>
      <c r="AR5" s="1134"/>
      <c r="AS5" s="1134"/>
      <c r="AT5" s="1134"/>
      <c r="AU5" s="1134"/>
      <c r="AV5" s="1134"/>
      <c r="AW5" s="1134"/>
      <c r="AX5" s="1134"/>
      <c r="AY5" s="1134"/>
      <c r="AZ5" s="1134"/>
      <c r="BA5" s="1134"/>
      <c r="BB5" s="1134"/>
      <c r="BC5" s="1134"/>
      <c r="BD5" s="1134"/>
      <c r="BE5" s="1134"/>
      <c r="BF5" s="1134"/>
      <c r="BG5" s="1134"/>
      <c r="BH5" s="1134"/>
      <c r="BI5" s="1134"/>
      <c r="BJ5" s="1134"/>
      <c r="BK5" s="1134"/>
      <c r="BL5" s="1134"/>
      <c r="BM5" s="1134"/>
      <c r="BN5" s="1134"/>
      <c r="BO5" s="1134"/>
    </row>
    <row r="6" spans="1:70" ht="17.100000000000001" customHeight="1">
      <c r="A6" s="1135" t="s">
        <v>2634</v>
      </c>
      <c r="B6" s="1136">
        <v>16171.960026841443</v>
      </c>
      <c r="C6" s="1136">
        <v>15979.918504390556</v>
      </c>
      <c r="D6" s="1136">
        <v>15845.174678718537</v>
      </c>
      <c r="E6" s="1136">
        <v>16036.327574022573</v>
      </c>
      <c r="F6" s="1136">
        <v>16227.254416493004</v>
      </c>
      <c r="G6" s="1136">
        <v>15904.557043885216</v>
      </c>
      <c r="H6" s="1136">
        <v>16369.721227265134</v>
      </c>
      <c r="I6" s="1136">
        <v>16281.24484228429</v>
      </c>
      <c r="J6" s="1136">
        <v>16241.980758452173</v>
      </c>
      <c r="K6" s="1136">
        <v>16473.996105313156</v>
      </c>
      <c r="L6" s="1136">
        <v>16722.43897559122</v>
      </c>
      <c r="M6" s="1136">
        <v>18975.006270668913</v>
      </c>
      <c r="N6" s="1136">
        <v>18010.593082900665</v>
      </c>
      <c r="O6" s="1136">
        <v>17749.329653375997</v>
      </c>
      <c r="P6" s="1136">
        <v>17492.407133231845</v>
      </c>
      <c r="Q6" s="1136">
        <v>17646.497592686108</v>
      </c>
      <c r="R6" s="1136">
        <v>17594.772439179418</v>
      </c>
      <c r="S6" s="1136">
        <v>17516.570954198032</v>
      </c>
      <c r="T6" s="1136">
        <v>18045.280669068587</v>
      </c>
      <c r="U6" s="1136">
        <v>18269.489570318754</v>
      </c>
      <c r="V6" s="1136">
        <v>17957.873646394448</v>
      </c>
      <c r="W6" s="1136">
        <v>18294.304306683174</v>
      </c>
      <c r="X6" s="1136">
        <v>17891.407119467123</v>
      </c>
      <c r="Y6" s="1136">
        <v>20307.786446312803</v>
      </c>
      <c r="Z6" s="1136">
        <v>19209.573208944614</v>
      </c>
      <c r="AA6" s="1136">
        <v>18923.022119759324</v>
      </c>
      <c r="AB6" s="1136">
        <v>18978.695497382185</v>
      </c>
      <c r="AC6" s="1136">
        <v>18961.549992068223</v>
      </c>
      <c r="AD6" s="1136">
        <v>18678.032246711129</v>
      </c>
      <c r="AE6" s="1136">
        <v>19013.633662171222</v>
      </c>
      <c r="AF6" s="1136">
        <v>19228.031835841684</v>
      </c>
      <c r="AG6" s="1136">
        <v>19287.1599017013</v>
      </c>
      <c r="AH6" s="1136">
        <v>19233.798105900336</v>
      </c>
      <c r="AI6" s="1136">
        <v>19257.554559318654</v>
      </c>
      <c r="AJ6" s="1136">
        <v>19629.552590686864</v>
      </c>
      <c r="AK6" s="1136">
        <v>22169.717386902448</v>
      </c>
      <c r="AL6" s="1136">
        <v>20964.304899561892</v>
      </c>
      <c r="AM6" s="1136">
        <v>20780.286985424955</v>
      </c>
      <c r="AN6" s="1137">
        <v>20987.016268127656</v>
      </c>
      <c r="AO6" s="1138">
        <v>20656.089712851328</v>
      </c>
      <c r="AP6" s="1138">
        <v>20557.306859228109</v>
      </c>
      <c r="AQ6" s="1138">
        <v>20523.48661882988</v>
      </c>
      <c r="AR6" s="1138">
        <v>20820.159883091204</v>
      </c>
      <c r="AS6" s="1138">
        <v>20987.512445111654</v>
      </c>
      <c r="AT6" s="1138">
        <v>20664.185177378316</v>
      </c>
      <c r="AU6" s="1138">
        <v>20702.891560809614</v>
      </c>
      <c r="AV6" s="1138">
        <v>20888.105552438185</v>
      </c>
      <c r="AW6" s="1138">
        <v>23316.684992015878</v>
      </c>
      <c r="AX6" s="1138">
        <v>22265.883860057205</v>
      </c>
      <c r="AY6" s="1138">
        <v>22077.566872167037</v>
      </c>
      <c r="AZ6" s="1138">
        <v>22090.400144122301</v>
      </c>
      <c r="BA6" s="1138">
        <v>21718.536421617555</v>
      </c>
      <c r="BB6" s="1138">
        <v>21737.2264592838</v>
      </c>
      <c r="BC6" s="1138">
        <v>21684.992832060678</v>
      </c>
      <c r="BD6" s="1138">
        <v>22175.789473345048</v>
      </c>
      <c r="BE6" s="1138">
        <v>22196.112731025903</v>
      </c>
      <c r="BF6" s="1138">
        <v>21848.23998536943</v>
      </c>
      <c r="BG6" s="1138">
        <v>22102.50724703589</v>
      </c>
      <c r="BH6" s="1138">
        <v>22503.624769895934</v>
      </c>
      <c r="BI6" s="1138">
        <v>25391.16857677501</v>
      </c>
      <c r="BJ6" s="1138">
        <v>24029.803890028252</v>
      </c>
      <c r="BK6" s="1138">
        <v>24013.562842210038</v>
      </c>
      <c r="BL6" s="1138">
        <v>23784.870318967191</v>
      </c>
      <c r="BM6" s="1138">
        <v>23912.218911613985</v>
      </c>
      <c r="BN6" s="1138">
        <v>24220.596316528303</v>
      </c>
      <c r="BO6" s="1138">
        <v>24017.50101763201</v>
      </c>
      <c r="BP6" s="1139"/>
      <c r="BQ6" s="1139"/>
      <c r="BR6" s="1139"/>
    </row>
    <row r="7" spans="1:70" ht="17.100000000000001" customHeight="1">
      <c r="A7" s="1135" t="s">
        <v>2635</v>
      </c>
      <c r="B7" s="1136">
        <v>2780.4818602185578</v>
      </c>
      <c r="C7" s="1136">
        <v>2661.1428895894414</v>
      </c>
      <c r="D7" s="1136">
        <v>2898.1288821314602</v>
      </c>
      <c r="E7" s="1136">
        <v>2715.3582111474238</v>
      </c>
      <c r="F7" s="1136">
        <v>2684.0971327969955</v>
      </c>
      <c r="G7" s="1136">
        <v>2744.9043118847831</v>
      </c>
      <c r="H7" s="1136">
        <v>2589.750992474867</v>
      </c>
      <c r="I7" s="1136">
        <v>2818.4901145357067</v>
      </c>
      <c r="J7" s="1136">
        <v>2854.1944993078255</v>
      </c>
      <c r="K7" s="1136">
        <v>2652.7364417868403</v>
      </c>
      <c r="L7" s="1136">
        <v>2792.7197988087805</v>
      </c>
      <c r="M7" s="1136">
        <v>3616.7552011710859</v>
      </c>
      <c r="N7" s="1136">
        <v>3226.065290569335</v>
      </c>
      <c r="O7" s="1136">
        <v>2789.5613597740057</v>
      </c>
      <c r="P7" s="1136">
        <v>3064.4438332881532</v>
      </c>
      <c r="Q7" s="1136">
        <v>2706.3366797338899</v>
      </c>
      <c r="R7" s="1136">
        <v>3000.4766235805801</v>
      </c>
      <c r="S7" s="1136">
        <v>2937.2266495119648</v>
      </c>
      <c r="T7" s="1136">
        <v>2860.3833820514105</v>
      </c>
      <c r="U7" s="1136">
        <v>3375.9320411612475</v>
      </c>
      <c r="V7" s="1136">
        <v>3198.9278438555507</v>
      </c>
      <c r="W7" s="1136">
        <v>3543.8328578868231</v>
      </c>
      <c r="X7" s="1136">
        <v>3523.5380632228726</v>
      </c>
      <c r="Y7" s="1136">
        <v>4161.9693968671954</v>
      </c>
      <c r="Z7" s="1136">
        <v>3378.484805855383</v>
      </c>
      <c r="AA7" s="1136">
        <v>3248.2380390606745</v>
      </c>
      <c r="AB7" s="1136">
        <v>2883.3512458578157</v>
      </c>
      <c r="AC7" s="1136">
        <v>2977.8079643617739</v>
      </c>
      <c r="AD7" s="1136">
        <v>3403.9576576288719</v>
      </c>
      <c r="AE7" s="1136">
        <v>2731.8580123987772</v>
      </c>
      <c r="AF7" s="1136">
        <v>2921.5951604483175</v>
      </c>
      <c r="AG7" s="1136">
        <v>3285.2655863486962</v>
      </c>
      <c r="AH7" s="1136">
        <v>3218.9780038196668</v>
      </c>
      <c r="AI7" s="1136">
        <v>3775.3428060113479</v>
      </c>
      <c r="AJ7" s="1136">
        <v>3586.6000795631339</v>
      </c>
      <c r="AK7" s="1136">
        <v>4791.5966149175529</v>
      </c>
      <c r="AL7" s="1136">
        <v>4198.8004375281098</v>
      </c>
      <c r="AM7" s="1136">
        <v>3718.4681231650479</v>
      </c>
      <c r="AN7" s="1137">
        <v>3968.0071440123438</v>
      </c>
      <c r="AO7" s="1138">
        <v>4263.4817446186689</v>
      </c>
      <c r="AP7" s="1138">
        <v>4030.7237780018918</v>
      </c>
      <c r="AQ7" s="1138">
        <v>3881.5519780801178</v>
      </c>
      <c r="AR7" s="1138">
        <v>4400.6176584587956</v>
      </c>
      <c r="AS7" s="1138">
        <v>4329.7500811983455</v>
      </c>
      <c r="AT7" s="1138">
        <v>4242.0866869116808</v>
      </c>
      <c r="AU7" s="1138">
        <v>4812.0552422003866</v>
      </c>
      <c r="AV7" s="1138">
        <v>4467.8940639118146</v>
      </c>
      <c r="AW7" s="1138">
        <v>6810.9656838341225</v>
      </c>
      <c r="AX7" s="1138">
        <v>5069.9095430427915</v>
      </c>
      <c r="AY7" s="1138">
        <v>4859.8693030329596</v>
      </c>
      <c r="AZ7" s="1138">
        <v>4678.5999159676958</v>
      </c>
      <c r="BA7" s="1138">
        <v>5002.6420686924439</v>
      </c>
      <c r="BB7" s="1138">
        <v>4285.1118852461977</v>
      </c>
      <c r="BC7" s="1138">
        <v>4659.9065244093199</v>
      </c>
      <c r="BD7" s="1138">
        <v>5162.9735006449473</v>
      </c>
      <c r="BE7" s="1138">
        <v>4784.119899514094</v>
      </c>
      <c r="BF7" s="1138">
        <v>4722.670419430573</v>
      </c>
      <c r="BG7" s="1138">
        <v>4493.5170977541047</v>
      </c>
      <c r="BH7" s="1138">
        <v>4728.3325385640619</v>
      </c>
      <c r="BI7" s="1138">
        <v>7139.7543311749869</v>
      </c>
      <c r="BJ7" s="1138">
        <v>4663.7387838217473</v>
      </c>
      <c r="BK7" s="1138">
        <v>4523.7478623699599</v>
      </c>
      <c r="BL7" s="1138">
        <v>4450.9223558028089</v>
      </c>
      <c r="BM7" s="1138">
        <v>4979.4203134760128</v>
      </c>
      <c r="BN7" s="1138">
        <v>4161.0018502116955</v>
      </c>
      <c r="BO7" s="1138">
        <v>4383.6580079079868</v>
      </c>
    </row>
    <row r="8" spans="1:70" ht="17.100000000000001" customHeight="1">
      <c r="A8" s="1135" t="s">
        <v>2636</v>
      </c>
      <c r="B8" s="1136">
        <v>13354.1369304</v>
      </c>
      <c r="C8" s="1136">
        <v>15547.269751184082</v>
      </c>
      <c r="D8" s="1136">
        <v>16275.622386438796</v>
      </c>
      <c r="E8" s="1136">
        <v>15221.23032284</v>
      </c>
      <c r="F8" s="1136">
        <v>16093.601333399249</v>
      </c>
      <c r="G8" s="1136">
        <v>16999.361531195795</v>
      </c>
      <c r="H8" s="1136">
        <v>19152.045058170501</v>
      </c>
      <c r="I8" s="1136">
        <v>17322.563515917751</v>
      </c>
      <c r="J8" s="1136">
        <v>17348.093718887878</v>
      </c>
      <c r="K8" s="1136">
        <v>19741.48304675605</v>
      </c>
      <c r="L8" s="1136">
        <v>20508.300298751532</v>
      </c>
      <c r="M8" s="1136">
        <v>22343.765787940167</v>
      </c>
      <c r="N8" s="1136">
        <v>22984.200542913426</v>
      </c>
      <c r="O8" s="1136">
        <v>22919.075251580765</v>
      </c>
      <c r="P8" s="1136">
        <v>22059.179417132509</v>
      </c>
      <c r="Q8" s="1136">
        <v>23166.702863040875</v>
      </c>
      <c r="R8" s="1136">
        <v>20938.908755252636</v>
      </c>
      <c r="S8" s="1136">
        <v>21782.913917106107</v>
      </c>
      <c r="T8" s="1136">
        <v>21168.268613999975</v>
      </c>
      <c r="U8" s="1136">
        <v>22548.75644605832</v>
      </c>
      <c r="V8" s="1136">
        <v>21135.314750968126</v>
      </c>
      <c r="W8" s="1136">
        <v>20621.053342979791</v>
      </c>
      <c r="X8" s="1136">
        <v>20552.26384958261</v>
      </c>
      <c r="Y8" s="1136">
        <v>23811.115484457412</v>
      </c>
      <c r="Z8" s="1136">
        <v>21262.747211979215</v>
      </c>
      <c r="AA8" s="1136">
        <v>22729.78389618911</v>
      </c>
      <c r="AB8" s="1136">
        <v>22777.196732427616</v>
      </c>
      <c r="AC8" s="1136">
        <v>22587.705621703659</v>
      </c>
      <c r="AD8" s="1136">
        <v>22581.00185845033</v>
      </c>
      <c r="AE8" s="1136">
        <v>24165.476965627764</v>
      </c>
      <c r="AF8" s="1136">
        <v>23900.002767059999</v>
      </c>
      <c r="AG8" s="1136">
        <v>23612.924114190002</v>
      </c>
      <c r="AH8" s="1136">
        <v>24815.184473119996</v>
      </c>
      <c r="AI8" s="1136">
        <v>23406.22358813</v>
      </c>
      <c r="AJ8" s="1136">
        <v>22282.956181639998</v>
      </c>
      <c r="AK8" s="1136">
        <v>25661.61601234</v>
      </c>
      <c r="AL8" s="1136">
        <v>24923.575304820002</v>
      </c>
      <c r="AM8" s="1136">
        <v>27863.721685230001</v>
      </c>
      <c r="AN8" s="1137">
        <v>27008.273728829998</v>
      </c>
      <c r="AO8" s="1138">
        <v>23896.042957950001</v>
      </c>
      <c r="AP8" s="1138">
        <v>28157.483017939998</v>
      </c>
      <c r="AQ8" s="1138">
        <v>28688.974320559999</v>
      </c>
      <c r="AR8" s="1138">
        <v>28935.587960119999</v>
      </c>
      <c r="AS8" s="1138">
        <v>26134.653011400002</v>
      </c>
      <c r="AT8" s="1138">
        <v>25278.962214350006</v>
      </c>
      <c r="AU8" s="1138">
        <v>26462.917852329996</v>
      </c>
      <c r="AV8" s="1138">
        <v>28401.248003600002</v>
      </c>
      <c r="AW8" s="1138">
        <v>32222.361538929999</v>
      </c>
      <c r="AX8" s="1138">
        <v>31332.858156099996</v>
      </c>
      <c r="AY8" s="1138">
        <v>37154.273890489996</v>
      </c>
      <c r="AZ8" s="1138">
        <v>35714.452707160002</v>
      </c>
      <c r="BA8" s="1138">
        <v>35349.192402590001</v>
      </c>
      <c r="BB8" s="1138">
        <v>36559.695734500005</v>
      </c>
      <c r="BC8" s="1138">
        <v>35792.13994986</v>
      </c>
      <c r="BD8" s="1138">
        <v>37463.480514460003</v>
      </c>
      <c r="BE8" s="1138">
        <v>39541.545096289999</v>
      </c>
      <c r="BF8" s="1138">
        <v>37218.004232480009</v>
      </c>
      <c r="BG8" s="1138">
        <v>38604.992392180007</v>
      </c>
      <c r="BH8" s="1138">
        <v>36126.117609040004</v>
      </c>
      <c r="BI8" s="1138">
        <v>35402.665723730002</v>
      </c>
      <c r="BJ8" s="1138">
        <v>40194.553121159995</v>
      </c>
      <c r="BK8" s="1138">
        <v>41903.326050510004</v>
      </c>
      <c r="BL8" s="1138">
        <v>45342.041259387093</v>
      </c>
      <c r="BM8" s="1138">
        <v>46268.043769730008</v>
      </c>
      <c r="BN8" s="1138">
        <v>42422.148787660008</v>
      </c>
      <c r="BO8" s="1138">
        <v>43192.988507800001</v>
      </c>
    </row>
    <row r="9" spans="1:70" ht="17.100000000000001" customHeight="1">
      <c r="A9" s="1135" t="s">
        <v>2637</v>
      </c>
      <c r="B9" s="1136"/>
      <c r="C9" s="1136"/>
      <c r="D9" s="1136"/>
      <c r="E9" s="1136"/>
      <c r="F9" s="1136"/>
      <c r="G9" s="1136"/>
      <c r="H9" s="1136"/>
      <c r="I9" s="1136"/>
      <c r="J9" s="1136"/>
      <c r="K9" s="1136"/>
      <c r="L9" s="1136"/>
      <c r="M9" s="1136"/>
      <c r="N9" s="1136"/>
      <c r="O9" s="1136"/>
      <c r="P9" s="1136"/>
      <c r="Q9" s="1136"/>
      <c r="R9" s="1136"/>
      <c r="S9" s="1136"/>
      <c r="T9" s="1136"/>
      <c r="U9" s="1136"/>
      <c r="V9" s="1136"/>
      <c r="W9" s="1136"/>
      <c r="X9" s="1136"/>
      <c r="Y9" s="1136"/>
      <c r="Z9" s="1136"/>
      <c r="AA9" s="1136"/>
      <c r="AB9" s="1136"/>
      <c r="AC9" s="1136"/>
      <c r="AD9" s="1136"/>
      <c r="AE9" s="1136"/>
      <c r="AF9" s="1136"/>
      <c r="AG9" s="1136"/>
      <c r="AH9" s="1136"/>
      <c r="AI9" s="1136"/>
      <c r="AJ9" s="1136"/>
      <c r="AK9" s="1136"/>
      <c r="AL9" s="1136"/>
      <c r="AM9" s="1136"/>
      <c r="AN9" s="1137"/>
      <c r="AO9" s="1138"/>
      <c r="AP9" s="1138"/>
      <c r="AQ9" s="1138"/>
      <c r="AR9" s="1138"/>
      <c r="AS9" s="1138"/>
      <c r="AT9" s="1138"/>
      <c r="AU9" s="1138"/>
      <c r="AV9" s="1138"/>
      <c r="AW9" s="1138"/>
      <c r="AX9" s="1138"/>
      <c r="AY9" s="1138"/>
      <c r="AZ9" s="1138"/>
      <c r="BA9" s="1138"/>
      <c r="BB9" s="1138"/>
      <c r="BC9" s="1138"/>
      <c r="BD9" s="1138"/>
      <c r="BE9" s="1138"/>
      <c r="BF9" s="1138"/>
      <c r="BG9" s="1138"/>
      <c r="BH9" s="1138"/>
      <c r="BI9" s="1138"/>
      <c r="BJ9" s="1138"/>
      <c r="BK9" s="1138"/>
      <c r="BL9" s="1138"/>
      <c r="BM9" s="1138"/>
      <c r="BN9" s="1138"/>
      <c r="BO9" s="1138"/>
    </row>
    <row r="10" spans="1:70" s="1120" customFormat="1" ht="17.100000000000001" customHeight="1">
      <c r="A10" s="1140" t="s">
        <v>2638</v>
      </c>
      <c r="B10" s="1141">
        <v>13180.361091909999</v>
      </c>
      <c r="C10" s="1141">
        <v>15445.119449369999</v>
      </c>
      <c r="D10" s="1141">
        <v>16168.046902009999</v>
      </c>
      <c r="E10" s="1141">
        <v>15124.25977701</v>
      </c>
      <c r="F10" s="1141">
        <v>16001.144004809998</v>
      </c>
      <c r="G10" s="1141">
        <v>16558.544007380002</v>
      </c>
      <c r="H10" s="1141">
        <v>19007.349950509997</v>
      </c>
      <c r="I10" s="1141">
        <v>17182.945034510001</v>
      </c>
      <c r="J10" s="1141">
        <v>17080.954378169998</v>
      </c>
      <c r="K10" s="1141">
        <v>19601.086913409999</v>
      </c>
      <c r="L10" s="1141">
        <v>20360.644917080001</v>
      </c>
      <c r="M10" s="1141">
        <v>22187.582204819999</v>
      </c>
      <c r="N10" s="1141">
        <v>22842.828379009999</v>
      </c>
      <c r="O10" s="1141">
        <v>22753.930035100002</v>
      </c>
      <c r="P10" s="1141">
        <v>21902.896262459999</v>
      </c>
      <c r="Q10" s="1141">
        <v>22996.164349359999</v>
      </c>
      <c r="R10" s="1141">
        <v>20819.986171249999</v>
      </c>
      <c r="S10" s="1141">
        <v>21555.850004669999</v>
      </c>
      <c r="T10" s="1141">
        <v>21020.661866890001</v>
      </c>
      <c r="U10" s="1141">
        <v>22403.703741509999</v>
      </c>
      <c r="V10" s="1141">
        <v>20956.707757559998</v>
      </c>
      <c r="W10" s="1141">
        <v>20392.186258429996</v>
      </c>
      <c r="X10" s="1141">
        <v>20406.316159820002</v>
      </c>
      <c r="Y10" s="1141">
        <v>23666.373667289998</v>
      </c>
      <c r="Z10" s="1141">
        <v>21128.55688815</v>
      </c>
      <c r="AA10" s="1141">
        <v>22606.986195919999</v>
      </c>
      <c r="AB10" s="1141">
        <v>22648.888231509998</v>
      </c>
      <c r="AC10" s="1141">
        <v>22462.387835019999</v>
      </c>
      <c r="AD10" s="1141">
        <v>22476.149191739998</v>
      </c>
      <c r="AE10" s="1141">
        <v>23977.369481069996</v>
      </c>
      <c r="AF10" s="1141">
        <v>23701.931139239998</v>
      </c>
      <c r="AG10" s="1141">
        <v>23541.113787940001</v>
      </c>
      <c r="AH10" s="1141">
        <v>24591.544820159997</v>
      </c>
      <c r="AI10" s="1141">
        <v>23167.60481945</v>
      </c>
      <c r="AJ10" s="1141">
        <v>22131.482146099999</v>
      </c>
      <c r="AK10" s="1141">
        <v>25515.138641540001</v>
      </c>
      <c r="AL10" s="1141">
        <v>24854.226564650002</v>
      </c>
      <c r="AM10" s="1141">
        <v>27797.761466790002</v>
      </c>
      <c r="AN10" s="1142">
        <v>26943.295328619999</v>
      </c>
      <c r="AO10" s="1143">
        <v>23830.458748830002</v>
      </c>
      <c r="AP10" s="1143">
        <v>28088.96964996</v>
      </c>
      <c r="AQ10" s="1143">
        <v>28377.491470929999</v>
      </c>
      <c r="AR10" s="1143">
        <v>28845.220740209999</v>
      </c>
      <c r="AS10" s="1143">
        <v>26045.912519270001</v>
      </c>
      <c r="AT10" s="1143">
        <v>25113.663529400004</v>
      </c>
      <c r="AU10" s="1143">
        <v>26366.097784619997</v>
      </c>
      <c r="AV10" s="1143">
        <v>28225.168882770002</v>
      </c>
      <c r="AW10" s="1143">
        <v>31894.798558349998</v>
      </c>
      <c r="AX10" s="1143">
        <v>31263.989790459997</v>
      </c>
      <c r="AY10" s="1143">
        <v>37062.201626349997</v>
      </c>
      <c r="AZ10" s="1143">
        <v>35626.74721275</v>
      </c>
      <c r="BA10" s="1143">
        <v>35263.900715039999</v>
      </c>
      <c r="BB10" s="1143">
        <v>36480.672927440006</v>
      </c>
      <c r="BC10" s="1143">
        <v>35505.536266570001</v>
      </c>
      <c r="BD10" s="1143">
        <v>37346.30601778</v>
      </c>
      <c r="BE10" s="1143">
        <v>39447.964838309999</v>
      </c>
      <c r="BF10" s="1143">
        <v>37043.045730330006</v>
      </c>
      <c r="BG10" s="1143">
        <v>38406.794046370007</v>
      </c>
      <c r="BH10" s="1143">
        <v>36009.536248050004</v>
      </c>
      <c r="BI10" s="1143">
        <v>35269.696321449999</v>
      </c>
      <c r="BJ10" s="1143">
        <v>40104.413002199995</v>
      </c>
      <c r="BK10" s="1143">
        <v>41805.112039910004</v>
      </c>
      <c r="BL10" s="1143">
        <v>45054.548004237091</v>
      </c>
      <c r="BM10" s="1143">
        <v>46161.870899910005</v>
      </c>
      <c r="BN10" s="1143">
        <v>42302.540231880004</v>
      </c>
      <c r="BO10" s="1143">
        <v>42987.27696255</v>
      </c>
    </row>
    <row r="11" spans="1:70" s="1120" customFormat="1" ht="17.100000000000001" customHeight="1">
      <c r="A11" s="1140" t="s">
        <v>2389</v>
      </c>
      <c r="B11" s="1141">
        <v>173.77583848999998</v>
      </c>
      <c r="C11" s="1141">
        <v>102.15030181408299</v>
      </c>
      <c r="D11" s="1141">
        <v>107.57548442879599</v>
      </c>
      <c r="E11" s="1141">
        <v>96.970545829999992</v>
      </c>
      <c r="F11" s="1141">
        <v>92.457328589252</v>
      </c>
      <c r="G11" s="1141">
        <v>440.817523815794</v>
      </c>
      <c r="H11" s="1141">
        <v>144.695107660503</v>
      </c>
      <c r="I11" s="1141">
        <v>139.61848140775101</v>
      </c>
      <c r="J11" s="1141">
        <v>267.13934071788196</v>
      </c>
      <c r="K11" s="1141">
        <v>140.39613334605099</v>
      </c>
      <c r="L11" s="1141">
        <v>147.65538167153198</v>
      </c>
      <c r="M11" s="1141">
        <v>156.18358312016798</v>
      </c>
      <c r="N11" s="1141">
        <v>141.37216390342701</v>
      </c>
      <c r="O11" s="1141">
        <v>165.14521648076197</v>
      </c>
      <c r="P11" s="1141">
        <v>156.283154672509</v>
      </c>
      <c r="Q11" s="1141">
        <v>170.538513680878</v>
      </c>
      <c r="R11" s="1141">
        <v>118.92258400263799</v>
      </c>
      <c r="S11" s="1141">
        <v>227.06391243610898</v>
      </c>
      <c r="T11" s="1141">
        <v>147.606747109975</v>
      </c>
      <c r="U11" s="1141">
        <v>145.05270454831998</v>
      </c>
      <c r="V11" s="1141">
        <v>178.60699340812801</v>
      </c>
      <c r="W11" s="1141">
        <v>228.86708454979401</v>
      </c>
      <c r="X11" s="1141">
        <v>145.94768976260698</v>
      </c>
      <c r="Y11" s="1141">
        <v>144.74181716741302</v>
      </c>
      <c r="Z11" s="1141">
        <v>134.190323829216</v>
      </c>
      <c r="AA11" s="1141">
        <v>122.79770026911299</v>
      </c>
      <c r="AB11" s="1141">
        <v>128.30850091761698</v>
      </c>
      <c r="AC11" s="1141">
        <v>125.31778668365899</v>
      </c>
      <c r="AD11" s="1141">
        <v>104.85266671033099</v>
      </c>
      <c r="AE11" s="1141">
        <v>188.10748455776599</v>
      </c>
      <c r="AF11" s="1141">
        <v>198.07162782</v>
      </c>
      <c r="AG11" s="1141">
        <v>71.810326250000003</v>
      </c>
      <c r="AH11" s="1141">
        <v>223.63965296000001</v>
      </c>
      <c r="AI11" s="1141">
        <v>238.61876867999996</v>
      </c>
      <c r="AJ11" s="1141">
        <v>151.47403553999999</v>
      </c>
      <c r="AK11" s="1141">
        <v>146.47737080000002</v>
      </c>
      <c r="AL11" s="1141">
        <v>69.348740169999985</v>
      </c>
      <c r="AM11" s="1141">
        <v>65.960218440000006</v>
      </c>
      <c r="AN11" s="1142">
        <v>64.97840020999999</v>
      </c>
      <c r="AO11" s="1143">
        <v>65.584209119999997</v>
      </c>
      <c r="AP11" s="1143">
        <v>68.513367979999998</v>
      </c>
      <c r="AQ11" s="1143">
        <v>311.48284962999998</v>
      </c>
      <c r="AR11" s="1143">
        <v>90.367219909999989</v>
      </c>
      <c r="AS11" s="1143">
        <v>88.740492129999993</v>
      </c>
      <c r="AT11" s="1143">
        <v>165.29868494999999</v>
      </c>
      <c r="AU11" s="1143">
        <v>96.820067709999989</v>
      </c>
      <c r="AV11" s="1143">
        <v>176.07912083000002</v>
      </c>
      <c r="AW11" s="1143">
        <v>327.56298057999999</v>
      </c>
      <c r="AX11" s="1143">
        <v>68.868365640000007</v>
      </c>
      <c r="AY11" s="1143">
        <v>92.072264139999987</v>
      </c>
      <c r="AZ11" s="1143">
        <v>87.70549441</v>
      </c>
      <c r="BA11" s="1143">
        <v>85.291687549999992</v>
      </c>
      <c r="BB11" s="1143">
        <v>79.022807060000005</v>
      </c>
      <c r="BC11" s="1143">
        <v>286.60368328999999</v>
      </c>
      <c r="BD11" s="1143">
        <v>117.17449668</v>
      </c>
      <c r="BE11" s="1143">
        <v>93.580257980000013</v>
      </c>
      <c r="BF11" s="1143">
        <v>174.95850214999999</v>
      </c>
      <c r="BG11" s="1143">
        <v>198.19834580999998</v>
      </c>
      <c r="BH11" s="1143">
        <v>116.58136098999999</v>
      </c>
      <c r="BI11" s="1143">
        <v>132.96940228</v>
      </c>
      <c r="BJ11" s="1143">
        <v>90.140118959999995</v>
      </c>
      <c r="BK11" s="1143">
        <v>98.214010599999995</v>
      </c>
      <c r="BL11" s="1143">
        <v>287.49325514999998</v>
      </c>
      <c r="BM11" s="1143">
        <v>106.17286981999999</v>
      </c>
      <c r="BN11" s="1143">
        <v>119.60855578000002</v>
      </c>
      <c r="BO11" s="1143">
        <v>205.71154525</v>
      </c>
    </row>
    <row r="12" spans="1:70" ht="17.100000000000001" customHeight="1">
      <c r="A12" s="1135"/>
      <c r="B12" s="1136"/>
      <c r="C12" s="1136"/>
      <c r="D12" s="1136"/>
      <c r="E12" s="1136"/>
      <c r="F12" s="1136"/>
      <c r="G12" s="1136"/>
      <c r="H12" s="1136"/>
      <c r="I12" s="1136"/>
      <c r="J12" s="1136"/>
      <c r="K12" s="1136"/>
      <c r="L12" s="1136"/>
      <c r="M12" s="1136"/>
      <c r="N12" s="1136"/>
      <c r="O12" s="1136"/>
      <c r="P12" s="1136"/>
      <c r="Q12" s="1136"/>
      <c r="R12" s="1136"/>
      <c r="S12" s="1136"/>
      <c r="T12" s="1136"/>
      <c r="U12" s="1136"/>
      <c r="V12" s="1136"/>
      <c r="W12" s="1136"/>
      <c r="X12" s="1136"/>
      <c r="Y12" s="1136"/>
      <c r="Z12" s="1136"/>
      <c r="AA12" s="1136"/>
      <c r="AB12" s="1136"/>
      <c r="AC12" s="1136"/>
      <c r="AD12" s="1136"/>
      <c r="AE12" s="1136"/>
      <c r="AF12" s="1136"/>
      <c r="AG12" s="1136"/>
      <c r="AH12" s="1136"/>
      <c r="AI12" s="1136"/>
      <c r="AJ12" s="1136"/>
      <c r="AK12" s="1136"/>
      <c r="AL12" s="1136"/>
      <c r="AM12" s="1136"/>
      <c r="AN12" s="1137"/>
      <c r="AO12" s="1138"/>
      <c r="AP12" s="1138"/>
      <c r="AQ12" s="1138"/>
      <c r="AR12" s="1138"/>
      <c r="AS12" s="1138"/>
      <c r="AT12" s="1138"/>
      <c r="AU12" s="1138"/>
      <c r="AV12" s="1138"/>
      <c r="AW12" s="1138"/>
      <c r="AX12" s="1138"/>
      <c r="AY12" s="1138"/>
      <c r="AZ12" s="1138"/>
      <c r="BA12" s="1138"/>
      <c r="BB12" s="1138"/>
      <c r="BC12" s="1138"/>
      <c r="BD12" s="1138"/>
      <c r="BE12" s="1138"/>
      <c r="BF12" s="1138"/>
      <c r="BG12" s="1138"/>
      <c r="BH12" s="1138"/>
      <c r="BI12" s="1138"/>
      <c r="BJ12" s="1138"/>
      <c r="BK12" s="1138"/>
      <c r="BL12" s="1138"/>
      <c r="BM12" s="1138"/>
      <c r="BN12" s="1138"/>
      <c r="BO12" s="1138"/>
    </row>
    <row r="13" spans="1:70" s="1148" customFormat="1" ht="17.100000000000001" customHeight="1">
      <c r="A13" s="1144" t="s">
        <v>2639</v>
      </c>
      <c r="B13" s="1145">
        <v>32306.578817460002</v>
      </c>
      <c r="C13" s="1145">
        <v>34188.331145164077</v>
      </c>
      <c r="D13" s="1145">
        <v>35018.925947288793</v>
      </c>
      <c r="E13" s="1145">
        <v>33972.916108009995</v>
      </c>
      <c r="F13" s="1145">
        <v>35004.952882689249</v>
      </c>
      <c r="G13" s="1145">
        <v>35648.822886965791</v>
      </c>
      <c r="H13" s="1145">
        <v>38111.517277910505</v>
      </c>
      <c r="I13" s="1145">
        <v>36422.298472737748</v>
      </c>
      <c r="J13" s="1145">
        <v>36444.268976647872</v>
      </c>
      <c r="K13" s="1145">
        <v>38868.215593856046</v>
      </c>
      <c r="L13" s="1145">
        <v>40023.459073151535</v>
      </c>
      <c r="M13" s="1145">
        <v>44935.527259780167</v>
      </c>
      <c r="N13" s="1145">
        <v>44220.858916383426</v>
      </c>
      <c r="O13" s="1145">
        <v>43457.96626473077</v>
      </c>
      <c r="P13" s="1145">
        <v>42616.030383652513</v>
      </c>
      <c r="Q13" s="1145">
        <v>43519.537135460872</v>
      </c>
      <c r="R13" s="1145">
        <v>41534.157818012638</v>
      </c>
      <c r="S13" s="1145">
        <v>42236.711520816105</v>
      </c>
      <c r="T13" s="1145">
        <v>42073.932665119974</v>
      </c>
      <c r="U13" s="1145">
        <v>44194.178057538316</v>
      </c>
      <c r="V13" s="1145">
        <v>42292.116241218129</v>
      </c>
      <c r="W13" s="1145">
        <v>42459.190507549793</v>
      </c>
      <c r="X13" s="1145">
        <v>41967.209032272607</v>
      </c>
      <c r="Y13" s="1145">
        <v>48280.871327637411</v>
      </c>
      <c r="Z13" s="1145">
        <v>43850.805226779208</v>
      </c>
      <c r="AA13" s="1145">
        <v>44901.044055009108</v>
      </c>
      <c r="AB13" s="1145">
        <v>44639.243475667616</v>
      </c>
      <c r="AC13" s="1145">
        <v>44527.06357813366</v>
      </c>
      <c r="AD13" s="1145">
        <v>44662.991762790334</v>
      </c>
      <c r="AE13" s="1145">
        <v>45910.968640197767</v>
      </c>
      <c r="AF13" s="1145">
        <v>46049.62976335</v>
      </c>
      <c r="AG13" s="1145">
        <v>46185.349602239992</v>
      </c>
      <c r="AH13" s="1145">
        <v>47267.960582839994</v>
      </c>
      <c r="AI13" s="1145">
        <v>46439.120953460006</v>
      </c>
      <c r="AJ13" s="1145">
        <v>45499.108851889992</v>
      </c>
      <c r="AK13" s="1145">
        <v>52622.930014159996</v>
      </c>
      <c r="AL13" s="1145">
        <v>50086.680641910003</v>
      </c>
      <c r="AM13" s="1145">
        <v>52362.476793820002</v>
      </c>
      <c r="AN13" s="1146">
        <v>51963.297140969997</v>
      </c>
      <c r="AO13" s="1147">
        <v>48815.614415420001</v>
      </c>
      <c r="AP13" s="1147">
        <v>52745.513655169998</v>
      </c>
      <c r="AQ13" s="1147">
        <v>53094.012917469998</v>
      </c>
      <c r="AR13" s="1147">
        <v>54156.36550167</v>
      </c>
      <c r="AS13" s="1147">
        <v>51451.915537709996</v>
      </c>
      <c r="AT13" s="1147">
        <v>50185.234078640002</v>
      </c>
      <c r="AU13" s="1147">
        <v>51977.864655339996</v>
      </c>
      <c r="AV13" s="1147">
        <v>53757.247619950002</v>
      </c>
      <c r="AW13" s="1147">
        <v>62350.012214779999</v>
      </c>
      <c r="AX13" s="1147">
        <v>58668.651559199992</v>
      </c>
      <c r="AY13" s="1147">
        <v>64091.710065689993</v>
      </c>
      <c r="AZ13" s="1147">
        <v>62483.452767249997</v>
      </c>
      <c r="BA13" s="1147">
        <v>62070.370892899999</v>
      </c>
      <c r="BB13" s="1147">
        <v>62582.034079030003</v>
      </c>
      <c r="BC13" s="1147">
        <v>62137.03930633</v>
      </c>
      <c r="BD13" s="1147">
        <v>64802.243488449996</v>
      </c>
      <c r="BE13" s="1147">
        <v>66521.777726829998</v>
      </c>
      <c r="BF13" s="1147">
        <v>63788.91463728001</v>
      </c>
      <c r="BG13" s="1147">
        <v>65201.016736970007</v>
      </c>
      <c r="BH13" s="1147">
        <v>63358.074917500002</v>
      </c>
      <c r="BI13" s="1147">
        <v>67933.588631680002</v>
      </c>
      <c r="BJ13" s="1147">
        <v>68888.095795009998</v>
      </c>
      <c r="BK13" s="1147">
        <v>70440.636755090003</v>
      </c>
      <c r="BL13" s="1147">
        <v>73577.833934157097</v>
      </c>
      <c r="BM13" s="1147">
        <v>75159.682994820003</v>
      </c>
      <c r="BN13" s="1147">
        <v>70803.746954400005</v>
      </c>
      <c r="BO13" s="1147">
        <v>71594.147533340001</v>
      </c>
    </row>
    <row r="14" spans="1:70" ht="17.100000000000001" customHeight="1" thickBot="1">
      <c r="A14" s="1149"/>
      <c r="B14" s="1136"/>
      <c r="C14" s="1136"/>
      <c r="D14" s="1136"/>
      <c r="E14" s="1136"/>
      <c r="F14" s="1136"/>
      <c r="G14" s="1136"/>
      <c r="H14" s="1136"/>
      <c r="I14" s="1136"/>
      <c r="J14" s="1136"/>
      <c r="K14" s="1136"/>
      <c r="L14" s="1136"/>
      <c r="M14" s="1136"/>
      <c r="N14" s="1136"/>
      <c r="O14" s="1136"/>
      <c r="P14" s="1136"/>
      <c r="Q14" s="1136"/>
      <c r="R14" s="1136"/>
      <c r="S14" s="1136"/>
      <c r="T14" s="1136"/>
      <c r="U14" s="1136"/>
      <c r="V14" s="1136"/>
      <c r="W14" s="1136"/>
      <c r="X14" s="1136"/>
      <c r="Y14" s="1136"/>
      <c r="Z14" s="1136"/>
      <c r="AA14" s="1136"/>
      <c r="AB14" s="1136"/>
      <c r="AC14" s="1136"/>
      <c r="AD14" s="1136"/>
      <c r="AE14" s="1136"/>
      <c r="AF14" s="1136"/>
      <c r="AG14" s="1136"/>
      <c r="AH14" s="1136"/>
      <c r="AI14" s="1136"/>
      <c r="AJ14" s="1136"/>
      <c r="AK14" s="1136"/>
      <c r="AL14" s="1136"/>
      <c r="AM14" s="1136"/>
      <c r="AN14" s="1137"/>
      <c r="AO14" s="1138"/>
      <c r="AP14" s="1138"/>
      <c r="AQ14" s="1138"/>
      <c r="AR14" s="1138"/>
      <c r="AS14" s="1138"/>
      <c r="AT14" s="1138"/>
      <c r="AU14" s="1138"/>
      <c r="AV14" s="1138"/>
      <c r="AW14" s="1138"/>
      <c r="AX14" s="1138"/>
      <c r="AY14" s="1138"/>
      <c r="AZ14" s="1138"/>
      <c r="BA14" s="1138"/>
      <c r="BB14" s="1138"/>
      <c r="BC14" s="1138"/>
      <c r="BD14" s="1138"/>
      <c r="BE14" s="1138"/>
      <c r="BF14" s="1138"/>
      <c r="BG14" s="1138"/>
      <c r="BH14" s="1138"/>
      <c r="BI14" s="1138"/>
      <c r="BJ14" s="1138"/>
      <c r="BK14" s="1138"/>
      <c r="BL14" s="1138"/>
      <c r="BM14" s="1138"/>
      <c r="BN14" s="1138"/>
      <c r="BO14" s="1138"/>
    </row>
    <row r="15" spans="1:70" ht="17.100000000000001" customHeight="1" thickTop="1" thickBot="1">
      <c r="A15" s="1130" t="s">
        <v>2640</v>
      </c>
      <c r="B15" s="1150"/>
      <c r="C15" s="1150"/>
      <c r="D15" s="1150"/>
      <c r="E15" s="1150"/>
      <c r="F15" s="1150"/>
      <c r="G15" s="1150"/>
      <c r="H15" s="1150"/>
      <c r="I15" s="1150"/>
      <c r="J15" s="1150"/>
      <c r="K15" s="1150"/>
      <c r="L15" s="1150"/>
      <c r="M15" s="1150"/>
      <c r="N15" s="1150"/>
      <c r="O15" s="1150"/>
      <c r="P15" s="1150"/>
      <c r="Q15" s="1150"/>
      <c r="R15" s="1150"/>
      <c r="S15" s="1150"/>
      <c r="T15" s="1150"/>
      <c r="U15" s="1150"/>
      <c r="V15" s="1150"/>
      <c r="W15" s="1150"/>
      <c r="X15" s="1150"/>
      <c r="Y15" s="1150"/>
      <c r="Z15" s="1150"/>
      <c r="AA15" s="1150"/>
      <c r="AB15" s="1150"/>
      <c r="AC15" s="1150"/>
      <c r="AD15" s="1150"/>
      <c r="AE15" s="1150"/>
      <c r="AF15" s="1150"/>
      <c r="AG15" s="1150"/>
      <c r="AH15" s="1150"/>
      <c r="AI15" s="1150"/>
      <c r="AJ15" s="1150"/>
      <c r="AK15" s="1150"/>
      <c r="AL15" s="1150"/>
      <c r="AM15" s="1150"/>
      <c r="AN15" s="1151"/>
      <c r="AO15" s="1152"/>
      <c r="AP15" s="1152"/>
      <c r="AQ15" s="1152"/>
      <c r="AR15" s="1152"/>
      <c r="AS15" s="1152"/>
      <c r="AT15" s="1152"/>
      <c r="AU15" s="1152"/>
      <c r="AV15" s="1152"/>
      <c r="AW15" s="1152"/>
      <c r="AX15" s="1152"/>
      <c r="AY15" s="1152"/>
      <c r="AZ15" s="1152"/>
      <c r="BA15" s="1152"/>
      <c r="BB15" s="1152"/>
      <c r="BC15" s="1152"/>
      <c r="BD15" s="1152"/>
      <c r="BE15" s="1152"/>
      <c r="BF15" s="1152"/>
      <c r="BG15" s="1152"/>
      <c r="BH15" s="1152"/>
      <c r="BI15" s="1152"/>
      <c r="BJ15" s="1152"/>
      <c r="BK15" s="1152"/>
      <c r="BL15" s="1152"/>
      <c r="BM15" s="1152"/>
      <c r="BN15" s="1152"/>
      <c r="BO15" s="1152"/>
    </row>
    <row r="16" spans="1:70" ht="17.100000000000001" customHeight="1" thickTop="1">
      <c r="A16" s="1149"/>
      <c r="B16" s="1136"/>
      <c r="C16" s="1136"/>
      <c r="D16" s="1136"/>
      <c r="E16" s="1136"/>
      <c r="F16" s="1136"/>
      <c r="G16" s="1136"/>
      <c r="H16" s="1136"/>
      <c r="I16" s="1136"/>
      <c r="J16" s="1136"/>
      <c r="K16" s="1136"/>
      <c r="L16" s="1136"/>
      <c r="M16" s="1136"/>
      <c r="N16" s="1136"/>
      <c r="O16" s="1136"/>
      <c r="P16" s="1136"/>
      <c r="Q16" s="1136"/>
      <c r="R16" s="1136"/>
      <c r="S16" s="1136"/>
      <c r="T16" s="1136"/>
      <c r="U16" s="1136"/>
      <c r="V16" s="1136"/>
      <c r="W16" s="1136"/>
      <c r="X16" s="1136"/>
      <c r="Y16" s="1136"/>
      <c r="Z16" s="1136"/>
      <c r="AA16" s="1136"/>
      <c r="AB16" s="1136"/>
      <c r="AC16" s="1136"/>
      <c r="AD16" s="1136"/>
      <c r="AE16" s="1136"/>
      <c r="AF16" s="1136"/>
      <c r="AG16" s="1136"/>
      <c r="AH16" s="1136"/>
      <c r="AI16" s="1136"/>
      <c r="AJ16" s="1136"/>
      <c r="AK16" s="1136"/>
      <c r="AL16" s="1136"/>
      <c r="AM16" s="1136"/>
      <c r="AN16" s="1137"/>
      <c r="AO16" s="1138"/>
      <c r="AP16" s="1138"/>
      <c r="AQ16" s="1138"/>
      <c r="AR16" s="1138"/>
      <c r="AS16" s="1138"/>
      <c r="AT16" s="1138"/>
      <c r="AU16" s="1138"/>
      <c r="AV16" s="1138"/>
      <c r="AW16" s="1138"/>
      <c r="AX16" s="1138"/>
      <c r="AY16" s="1138"/>
      <c r="AZ16" s="1138"/>
      <c r="BA16" s="1138"/>
      <c r="BB16" s="1138"/>
      <c r="BC16" s="1138"/>
      <c r="BD16" s="1138"/>
      <c r="BE16" s="1138"/>
      <c r="BF16" s="1138"/>
      <c r="BG16" s="1138"/>
      <c r="BH16" s="1138"/>
      <c r="BI16" s="1138"/>
      <c r="BJ16" s="1138"/>
      <c r="BK16" s="1138"/>
      <c r="BL16" s="1138"/>
      <c r="BM16" s="1138"/>
      <c r="BN16" s="1138"/>
      <c r="BO16" s="1138"/>
    </row>
    <row r="17" spans="1:67" ht="17.100000000000001" customHeight="1">
      <c r="A17" s="1135" t="s">
        <v>2641</v>
      </c>
      <c r="B17" s="1136">
        <v>66426.303235972882</v>
      </c>
      <c r="C17" s="1136">
        <v>67813.347178623269</v>
      </c>
      <c r="D17" s="1136">
        <v>67350.55298928589</v>
      </c>
      <c r="E17" s="1136">
        <v>67898.424276395206</v>
      </c>
      <c r="F17" s="1136">
        <v>70563.533940011592</v>
      </c>
      <c r="G17" s="1136">
        <v>69029.206086238628</v>
      </c>
      <c r="H17" s="1136">
        <v>69173.827566074178</v>
      </c>
      <c r="I17" s="1136">
        <v>70109.753901685341</v>
      </c>
      <c r="J17" s="1136">
        <v>73222.669057128718</v>
      </c>
      <c r="K17" s="1136">
        <v>72628.910586909114</v>
      </c>
      <c r="L17" s="1136">
        <v>74948.541309052278</v>
      </c>
      <c r="M17" s="1136">
        <v>77907.26620021234</v>
      </c>
      <c r="N17" s="1136">
        <v>74640.649942564065</v>
      </c>
      <c r="O17" s="1136">
        <v>74618.615312754191</v>
      </c>
      <c r="P17" s="1136">
        <v>76376.735414886105</v>
      </c>
      <c r="Q17" s="1136">
        <v>75700.789623743025</v>
      </c>
      <c r="R17" s="1136">
        <v>77269.692369705648</v>
      </c>
      <c r="S17" s="1136">
        <v>79953.017943437662</v>
      </c>
      <c r="T17" s="1136">
        <v>79074.75525046949</v>
      </c>
      <c r="U17" s="1136">
        <v>79520.667822633579</v>
      </c>
      <c r="V17" s="1136">
        <v>78671.260029511788</v>
      </c>
      <c r="W17" s="1136">
        <v>81199.667306703283</v>
      </c>
      <c r="X17" s="1136">
        <v>77556.049942866448</v>
      </c>
      <c r="Y17" s="1136">
        <v>80100.875885288551</v>
      </c>
      <c r="Z17" s="1136">
        <v>80040.746933815622</v>
      </c>
      <c r="AA17" s="1136">
        <v>79939.581236785903</v>
      </c>
      <c r="AB17" s="1136">
        <v>79411.668224062698</v>
      </c>
      <c r="AC17" s="1136">
        <v>79032.748513622151</v>
      </c>
      <c r="AD17" s="1136">
        <v>78098.527743300889</v>
      </c>
      <c r="AE17" s="1136">
        <v>85159.248901662751</v>
      </c>
      <c r="AF17" s="1136">
        <v>86394.874568552084</v>
      </c>
      <c r="AG17" s="1136">
        <v>86880.112743733043</v>
      </c>
      <c r="AH17" s="1136">
        <v>87928.224802783152</v>
      </c>
      <c r="AI17" s="1136">
        <v>88106.871545446251</v>
      </c>
      <c r="AJ17" s="1136">
        <v>90488.3945909303</v>
      </c>
      <c r="AK17" s="1136">
        <v>91559.825805914632</v>
      </c>
      <c r="AL17" s="1136">
        <v>94098.106945505308</v>
      </c>
      <c r="AM17" s="1136">
        <v>93549.31388682939</v>
      </c>
      <c r="AN17" s="1137">
        <v>96754.802980609718</v>
      </c>
      <c r="AO17" s="1138">
        <v>95870.007278678371</v>
      </c>
      <c r="AP17" s="1138">
        <v>104072.51915873688</v>
      </c>
      <c r="AQ17" s="1138">
        <v>103579.9323233067</v>
      </c>
      <c r="AR17" s="1138">
        <v>100694.20800170788</v>
      </c>
      <c r="AS17" s="1138">
        <v>99291.769986535714</v>
      </c>
      <c r="AT17" s="1138">
        <v>100933.44968334469</v>
      </c>
      <c r="AU17" s="1138">
        <v>100229.18125081969</v>
      </c>
      <c r="AV17" s="1138">
        <v>99261.274187500021</v>
      </c>
      <c r="AW17" s="1138">
        <v>103497.94482550361</v>
      </c>
      <c r="AX17" s="1138">
        <v>102921.43799632388</v>
      </c>
      <c r="AY17" s="1138">
        <v>108544.33997084292</v>
      </c>
      <c r="AZ17" s="1138">
        <v>110343.08859754098</v>
      </c>
      <c r="BA17" s="1138">
        <v>114721.20755311572</v>
      </c>
      <c r="BB17" s="1138">
        <v>117055.21513527753</v>
      </c>
      <c r="BC17" s="1138">
        <v>119619.60702976644</v>
      </c>
      <c r="BD17" s="1138">
        <v>121075.74227892855</v>
      </c>
      <c r="BE17" s="1138">
        <v>123260.36938210644</v>
      </c>
      <c r="BF17" s="1138">
        <v>120752.98616916555</v>
      </c>
      <c r="BG17" s="1138">
        <v>119694.92564294937</v>
      </c>
      <c r="BH17" s="1138">
        <v>117838.97237219621</v>
      </c>
      <c r="BI17" s="1138">
        <v>122735.45625949455</v>
      </c>
      <c r="BJ17" s="1138">
        <v>120049.19112513392</v>
      </c>
      <c r="BK17" s="1138">
        <v>126047.57279302411</v>
      </c>
      <c r="BL17" s="1138">
        <v>139062.48919025276</v>
      </c>
      <c r="BM17" s="1138">
        <v>137586.09214340354</v>
      </c>
      <c r="BN17" s="1138">
        <v>138175.21268258648</v>
      </c>
      <c r="BO17" s="1138">
        <v>138628.47666558527</v>
      </c>
    </row>
    <row r="18" spans="1:67" ht="17.100000000000001" customHeight="1">
      <c r="A18" s="1135" t="s">
        <v>2642</v>
      </c>
      <c r="B18" s="1136">
        <v>-16094.591653099998</v>
      </c>
      <c r="C18" s="1136">
        <v>-15133.990915980001</v>
      </c>
      <c r="D18" s="1136">
        <v>-10574.257390679999</v>
      </c>
      <c r="E18" s="1136">
        <v>-13160.13132181</v>
      </c>
      <c r="F18" s="1136">
        <v>-13184.197336680001</v>
      </c>
      <c r="G18" s="1136">
        <v>-12603.214470860001</v>
      </c>
      <c r="H18" s="1136">
        <v>-12649.402737140001</v>
      </c>
      <c r="I18" s="1136">
        <v>-13999.36386032</v>
      </c>
      <c r="J18" s="1136">
        <v>-12309.791425859999</v>
      </c>
      <c r="K18" s="1136">
        <v>-9506.4930552200003</v>
      </c>
      <c r="L18" s="1136">
        <v>-11316.247423609999</v>
      </c>
      <c r="M18" s="1136">
        <v>-9687.6799926800013</v>
      </c>
      <c r="N18" s="1136">
        <v>-8384.2803368000004</v>
      </c>
      <c r="O18" s="1136">
        <v>-7735.6408573600002</v>
      </c>
      <c r="P18" s="1136">
        <v>-11176.693028849997</v>
      </c>
      <c r="Q18" s="1136">
        <v>-9606.6951597400002</v>
      </c>
      <c r="R18" s="1136">
        <v>-11320.184787369999</v>
      </c>
      <c r="S18" s="1136">
        <v>-10168.74607549</v>
      </c>
      <c r="T18" s="1136">
        <v>-11201.799995440004</v>
      </c>
      <c r="U18" s="1136">
        <v>-8361.1217992800011</v>
      </c>
      <c r="V18" s="1136">
        <v>-10561.849022570001</v>
      </c>
      <c r="W18" s="1136">
        <v>-11253.339342660001</v>
      </c>
      <c r="X18" s="1136">
        <v>-9436.6171233200002</v>
      </c>
      <c r="Y18" s="1136">
        <v>-7837.3001372700001</v>
      </c>
      <c r="Z18" s="1136">
        <v>-10079.960773000003</v>
      </c>
      <c r="AA18" s="1136">
        <v>-8692.3302772299994</v>
      </c>
      <c r="AB18" s="1136">
        <v>-9372.881900270002</v>
      </c>
      <c r="AC18" s="1136">
        <v>-8880.1699302400029</v>
      </c>
      <c r="AD18" s="1136">
        <v>-8780.1530179400033</v>
      </c>
      <c r="AE18" s="1136">
        <v>-11179.910112040001</v>
      </c>
      <c r="AF18" s="1136">
        <v>-11456.030725809998</v>
      </c>
      <c r="AG18" s="1136">
        <v>-13179.341982179998</v>
      </c>
      <c r="AH18" s="1136">
        <v>-11879.09227354</v>
      </c>
      <c r="AI18" s="1136">
        <v>-13350.546611650003</v>
      </c>
      <c r="AJ18" s="1136">
        <v>-16898.939951499997</v>
      </c>
      <c r="AK18" s="1136">
        <v>-11466.967172649998</v>
      </c>
      <c r="AL18" s="1136">
        <v>-13650.276193949998</v>
      </c>
      <c r="AM18" s="1136">
        <v>-12018.874950829999</v>
      </c>
      <c r="AN18" s="1137">
        <v>-12476.195903029999</v>
      </c>
      <c r="AO18" s="1138">
        <v>-14313.36957282</v>
      </c>
      <c r="AP18" s="1138">
        <v>-17374.062681929754</v>
      </c>
      <c r="AQ18" s="1138">
        <v>-18112.053482993684</v>
      </c>
      <c r="AR18" s="1138">
        <v>-14044.60487612374</v>
      </c>
      <c r="AS18" s="1138">
        <v>-13816.06028582856</v>
      </c>
      <c r="AT18" s="1138">
        <v>-17341.511666418828</v>
      </c>
      <c r="AU18" s="1138">
        <v>-15217.901120033093</v>
      </c>
      <c r="AV18" s="1138">
        <v>-13552.266238281474</v>
      </c>
      <c r="AW18" s="1138">
        <v>-10932.694839660657</v>
      </c>
      <c r="AX18" s="1138">
        <v>-13197.887711877294</v>
      </c>
      <c r="AY18" s="1138">
        <v>-12463.583303451964</v>
      </c>
      <c r="AZ18" s="1138">
        <v>-13387.690245879574</v>
      </c>
      <c r="BA18" s="1138">
        <v>-17897.114501728862</v>
      </c>
      <c r="BB18" s="1138">
        <v>-16472.475734490621</v>
      </c>
      <c r="BC18" s="1138">
        <v>-18912.303265928196</v>
      </c>
      <c r="BD18" s="1138">
        <v>-19181.228839505362</v>
      </c>
      <c r="BE18" s="1138">
        <v>-20865.026249724659</v>
      </c>
      <c r="BF18" s="1138">
        <v>-24581.233548614022</v>
      </c>
      <c r="BG18" s="1138">
        <v>-22626.159615587952</v>
      </c>
      <c r="BH18" s="1138">
        <v>-19870.683686191223</v>
      </c>
      <c r="BI18" s="1138">
        <v>-20743.429970004472</v>
      </c>
      <c r="BJ18" s="1138">
        <v>-19352.681883520723</v>
      </c>
      <c r="BK18" s="1138">
        <v>-22349.474304150681</v>
      </c>
      <c r="BL18" s="1138">
        <v>-23502.995871067244</v>
      </c>
      <c r="BM18" s="1138">
        <v>-22661.474497705807</v>
      </c>
      <c r="BN18" s="1138">
        <v>-22878.465939326445</v>
      </c>
      <c r="BO18" s="1138">
        <v>-21714.827886328236</v>
      </c>
    </row>
    <row r="19" spans="1:67" ht="17.100000000000001" customHeight="1">
      <c r="A19" s="1135" t="s">
        <v>2643</v>
      </c>
      <c r="B19" s="1136">
        <v>416.39877228</v>
      </c>
      <c r="C19" s="1136">
        <v>398.98351687999997</v>
      </c>
      <c r="D19" s="1136">
        <v>464.59303090000003</v>
      </c>
      <c r="E19" s="1136">
        <v>369.60301450999998</v>
      </c>
      <c r="F19" s="1136">
        <v>408.48481404999995</v>
      </c>
      <c r="G19" s="1136">
        <v>451.59551101999995</v>
      </c>
      <c r="H19" s="1136">
        <v>445.53247376000002</v>
      </c>
      <c r="I19" s="1136">
        <v>375.32156171000003</v>
      </c>
      <c r="J19" s="1136">
        <v>729.0334312199999</v>
      </c>
      <c r="K19" s="1136">
        <v>725.01450312999987</v>
      </c>
      <c r="L19" s="1136">
        <v>1098.9094759899999</v>
      </c>
      <c r="M19" s="1136">
        <v>992.11887309000008</v>
      </c>
      <c r="N19" s="1136">
        <v>1201.4398751599999</v>
      </c>
      <c r="O19" s="1136">
        <v>986.17518556999994</v>
      </c>
      <c r="P19" s="1136">
        <v>242.02596110999997</v>
      </c>
      <c r="Q19" s="1136">
        <v>265.07175250999995</v>
      </c>
      <c r="R19" s="1136">
        <v>629.2786777099999</v>
      </c>
      <c r="S19" s="1136">
        <v>246.32987396999999</v>
      </c>
      <c r="T19" s="1136">
        <v>1772.48621953</v>
      </c>
      <c r="U19" s="1136">
        <v>1112.8485640200001</v>
      </c>
      <c r="V19" s="1136">
        <v>719.99327042000004</v>
      </c>
      <c r="W19" s="1136">
        <v>955.00277437</v>
      </c>
      <c r="X19" s="1136">
        <v>1127.9270470100003</v>
      </c>
      <c r="Y19" s="1136">
        <v>1138.7372729100002</v>
      </c>
      <c r="Z19" s="1136">
        <v>1211.1530704200002</v>
      </c>
      <c r="AA19" s="1136">
        <v>1131.4411226499999</v>
      </c>
      <c r="AB19" s="1136">
        <v>1179.4819348599999</v>
      </c>
      <c r="AC19" s="1136">
        <v>1157.8965479799999</v>
      </c>
      <c r="AD19" s="1136">
        <v>218.86825797</v>
      </c>
      <c r="AE19" s="1136">
        <v>450.09873363999998</v>
      </c>
      <c r="AF19" s="1136">
        <v>152.5676181</v>
      </c>
      <c r="AG19" s="1136">
        <v>445.32254952000005</v>
      </c>
      <c r="AH19" s="1136">
        <v>763.68187892000003</v>
      </c>
      <c r="AI19" s="1136">
        <v>1163.6323081500002</v>
      </c>
      <c r="AJ19" s="1136">
        <v>1325.8463739199999</v>
      </c>
      <c r="AK19" s="1136">
        <v>1804.5649623700001</v>
      </c>
      <c r="AL19" s="1136">
        <v>2146.9082228399998</v>
      </c>
      <c r="AM19" s="1136">
        <v>2114.7532336799995</v>
      </c>
      <c r="AN19" s="1137">
        <v>2108.0848065299997</v>
      </c>
      <c r="AO19" s="1138">
        <v>2342.2126538799998</v>
      </c>
      <c r="AP19" s="1138">
        <v>1233.3859579699999</v>
      </c>
      <c r="AQ19" s="1138">
        <v>1546.1322582800001</v>
      </c>
      <c r="AR19" s="1138">
        <v>1729.84466681</v>
      </c>
      <c r="AS19" s="1138">
        <v>2100.3866184399999</v>
      </c>
      <c r="AT19" s="1138">
        <v>2973.8737531799998</v>
      </c>
      <c r="AU19" s="1138">
        <v>2466.6333634100001</v>
      </c>
      <c r="AV19" s="1138">
        <v>2627.7498871299995</v>
      </c>
      <c r="AW19" s="1138">
        <v>2715.6635386299995</v>
      </c>
      <c r="AX19" s="1138">
        <v>3505.64319918</v>
      </c>
      <c r="AY19" s="1138">
        <v>3459.2269215600004</v>
      </c>
      <c r="AZ19" s="1138">
        <v>3529.4347085599993</v>
      </c>
      <c r="BA19" s="1138">
        <v>3453.8968748400002</v>
      </c>
      <c r="BB19" s="1138">
        <v>2412.4059201499999</v>
      </c>
      <c r="BC19" s="1138">
        <v>2414.3403686699999</v>
      </c>
      <c r="BD19" s="1138">
        <v>1784.51822917</v>
      </c>
      <c r="BE19" s="1138">
        <v>2049.3917820399997</v>
      </c>
      <c r="BF19" s="1138">
        <v>2089.3361430999998</v>
      </c>
      <c r="BG19" s="1138">
        <v>2102.1365570700004</v>
      </c>
      <c r="BH19" s="1138">
        <v>2294.0404291999994</v>
      </c>
      <c r="BI19" s="1138">
        <v>2467.8894129999999</v>
      </c>
      <c r="BJ19" s="1138">
        <v>2207.8287976499996</v>
      </c>
      <c r="BK19" s="1138">
        <v>2382.2947444899996</v>
      </c>
      <c r="BL19" s="1138">
        <v>2443.1738772899998</v>
      </c>
      <c r="BM19" s="1138">
        <v>2611.5448260100006</v>
      </c>
      <c r="BN19" s="1138">
        <v>2007.7485255200002</v>
      </c>
      <c r="BO19" s="1138">
        <v>2027.59553033</v>
      </c>
    </row>
    <row r="20" spans="1:67" ht="17.100000000000001" customHeight="1">
      <c r="A20" s="1135" t="s">
        <v>2644</v>
      </c>
      <c r="B20" s="1136">
        <v>153.19780331999999</v>
      </c>
      <c r="C20" s="1136">
        <v>154.31596911</v>
      </c>
      <c r="D20" s="1136">
        <v>138.70587049999997</v>
      </c>
      <c r="E20" s="1136">
        <v>145.20146566999998</v>
      </c>
      <c r="F20" s="1136">
        <v>139.64907062999998</v>
      </c>
      <c r="G20" s="1136">
        <v>144.54348844999998</v>
      </c>
      <c r="H20" s="1136">
        <v>136.46690247999999</v>
      </c>
      <c r="I20" s="1136">
        <v>137.70103456999999</v>
      </c>
      <c r="J20" s="1136">
        <v>166.28222216</v>
      </c>
      <c r="K20" s="1136">
        <v>164.10271523999998</v>
      </c>
      <c r="L20" s="1136">
        <v>188.36966712999998</v>
      </c>
      <c r="M20" s="1136">
        <v>289.10614802999993</v>
      </c>
      <c r="N20" s="1136">
        <v>325.25928297999997</v>
      </c>
      <c r="O20" s="1136">
        <v>266.26099159999995</v>
      </c>
      <c r="P20" s="1136">
        <v>282.16233682000001</v>
      </c>
      <c r="Q20" s="1136">
        <v>326.19289162000001</v>
      </c>
      <c r="R20" s="1136">
        <v>355.96613649</v>
      </c>
      <c r="S20" s="1136">
        <v>144.95301177000002</v>
      </c>
      <c r="T20" s="1136">
        <v>145.04960496999999</v>
      </c>
      <c r="U20" s="1136">
        <v>146.18456738</v>
      </c>
      <c r="V20" s="1136">
        <v>147.98835771</v>
      </c>
      <c r="W20" s="1136">
        <v>189.87692557</v>
      </c>
      <c r="X20" s="1136">
        <v>188.68572480999998</v>
      </c>
      <c r="Y20" s="1136">
        <v>187.66180904000001</v>
      </c>
      <c r="Z20" s="1136">
        <v>184.76241243000001</v>
      </c>
      <c r="AA20" s="1136">
        <v>235.96431477000002</v>
      </c>
      <c r="AB20" s="1136">
        <v>228.80128807000003</v>
      </c>
      <c r="AC20" s="1136">
        <v>202.30284356000001</v>
      </c>
      <c r="AD20" s="1136">
        <v>207.31680611000002</v>
      </c>
      <c r="AE20" s="1136">
        <v>142.31707372000002</v>
      </c>
      <c r="AF20" s="1136">
        <v>246.29880878</v>
      </c>
      <c r="AG20" s="1136">
        <v>157.61338316000001</v>
      </c>
      <c r="AH20" s="1136">
        <v>186.53756657</v>
      </c>
      <c r="AI20" s="1136">
        <v>186.00266166</v>
      </c>
      <c r="AJ20" s="1136">
        <v>148.20166657000001</v>
      </c>
      <c r="AK20" s="1136">
        <v>184.47326498999999</v>
      </c>
      <c r="AL20" s="1136">
        <v>158.50110899000001</v>
      </c>
      <c r="AM20" s="1136">
        <v>151.81138362999999</v>
      </c>
      <c r="AN20" s="1137">
        <v>144.74117856000001</v>
      </c>
      <c r="AO20" s="1138">
        <v>154.39851223000002</v>
      </c>
      <c r="AP20" s="1138">
        <v>135.40763834000001</v>
      </c>
      <c r="AQ20" s="1138">
        <v>198.07188681</v>
      </c>
      <c r="AR20" s="1138">
        <v>126.59522910000001</v>
      </c>
      <c r="AS20" s="1138">
        <v>150.84449430999999</v>
      </c>
      <c r="AT20" s="1138">
        <v>162.74188365000003</v>
      </c>
      <c r="AU20" s="1138">
        <v>164.49673319999999</v>
      </c>
      <c r="AV20" s="1138">
        <v>163.62766462999997</v>
      </c>
      <c r="AW20" s="1138">
        <v>172.66457023999999</v>
      </c>
      <c r="AX20" s="1138">
        <v>134.78201322999996</v>
      </c>
      <c r="AY20" s="1138">
        <v>146.16603488000001</v>
      </c>
      <c r="AZ20" s="1138">
        <v>154.80724961999994</v>
      </c>
      <c r="BA20" s="1138">
        <v>158.50427366000002</v>
      </c>
      <c r="BB20" s="1138">
        <v>161.91662781999997</v>
      </c>
      <c r="BC20" s="1138">
        <v>159.59387422</v>
      </c>
      <c r="BD20" s="1138">
        <v>117.25199542000001</v>
      </c>
      <c r="BE20" s="1138">
        <v>129.45984655000001</v>
      </c>
      <c r="BF20" s="1138">
        <v>134.73078520999996</v>
      </c>
      <c r="BG20" s="1138">
        <v>140.02408560999999</v>
      </c>
      <c r="BH20" s="1138">
        <v>139.35857369000001</v>
      </c>
      <c r="BI20" s="1138">
        <v>152.22108252999999</v>
      </c>
      <c r="BJ20" s="1138">
        <v>115.15130846999999</v>
      </c>
      <c r="BK20" s="1138">
        <v>126.01319054</v>
      </c>
      <c r="BL20" s="1138">
        <v>127.1554088</v>
      </c>
      <c r="BM20" s="1138">
        <v>371.52363643000001</v>
      </c>
      <c r="BN20" s="1138">
        <v>379.96656151999991</v>
      </c>
      <c r="BO20" s="1138">
        <v>3704.0103747000003</v>
      </c>
    </row>
    <row r="21" spans="1:67" ht="17.100000000000001" customHeight="1">
      <c r="A21" s="1135" t="s">
        <v>2645</v>
      </c>
      <c r="B21" s="1136">
        <v>18594.729341072874</v>
      </c>
      <c r="C21" s="1136">
        <v>19044.324603401274</v>
      </c>
      <c r="D21" s="1136">
        <v>22360.668552649873</v>
      </c>
      <c r="E21" s="1136">
        <v>21280.181327235212</v>
      </c>
      <c r="F21" s="1136">
        <v>22922.517605351597</v>
      </c>
      <c r="G21" s="1136">
        <v>21373.307422236627</v>
      </c>
      <c r="H21" s="1136">
        <v>18994.907343880179</v>
      </c>
      <c r="I21" s="1136">
        <v>20201.11458074515</v>
      </c>
      <c r="J21" s="1136">
        <v>25363.924309142734</v>
      </c>
      <c r="K21" s="1136">
        <v>25143.319156730104</v>
      </c>
      <c r="L21" s="1136">
        <v>24896.11395498427</v>
      </c>
      <c r="M21" s="1136">
        <v>24565.283968943342</v>
      </c>
      <c r="N21" s="1136">
        <v>23562.209847259786</v>
      </c>
      <c r="O21" s="1136">
        <v>24677.444186577806</v>
      </c>
      <c r="P21" s="1136">
        <v>23108.200299823584</v>
      </c>
      <c r="Q21" s="1136">
        <v>23165.82197285549</v>
      </c>
      <c r="R21" s="1136">
        <v>25400.594578360418</v>
      </c>
      <c r="S21" s="1136">
        <v>27938.843234947642</v>
      </c>
      <c r="T21" s="1136">
        <v>27716.558216280049</v>
      </c>
      <c r="U21" s="1136">
        <v>28224.401098000351</v>
      </c>
      <c r="V21" s="1136">
        <v>26685.276395961795</v>
      </c>
      <c r="W21" s="1136">
        <v>28632.017156241829</v>
      </c>
      <c r="X21" s="1136">
        <v>27468.836560251591</v>
      </c>
      <c r="Y21" s="1136">
        <v>25309.103500960551</v>
      </c>
      <c r="Z21" s="1136">
        <v>27505.896416856463</v>
      </c>
      <c r="AA21" s="1136">
        <v>27713.612342122353</v>
      </c>
      <c r="AB21" s="1136">
        <v>26807.826071009738</v>
      </c>
      <c r="AC21" s="1136">
        <v>26985.714396542317</v>
      </c>
      <c r="AD21" s="1136">
        <v>25081.56802680812</v>
      </c>
      <c r="AE21" s="1136">
        <v>28660.785956678155</v>
      </c>
      <c r="AF21" s="1136">
        <v>29288.080506300139</v>
      </c>
      <c r="AG21" s="1136">
        <v>28118.357092553313</v>
      </c>
      <c r="AH21" s="1136">
        <v>29731.391392921221</v>
      </c>
      <c r="AI21" s="1136">
        <v>29666.838950144462</v>
      </c>
      <c r="AJ21" s="1136">
        <v>29564.39343112606</v>
      </c>
      <c r="AK21" s="1136">
        <v>29458.966505068092</v>
      </c>
      <c r="AL21" s="1136">
        <v>32666.559441311121</v>
      </c>
      <c r="AM21" s="1136">
        <v>31434.526478312724</v>
      </c>
      <c r="AN21" s="1137">
        <v>34568.136052714675</v>
      </c>
      <c r="AO21" s="1138">
        <v>35237.634672762681</v>
      </c>
      <c r="AP21" s="1138">
        <v>35321.736417755252</v>
      </c>
      <c r="AQ21" s="1138">
        <v>34118.070068315443</v>
      </c>
      <c r="AR21" s="1138">
        <v>34349.677520039455</v>
      </c>
      <c r="AS21" s="1138">
        <v>36275.025275776556</v>
      </c>
      <c r="AT21" s="1138">
        <v>36543.319575843278</v>
      </c>
      <c r="AU21" s="1138">
        <v>35664.545571807263</v>
      </c>
      <c r="AV21" s="1138">
        <v>34743.13788053047</v>
      </c>
      <c r="AW21" s="1138">
        <v>33103.565879656737</v>
      </c>
      <c r="AX21" s="1138">
        <v>34695.323937723748</v>
      </c>
      <c r="AY21" s="1138">
        <v>35594.439558382459</v>
      </c>
      <c r="AZ21" s="1138">
        <v>38156.187542883796</v>
      </c>
      <c r="BA21" s="1138">
        <v>38366.123306714959</v>
      </c>
      <c r="BB21" s="1138">
        <v>40575.027869459576</v>
      </c>
      <c r="BC21" s="1138">
        <v>41144.198700293819</v>
      </c>
      <c r="BD21" s="1138">
        <v>38994.040175877031</v>
      </c>
      <c r="BE21" s="1138">
        <v>38052.417033983897</v>
      </c>
      <c r="BF21" s="1138">
        <v>34606.904911888341</v>
      </c>
      <c r="BG21" s="1138">
        <v>34109.909932740469</v>
      </c>
      <c r="BH21" s="1138">
        <v>37043.612771806722</v>
      </c>
      <c r="BI21" s="1138">
        <v>36678.548153023294</v>
      </c>
      <c r="BJ21" s="1138">
        <v>34131.393553218462</v>
      </c>
      <c r="BK21" s="1138">
        <v>35765.769668424458</v>
      </c>
      <c r="BL21" s="1138">
        <v>44551.988671439511</v>
      </c>
      <c r="BM21" s="1138">
        <v>42748.003113312807</v>
      </c>
      <c r="BN21" s="1138">
        <v>46880.714875900085</v>
      </c>
      <c r="BO21" s="1138">
        <v>51051.107150947049</v>
      </c>
    </row>
    <row r="22" spans="1:67" ht="17.100000000000001" customHeight="1">
      <c r="A22" s="1135"/>
      <c r="B22" s="1136"/>
      <c r="C22" s="1136"/>
      <c r="D22" s="1136"/>
      <c r="E22" s="1136"/>
      <c r="F22" s="1136"/>
      <c r="G22" s="1136"/>
      <c r="H22" s="1136"/>
      <c r="I22" s="1136"/>
      <c r="J22" s="1136"/>
      <c r="K22" s="1136"/>
      <c r="L22" s="1136"/>
      <c r="M22" s="1136"/>
      <c r="N22" s="1136"/>
      <c r="O22" s="1136"/>
      <c r="P22" s="1136"/>
      <c r="Q22" s="1136"/>
      <c r="R22" s="1136"/>
      <c r="S22" s="1136"/>
      <c r="T22" s="1136"/>
      <c r="U22" s="1136"/>
      <c r="V22" s="1136"/>
      <c r="W22" s="1136"/>
      <c r="X22" s="1136"/>
      <c r="Y22" s="1136"/>
      <c r="Z22" s="1136"/>
      <c r="AA22" s="1136"/>
      <c r="AB22" s="1136"/>
      <c r="AC22" s="1136"/>
      <c r="AD22" s="1136"/>
      <c r="AE22" s="1136"/>
      <c r="AF22" s="1136"/>
      <c r="AG22" s="1136"/>
      <c r="AH22" s="1136"/>
      <c r="AI22" s="1136"/>
      <c r="AJ22" s="1136"/>
      <c r="AK22" s="1136"/>
      <c r="AL22" s="1136"/>
      <c r="AM22" s="1136"/>
      <c r="AN22" s="1137"/>
      <c r="AO22" s="1138"/>
      <c r="AP22" s="1138"/>
      <c r="AQ22" s="1138"/>
      <c r="AR22" s="1138"/>
      <c r="AS22" s="1138"/>
      <c r="AT22" s="1138"/>
      <c r="AU22" s="1138"/>
      <c r="AV22" s="1138"/>
      <c r="AW22" s="1138"/>
      <c r="AX22" s="1138"/>
      <c r="AY22" s="1138"/>
      <c r="AZ22" s="1138"/>
      <c r="BA22" s="1138"/>
      <c r="BB22" s="1138"/>
      <c r="BC22" s="1138"/>
      <c r="BD22" s="1138"/>
      <c r="BE22" s="1138"/>
      <c r="BF22" s="1138"/>
      <c r="BG22" s="1138"/>
      <c r="BH22" s="1138"/>
      <c r="BI22" s="1138"/>
      <c r="BJ22" s="1138"/>
      <c r="BK22" s="1138"/>
      <c r="BL22" s="1138"/>
      <c r="BM22" s="1138"/>
      <c r="BN22" s="1138"/>
      <c r="BO22" s="1138"/>
    </row>
    <row r="23" spans="1:67" s="1148" customFormat="1" ht="17.100000000000001" customHeight="1">
      <c r="A23" s="1144" t="s">
        <v>2646</v>
      </c>
      <c r="B23" s="1145">
        <v>32306.578817400012</v>
      </c>
      <c r="C23" s="1145">
        <v>34188.33114523199</v>
      </c>
      <c r="D23" s="1145">
        <v>35018.925947356023</v>
      </c>
      <c r="E23" s="1145">
        <v>33972.916107529993</v>
      </c>
      <c r="F23" s="1145">
        <v>35004.95288266</v>
      </c>
      <c r="G23" s="1145">
        <v>35648.823192611999</v>
      </c>
      <c r="H23" s="1145">
        <v>38111.516861294003</v>
      </c>
      <c r="I23" s="1145">
        <v>36422.298056900181</v>
      </c>
      <c r="J23" s="1145">
        <v>36444.268975505984</v>
      </c>
      <c r="K23" s="1145">
        <v>38868.215593329005</v>
      </c>
      <c r="L23" s="1145">
        <v>40023.459073578015</v>
      </c>
      <c r="M23" s="1145">
        <v>44935.527259708993</v>
      </c>
      <c r="N23" s="1145">
        <v>44220.858916644269</v>
      </c>
      <c r="O23" s="1145">
        <v>43457.966445986371</v>
      </c>
      <c r="P23" s="1145">
        <v>42616.030384142519</v>
      </c>
      <c r="Q23" s="1145">
        <v>43519.537135277533</v>
      </c>
      <c r="R23" s="1145">
        <v>41534.157818175219</v>
      </c>
      <c r="S23" s="1145">
        <v>42236.711518740027</v>
      </c>
      <c r="T23" s="1145">
        <v>42073.932863249436</v>
      </c>
      <c r="U23" s="1145">
        <v>44194.178056753226</v>
      </c>
      <c r="V23" s="1145">
        <v>42292.116239109986</v>
      </c>
      <c r="W23" s="1145">
        <v>42459.190507741456</v>
      </c>
      <c r="X23" s="1145">
        <v>41967.209031114857</v>
      </c>
      <c r="Y23" s="1145">
        <v>48280.871329008005</v>
      </c>
      <c r="Z23" s="1145">
        <v>43850.805226809163</v>
      </c>
      <c r="AA23" s="1145">
        <v>44901.044054853548</v>
      </c>
      <c r="AB23" s="1145">
        <v>44639.243475712952</v>
      </c>
      <c r="AC23" s="1145">
        <v>44527.063578379821</v>
      </c>
      <c r="AD23" s="1145">
        <v>44662.991762632766</v>
      </c>
      <c r="AE23" s="1145">
        <v>45910.968640304593</v>
      </c>
      <c r="AF23" s="1145">
        <v>46049.629763321958</v>
      </c>
      <c r="AG23" s="1145">
        <v>46185.349601679744</v>
      </c>
      <c r="AH23" s="1145">
        <v>47267.960581811938</v>
      </c>
      <c r="AI23" s="1145">
        <v>46439.120953461781</v>
      </c>
      <c r="AJ23" s="1145">
        <v>45499.109248794244</v>
      </c>
      <c r="AK23" s="1145">
        <v>52622.930355556542</v>
      </c>
      <c r="AL23" s="1145">
        <v>50086.680642074178</v>
      </c>
      <c r="AM23" s="1145">
        <v>52362.47707499667</v>
      </c>
      <c r="AN23" s="1146">
        <v>51963.297009955029</v>
      </c>
      <c r="AO23" s="1147">
        <v>48815.61419920568</v>
      </c>
      <c r="AP23" s="1147">
        <v>52745.513655361865</v>
      </c>
      <c r="AQ23" s="1147">
        <v>53094.012917087573</v>
      </c>
      <c r="AR23" s="1147">
        <v>54156.365501454675</v>
      </c>
      <c r="AS23" s="1147">
        <v>51451.915537680601</v>
      </c>
      <c r="AT23" s="1147">
        <v>50185.234077912588</v>
      </c>
      <c r="AU23" s="1147">
        <v>51977.864655589321</v>
      </c>
      <c r="AV23" s="1147">
        <v>53757.247620448077</v>
      </c>
      <c r="AW23" s="1147">
        <v>62350.012215056217</v>
      </c>
      <c r="AX23" s="1147">
        <v>58668.651559132835</v>
      </c>
      <c r="AY23" s="1147">
        <v>64091.710065448504</v>
      </c>
      <c r="AZ23" s="1147">
        <v>62483.452766957605</v>
      </c>
      <c r="BA23" s="1147">
        <v>62070.370893171887</v>
      </c>
      <c r="BB23" s="1147">
        <v>62582.034079297329</v>
      </c>
      <c r="BC23" s="1147">
        <v>62137.039306434432</v>
      </c>
      <c r="BD23" s="1147">
        <v>64802.243488136155</v>
      </c>
      <c r="BE23" s="1147">
        <v>66521.777726987872</v>
      </c>
      <c r="BF23" s="1147">
        <v>63788.91463697319</v>
      </c>
      <c r="BG23" s="1147">
        <v>65201.016737300946</v>
      </c>
      <c r="BH23" s="1147">
        <v>63358.07491708827</v>
      </c>
      <c r="BI23" s="1147">
        <v>67933.588631996783</v>
      </c>
      <c r="BJ23" s="1147">
        <v>68888.095794514724</v>
      </c>
      <c r="BK23" s="1147">
        <v>70440.636755478976</v>
      </c>
      <c r="BL23" s="1147">
        <v>73577.833933835995</v>
      </c>
      <c r="BM23" s="1147">
        <v>75159.682994824921</v>
      </c>
      <c r="BN23" s="1147">
        <v>70803.746954399961</v>
      </c>
      <c r="BO23" s="1147">
        <v>71594.147533339987</v>
      </c>
    </row>
    <row r="24" spans="1:67" ht="15.6" customHeight="1" thickBot="1">
      <c r="A24" s="1153"/>
      <c r="B24" s="1154"/>
      <c r="C24" s="1154"/>
      <c r="D24" s="1154"/>
      <c r="E24" s="1154"/>
      <c r="F24" s="1154"/>
      <c r="G24" s="1154"/>
      <c r="H24" s="1154"/>
      <c r="I24" s="1154"/>
      <c r="J24" s="1154"/>
      <c r="K24" s="1154"/>
      <c r="L24" s="1154"/>
      <c r="M24" s="1154"/>
      <c r="N24" s="1154"/>
      <c r="O24" s="1154"/>
      <c r="P24" s="1154"/>
      <c r="Q24" s="1154"/>
      <c r="R24" s="1154"/>
      <c r="S24" s="1154"/>
      <c r="T24" s="1154"/>
      <c r="U24" s="1154"/>
      <c r="V24" s="1154"/>
      <c r="W24" s="1154"/>
      <c r="X24" s="1154"/>
      <c r="Y24" s="1154"/>
      <c r="Z24" s="1154"/>
      <c r="AA24" s="1154"/>
      <c r="AB24" s="1154"/>
      <c r="AC24" s="1154"/>
      <c r="AD24" s="1154"/>
      <c r="AE24" s="1154"/>
      <c r="AF24" s="1154"/>
      <c r="AG24" s="1154"/>
      <c r="AH24" s="1154"/>
      <c r="AI24" s="1154"/>
      <c r="AJ24" s="1154"/>
      <c r="AK24" s="1154"/>
      <c r="AL24" s="1154"/>
      <c r="AM24" s="1154"/>
      <c r="AN24" s="1154"/>
      <c r="AO24" s="1154"/>
      <c r="AP24" s="1154"/>
      <c r="AQ24" s="1154"/>
      <c r="AR24" s="1154"/>
      <c r="AS24" s="1154"/>
      <c r="AT24" s="1154"/>
      <c r="AU24" s="1154"/>
      <c r="AV24" s="1154"/>
      <c r="AW24" s="1154"/>
      <c r="AX24" s="1154"/>
      <c r="AY24" s="1154"/>
      <c r="AZ24" s="1154"/>
      <c r="BA24" s="1154"/>
      <c r="BB24" s="1154"/>
      <c r="BC24" s="1154"/>
      <c r="BD24" s="1154"/>
      <c r="BE24" s="1154"/>
      <c r="BF24" s="1154"/>
      <c r="BG24" s="1154"/>
      <c r="BH24" s="1154"/>
      <c r="BI24" s="1154"/>
      <c r="BJ24" s="1154"/>
      <c r="BK24" s="1154"/>
      <c r="BL24" s="1154"/>
      <c r="BM24" s="1154"/>
      <c r="BN24" s="1154"/>
      <c r="BO24" s="1154"/>
    </row>
    <row r="25" spans="1:67" ht="15.75" thickTop="1">
      <c r="A25" s="1155" t="s">
        <v>2346</v>
      </c>
      <c r="B25" s="1156"/>
      <c r="C25" s="1156"/>
      <c r="D25" s="1157"/>
      <c r="E25" s="1157"/>
      <c r="F25" s="1157"/>
      <c r="G25" s="1157"/>
      <c r="H25" s="1157"/>
      <c r="I25" s="1157"/>
      <c r="J25" s="1157"/>
      <c r="K25" s="1157"/>
      <c r="L25" s="1157"/>
      <c r="M25" s="1157"/>
      <c r="N25" s="1157"/>
      <c r="O25" s="1157"/>
      <c r="P25" s="1157"/>
      <c r="Q25" s="1157"/>
      <c r="R25" s="1157"/>
      <c r="S25" s="1157"/>
      <c r="T25" s="1157"/>
      <c r="U25" s="1157"/>
      <c r="V25" s="1157"/>
      <c r="W25" s="1157"/>
      <c r="X25" s="1157"/>
      <c r="Y25" s="1157"/>
      <c r="Z25" s="1157"/>
      <c r="AA25" s="1157"/>
      <c r="AB25" s="1157"/>
      <c r="AC25" s="1157"/>
      <c r="AD25" s="1157"/>
      <c r="AE25" s="1157"/>
      <c r="AF25" s="1157"/>
      <c r="AG25" s="1157"/>
      <c r="AH25" s="1157"/>
      <c r="AI25" s="1157"/>
      <c r="AJ25" s="1157"/>
      <c r="AK25" s="1157"/>
      <c r="AL25" s="1157"/>
      <c r="AM25" s="1157"/>
      <c r="AN25" s="1157"/>
      <c r="AO25" s="1157"/>
      <c r="AP25" s="1157"/>
      <c r="AQ25" s="1157"/>
      <c r="AR25" s="1157"/>
      <c r="AS25" s="1157"/>
      <c r="AT25" s="1157"/>
      <c r="AU25" s="1157"/>
      <c r="AV25" s="1157"/>
    </row>
    <row r="26" spans="1:67" ht="18">
      <c r="A26" s="1158" t="s">
        <v>2647</v>
      </c>
      <c r="B26" s="1159"/>
      <c r="C26" s="1160"/>
      <c r="D26" s="1160"/>
      <c r="E26" s="1160"/>
      <c r="F26" s="1160"/>
      <c r="G26" s="1160"/>
      <c r="H26" s="1160"/>
      <c r="I26" s="1160"/>
      <c r="J26" s="1160"/>
      <c r="K26" s="1160"/>
      <c r="L26" s="1160"/>
      <c r="M26" s="1160"/>
      <c r="N26" s="1160"/>
      <c r="O26" s="1160"/>
      <c r="P26" s="1160"/>
      <c r="Q26" s="1160"/>
      <c r="R26" s="1160"/>
      <c r="S26" s="1160"/>
      <c r="T26" s="1160"/>
      <c r="U26" s="1160"/>
      <c r="V26" s="1160"/>
      <c r="W26" s="1160"/>
      <c r="X26" s="1160"/>
      <c r="Y26" s="1160"/>
      <c r="Z26" s="1160"/>
      <c r="AA26" s="1156"/>
      <c r="AB26" s="1156"/>
      <c r="AC26" s="1156"/>
      <c r="AD26" s="1156"/>
      <c r="AE26" s="1156"/>
      <c r="AF26" s="1156"/>
      <c r="AG26" s="1156"/>
      <c r="AH26" s="1156"/>
      <c r="AI26" s="1156"/>
      <c r="AJ26" s="1156"/>
      <c r="AK26" s="1156"/>
      <c r="AL26" s="1156"/>
      <c r="AM26" s="1156"/>
      <c r="AN26" s="1156"/>
      <c r="AO26" s="1156"/>
      <c r="AP26" s="1156"/>
      <c r="AQ26" s="1156"/>
      <c r="AR26" s="1156"/>
      <c r="AS26" s="1156"/>
      <c r="AT26" s="1156"/>
      <c r="AU26" s="1156"/>
      <c r="AV26" s="1156"/>
      <c r="AW26" s="1139"/>
      <c r="AX26" s="1139"/>
      <c r="AY26" s="1139"/>
      <c r="AZ26" s="1139"/>
    </row>
    <row r="27" spans="1:67" ht="15">
      <c r="A27" s="1158" t="s">
        <v>2630</v>
      </c>
      <c r="B27" s="1159"/>
      <c r="C27" s="1160"/>
      <c r="D27" s="1160"/>
      <c r="E27" s="1160"/>
      <c r="F27" s="1160"/>
      <c r="G27" s="1160"/>
      <c r="H27" s="1160"/>
      <c r="I27" s="1160"/>
      <c r="J27" s="1160"/>
      <c r="K27" s="1160"/>
      <c r="L27" s="1160"/>
      <c r="M27" s="1160"/>
      <c r="N27" s="1160"/>
      <c r="O27" s="1160"/>
      <c r="P27" s="1160"/>
      <c r="Q27" s="1160"/>
      <c r="R27" s="1160"/>
      <c r="S27" s="1160"/>
      <c r="T27" s="1160"/>
      <c r="U27" s="1160"/>
      <c r="V27" s="1160"/>
      <c r="W27" s="1160"/>
      <c r="X27" s="1160"/>
      <c r="Y27" s="1160"/>
      <c r="Z27" s="1160"/>
      <c r="AA27" s="1156"/>
      <c r="AB27" s="1156"/>
      <c r="AC27" s="1156"/>
      <c r="AD27" s="1156"/>
      <c r="AE27" s="1156"/>
      <c r="AF27" s="1156"/>
      <c r="AG27" s="1156"/>
      <c r="AH27" s="1156"/>
      <c r="AI27" s="1156"/>
      <c r="AJ27" s="1156"/>
      <c r="AK27" s="1156"/>
      <c r="AL27" s="1156"/>
      <c r="AM27" s="1156"/>
      <c r="AN27" s="1156"/>
      <c r="AO27" s="1156"/>
      <c r="AP27" s="1156"/>
      <c r="AQ27" s="1156"/>
      <c r="AR27" s="1156"/>
      <c r="AS27" s="1156"/>
      <c r="AT27" s="1156"/>
      <c r="AU27" s="1156"/>
      <c r="AV27" s="1156"/>
      <c r="AW27" s="1139"/>
      <c r="AX27" s="1139"/>
      <c r="AY27" s="1139"/>
      <c r="AZ27" s="1139"/>
    </row>
    <row r="28" spans="1:67" ht="15">
      <c r="A28" s="1155" t="s">
        <v>2053</v>
      </c>
      <c r="B28" s="1156"/>
      <c r="C28" s="1156"/>
      <c r="D28" s="1157"/>
      <c r="E28" s="1157"/>
      <c r="F28" s="1157"/>
      <c r="G28" s="1157"/>
      <c r="H28" s="1157"/>
      <c r="I28" s="1157"/>
      <c r="J28" s="1157"/>
      <c r="K28" s="1157"/>
      <c r="L28" s="1157"/>
      <c r="M28" s="1157"/>
      <c r="N28" s="1157"/>
      <c r="O28" s="1157"/>
      <c r="P28" s="1157"/>
      <c r="Q28" s="1157"/>
      <c r="R28" s="1157"/>
      <c r="S28" s="1157"/>
      <c r="T28" s="1157"/>
      <c r="U28" s="1157"/>
      <c r="V28" s="1157"/>
      <c r="W28" s="1157"/>
      <c r="X28" s="1157"/>
      <c r="Y28" s="1157"/>
      <c r="Z28" s="1157"/>
      <c r="AA28" s="1157"/>
      <c r="AB28" s="1157"/>
      <c r="AC28" s="1157"/>
      <c r="AD28" s="1157"/>
      <c r="AE28" s="1157"/>
      <c r="AF28" s="1157"/>
      <c r="AG28" s="1157"/>
      <c r="AH28" s="1157"/>
      <c r="AI28" s="1157"/>
      <c r="AJ28" s="1157"/>
      <c r="AK28" s="1157"/>
      <c r="AL28" s="1157"/>
      <c r="AM28" s="1157"/>
      <c r="AN28" s="1157"/>
      <c r="AO28" s="1157"/>
      <c r="AP28" s="1157"/>
      <c r="AQ28" s="1157"/>
      <c r="AR28" s="1157"/>
      <c r="AS28" s="1157"/>
      <c r="AT28" s="1157"/>
      <c r="AU28" s="1157"/>
      <c r="AV28" s="1157"/>
    </row>
    <row r="29" spans="1:67" ht="15">
      <c r="A29" s="1157"/>
      <c r="B29" s="1156"/>
      <c r="C29" s="1156"/>
      <c r="D29" s="1157"/>
      <c r="E29" s="1157"/>
      <c r="F29" s="1157"/>
      <c r="G29" s="1157"/>
      <c r="H29" s="1157"/>
      <c r="I29" s="1157"/>
      <c r="J29" s="1157"/>
      <c r="K29" s="1157"/>
      <c r="L29" s="1157"/>
      <c r="M29" s="1157"/>
      <c r="N29" s="1157"/>
      <c r="O29" s="1157"/>
      <c r="P29" s="1157"/>
      <c r="Q29" s="1157"/>
      <c r="R29" s="1157"/>
      <c r="S29" s="1157"/>
      <c r="T29" s="1157"/>
      <c r="U29" s="1157"/>
      <c r="V29" s="1157"/>
      <c r="W29" s="1157"/>
      <c r="X29" s="1157"/>
      <c r="Y29" s="1157"/>
      <c r="Z29" s="1157"/>
      <c r="AA29" s="1157"/>
      <c r="AB29" s="1157"/>
      <c r="AC29" s="1157"/>
      <c r="AD29" s="1157"/>
      <c r="AE29" s="1157"/>
      <c r="AF29" s="1157"/>
      <c r="AG29" s="1157"/>
      <c r="AH29" s="1157"/>
      <c r="AI29" s="1157"/>
      <c r="AJ29" s="1157"/>
      <c r="AK29" s="1157"/>
      <c r="AL29" s="1157"/>
      <c r="AM29" s="1157"/>
      <c r="AN29" s="1157"/>
      <c r="AO29" s="1157"/>
      <c r="AP29" s="1157"/>
      <c r="AQ29" s="1157"/>
      <c r="AR29" s="1157"/>
      <c r="AS29" s="1157"/>
      <c r="AT29" s="1157"/>
      <c r="AU29" s="1157"/>
      <c r="AV29" s="1157"/>
    </row>
    <row r="30" spans="1:67" ht="21.75">
      <c r="A30" s="1116" t="s">
        <v>2648</v>
      </c>
      <c r="B30" s="1139"/>
      <c r="C30" s="1139"/>
      <c r="AQ30" s="1116"/>
      <c r="AR30" s="1139"/>
      <c r="AS30" s="1139"/>
    </row>
    <row r="31" spans="1:67" ht="6" customHeight="1">
      <c r="B31" s="1139"/>
      <c r="C31" s="1139"/>
    </row>
    <row r="32" spans="1:67" s="1120" customFormat="1" ht="15" thickBot="1">
      <c r="B32" s="1121"/>
      <c r="C32" s="1121"/>
      <c r="F32" s="1121"/>
      <c r="U32" s="1123"/>
      <c r="V32" s="1123"/>
      <c r="AA32" s="1120" t="s">
        <v>2632</v>
      </c>
      <c r="AB32" s="1123"/>
      <c r="AD32" s="1123"/>
      <c r="AF32" s="1123"/>
      <c r="AH32" s="1123"/>
      <c r="AI32" s="1123"/>
      <c r="AM32" s="1123"/>
      <c r="AN32" s="1123"/>
      <c r="AP32" s="1123"/>
      <c r="AQ32" s="1123"/>
      <c r="AR32" s="1123"/>
      <c r="AU32" s="1123"/>
      <c r="AV32" s="1123"/>
      <c r="AX32" s="1123"/>
      <c r="AY32" s="1123"/>
      <c r="BB32" s="1124"/>
      <c r="BC32" s="1124"/>
      <c r="BD32" s="1124"/>
      <c r="BE32" s="1124"/>
      <c r="BF32" s="1124"/>
      <c r="BO32" s="1120" t="s">
        <v>49</v>
      </c>
    </row>
    <row r="33" spans="1:68" ht="18.75" thickTop="1" thickBot="1">
      <c r="A33" s="1161"/>
      <c r="B33" s="1162">
        <f t="shared" ref="B33:J33" si="0">B3</f>
        <v>40193</v>
      </c>
      <c r="C33" s="1162">
        <f t="shared" si="0"/>
        <v>40224</v>
      </c>
      <c r="D33" s="1162">
        <f t="shared" si="0"/>
        <v>40252</v>
      </c>
      <c r="E33" s="1162">
        <f t="shared" si="0"/>
        <v>40284</v>
      </c>
      <c r="F33" s="1162">
        <f t="shared" si="0"/>
        <v>40316</v>
      </c>
      <c r="G33" s="1162">
        <f t="shared" si="0"/>
        <v>40347</v>
      </c>
      <c r="H33" s="1162">
        <f t="shared" si="0"/>
        <v>40377</v>
      </c>
      <c r="I33" s="1162">
        <f t="shared" si="0"/>
        <v>40408</v>
      </c>
      <c r="J33" s="1162">
        <f t="shared" si="0"/>
        <v>40439</v>
      </c>
      <c r="K33" s="1162">
        <v>40452</v>
      </c>
      <c r="L33" s="1162">
        <v>40483</v>
      </c>
      <c r="M33" s="1163">
        <f t="shared" ref="M33:R33" si="1">M3</f>
        <v>40530</v>
      </c>
      <c r="N33" s="1164">
        <f t="shared" si="1"/>
        <v>40561</v>
      </c>
      <c r="O33" s="1164">
        <f t="shared" si="1"/>
        <v>40592</v>
      </c>
      <c r="P33" s="1164">
        <f t="shared" si="1"/>
        <v>40620</v>
      </c>
      <c r="Q33" s="1164">
        <f t="shared" si="1"/>
        <v>40651</v>
      </c>
      <c r="R33" s="1164">
        <f t="shared" si="1"/>
        <v>40681</v>
      </c>
      <c r="S33" s="1164">
        <f>S3</f>
        <v>40712</v>
      </c>
      <c r="T33" s="1164">
        <f>T3</f>
        <v>40742</v>
      </c>
      <c r="U33" s="1164">
        <f>U3</f>
        <v>40773</v>
      </c>
      <c r="V33" s="1164">
        <f>V3</f>
        <v>40804</v>
      </c>
      <c r="W33" s="1164">
        <f>W3</f>
        <v>40834</v>
      </c>
      <c r="X33" s="1164">
        <v>40848</v>
      </c>
      <c r="Y33" s="1164">
        <f t="shared" ref="Y33:AP33" si="2">Y3</f>
        <v>40895</v>
      </c>
      <c r="Z33" s="1164">
        <f t="shared" si="2"/>
        <v>40926</v>
      </c>
      <c r="AA33" s="1164">
        <f t="shared" si="2"/>
        <v>40957</v>
      </c>
      <c r="AB33" s="1164">
        <f t="shared" si="2"/>
        <v>40986</v>
      </c>
      <c r="AC33" s="1164">
        <f t="shared" si="2"/>
        <v>41017</v>
      </c>
      <c r="AD33" s="1164">
        <f t="shared" si="2"/>
        <v>41047</v>
      </c>
      <c r="AE33" s="1164">
        <f>AE3</f>
        <v>41078</v>
      </c>
      <c r="AF33" s="1164">
        <f t="shared" si="2"/>
        <v>41108</v>
      </c>
      <c r="AG33" s="1164">
        <f>AG3</f>
        <v>41139</v>
      </c>
      <c r="AH33" s="1164">
        <f t="shared" si="2"/>
        <v>41170</v>
      </c>
      <c r="AI33" s="1164">
        <f t="shared" si="2"/>
        <v>41200</v>
      </c>
      <c r="AJ33" s="1164">
        <f t="shared" si="2"/>
        <v>41231</v>
      </c>
      <c r="AK33" s="1164">
        <f t="shared" si="2"/>
        <v>41261</v>
      </c>
      <c r="AL33" s="1164">
        <f t="shared" si="2"/>
        <v>41292</v>
      </c>
      <c r="AM33" s="1164">
        <f t="shared" si="2"/>
        <v>41323</v>
      </c>
      <c r="AN33" s="1164">
        <f t="shared" si="2"/>
        <v>41351</v>
      </c>
      <c r="AO33" s="1128">
        <f>AO3</f>
        <v>41382</v>
      </c>
      <c r="AP33" s="1128">
        <f t="shared" si="2"/>
        <v>41412</v>
      </c>
      <c r="AQ33" s="1128">
        <f>AQ3</f>
        <v>41443</v>
      </c>
      <c r="AR33" s="1128">
        <f>AR3</f>
        <v>41473</v>
      </c>
      <c r="AS33" s="1128">
        <f>AS3</f>
        <v>41504</v>
      </c>
      <c r="AT33" s="1128">
        <v>41535</v>
      </c>
      <c r="AU33" s="1128">
        <f t="shared" ref="AU33:BO33" si="3">AU3</f>
        <v>41565</v>
      </c>
      <c r="AV33" s="1128">
        <f t="shared" si="3"/>
        <v>41596</v>
      </c>
      <c r="AW33" s="1128">
        <f t="shared" si="3"/>
        <v>41626</v>
      </c>
      <c r="AX33" s="1128">
        <f t="shared" si="3"/>
        <v>41657</v>
      </c>
      <c r="AY33" s="1128">
        <f t="shared" si="3"/>
        <v>41688</v>
      </c>
      <c r="AZ33" s="1128">
        <f t="shared" si="3"/>
        <v>41716</v>
      </c>
      <c r="BA33" s="1128">
        <f t="shared" si="3"/>
        <v>41748</v>
      </c>
      <c r="BB33" s="1128">
        <f t="shared" si="3"/>
        <v>41780</v>
      </c>
      <c r="BC33" s="1128">
        <f t="shared" si="3"/>
        <v>41812</v>
      </c>
      <c r="BD33" s="1128">
        <f t="shared" si="3"/>
        <v>41842</v>
      </c>
      <c r="BE33" s="1128">
        <f t="shared" si="3"/>
        <v>41873</v>
      </c>
      <c r="BF33" s="1128">
        <f t="shared" si="3"/>
        <v>41904</v>
      </c>
      <c r="BG33" s="1128">
        <f t="shared" si="3"/>
        <v>41934</v>
      </c>
      <c r="BH33" s="1128">
        <f t="shared" si="3"/>
        <v>41966</v>
      </c>
      <c r="BI33" s="1128">
        <f t="shared" si="3"/>
        <v>41996</v>
      </c>
      <c r="BJ33" s="1128">
        <f t="shared" si="3"/>
        <v>42034</v>
      </c>
      <c r="BK33" s="1128">
        <f t="shared" si="3"/>
        <v>42062</v>
      </c>
      <c r="BL33" s="1128">
        <f t="shared" si="3"/>
        <v>42090</v>
      </c>
      <c r="BM33" s="1128">
        <f t="shared" si="3"/>
        <v>42121</v>
      </c>
      <c r="BN33" s="1128">
        <f t="shared" si="3"/>
        <v>42151</v>
      </c>
      <c r="BO33" s="1128">
        <f t="shared" si="3"/>
        <v>42182</v>
      </c>
    </row>
    <row r="34" spans="1:68" ht="18.75" thickTop="1" thickBot="1">
      <c r="A34" s="1130" t="s">
        <v>2649</v>
      </c>
      <c r="B34" s="1132"/>
      <c r="C34" s="1132"/>
      <c r="D34" s="1132"/>
      <c r="E34" s="1132"/>
      <c r="F34" s="1132"/>
      <c r="G34" s="1132"/>
      <c r="H34" s="1132"/>
      <c r="I34" s="1132"/>
      <c r="J34" s="1132"/>
      <c r="K34" s="1132"/>
      <c r="L34" s="1132"/>
      <c r="M34" s="1132"/>
      <c r="N34" s="1132"/>
      <c r="O34" s="1132"/>
      <c r="P34" s="1132"/>
      <c r="Q34" s="1132"/>
      <c r="R34" s="1132"/>
      <c r="S34" s="1132"/>
      <c r="T34" s="1132"/>
      <c r="U34" s="1132"/>
      <c r="V34" s="1132"/>
      <c r="W34" s="1132"/>
      <c r="X34" s="1132"/>
      <c r="Y34" s="1132"/>
      <c r="Z34" s="1132"/>
      <c r="AA34" s="1132"/>
      <c r="AB34" s="1132"/>
      <c r="AC34" s="1132"/>
      <c r="AD34" s="1132"/>
      <c r="AE34" s="1132"/>
      <c r="AF34" s="1132"/>
      <c r="AG34" s="1132"/>
      <c r="AH34" s="1132"/>
      <c r="AI34" s="1132"/>
      <c r="AJ34" s="1132"/>
      <c r="AK34" s="1132"/>
      <c r="AL34" s="1132"/>
      <c r="AM34" s="1132"/>
      <c r="AN34" s="1132"/>
      <c r="AO34" s="1132"/>
      <c r="AP34" s="1132"/>
      <c r="AQ34" s="1132"/>
      <c r="AR34" s="1132"/>
      <c r="AS34" s="1132"/>
      <c r="AT34" s="1132"/>
      <c r="AU34" s="1132"/>
      <c r="AV34" s="1132"/>
      <c r="AW34" s="1132"/>
      <c r="AX34" s="1132"/>
      <c r="AY34" s="1132"/>
      <c r="AZ34" s="1132"/>
      <c r="BA34" s="1132"/>
      <c r="BB34" s="1132"/>
      <c r="BC34" s="1132"/>
      <c r="BD34" s="1132"/>
      <c r="BE34" s="1132"/>
      <c r="BF34" s="1132"/>
      <c r="BG34" s="1132"/>
      <c r="BH34" s="1132"/>
      <c r="BI34" s="1132"/>
      <c r="BJ34" s="1132"/>
      <c r="BK34" s="1132"/>
      <c r="BL34" s="1132"/>
      <c r="BM34" s="1132"/>
      <c r="BN34" s="1132"/>
      <c r="BO34" s="1132"/>
    </row>
    <row r="35" spans="1:68" ht="17.100000000000001" customHeight="1" thickTop="1">
      <c r="A35" s="1133"/>
      <c r="B35" s="1134"/>
      <c r="C35" s="1134"/>
      <c r="D35" s="1134"/>
      <c r="E35" s="1134"/>
      <c r="F35" s="1134"/>
      <c r="G35" s="1134"/>
      <c r="H35" s="1134"/>
      <c r="I35" s="1134"/>
      <c r="J35" s="1134"/>
      <c r="K35" s="1134"/>
      <c r="L35" s="1134"/>
      <c r="M35" s="1134"/>
      <c r="N35" s="1134"/>
      <c r="O35" s="1134"/>
      <c r="P35" s="1134"/>
      <c r="Q35" s="1134"/>
      <c r="R35" s="1134"/>
      <c r="S35" s="1134"/>
      <c r="T35" s="1134"/>
      <c r="U35" s="1134"/>
      <c r="V35" s="1134"/>
      <c r="W35" s="1134"/>
      <c r="X35" s="1165"/>
      <c r="Y35" s="1165"/>
      <c r="Z35" s="1165"/>
      <c r="AA35" s="1165"/>
      <c r="AB35" s="1165"/>
      <c r="AC35" s="1165"/>
      <c r="AD35" s="1165"/>
      <c r="AE35" s="1165"/>
      <c r="AF35" s="1165"/>
      <c r="AG35" s="1165"/>
      <c r="AH35" s="1165"/>
      <c r="AI35" s="1165"/>
      <c r="AJ35" s="1165"/>
      <c r="AK35" s="1165"/>
      <c r="AL35" s="1165"/>
      <c r="AM35" s="1165"/>
      <c r="AN35" s="1165"/>
      <c r="AO35" s="1165"/>
      <c r="AP35" s="1165"/>
      <c r="AQ35" s="1165"/>
      <c r="AR35" s="1165"/>
      <c r="AS35" s="1165"/>
      <c r="AT35" s="1165"/>
      <c r="AU35" s="1165"/>
      <c r="AV35" s="1165"/>
      <c r="AW35" s="1165"/>
      <c r="AX35" s="1165"/>
      <c r="AY35" s="1165"/>
      <c r="AZ35" s="1165"/>
      <c r="BA35" s="1165"/>
      <c r="BB35" s="1165"/>
      <c r="BC35" s="1165"/>
      <c r="BD35" s="1165"/>
      <c r="BE35" s="1165"/>
      <c r="BF35" s="1165"/>
      <c r="BG35" s="1165"/>
      <c r="BH35" s="1165"/>
      <c r="BI35" s="1165"/>
      <c r="BJ35" s="1165"/>
      <c r="BK35" s="1165"/>
      <c r="BL35" s="1165"/>
      <c r="BM35" s="1165"/>
      <c r="BN35" s="1165"/>
      <c r="BO35" s="1165"/>
    </row>
    <row r="36" spans="1:68" ht="17.100000000000001" customHeight="1">
      <c r="A36" s="1135" t="s">
        <v>2634</v>
      </c>
      <c r="B36" s="1166">
        <v>16171.960026841443</v>
      </c>
      <c r="C36" s="1166">
        <v>15979.918504390556</v>
      </c>
      <c r="D36" s="1166">
        <v>15845.174678718537</v>
      </c>
      <c r="E36" s="1166">
        <v>16036.327574022573</v>
      </c>
      <c r="F36" s="1166">
        <v>16227.254416493004</v>
      </c>
      <c r="G36" s="1166">
        <v>15904.557043885216</v>
      </c>
      <c r="H36" s="1166">
        <v>16369.721227265134</v>
      </c>
      <c r="I36" s="1166">
        <v>16281.24484228429</v>
      </c>
      <c r="J36" s="1166">
        <v>16241.980758452173</v>
      </c>
      <c r="K36" s="1166">
        <v>16473.996105313156</v>
      </c>
      <c r="L36" s="1166">
        <v>16722.43897559122</v>
      </c>
      <c r="M36" s="1136">
        <v>18975.006270668913</v>
      </c>
      <c r="N36" s="1136">
        <v>18010.593082900665</v>
      </c>
      <c r="O36" s="1136">
        <v>17749.329653375997</v>
      </c>
      <c r="P36" s="1136">
        <v>17492.407133231845</v>
      </c>
      <c r="Q36" s="1136">
        <v>17646.497592686108</v>
      </c>
      <c r="R36" s="1136">
        <v>17594.772439179418</v>
      </c>
      <c r="S36" s="1136">
        <v>17516.570954198032</v>
      </c>
      <c r="T36" s="1136">
        <v>18045.280669068587</v>
      </c>
      <c r="U36" s="1136">
        <v>18269.489570318754</v>
      </c>
      <c r="V36" s="1136">
        <v>17957.873646394448</v>
      </c>
      <c r="W36" s="1136">
        <v>18294.304306683174</v>
      </c>
      <c r="X36" s="1136">
        <v>17891.407119467123</v>
      </c>
      <c r="Y36" s="1136">
        <v>20307.786446312803</v>
      </c>
      <c r="Z36" s="1136">
        <v>19209.573208944614</v>
      </c>
      <c r="AA36" s="1136">
        <v>18923.022119759324</v>
      </c>
      <c r="AB36" s="1136">
        <v>18978.695497382185</v>
      </c>
      <c r="AC36" s="1136">
        <v>18961.549992068223</v>
      </c>
      <c r="AD36" s="1136">
        <v>18678.032246711129</v>
      </c>
      <c r="AE36" s="1136">
        <v>19013.633662171222</v>
      </c>
      <c r="AF36" s="1136">
        <v>19228.031835841684</v>
      </c>
      <c r="AG36" s="1136">
        <v>19287.1599017013</v>
      </c>
      <c r="AH36" s="1136">
        <v>19233.798105900336</v>
      </c>
      <c r="AI36" s="1136">
        <v>19257.554559318654</v>
      </c>
      <c r="AJ36" s="1136">
        <v>19629.552590686864</v>
      </c>
      <c r="AK36" s="1136">
        <v>22169.717386902448</v>
      </c>
      <c r="AL36" s="1136">
        <v>20964.304899561892</v>
      </c>
      <c r="AM36" s="1136">
        <v>20780.286985424955</v>
      </c>
      <c r="AN36" s="1137">
        <v>20987.016268127656</v>
      </c>
      <c r="AO36" s="1138">
        <v>20656.089712851328</v>
      </c>
      <c r="AP36" s="1138">
        <v>20557.306859228109</v>
      </c>
      <c r="AQ36" s="1138">
        <v>20523.48661882988</v>
      </c>
      <c r="AR36" s="1138">
        <v>20820.159883091204</v>
      </c>
      <c r="AS36" s="1138">
        <v>20987.512445111654</v>
      </c>
      <c r="AT36" s="1138">
        <v>20664.185177378316</v>
      </c>
      <c r="AU36" s="1138">
        <v>20702.891560809614</v>
      </c>
      <c r="AV36" s="1138">
        <v>20888.105552438185</v>
      </c>
      <c r="AW36" s="1138">
        <v>23316.684992015878</v>
      </c>
      <c r="AX36" s="1138">
        <v>22265.883860057205</v>
      </c>
      <c r="AY36" s="1138">
        <v>22077.566872167037</v>
      </c>
      <c r="AZ36" s="1138">
        <v>22090.400144122301</v>
      </c>
      <c r="BA36" s="1138">
        <v>21718.536421617555</v>
      </c>
      <c r="BB36" s="1138">
        <v>21737.2264592838</v>
      </c>
      <c r="BC36" s="1138">
        <v>21684.992832060678</v>
      </c>
      <c r="BD36" s="1138">
        <v>22175.789473345048</v>
      </c>
      <c r="BE36" s="1138">
        <v>22196.112731025903</v>
      </c>
      <c r="BF36" s="1138">
        <v>21848.23998536943</v>
      </c>
      <c r="BG36" s="1138">
        <v>22102.50724703589</v>
      </c>
      <c r="BH36" s="1138">
        <v>22503.624769895934</v>
      </c>
      <c r="BI36" s="1138">
        <v>25391.16857677501</v>
      </c>
      <c r="BJ36" s="1138">
        <v>24029.803890028252</v>
      </c>
      <c r="BK36" s="1138">
        <v>24013.562842210038</v>
      </c>
      <c r="BL36" s="1138">
        <v>23784.870318967191</v>
      </c>
      <c r="BM36" s="1138">
        <v>23912.218911613985</v>
      </c>
      <c r="BN36" s="1138">
        <v>24220.596316528303</v>
      </c>
      <c r="BO36" s="1138">
        <v>24017.50101763201</v>
      </c>
    </row>
    <row r="37" spans="1:68" ht="17.100000000000001" customHeight="1">
      <c r="A37" s="1135" t="s">
        <v>2650</v>
      </c>
      <c r="B37" s="1136">
        <v>40778.275187430925</v>
      </c>
      <c r="C37" s="1136">
        <v>41253.842961923954</v>
      </c>
      <c r="D37" s="1136">
        <v>41718.903483492526</v>
      </c>
      <c r="E37" s="1136">
        <v>40728.664471195079</v>
      </c>
      <c r="F37" s="1136">
        <v>42338.899104886746</v>
      </c>
      <c r="G37" s="1136">
        <v>42597.162427818723</v>
      </c>
      <c r="H37" s="1136">
        <v>41525.17017672865</v>
      </c>
      <c r="I37" s="1167">
        <v>39239.536296707149</v>
      </c>
      <c r="J37" s="1136">
        <v>40109.351808269705</v>
      </c>
      <c r="K37" s="1136">
        <v>39347.771079334299</v>
      </c>
      <c r="L37" s="1136">
        <v>40898.313682190288</v>
      </c>
      <c r="M37" s="1136">
        <v>43000.069884701174</v>
      </c>
      <c r="N37" s="1136">
        <v>41841.148543764917</v>
      </c>
      <c r="O37" s="1136">
        <v>41301.664667729528</v>
      </c>
      <c r="P37" s="1136">
        <v>41296.012984383786</v>
      </c>
      <c r="Q37" s="1136">
        <v>41679.869806559705</v>
      </c>
      <c r="R37" s="1136">
        <v>41985.889497661832</v>
      </c>
      <c r="S37" s="1136">
        <v>42755.141006629812</v>
      </c>
      <c r="T37" s="1136">
        <v>42254.834489744389</v>
      </c>
      <c r="U37" s="1136">
        <v>42980.805637260957</v>
      </c>
      <c r="V37" s="1136">
        <v>44148.611416947999</v>
      </c>
      <c r="W37" s="1136">
        <v>43832.130459692009</v>
      </c>
      <c r="X37" s="1136">
        <v>44641.021211180429</v>
      </c>
      <c r="Y37" s="1136">
        <v>46046.070744401644</v>
      </c>
      <c r="Z37" s="1136">
        <v>45729.838909944905</v>
      </c>
      <c r="AA37" s="1136">
        <v>44941.375797335313</v>
      </c>
      <c r="AB37" s="1136">
        <v>44614.429885332036</v>
      </c>
      <c r="AC37" s="1136">
        <v>45519.946839365526</v>
      </c>
      <c r="AD37" s="1136">
        <v>45432.568413154608</v>
      </c>
      <c r="AE37" s="1136">
        <v>46717.272459071974</v>
      </c>
      <c r="AF37" s="1136">
        <v>46052.205065638824</v>
      </c>
      <c r="AG37" s="1136">
        <v>46389.7022310256</v>
      </c>
      <c r="AH37" s="1136">
        <v>47672.224048485099</v>
      </c>
      <c r="AI37" s="1136">
        <v>47585.347023981885</v>
      </c>
      <c r="AJ37" s="1136">
        <v>48727.457930327677</v>
      </c>
      <c r="AK37" s="1136">
        <v>50420.556341701784</v>
      </c>
      <c r="AL37" s="1136">
        <v>48297.992423417483</v>
      </c>
      <c r="AM37" s="1136">
        <v>48361.353137456848</v>
      </c>
      <c r="AN37" s="1137">
        <v>49236.471153001934</v>
      </c>
      <c r="AO37" s="1138">
        <v>48632.236213688921</v>
      </c>
      <c r="AP37" s="1138">
        <v>48083.418249956274</v>
      </c>
      <c r="AQ37" s="1138">
        <v>49267.611315663285</v>
      </c>
      <c r="AR37" s="1138">
        <v>50717.364258537877</v>
      </c>
      <c r="AS37" s="1138">
        <v>50162.956167679818</v>
      </c>
      <c r="AT37" s="1138">
        <v>50320.436850313919</v>
      </c>
      <c r="AU37" s="1138">
        <v>49934.383856665176</v>
      </c>
      <c r="AV37" s="1138">
        <v>51340.812181635367</v>
      </c>
      <c r="AW37" s="1138">
        <v>53738.075257476179</v>
      </c>
      <c r="AX37" s="1138">
        <v>54650.663169846477</v>
      </c>
      <c r="AY37" s="1138">
        <v>55420.236272043381</v>
      </c>
      <c r="AZ37" s="1138">
        <v>53032.526998978967</v>
      </c>
      <c r="BA37" s="1138">
        <v>55480.542473895475</v>
      </c>
      <c r="BB37" s="1138">
        <v>56140.632312318136</v>
      </c>
      <c r="BC37" s="1138">
        <v>56163.12871379526</v>
      </c>
      <c r="BD37" s="1138">
        <v>55051.642218966874</v>
      </c>
      <c r="BE37" s="1138">
        <v>55279.861213140328</v>
      </c>
      <c r="BF37" s="1138">
        <v>55235.812488913296</v>
      </c>
      <c r="BG37" s="1138">
        <v>55555.455150838417</v>
      </c>
      <c r="BH37" s="1138">
        <v>57597.984613287641</v>
      </c>
      <c r="BI37" s="1138">
        <v>58188.143193219817</v>
      </c>
      <c r="BJ37" s="1138">
        <v>57595.147695357453</v>
      </c>
      <c r="BK37" s="1138">
        <v>57986.36209078753</v>
      </c>
      <c r="BL37" s="1138">
        <v>59336.840310558429</v>
      </c>
      <c r="BM37" s="1138">
        <v>61511.329603465965</v>
      </c>
      <c r="BN37" s="1138">
        <v>63380.952621420227</v>
      </c>
      <c r="BO37" s="1138">
        <v>62551.008656236438</v>
      </c>
    </row>
    <row r="38" spans="1:68" s="1171" customFormat="1" ht="17.100000000000001" customHeight="1">
      <c r="A38" s="1144" t="s">
        <v>2651</v>
      </c>
      <c r="B38" s="1168">
        <v>56950.235214272368</v>
      </c>
      <c r="C38" s="1168">
        <v>57233.761466314507</v>
      </c>
      <c r="D38" s="1168">
        <v>57564.078162211066</v>
      </c>
      <c r="E38" s="1168">
        <v>56764.992045217652</v>
      </c>
      <c r="F38" s="1168">
        <v>58566.153521379747</v>
      </c>
      <c r="G38" s="1168">
        <v>58501.719471703938</v>
      </c>
      <c r="H38" s="1168">
        <v>57894.891403993781</v>
      </c>
      <c r="I38" s="1168">
        <v>55520.781138991442</v>
      </c>
      <c r="J38" s="1168">
        <v>56351.332566721874</v>
      </c>
      <c r="K38" s="1168">
        <v>55821.767184647455</v>
      </c>
      <c r="L38" s="1168">
        <v>57620.752657781508</v>
      </c>
      <c r="M38" s="1168">
        <v>61975.076155370087</v>
      </c>
      <c r="N38" s="1168">
        <v>59851.741626665578</v>
      </c>
      <c r="O38" s="1168">
        <v>59050.994321105522</v>
      </c>
      <c r="P38" s="1168">
        <v>58788.420117615635</v>
      </c>
      <c r="Q38" s="1168">
        <v>59326.367399245813</v>
      </c>
      <c r="R38" s="1168">
        <v>59580.66193684125</v>
      </c>
      <c r="S38" s="1168">
        <v>60271.711960827844</v>
      </c>
      <c r="T38" s="1168">
        <v>60300.115158812972</v>
      </c>
      <c r="U38" s="1168">
        <v>61250.295207579707</v>
      </c>
      <c r="V38" s="1168">
        <v>62106.48506334245</v>
      </c>
      <c r="W38" s="1168">
        <v>62126.434766375183</v>
      </c>
      <c r="X38" s="1168">
        <v>62532.428330647555</v>
      </c>
      <c r="Y38" s="1168">
        <v>66353.857190714451</v>
      </c>
      <c r="Z38" s="1168">
        <v>64939.412118889522</v>
      </c>
      <c r="AA38" s="1168">
        <v>63864.39791709464</v>
      </c>
      <c r="AB38" s="1168">
        <v>63593.125382714221</v>
      </c>
      <c r="AC38" s="1168">
        <v>64481.496831433746</v>
      </c>
      <c r="AD38" s="1168">
        <v>64110.60065986574</v>
      </c>
      <c r="AE38" s="1168">
        <v>65730.906121243199</v>
      </c>
      <c r="AF38" s="1168">
        <v>65280.236901480508</v>
      </c>
      <c r="AG38" s="1168">
        <v>65676.862132726907</v>
      </c>
      <c r="AH38" s="1168">
        <v>66906.022154385428</v>
      </c>
      <c r="AI38" s="1168">
        <v>66842.90158330054</v>
      </c>
      <c r="AJ38" s="1168">
        <v>68357.010521014541</v>
      </c>
      <c r="AK38" s="1168">
        <v>72590.273728604225</v>
      </c>
      <c r="AL38" s="1168">
        <v>69262.297322979372</v>
      </c>
      <c r="AM38" s="1168">
        <v>69141.640122881799</v>
      </c>
      <c r="AN38" s="1169">
        <v>70223.487421129597</v>
      </c>
      <c r="AO38" s="1170">
        <v>69288.325926540245</v>
      </c>
      <c r="AP38" s="1170">
        <v>68640.225109184379</v>
      </c>
      <c r="AQ38" s="1170">
        <v>69791.097934493169</v>
      </c>
      <c r="AR38" s="1170">
        <v>71537.524141629081</v>
      </c>
      <c r="AS38" s="1170">
        <v>71150.468612791476</v>
      </c>
      <c r="AT38" s="1170">
        <v>70983.622027692239</v>
      </c>
      <c r="AU38" s="1170">
        <v>70637.275417474797</v>
      </c>
      <c r="AV38" s="1170">
        <v>72228.917734073548</v>
      </c>
      <c r="AW38" s="1170">
        <v>77054.760249492057</v>
      </c>
      <c r="AX38" s="1170">
        <v>76916.547029903682</v>
      </c>
      <c r="AY38" s="1170">
        <v>77497.803144210426</v>
      </c>
      <c r="AZ38" s="1170">
        <v>75122.92714310126</v>
      </c>
      <c r="BA38" s="1170">
        <v>77199.078895513027</v>
      </c>
      <c r="BB38" s="1170">
        <v>77877.858771601939</v>
      </c>
      <c r="BC38" s="1170">
        <v>77848.121545855945</v>
      </c>
      <c r="BD38" s="1170">
        <v>77227.431692311919</v>
      </c>
      <c r="BE38" s="1170">
        <v>77475.973944166239</v>
      </c>
      <c r="BF38" s="1170">
        <v>77084.052474282726</v>
      </c>
      <c r="BG38" s="1170">
        <v>77657.962397874304</v>
      </c>
      <c r="BH38" s="1170">
        <v>80101.609383183575</v>
      </c>
      <c r="BI38" s="1170">
        <v>83579.31176999482</v>
      </c>
      <c r="BJ38" s="1170">
        <v>81624.951585385701</v>
      </c>
      <c r="BK38" s="1170">
        <v>81999.924932997572</v>
      </c>
      <c r="BL38" s="1170">
        <v>83121.710629525624</v>
      </c>
      <c r="BM38" s="1170">
        <v>85423.54851507995</v>
      </c>
      <c r="BN38" s="1170">
        <v>87601.548937948537</v>
      </c>
      <c r="BO38" s="1170">
        <v>86568.509673868452</v>
      </c>
    </row>
    <row r="39" spans="1:68" ht="17.100000000000001" customHeight="1">
      <c r="A39" s="1135"/>
      <c r="B39" s="1136"/>
      <c r="C39" s="1136"/>
      <c r="D39" s="1136"/>
      <c r="E39" s="1136"/>
      <c r="F39" s="1136"/>
      <c r="G39" s="1136"/>
      <c r="H39" s="1136"/>
      <c r="I39" s="1136"/>
      <c r="J39" s="1136"/>
      <c r="K39" s="1136"/>
      <c r="L39" s="1136"/>
      <c r="M39" s="1136"/>
      <c r="N39" s="1136"/>
      <c r="O39" s="1136"/>
      <c r="P39" s="1136"/>
      <c r="Q39" s="1136"/>
      <c r="R39" s="1136"/>
      <c r="S39" s="1136"/>
      <c r="T39" s="1136"/>
      <c r="U39" s="1136"/>
      <c r="V39" s="1136"/>
      <c r="W39" s="1136"/>
      <c r="X39" s="1136"/>
      <c r="Y39" s="1136"/>
      <c r="Z39" s="1136"/>
      <c r="AA39" s="1136"/>
      <c r="AB39" s="1136"/>
      <c r="AC39" s="1136"/>
      <c r="AD39" s="1136"/>
      <c r="AE39" s="1136"/>
      <c r="AF39" s="1136"/>
      <c r="AG39" s="1136"/>
      <c r="AH39" s="1136"/>
      <c r="AI39" s="1136"/>
      <c r="AJ39" s="1136"/>
      <c r="AK39" s="1136"/>
      <c r="AL39" s="1136"/>
      <c r="AM39" s="1136"/>
      <c r="AN39" s="1137"/>
      <c r="AO39" s="1138"/>
      <c r="AP39" s="1138"/>
      <c r="AQ39" s="1138"/>
      <c r="AR39" s="1138"/>
      <c r="AS39" s="1138"/>
      <c r="AT39" s="1138"/>
      <c r="AU39" s="1138"/>
      <c r="AV39" s="1138"/>
      <c r="AW39" s="1138"/>
      <c r="AX39" s="1138"/>
      <c r="AY39" s="1138"/>
      <c r="AZ39" s="1138"/>
      <c r="BA39" s="1138"/>
      <c r="BB39" s="1138"/>
      <c r="BC39" s="1138"/>
      <c r="BD39" s="1138"/>
      <c r="BE39" s="1138"/>
      <c r="BF39" s="1138"/>
      <c r="BG39" s="1138"/>
      <c r="BH39" s="1138"/>
      <c r="BI39" s="1138"/>
      <c r="BJ39" s="1138"/>
      <c r="BK39" s="1138"/>
      <c r="BL39" s="1138"/>
      <c r="BM39" s="1138"/>
      <c r="BN39" s="1138"/>
      <c r="BO39" s="1138"/>
    </row>
    <row r="40" spans="1:68" ht="17.100000000000001" customHeight="1">
      <c r="A40" s="1135" t="s">
        <v>2652</v>
      </c>
      <c r="B40" s="1136">
        <v>84708.888798928223</v>
      </c>
      <c r="C40" s="1136">
        <v>85303.081961723554</v>
      </c>
      <c r="D40" s="1136">
        <v>86183.41877644448</v>
      </c>
      <c r="E40" s="1136">
        <v>87467.42655853185</v>
      </c>
      <c r="F40" s="1136">
        <v>87622.204916083836</v>
      </c>
      <c r="G40" s="1136">
        <v>87950.616967074457</v>
      </c>
      <c r="H40" s="1136">
        <v>89338.366139071659</v>
      </c>
      <c r="I40" s="1167">
        <v>92503.736026057421</v>
      </c>
      <c r="J40" s="1136">
        <v>94237.955423521795</v>
      </c>
      <c r="K40" s="1136">
        <v>95666.592606090897</v>
      </c>
      <c r="L40" s="1136">
        <v>95411.557678932993</v>
      </c>
      <c r="M40" s="1136">
        <v>100290.33233481737</v>
      </c>
      <c r="N40" s="1136">
        <v>101885.82301106308</v>
      </c>
      <c r="O40" s="1136">
        <v>104159.78080644018</v>
      </c>
      <c r="P40" s="1136">
        <v>104357.01863046354</v>
      </c>
      <c r="Q40" s="1136">
        <v>105855.28348435565</v>
      </c>
      <c r="R40" s="1136">
        <v>104309.25120018126</v>
      </c>
      <c r="S40" s="1136">
        <v>105302.14385852481</v>
      </c>
      <c r="T40" s="1136">
        <v>105778.42652432683</v>
      </c>
      <c r="U40" s="1136">
        <v>106245.4148441188</v>
      </c>
      <c r="V40" s="1136">
        <v>105948.70098045115</v>
      </c>
      <c r="W40" s="1136">
        <v>106885.05937539408</v>
      </c>
      <c r="X40" s="1136">
        <v>107202.33582523318</v>
      </c>
      <c r="Y40" s="1136">
        <v>111554.9212985452</v>
      </c>
      <c r="Z40" s="1136">
        <v>111669.19068124476</v>
      </c>
      <c r="AA40" s="1136">
        <v>114121.28884853281</v>
      </c>
      <c r="AB40" s="1136">
        <v>115387.87684685792</v>
      </c>
      <c r="AC40" s="1136">
        <v>113773.8850952483</v>
      </c>
      <c r="AD40" s="1136">
        <v>113843.13760300442</v>
      </c>
      <c r="AE40" s="1136">
        <v>115642.36013410815</v>
      </c>
      <c r="AF40" s="1136">
        <v>115414.81193544043</v>
      </c>
      <c r="AG40" s="1136">
        <v>114561.48606329848</v>
      </c>
      <c r="AH40" s="1136">
        <v>115564.07278266887</v>
      </c>
      <c r="AI40" s="1136">
        <v>115956.83600753456</v>
      </c>
      <c r="AJ40" s="1136">
        <v>117732.53591192998</v>
      </c>
      <c r="AK40" s="1136">
        <v>121520.62713277756</v>
      </c>
      <c r="AL40" s="1136">
        <v>123525.81852772045</v>
      </c>
      <c r="AM40" s="1136">
        <v>125146.59847238859</v>
      </c>
      <c r="AN40" s="1137">
        <v>127760.77472187042</v>
      </c>
      <c r="AO40" s="1138">
        <v>126985.0239905825</v>
      </c>
      <c r="AP40" s="1138">
        <v>128207.22984370649</v>
      </c>
      <c r="AQ40" s="1138">
        <v>129766.60506159849</v>
      </c>
      <c r="AR40" s="1138">
        <v>130895.67001582403</v>
      </c>
      <c r="AS40" s="1138">
        <v>129618.43657458531</v>
      </c>
      <c r="AT40" s="1138">
        <v>129655.03571494574</v>
      </c>
      <c r="AU40" s="1138">
        <v>129449.25741223895</v>
      </c>
      <c r="AV40" s="1138">
        <v>130690.80930362914</v>
      </c>
      <c r="AW40" s="1138">
        <v>134558.46119208238</v>
      </c>
      <c r="AX40" s="1138">
        <v>136638.89372577387</v>
      </c>
      <c r="AY40" s="1138">
        <v>138671.19852711965</v>
      </c>
      <c r="AZ40" s="1138">
        <v>140679.7779494655</v>
      </c>
      <c r="BA40" s="1138">
        <v>140050.51378952517</v>
      </c>
      <c r="BB40" s="1138">
        <v>140202.23101607966</v>
      </c>
      <c r="BC40" s="1138">
        <v>142458.85179460078</v>
      </c>
      <c r="BD40" s="1138">
        <v>143594.87058278034</v>
      </c>
      <c r="BE40" s="1138">
        <v>143891.78647452992</v>
      </c>
      <c r="BF40" s="1138">
        <v>144488.71903875141</v>
      </c>
      <c r="BG40" s="1138">
        <v>147990.55917330628</v>
      </c>
      <c r="BH40" s="1138">
        <v>146905.55153480807</v>
      </c>
      <c r="BI40" s="1138">
        <v>149119.6326576487</v>
      </c>
      <c r="BJ40" s="1138">
        <v>153045.50749560175</v>
      </c>
      <c r="BK40" s="1138">
        <v>154806.15350893335</v>
      </c>
      <c r="BL40" s="1138">
        <v>154775.71427459977</v>
      </c>
      <c r="BM40" s="1138">
        <v>155800.21960303094</v>
      </c>
      <c r="BN40" s="1138">
        <v>156973.44222037366</v>
      </c>
      <c r="BO40" s="1138">
        <v>159549.08694182345</v>
      </c>
    </row>
    <row r="41" spans="1:68" ht="17.100000000000001" customHeight="1">
      <c r="A41" s="1135" t="s">
        <v>2653</v>
      </c>
      <c r="B41" s="1136">
        <v>88033.919707852503</v>
      </c>
      <c r="C41" s="1136">
        <v>87595.597272252911</v>
      </c>
      <c r="D41" s="1136">
        <v>87094.575146037823</v>
      </c>
      <c r="E41" s="1136">
        <v>87872.56928867074</v>
      </c>
      <c r="F41" s="1136">
        <v>88604.328410649949</v>
      </c>
      <c r="G41" s="1136">
        <v>89196.648900156899</v>
      </c>
      <c r="H41" s="1136">
        <v>89163.007720999783</v>
      </c>
      <c r="I41" s="1167">
        <v>87779.088912985782</v>
      </c>
      <c r="J41" s="1136">
        <v>88659.528460428715</v>
      </c>
      <c r="K41" s="1136">
        <v>89551.32666992642</v>
      </c>
      <c r="L41" s="1136">
        <v>91012.691122724966</v>
      </c>
      <c r="M41" s="1136">
        <v>90503.081980320552</v>
      </c>
      <c r="N41" s="1136">
        <v>89169.964147685227</v>
      </c>
      <c r="O41" s="1136">
        <v>88125.847609521763</v>
      </c>
      <c r="P41" s="1136">
        <v>87777.048754055402</v>
      </c>
      <c r="Q41" s="1136">
        <v>88198.588928961952</v>
      </c>
      <c r="R41" s="1136">
        <v>88997.791558121171</v>
      </c>
      <c r="S41" s="1136">
        <v>91228.686807754842</v>
      </c>
      <c r="T41" s="1136">
        <v>91653.49063992119</v>
      </c>
      <c r="U41" s="1136">
        <v>92535.865377640628</v>
      </c>
      <c r="V41" s="1136">
        <v>93687.733545954165</v>
      </c>
      <c r="W41" s="1136">
        <v>94068.676403494406</v>
      </c>
      <c r="X41" s="1136">
        <v>94931.147408340825</v>
      </c>
      <c r="Y41" s="1136">
        <v>94750.387628322438</v>
      </c>
      <c r="Z41" s="1136">
        <v>93675.025632091143</v>
      </c>
      <c r="AA41" s="1136">
        <v>92212.211434556506</v>
      </c>
      <c r="AB41" s="1136">
        <v>94183.027712675277</v>
      </c>
      <c r="AC41" s="1136">
        <v>94539.531721276056</v>
      </c>
      <c r="AD41" s="1136">
        <v>96150.059688464884</v>
      </c>
      <c r="AE41" s="1136">
        <v>95448.901969766099</v>
      </c>
      <c r="AF41" s="1136">
        <v>97784.541182805726</v>
      </c>
      <c r="AG41" s="1136">
        <v>99221.192270834857</v>
      </c>
      <c r="AH41" s="1136">
        <v>99581.321830339715</v>
      </c>
      <c r="AI41" s="1136">
        <v>102142.8821188071</v>
      </c>
      <c r="AJ41" s="1136">
        <v>100385.83658792941</v>
      </c>
      <c r="AK41" s="1136">
        <v>101759.47061146743</v>
      </c>
      <c r="AL41" s="1136">
        <v>100351.94119757833</v>
      </c>
      <c r="AM41" s="1136">
        <v>101899.09077410959</v>
      </c>
      <c r="AN41" s="1137">
        <v>100349.11264163053</v>
      </c>
      <c r="AO41" s="1138">
        <v>100008.29948157554</v>
      </c>
      <c r="AP41" s="1138">
        <v>99526.974884931988</v>
      </c>
      <c r="AQ41" s="1138">
        <v>100691.16624490175</v>
      </c>
      <c r="AR41" s="1138">
        <v>99555.673894470136</v>
      </c>
      <c r="AS41" s="1138">
        <v>99439.284949562032</v>
      </c>
      <c r="AT41" s="1138">
        <v>98963.382581244732</v>
      </c>
      <c r="AU41" s="1138">
        <v>101742.58586138851</v>
      </c>
      <c r="AV41" s="1138">
        <v>102545.55073009052</v>
      </c>
      <c r="AW41" s="1138">
        <v>103943.39869986512</v>
      </c>
      <c r="AX41" s="1138">
        <v>102012.35656845158</v>
      </c>
      <c r="AY41" s="1172">
        <v>102831.27191880395</v>
      </c>
      <c r="AZ41" s="1172">
        <v>104062.41104694171</v>
      </c>
      <c r="BA41" s="1172">
        <v>104079.78658560679</v>
      </c>
      <c r="BB41" s="1172">
        <v>104499.25590228116</v>
      </c>
      <c r="BC41" s="1172">
        <v>105404.2805823214</v>
      </c>
      <c r="BD41" s="1172">
        <v>105048.02687074957</v>
      </c>
      <c r="BE41" s="1172">
        <v>105788.12898468386</v>
      </c>
      <c r="BF41" s="1172">
        <v>105063.92851762655</v>
      </c>
      <c r="BG41" s="1172">
        <v>105649.24601873889</v>
      </c>
      <c r="BH41" s="1172">
        <v>108091.50171863777</v>
      </c>
      <c r="BI41" s="1172">
        <v>108620.59962002379</v>
      </c>
      <c r="BJ41" s="1172">
        <v>106672.86041502735</v>
      </c>
      <c r="BK41" s="1172">
        <v>106356.58866009863</v>
      </c>
      <c r="BL41" s="1172">
        <v>107303.38032673991</v>
      </c>
      <c r="BM41" s="1172">
        <v>106613.87545246216</v>
      </c>
      <c r="BN41" s="1172">
        <v>106937.10054515886</v>
      </c>
      <c r="BO41" s="1172">
        <v>109446.56165613355</v>
      </c>
    </row>
    <row r="42" spans="1:68" ht="17.100000000000001" customHeight="1">
      <c r="A42" s="1135" t="s">
        <v>2654</v>
      </c>
      <c r="B42" s="1136">
        <v>49258.417869002995</v>
      </c>
      <c r="C42" s="1136">
        <v>49905.241202386365</v>
      </c>
      <c r="D42" s="1136">
        <v>49779.150295192965</v>
      </c>
      <c r="E42" s="1136">
        <v>49131.780081597477</v>
      </c>
      <c r="F42" s="1136">
        <v>50539.372975817263</v>
      </c>
      <c r="G42" s="1136">
        <v>50361.996650153487</v>
      </c>
      <c r="H42" s="1136">
        <v>44743.141953190068</v>
      </c>
      <c r="I42" s="1136">
        <v>45147.25922715092</v>
      </c>
      <c r="J42" s="1136">
        <v>42969.561303465794</v>
      </c>
      <c r="K42" s="1136">
        <v>45005.639883146825</v>
      </c>
      <c r="L42" s="1136">
        <v>42706.567911581544</v>
      </c>
      <c r="M42" s="1136">
        <v>46093.510639780267</v>
      </c>
      <c r="N42" s="1136">
        <v>46222.822685739731</v>
      </c>
      <c r="O42" s="1136">
        <v>45556.667818897025</v>
      </c>
      <c r="P42" s="1136">
        <v>45602.971516696918</v>
      </c>
      <c r="Q42" s="1136">
        <v>43989.544810661188</v>
      </c>
      <c r="R42" s="1136">
        <v>44707.07878920075</v>
      </c>
      <c r="S42" s="1136">
        <v>47361.864365966161</v>
      </c>
      <c r="T42" s="1136">
        <v>45288.935946662117</v>
      </c>
      <c r="U42" s="1136">
        <v>46432.023247352321</v>
      </c>
      <c r="V42" s="1136">
        <v>45321.233268820164</v>
      </c>
      <c r="W42" s="1136">
        <v>44389.668231614007</v>
      </c>
      <c r="X42" s="1136">
        <v>46041.537606656202</v>
      </c>
      <c r="Y42" s="1136">
        <v>44915.655954230228</v>
      </c>
      <c r="Z42" s="1136">
        <v>45906.481258167805</v>
      </c>
      <c r="AA42" s="1136">
        <v>46117.66667465643</v>
      </c>
      <c r="AB42" s="1136">
        <v>45858.158939868867</v>
      </c>
      <c r="AC42" s="1136">
        <v>46456.39775397937</v>
      </c>
      <c r="AD42" s="1136">
        <v>48041.084759244921</v>
      </c>
      <c r="AE42" s="1136">
        <v>49153.52088637487</v>
      </c>
      <c r="AF42" s="1136">
        <v>48457.25725118519</v>
      </c>
      <c r="AG42" s="1136">
        <v>47899.374725031601</v>
      </c>
      <c r="AH42" s="1136">
        <v>47397.612288635704</v>
      </c>
      <c r="AI42" s="1136">
        <v>47694.246768833138</v>
      </c>
      <c r="AJ42" s="1136">
        <v>48291.393876379254</v>
      </c>
      <c r="AK42" s="1136">
        <v>47772.507396118992</v>
      </c>
      <c r="AL42" s="1136">
        <v>45506.419963024957</v>
      </c>
      <c r="AM42" s="1136">
        <v>46287.896830036152</v>
      </c>
      <c r="AN42" s="1137">
        <v>46463.585651167188</v>
      </c>
      <c r="AO42" s="1138">
        <v>46539.872584008735</v>
      </c>
      <c r="AP42" s="1138">
        <v>46337.875197026187</v>
      </c>
      <c r="AQ42" s="1138">
        <v>47161.210554011886</v>
      </c>
      <c r="AR42" s="1138">
        <v>47150.602516379113</v>
      </c>
      <c r="AS42" s="1138">
        <v>47013.13650286763</v>
      </c>
      <c r="AT42" s="1138">
        <v>47022.230253048561</v>
      </c>
      <c r="AU42" s="1138">
        <v>44147.299385365928</v>
      </c>
      <c r="AV42" s="1138">
        <v>45419.880797838174</v>
      </c>
      <c r="AW42" s="1138">
        <v>46983.121383490296</v>
      </c>
      <c r="AX42" s="1138">
        <v>46583.095612842248</v>
      </c>
      <c r="AY42" s="1138">
        <v>47272.030599815611</v>
      </c>
      <c r="AZ42" s="1138">
        <v>48999.81841010847</v>
      </c>
      <c r="BA42" s="1138">
        <v>48506.955713392825</v>
      </c>
      <c r="BB42" s="1138">
        <v>48613.576642963882</v>
      </c>
      <c r="BC42" s="1138">
        <v>49517.590865498278</v>
      </c>
      <c r="BD42" s="1138">
        <v>48593.612659323546</v>
      </c>
      <c r="BE42" s="1138">
        <v>48862.575307526073</v>
      </c>
      <c r="BF42" s="1138">
        <v>49737.102566827001</v>
      </c>
      <c r="BG42" s="1138">
        <v>51543.349209919579</v>
      </c>
      <c r="BH42" s="1138">
        <v>50893.556070995015</v>
      </c>
      <c r="BI42" s="1138">
        <v>52879.024197810155</v>
      </c>
      <c r="BJ42" s="1138">
        <v>54025.830503610283</v>
      </c>
      <c r="BK42" s="1138">
        <v>56754.684369277653</v>
      </c>
      <c r="BL42" s="1138">
        <v>61272.165307246447</v>
      </c>
      <c r="BM42" s="1138">
        <v>58616.516263052945</v>
      </c>
      <c r="BN42" s="1138">
        <v>56922.951205975849</v>
      </c>
      <c r="BO42" s="1138">
        <v>59404.035274119953</v>
      </c>
    </row>
    <row r="43" spans="1:68" s="1171" customFormat="1" ht="17.100000000000001" customHeight="1">
      <c r="A43" s="1144" t="s">
        <v>2655</v>
      </c>
      <c r="B43" s="1168">
        <v>222001.22637578371</v>
      </c>
      <c r="C43" s="1168">
        <v>222803.92043636282</v>
      </c>
      <c r="D43" s="1168">
        <v>223057.14421767526</v>
      </c>
      <c r="E43" s="1168">
        <v>224471.77592880008</v>
      </c>
      <c r="F43" s="1168">
        <v>226765.90630255107</v>
      </c>
      <c r="G43" s="1168">
        <v>227509.26251738484</v>
      </c>
      <c r="H43" s="1168">
        <v>223244.5158132615</v>
      </c>
      <c r="I43" s="1168">
        <v>225430.08416619414</v>
      </c>
      <c r="J43" s="1168">
        <v>225867.04518741631</v>
      </c>
      <c r="K43" s="1168">
        <v>230223.55915916414</v>
      </c>
      <c r="L43" s="1168">
        <v>229130.8167132395</v>
      </c>
      <c r="M43" s="1168">
        <v>236886.92495491818</v>
      </c>
      <c r="N43" s="1168">
        <v>237278.60984448803</v>
      </c>
      <c r="O43" s="1168">
        <v>237842.29623485895</v>
      </c>
      <c r="P43" s="1168">
        <v>237737.03890121586</v>
      </c>
      <c r="Q43" s="1168">
        <v>238043.41722397879</v>
      </c>
      <c r="R43" s="1168">
        <v>238014.12154750316</v>
      </c>
      <c r="S43" s="1168">
        <v>243892.69503224583</v>
      </c>
      <c r="T43" s="1168">
        <v>242720.85311091013</v>
      </c>
      <c r="U43" s="1168">
        <v>245213.30346911174</v>
      </c>
      <c r="V43" s="1168">
        <v>244957.66779522545</v>
      </c>
      <c r="W43" s="1168">
        <v>245343.40401050251</v>
      </c>
      <c r="X43" s="1168">
        <v>248175.02084023022</v>
      </c>
      <c r="Y43" s="1168">
        <v>251220.96488109787</v>
      </c>
      <c r="Z43" s="1168">
        <v>251250.6975715037</v>
      </c>
      <c r="AA43" s="1168">
        <v>252451.16695774574</v>
      </c>
      <c r="AB43" s="1168">
        <v>255429.06349940208</v>
      </c>
      <c r="AC43" s="1168">
        <v>254769.81457050372</v>
      </c>
      <c r="AD43" s="1168">
        <v>258034.28205071425</v>
      </c>
      <c r="AE43" s="1168">
        <v>260244.78299024911</v>
      </c>
      <c r="AF43" s="1168">
        <v>261656.61036943135</v>
      </c>
      <c r="AG43" s="1168">
        <v>261682.05305916496</v>
      </c>
      <c r="AH43" s="1168">
        <v>262543.00690164429</v>
      </c>
      <c r="AI43" s="1168">
        <v>265793.96489517478</v>
      </c>
      <c r="AJ43" s="1168">
        <v>266409.76637623867</v>
      </c>
      <c r="AK43" s="1168">
        <v>271052.60514036397</v>
      </c>
      <c r="AL43" s="1168">
        <v>269384.17968832375</v>
      </c>
      <c r="AM43" s="1168">
        <v>273333.58607653429</v>
      </c>
      <c r="AN43" s="1169">
        <v>274573.47301466815</v>
      </c>
      <c r="AO43" s="1170">
        <v>273533.19605616678</v>
      </c>
      <c r="AP43" s="1170">
        <v>274072.07992566464</v>
      </c>
      <c r="AQ43" s="1170">
        <v>277618.98186051211</v>
      </c>
      <c r="AR43" s="1170">
        <v>277601.94642667327</v>
      </c>
      <c r="AS43" s="1170">
        <v>276070.858027015</v>
      </c>
      <c r="AT43" s="1170">
        <v>275640.64854923903</v>
      </c>
      <c r="AU43" s="1170">
        <v>275339.14265899337</v>
      </c>
      <c r="AV43" s="1170">
        <v>278656.24083155784</v>
      </c>
      <c r="AW43" s="1170">
        <v>285484.98127543781</v>
      </c>
      <c r="AX43" s="1170">
        <v>285234.34590706771</v>
      </c>
      <c r="AY43" s="1170">
        <v>288774.50104573922</v>
      </c>
      <c r="AZ43" s="1170">
        <v>293742.00740651565</v>
      </c>
      <c r="BA43" s="1170">
        <v>292637.25608852477</v>
      </c>
      <c r="BB43" s="1170">
        <v>293315.06356132467</v>
      </c>
      <c r="BC43" s="1170">
        <v>297380.72324242047</v>
      </c>
      <c r="BD43" s="1170">
        <v>297236.51011285343</v>
      </c>
      <c r="BE43" s="1170">
        <v>298542.49076673982</v>
      </c>
      <c r="BF43" s="1170">
        <v>299289.75012320501</v>
      </c>
      <c r="BG43" s="1170">
        <v>305183.15440196474</v>
      </c>
      <c r="BH43" s="1170">
        <v>305890.60932444083</v>
      </c>
      <c r="BI43" s="1170">
        <v>310619.25647548266</v>
      </c>
      <c r="BJ43" s="1170">
        <v>313744.19841423933</v>
      </c>
      <c r="BK43" s="1170">
        <v>317917.42653830966</v>
      </c>
      <c r="BL43" s="1170">
        <v>323351.2599085861</v>
      </c>
      <c r="BM43" s="1170">
        <v>321030.61131854606</v>
      </c>
      <c r="BN43" s="1170">
        <v>320833.49397150835</v>
      </c>
      <c r="BO43" s="1170">
        <v>328399.68387207692</v>
      </c>
      <c r="BP43" s="1173"/>
    </row>
    <row r="44" spans="1:68" ht="17.100000000000001" customHeight="1">
      <c r="A44" s="1149"/>
      <c r="B44" s="1136"/>
      <c r="C44" s="1136"/>
      <c r="D44" s="1136"/>
      <c r="E44" s="1136"/>
      <c r="F44" s="1136"/>
      <c r="G44" s="1136"/>
      <c r="H44" s="1136"/>
      <c r="I44" s="1136"/>
      <c r="J44" s="1136"/>
      <c r="K44" s="1136"/>
      <c r="L44" s="1136"/>
      <c r="M44" s="1136"/>
      <c r="N44" s="1136"/>
      <c r="O44" s="1136"/>
      <c r="P44" s="1136"/>
      <c r="Q44" s="1136"/>
      <c r="R44" s="1136"/>
      <c r="S44" s="1136"/>
      <c r="T44" s="1136"/>
      <c r="U44" s="1136"/>
      <c r="V44" s="1136"/>
      <c r="W44" s="1136"/>
      <c r="X44" s="1136"/>
      <c r="Y44" s="1136"/>
      <c r="Z44" s="1136"/>
      <c r="AA44" s="1136"/>
      <c r="AB44" s="1136"/>
      <c r="AC44" s="1136"/>
      <c r="AD44" s="1136"/>
      <c r="AE44" s="1136"/>
      <c r="AF44" s="1136"/>
      <c r="AG44" s="1136"/>
      <c r="AH44" s="1136"/>
      <c r="AI44" s="1136"/>
      <c r="AJ44" s="1136"/>
      <c r="AK44" s="1136"/>
      <c r="AL44" s="1136"/>
      <c r="AM44" s="1136"/>
      <c r="AN44" s="1137"/>
      <c r="AO44" s="1138"/>
      <c r="AP44" s="1138"/>
      <c r="AQ44" s="1138"/>
      <c r="AR44" s="1138"/>
      <c r="AS44" s="1138"/>
      <c r="AT44" s="1138"/>
      <c r="AU44" s="1138"/>
      <c r="AV44" s="1138"/>
      <c r="AW44" s="1138"/>
      <c r="AX44" s="1138"/>
      <c r="AY44" s="1138"/>
      <c r="AZ44" s="1138"/>
      <c r="BA44" s="1138"/>
      <c r="BB44" s="1138"/>
      <c r="BC44" s="1138"/>
      <c r="BD44" s="1138"/>
      <c r="BE44" s="1138"/>
      <c r="BF44" s="1138"/>
      <c r="BG44" s="1138"/>
      <c r="BH44" s="1138"/>
      <c r="BI44" s="1138"/>
      <c r="BJ44" s="1138"/>
      <c r="BK44" s="1138"/>
      <c r="BL44" s="1138"/>
      <c r="BM44" s="1138"/>
      <c r="BN44" s="1138"/>
      <c r="BO44" s="1138"/>
    </row>
    <row r="45" spans="1:68" s="1171" customFormat="1" ht="17.100000000000001" customHeight="1">
      <c r="A45" s="1174" t="s">
        <v>2656</v>
      </c>
      <c r="B45" s="1168">
        <v>783.64372534999995</v>
      </c>
      <c r="C45" s="1168">
        <v>795.03426162999995</v>
      </c>
      <c r="D45" s="1168">
        <v>806.36142286999996</v>
      </c>
      <c r="E45" s="1168">
        <v>817.11920386999998</v>
      </c>
      <c r="F45" s="1168">
        <v>829.69099342999993</v>
      </c>
      <c r="G45" s="1168">
        <v>841.75958768999999</v>
      </c>
      <c r="H45" s="1168">
        <v>841.34192214999996</v>
      </c>
      <c r="I45" s="1168">
        <v>1154.4623700399998</v>
      </c>
      <c r="J45" s="1168">
        <v>1363.0654015</v>
      </c>
      <c r="K45" s="1168">
        <v>1373.6286405800001</v>
      </c>
      <c r="L45" s="1168">
        <v>1384.20574319</v>
      </c>
      <c r="M45" s="1168">
        <v>1369.3863073</v>
      </c>
      <c r="N45" s="1168">
        <v>1426.2743159300001</v>
      </c>
      <c r="O45" s="1168">
        <v>1476.03948885</v>
      </c>
      <c r="P45" s="1168">
        <v>1630.0385137999997</v>
      </c>
      <c r="Q45" s="1168">
        <v>1689.9994090199998</v>
      </c>
      <c r="R45" s="1168">
        <v>1899.85599727</v>
      </c>
      <c r="S45" s="1168">
        <v>2063.3104229999999</v>
      </c>
      <c r="T45" s="1168">
        <v>2372.3748750300001</v>
      </c>
      <c r="U45" s="1168">
        <v>2306.47121625</v>
      </c>
      <c r="V45" s="1168">
        <v>2056.6709448299998</v>
      </c>
      <c r="W45" s="1168">
        <v>2116.2009389599998</v>
      </c>
      <c r="X45" s="1168">
        <v>2051.2235128499997</v>
      </c>
      <c r="Y45" s="1168">
        <v>1961.8478761899999</v>
      </c>
      <c r="Z45" s="1168">
        <v>1984.6860037900001</v>
      </c>
      <c r="AA45" s="1168">
        <v>1995.9486257499998</v>
      </c>
      <c r="AB45" s="1168">
        <v>2005.9441404300003</v>
      </c>
      <c r="AC45" s="1168">
        <v>1992.1532479099997</v>
      </c>
      <c r="AD45" s="1168">
        <v>1849.5591248699998</v>
      </c>
      <c r="AE45" s="1168">
        <v>1875.3351060299997</v>
      </c>
      <c r="AF45" s="1168">
        <v>1936.5029719600002</v>
      </c>
      <c r="AG45" s="1168">
        <v>1851.673110803793</v>
      </c>
      <c r="AH45" s="1168">
        <v>1814.6462352099998</v>
      </c>
      <c r="AI45" s="1168">
        <v>1721.5765366799997</v>
      </c>
      <c r="AJ45" s="1168">
        <v>1805.74863611</v>
      </c>
      <c r="AK45" s="1168">
        <v>1974.3166444399999</v>
      </c>
      <c r="AL45" s="1168">
        <v>2262.4435178399999</v>
      </c>
      <c r="AM45" s="1168">
        <v>2351.3082030999999</v>
      </c>
      <c r="AN45" s="1169">
        <v>3448.7304686399993</v>
      </c>
      <c r="AO45" s="1170">
        <v>3743.5864957599997</v>
      </c>
      <c r="AP45" s="1170">
        <v>3999.3408676136651</v>
      </c>
      <c r="AQ45" s="1170">
        <v>3965.7390630241857</v>
      </c>
      <c r="AR45" s="1170">
        <v>3805.2291209016812</v>
      </c>
      <c r="AS45" s="1170">
        <v>4196.5119901589333</v>
      </c>
      <c r="AT45" s="1170">
        <v>3873.9655759735083</v>
      </c>
      <c r="AU45" s="1170">
        <v>3834.4420223342331</v>
      </c>
      <c r="AV45" s="1170">
        <v>3807.9246632170971</v>
      </c>
      <c r="AW45" s="1170">
        <v>3068.9962040941982</v>
      </c>
      <c r="AX45" s="1170">
        <v>2829.7994003941976</v>
      </c>
      <c r="AY45" s="1170">
        <v>2794.3926927264838</v>
      </c>
      <c r="AZ45" s="1170">
        <v>2913.4585715098992</v>
      </c>
      <c r="BA45" s="1170">
        <v>2839.1386935717792</v>
      </c>
      <c r="BB45" s="1170">
        <v>3255.5148564524297</v>
      </c>
      <c r="BC45" s="1170">
        <v>3227.4135863002011</v>
      </c>
      <c r="BD45" s="1170">
        <v>3261.284114974846</v>
      </c>
      <c r="BE45" s="1170">
        <v>3183.1414728874179</v>
      </c>
      <c r="BF45" s="1170">
        <v>3162.2660737335982</v>
      </c>
      <c r="BG45" s="1170">
        <v>3168.5560858585532</v>
      </c>
      <c r="BH45" s="1170">
        <v>3301.3535812006594</v>
      </c>
      <c r="BI45" s="1170">
        <v>3357.9791846648477</v>
      </c>
      <c r="BJ45" s="1170">
        <v>4496.627362015477</v>
      </c>
      <c r="BK45" s="1170">
        <v>4535.0995045407535</v>
      </c>
      <c r="BL45" s="1170">
        <v>4442.2773463772428</v>
      </c>
      <c r="BM45" s="1170">
        <v>3612.6871511249556</v>
      </c>
      <c r="BN45" s="1170">
        <v>3482.7200483611373</v>
      </c>
      <c r="BO45" s="1170">
        <v>3433.9104956339547</v>
      </c>
    </row>
    <row r="46" spans="1:68" ht="17.100000000000001" customHeight="1">
      <c r="A46" s="1149"/>
      <c r="B46" s="1136"/>
      <c r="C46" s="1136"/>
      <c r="D46" s="1136"/>
      <c r="E46" s="1136"/>
      <c r="F46" s="1136"/>
      <c r="G46" s="1136"/>
      <c r="H46" s="1136"/>
      <c r="I46" s="1136"/>
      <c r="J46" s="1136"/>
      <c r="K46" s="1136"/>
      <c r="L46" s="1136"/>
      <c r="M46" s="1136"/>
      <c r="N46" s="1136"/>
      <c r="O46" s="1136"/>
      <c r="P46" s="1136"/>
      <c r="Q46" s="1136"/>
      <c r="R46" s="1136"/>
      <c r="S46" s="1136"/>
      <c r="T46" s="1136"/>
      <c r="U46" s="1136"/>
      <c r="V46" s="1136"/>
      <c r="W46" s="1136"/>
      <c r="X46" s="1136"/>
      <c r="Y46" s="1136"/>
      <c r="Z46" s="1136"/>
      <c r="AA46" s="1136"/>
      <c r="AB46" s="1136"/>
      <c r="AC46" s="1136"/>
      <c r="AD46" s="1136"/>
      <c r="AE46" s="1136"/>
      <c r="AF46" s="1136"/>
      <c r="AG46" s="1136"/>
      <c r="AH46" s="1136"/>
      <c r="AI46" s="1136"/>
      <c r="AJ46" s="1136"/>
      <c r="AK46" s="1136"/>
      <c r="AL46" s="1136"/>
      <c r="AM46" s="1136"/>
      <c r="AN46" s="1137"/>
      <c r="AO46" s="1138"/>
      <c r="AP46" s="1138"/>
      <c r="AQ46" s="1138"/>
      <c r="AR46" s="1138"/>
      <c r="AS46" s="1138"/>
      <c r="AT46" s="1138"/>
      <c r="AU46" s="1138"/>
      <c r="AV46" s="1138"/>
      <c r="AW46" s="1138"/>
      <c r="AX46" s="1138"/>
      <c r="AY46" s="1138"/>
      <c r="AZ46" s="1138"/>
      <c r="BA46" s="1138"/>
      <c r="BB46" s="1138"/>
      <c r="BC46" s="1138"/>
      <c r="BD46" s="1138"/>
      <c r="BE46" s="1138"/>
      <c r="BF46" s="1138"/>
      <c r="BG46" s="1138"/>
      <c r="BH46" s="1138"/>
      <c r="BI46" s="1138"/>
      <c r="BJ46" s="1138"/>
      <c r="BK46" s="1138"/>
      <c r="BL46" s="1138"/>
      <c r="BM46" s="1138"/>
      <c r="BN46" s="1138"/>
      <c r="BO46" s="1138"/>
    </row>
    <row r="47" spans="1:68" ht="17.100000000000001" customHeight="1">
      <c r="A47" s="1144" t="s">
        <v>2657</v>
      </c>
      <c r="B47" s="1145">
        <v>279735.10531540605</v>
      </c>
      <c r="C47" s="1145">
        <v>280832.71616430732</v>
      </c>
      <c r="D47" s="1145">
        <v>281427.58380275633</v>
      </c>
      <c r="E47" s="1145">
        <v>282053.88717788772</v>
      </c>
      <c r="F47" s="1145">
        <v>286161.75081736082</v>
      </c>
      <c r="G47" s="1145">
        <v>286852.74157677876</v>
      </c>
      <c r="H47" s="1145">
        <v>281980.74913940526</v>
      </c>
      <c r="I47" s="1145">
        <v>282105.32767522556</v>
      </c>
      <c r="J47" s="1145">
        <v>283581.44315563818</v>
      </c>
      <c r="K47" s="1145">
        <v>287418.95498439157</v>
      </c>
      <c r="L47" s="1145">
        <v>288135.77511421102</v>
      </c>
      <c r="M47" s="1145">
        <v>300231.38741758827</v>
      </c>
      <c r="N47" s="1145">
        <v>298556.62578708358</v>
      </c>
      <c r="O47" s="1145">
        <v>298369.33004481444</v>
      </c>
      <c r="P47" s="1145">
        <v>298155.4975326315</v>
      </c>
      <c r="Q47" s="1145">
        <v>299059.78403224458</v>
      </c>
      <c r="R47" s="1145">
        <v>299494.6394816144</v>
      </c>
      <c r="S47" s="1145">
        <v>306227.71741607366</v>
      </c>
      <c r="T47" s="1145">
        <v>305393.34314475313</v>
      </c>
      <c r="U47" s="1145">
        <v>308770.06989294139</v>
      </c>
      <c r="V47" s="1145">
        <v>309120.82380339789</v>
      </c>
      <c r="W47" s="1145">
        <v>309586.03971583769</v>
      </c>
      <c r="X47" s="1145">
        <v>312758.67268372781</v>
      </c>
      <c r="Y47" s="1145">
        <v>319536.66994800232</v>
      </c>
      <c r="Z47" s="1145">
        <v>318174.79569418321</v>
      </c>
      <c r="AA47" s="1145">
        <v>318311.5135005904</v>
      </c>
      <c r="AB47" s="1145">
        <v>321028.1330225463</v>
      </c>
      <c r="AC47" s="1145">
        <v>321243.46464984748</v>
      </c>
      <c r="AD47" s="1145">
        <v>323994.44183545001</v>
      </c>
      <c r="AE47" s="1145">
        <v>327851.0242175223</v>
      </c>
      <c r="AF47" s="1145">
        <v>328873.35024287185</v>
      </c>
      <c r="AG47" s="1145">
        <v>329210.58830269566</v>
      </c>
      <c r="AH47" s="1145">
        <v>331263.67529123975</v>
      </c>
      <c r="AI47" s="1145">
        <v>334358.44301515532</v>
      </c>
      <c r="AJ47" s="1145">
        <v>336572.52553336322</v>
      </c>
      <c r="AK47" s="1145">
        <v>345617.19551340822</v>
      </c>
      <c r="AL47" s="1145">
        <v>340908.92052914313</v>
      </c>
      <c r="AM47" s="1145">
        <v>344826.53440251609</v>
      </c>
      <c r="AN47" s="1146">
        <v>348245.69090443774</v>
      </c>
      <c r="AO47" s="1147">
        <v>346565.10847846704</v>
      </c>
      <c r="AP47" s="1147">
        <v>346711.64590246271</v>
      </c>
      <c r="AQ47" s="1147">
        <v>351375.81885802944</v>
      </c>
      <c r="AR47" s="1147">
        <v>352944.69968920399</v>
      </c>
      <c r="AS47" s="1147">
        <v>351417.83862996544</v>
      </c>
      <c r="AT47" s="1147">
        <v>350499.23615290481</v>
      </c>
      <c r="AU47" s="1147">
        <v>349810.86009880243</v>
      </c>
      <c r="AV47" s="1147">
        <v>354693.08322884847</v>
      </c>
      <c r="AW47" s="1147">
        <v>365608.73772902408</v>
      </c>
      <c r="AX47" s="1147">
        <v>364980.69233736559</v>
      </c>
      <c r="AY47" s="1147">
        <v>369066.6968826761</v>
      </c>
      <c r="AZ47" s="1147">
        <v>371778.39312112681</v>
      </c>
      <c r="BA47" s="1147">
        <v>372675.47367760958</v>
      </c>
      <c r="BB47" s="1147">
        <v>374448.43718937901</v>
      </c>
      <c r="BC47" s="1147">
        <v>378456.25837457663</v>
      </c>
      <c r="BD47" s="1147">
        <v>377725.22592014022</v>
      </c>
      <c r="BE47" s="1147">
        <v>379201.60618379345</v>
      </c>
      <c r="BF47" s="1147">
        <v>379536.06867122138</v>
      </c>
      <c r="BG47" s="1147">
        <v>386009.67288569763</v>
      </c>
      <c r="BH47" s="1147">
        <v>389293.57228882506</v>
      </c>
      <c r="BI47" s="1147">
        <v>397556.54743014235</v>
      </c>
      <c r="BJ47" s="1147">
        <v>399865.77736164053</v>
      </c>
      <c r="BK47" s="1147">
        <v>404452.45097584795</v>
      </c>
      <c r="BL47" s="1147">
        <v>410915.24788448901</v>
      </c>
      <c r="BM47" s="1147">
        <v>410066.84698475094</v>
      </c>
      <c r="BN47" s="1147">
        <v>411917.76295781799</v>
      </c>
      <c r="BO47" s="1147">
        <v>418402.1040415793</v>
      </c>
    </row>
    <row r="48" spans="1:68" ht="17.100000000000001" customHeight="1" thickBot="1">
      <c r="A48" s="1149"/>
      <c r="B48" s="1136"/>
      <c r="C48" s="1136"/>
      <c r="D48" s="1136"/>
      <c r="E48" s="1136"/>
      <c r="F48" s="1136"/>
      <c r="G48" s="1136"/>
      <c r="H48" s="1136"/>
      <c r="I48" s="1136"/>
      <c r="J48" s="1136"/>
      <c r="K48" s="1136"/>
      <c r="L48" s="1136"/>
      <c r="M48" s="1136"/>
      <c r="N48" s="1136"/>
      <c r="O48" s="1136"/>
      <c r="P48" s="1136"/>
      <c r="Q48" s="1136"/>
      <c r="R48" s="1136"/>
      <c r="S48" s="1136"/>
      <c r="T48" s="1136"/>
      <c r="U48" s="1136"/>
      <c r="V48" s="1136"/>
      <c r="W48" s="1136"/>
      <c r="X48" s="1134"/>
      <c r="Y48" s="1134"/>
      <c r="Z48" s="1134"/>
      <c r="AA48" s="1134"/>
      <c r="AB48" s="1134"/>
      <c r="AC48" s="1134"/>
      <c r="AD48" s="1134"/>
      <c r="AE48" s="1134"/>
      <c r="AF48" s="1134"/>
      <c r="AG48" s="1134"/>
      <c r="AH48" s="1134"/>
      <c r="AI48" s="1134"/>
      <c r="AJ48" s="1134"/>
      <c r="AK48" s="1134"/>
      <c r="AL48" s="1134"/>
      <c r="AM48" s="1134"/>
      <c r="AN48" s="1175"/>
      <c r="AO48" s="1175"/>
      <c r="AP48" s="1175"/>
      <c r="AQ48" s="1175"/>
      <c r="AR48" s="1175"/>
      <c r="AS48" s="1175"/>
      <c r="AT48" s="1175"/>
      <c r="AU48" s="1175"/>
      <c r="AV48" s="1175"/>
      <c r="AW48" s="1175"/>
      <c r="AX48" s="1175"/>
      <c r="AY48" s="1175"/>
      <c r="AZ48" s="1175"/>
      <c r="BA48" s="1175"/>
      <c r="BB48" s="1175"/>
      <c r="BC48" s="1175"/>
      <c r="BD48" s="1175"/>
      <c r="BE48" s="1175"/>
      <c r="BF48" s="1175"/>
      <c r="BG48" s="1175"/>
      <c r="BH48" s="1175"/>
      <c r="BI48" s="1175"/>
      <c r="BJ48" s="1175"/>
      <c r="BK48" s="1175"/>
      <c r="BL48" s="1175"/>
      <c r="BM48" s="1175"/>
      <c r="BN48" s="1175"/>
      <c r="BO48" s="1175"/>
    </row>
    <row r="49" spans="1:67" ht="17.100000000000001" customHeight="1" thickTop="1" thickBot="1">
      <c r="A49" s="1130" t="s">
        <v>2658</v>
      </c>
      <c r="B49" s="1150"/>
      <c r="C49" s="1150"/>
      <c r="D49" s="1150"/>
      <c r="E49" s="1150"/>
      <c r="F49" s="1150"/>
      <c r="G49" s="1150"/>
      <c r="H49" s="1150"/>
      <c r="I49" s="1150"/>
      <c r="J49" s="1150"/>
      <c r="K49" s="1150"/>
      <c r="L49" s="1150"/>
      <c r="M49" s="1150"/>
      <c r="N49" s="1150"/>
      <c r="O49" s="1150"/>
      <c r="P49" s="1150"/>
      <c r="Q49" s="1150"/>
      <c r="R49" s="1150"/>
      <c r="S49" s="1150"/>
      <c r="T49" s="1150"/>
      <c r="U49" s="1150"/>
      <c r="V49" s="1150"/>
      <c r="W49" s="1150"/>
      <c r="X49" s="1150"/>
      <c r="Y49" s="1150"/>
      <c r="Z49" s="1150"/>
      <c r="AA49" s="1150"/>
      <c r="AB49" s="1150"/>
      <c r="AC49" s="1150"/>
      <c r="AD49" s="1150"/>
      <c r="AE49" s="1150"/>
      <c r="AF49" s="1150"/>
      <c r="AG49" s="1150"/>
      <c r="AH49" s="1150"/>
      <c r="AI49" s="1150"/>
      <c r="AJ49" s="1150"/>
      <c r="AK49" s="1150"/>
      <c r="AL49" s="1150"/>
      <c r="AM49" s="1150"/>
      <c r="AN49" s="1151"/>
      <c r="AO49" s="1151"/>
      <c r="AP49" s="1151"/>
      <c r="AQ49" s="1151"/>
      <c r="AR49" s="1151"/>
      <c r="AS49" s="1151"/>
      <c r="AT49" s="1151"/>
      <c r="AU49" s="1151"/>
      <c r="AV49" s="1151"/>
      <c r="AW49" s="1151"/>
      <c r="AX49" s="1151"/>
      <c r="AY49" s="1151"/>
      <c r="AZ49" s="1151"/>
      <c r="BA49" s="1151"/>
      <c r="BB49" s="1151"/>
      <c r="BC49" s="1151"/>
      <c r="BD49" s="1151"/>
      <c r="BE49" s="1151"/>
      <c r="BF49" s="1151"/>
      <c r="BG49" s="1151"/>
      <c r="BH49" s="1151"/>
      <c r="BI49" s="1151"/>
      <c r="BJ49" s="1151"/>
      <c r="BK49" s="1151"/>
      <c r="BL49" s="1151"/>
      <c r="BM49" s="1151"/>
      <c r="BN49" s="1151"/>
      <c r="BO49" s="1151"/>
    </row>
    <row r="50" spans="1:67" ht="17.100000000000001" customHeight="1" thickTop="1">
      <c r="A50" s="1149"/>
      <c r="B50" s="1136"/>
      <c r="C50" s="1136"/>
      <c r="D50" s="1136"/>
      <c r="E50" s="1136"/>
      <c r="F50" s="1136"/>
      <c r="G50" s="1136"/>
      <c r="H50" s="1136"/>
      <c r="I50" s="1136"/>
      <c r="J50" s="1136"/>
      <c r="K50" s="1136"/>
      <c r="L50" s="1136"/>
      <c r="M50" s="1136"/>
      <c r="N50" s="1136"/>
      <c r="O50" s="1136"/>
      <c r="P50" s="1136"/>
      <c r="Q50" s="1136"/>
      <c r="R50" s="1136"/>
      <c r="S50" s="1136"/>
      <c r="T50" s="1136"/>
      <c r="U50" s="1136"/>
      <c r="V50" s="1136"/>
      <c r="W50" s="1136"/>
      <c r="X50" s="1134"/>
      <c r="Y50" s="1134"/>
      <c r="Z50" s="1134"/>
      <c r="AA50" s="1134"/>
      <c r="AB50" s="1134"/>
      <c r="AC50" s="1134"/>
      <c r="AD50" s="1134"/>
      <c r="AE50" s="1134"/>
      <c r="AF50" s="1134"/>
      <c r="AG50" s="1134"/>
      <c r="AH50" s="1134"/>
      <c r="AI50" s="1134"/>
      <c r="AJ50" s="1134"/>
      <c r="AK50" s="1134"/>
      <c r="AL50" s="1134"/>
      <c r="AM50" s="1134"/>
      <c r="AN50" s="1175"/>
      <c r="AO50" s="1175"/>
      <c r="AP50" s="1175"/>
      <c r="AQ50" s="1175"/>
      <c r="AR50" s="1175"/>
      <c r="AS50" s="1175"/>
      <c r="AT50" s="1175"/>
      <c r="AU50" s="1175"/>
      <c r="AV50" s="1175"/>
      <c r="AW50" s="1175"/>
      <c r="AX50" s="1175"/>
      <c r="AY50" s="1175"/>
      <c r="AZ50" s="1175"/>
      <c r="BA50" s="1175"/>
      <c r="BB50" s="1175"/>
      <c r="BC50" s="1175"/>
      <c r="BD50" s="1175"/>
      <c r="BE50" s="1175"/>
      <c r="BF50" s="1175"/>
      <c r="BG50" s="1175"/>
      <c r="BH50" s="1175"/>
      <c r="BI50" s="1175"/>
      <c r="BJ50" s="1175"/>
      <c r="BK50" s="1175"/>
      <c r="BL50" s="1175"/>
      <c r="BM50" s="1175"/>
      <c r="BN50" s="1175"/>
      <c r="BO50" s="1175"/>
    </row>
    <row r="51" spans="1:67" s="1148" customFormat="1" ht="17.100000000000001" customHeight="1">
      <c r="A51" s="1144" t="s">
        <v>2659</v>
      </c>
      <c r="B51" s="1145">
        <v>355837.03116140142</v>
      </c>
      <c r="C51" s="1145">
        <v>360605.04953497002</v>
      </c>
      <c r="D51" s="1145">
        <v>364782.59790840576</v>
      </c>
      <c r="E51" s="1145">
        <v>347836.52930073522</v>
      </c>
      <c r="F51" s="1145">
        <v>398474.36596555047</v>
      </c>
      <c r="G51" s="1145">
        <v>389200.51288481901</v>
      </c>
      <c r="H51" s="1145">
        <v>349996.3624868911</v>
      </c>
      <c r="I51" s="1145">
        <v>374559.74357372645</v>
      </c>
      <c r="J51" s="1145">
        <v>374311.56619276927</v>
      </c>
      <c r="K51" s="1145">
        <v>375558.95299317496</v>
      </c>
      <c r="L51" s="1145">
        <v>387400.46029459569</v>
      </c>
      <c r="M51" s="1145">
        <v>396025.74941314518</v>
      </c>
      <c r="N51" s="1145">
        <v>397868.12297975575</v>
      </c>
      <c r="O51" s="1145">
        <v>391740.02392533398</v>
      </c>
      <c r="P51" s="1145">
        <v>362731.64003700012</v>
      </c>
      <c r="Q51" s="1145">
        <v>376961.4054074281</v>
      </c>
      <c r="R51" s="1145">
        <v>368985.7930979958</v>
      </c>
      <c r="S51" s="1145">
        <v>398640.04925210675</v>
      </c>
      <c r="T51" s="1145">
        <v>384262.82808588771</v>
      </c>
      <c r="U51" s="1145">
        <v>367127.2188200822</v>
      </c>
      <c r="V51" s="1145">
        <v>372146.50669052522</v>
      </c>
      <c r="W51" s="1145">
        <v>373804.4944400455</v>
      </c>
      <c r="X51" s="1145">
        <v>424939.29194978258</v>
      </c>
      <c r="Y51" s="1145">
        <v>370755.11539752875</v>
      </c>
      <c r="Z51" s="1145">
        <v>348029.36244730791</v>
      </c>
      <c r="AA51" s="1145">
        <v>354708.02445732517</v>
      </c>
      <c r="AB51" s="1145">
        <v>400460.72834256146</v>
      </c>
      <c r="AC51" s="1145">
        <v>400880.36506270594</v>
      </c>
      <c r="AD51" s="1145">
        <v>418934.88927327795</v>
      </c>
      <c r="AE51" s="1145">
        <v>358615.76786022121</v>
      </c>
      <c r="AF51" s="1145">
        <v>391317.48373264499</v>
      </c>
      <c r="AG51" s="1145">
        <v>349407.08494980849</v>
      </c>
      <c r="AH51" s="1145">
        <v>374495.66562962084</v>
      </c>
      <c r="AI51" s="1145">
        <v>394291.12349107303</v>
      </c>
      <c r="AJ51" s="1145">
        <v>396660.75575007964</v>
      </c>
      <c r="AK51" s="1145">
        <v>401320.90685726883</v>
      </c>
      <c r="AL51" s="1145">
        <v>425209.26168858795</v>
      </c>
      <c r="AM51" s="1145">
        <v>371958.7623117551</v>
      </c>
      <c r="AN51" s="1146">
        <v>396287.8725248843</v>
      </c>
      <c r="AO51" s="1147">
        <v>406538.14793432248</v>
      </c>
      <c r="AP51" s="1147">
        <v>439271.34989535093</v>
      </c>
      <c r="AQ51" s="1147">
        <v>394121.83621676941</v>
      </c>
      <c r="AR51" s="1147">
        <v>408187.61987977172</v>
      </c>
      <c r="AS51" s="1147">
        <v>388409.77044791594</v>
      </c>
      <c r="AT51" s="1147">
        <v>381997.94592616044</v>
      </c>
      <c r="AU51" s="1147">
        <v>372526.31475613813</v>
      </c>
      <c r="AV51" s="1147">
        <v>375922.76888081006</v>
      </c>
      <c r="AW51" s="1147">
        <v>396299.89658375003</v>
      </c>
      <c r="AX51" s="1147">
        <v>371419.29907392239</v>
      </c>
      <c r="AY51" s="1147">
        <v>374464.47402240866</v>
      </c>
      <c r="AZ51" s="1147">
        <v>371676.94106507872</v>
      </c>
      <c r="BA51" s="1147">
        <v>396120.44744818617</v>
      </c>
      <c r="BB51" s="1147">
        <v>383220.66580576624</v>
      </c>
      <c r="BC51" s="1147">
        <v>382241.50857958256</v>
      </c>
      <c r="BD51" s="1147">
        <v>392334.94110129168</v>
      </c>
      <c r="BE51" s="1147">
        <v>409256.21862257959</v>
      </c>
      <c r="BF51" s="1147">
        <v>440686.40925503476</v>
      </c>
      <c r="BG51" s="1147">
        <v>478691.88928722718</v>
      </c>
      <c r="BH51" s="1147">
        <v>440194.91016732709</v>
      </c>
      <c r="BI51" s="1147">
        <v>457823.19600778719</v>
      </c>
      <c r="BJ51" s="1147">
        <v>476038.28698620782</v>
      </c>
      <c r="BK51" s="1147">
        <v>485169.87018662738</v>
      </c>
      <c r="BL51" s="1147">
        <v>557980.5835344377</v>
      </c>
      <c r="BM51" s="1147">
        <v>567281.29490467894</v>
      </c>
      <c r="BN51" s="1147">
        <v>533346.63558336219</v>
      </c>
      <c r="BO51" s="1147">
        <v>519851.26260418026</v>
      </c>
    </row>
    <row r="52" spans="1:67" ht="17.100000000000001" customHeight="1">
      <c r="A52" s="1135" t="s">
        <v>202</v>
      </c>
      <c r="B52" s="1136">
        <v>66426.303235972882</v>
      </c>
      <c r="C52" s="1136">
        <v>67813.347178623269</v>
      </c>
      <c r="D52" s="1136">
        <v>67350.55298928589</v>
      </c>
      <c r="E52" s="1136">
        <v>67898.424276395206</v>
      </c>
      <c r="F52" s="1136">
        <v>70563.533940011592</v>
      </c>
      <c r="G52" s="1136">
        <v>69029.206086238628</v>
      </c>
      <c r="H52" s="1136">
        <v>69173.827566074178</v>
      </c>
      <c r="I52" s="1136">
        <v>70109.753901685341</v>
      </c>
      <c r="J52" s="1136">
        <v>73222.669057128718</v>
      </c>
      <c r="K52" s="1136">
        <v>72628.910586909114</v>
      </c>
      <c r="L52" s="1136">
        <v>74948.541309052278</v>
      </c>
      <c r="M52" s="1136">
        <v>77907.26620021234</v>
      </c>
      <c r="N52" s="1136">
        <v>74640.649942564065</v>
      </c>
      <c r="O52" s="1136">
        <v>74618.615312754191</v>
      </c>
      <c r="P52" s="1136">
        <v>76376.735414886105</v>
      </c>
      <c r="Q52" s="1136">
        <v>75700.789623743025</v>
      </c>
      <c r="R52" s="1136">
        <v>77269.692369705648</v>
      </c>
      <c r="S52" s="1136">
        <v>79953.017943437662</v>
      </c>
      <c r="T52" s="1136">
        <v>79074.75525046949</v>
      </c>
      <c r="U52" s="1136">
        <v>79520.667822633579</v>
      </c>
      <c r="V52" s="1136">
        <v>78671.260029511788</v>
      </c>
      <c r="W52" s="1136">
        <v>81199.667306703283</v>
      </c>
      <c r="X52" s="1136">
        <v>77556.049942866448</v>
      </c>
      <c r="Y52" s="1136">
        <v>80100.875885288551</v>
      </c>
      <c r="Z52" s="1136">
        <v>80040.746933815622</v>
      </c>
      <c r="AA52" s="1136">
        <v>79939.581236785903</v>
      </c>
      <c r="AB52" s="1136">
        <v>79411.668224062698</v>
      </c>
      <c r="AC52" s="1136">
        <v>79032.748513622151</v>
      </c>
      <c r="AD52" s="1136">
        <v>78098.527743300889</v>
      </c>
      <c r="AE52" s="1136">
        <v>85159.248901662751</v>
      </c>
      <c r="AF52" s="1136">
        <v>86394.874568552084</v>
      </c>
      <c r="AG52" s="1136">
        <v>86880.112743733043</v>
      </c>
      <c r="AH52" s="1136">
        <v>87928.224802783152</v>
      </c>
      <c r="AI52" s="1136">
        <v>88106.871545446251</v>
      </c>
      <c r="AJ52" s="1136">
        <v>90488.3945909303</v>
      </c>
      <c r="AK52" s="1136">
        <v>91559.825805914632</v>
      </c>
      <c r="AL52" s="1136">
        <v>94098.106945505308</v>
      </c>
      <c r="AM52" s="1136">
        <v>93549.31388682939</v>
      </c>
      <c r="AN52" s="1137">
        <v>96754.802980609718</v>
      </c>
      <c r="AO52" s="1138">
        <v>95870.007278678371</v>
      </c>
      <c r="AP52" s="1138">
        <v>104072.51915873688</v>
      </c>
      <c r="AQ52" s="1138">
        <v>103579.9323233067</v>
      </c>
      <c r="AR52" s="1138">
        <v>100694.20800170788</v>
      </c>
      <c r="AS52" s="1138">
        <v>99291.769986535714</v>
      </c>
      <c r="AT52" s="1138">
        <v>100933.44968334469</v>
      </c>
      <c r="AU52" s="1138">
        <v>100229.18125081969</v>
      </c>
      <c r="AV52" s="1138">
        <v>99261.274187500021</v>
      </c>
      <c r="AW52" s="1138">
        <v>103497.94482550361</v>
      </c>
      <c r="AX52" s="1138">
        <v>102921.43799632388</v>
      </c>
      <c r="AY52" s="1138">
        <v>108544.33997084292</v>
      </c>
      <c r="AZ52" s="1138">
        <v>110343.08859754098</v>
      </c>
      <c r="BA52" s="1138">
        <v>114721.20755311572</v>
      </c>
      <c r="BB52" s="1138">
        <v>117055.21513527753</v>
      </c>
      <c r="BC52" s="1138">
        <v>119619.60702976644</v>
      </c>
      <c r="BD52" s="1138">
        <v>121075.74227892855</v>
      </c>
      <c r="BE52" s="1138">
        <v>123260.36938210644</v>
      </c>
      <c r="BF52" s="1138">
        <v>120752.98616916555</v>
      </c>
      <c r="BG52" s="1138">
        <v>119694.92564294937</v>
      </c>
      <c r="BH52" s="1138">
        <v>117838.97237219621</v>
      </c>
      <c r="BI52" s="1138">
        <v>122735.45625949455</v>
      </c>
      <c r="BJ52" s="1138">
        <v>120049.19112513392</v>
      </c>
      <c r="BK52" s="1138">
        <v>126047.57279302411</v>
      </c>
      <c r="BL52" s="1138">
        <v>139062.48919025276</v>
      </c>
      <c r="BM52" s="1138">
        <v>137586.09214340354</v>
      </c>
      <c r="BN52" s="1138">
        <v>138175.21268258648</v>
      </c>
      <c r="BO52" s="1138">
        <v>138628.47666558527</v>
      </c>
    </row>
    <row r="53" spans="1:67" ht="17.100000000000001" customHeight="1">
      <c r="A53" s="1135" t="s">
        <v>2660</v>
      </c>
      <c r="B53" s="1136">
        <v>289410.72792542854</v>
      </c>
      <c r="C53" s="1136">
        <v>292791.70235634677</v>
      </c>
      <c r="D53" s="1136">
        <v>297432.04491911986</v>
      </c>
      <c r="E53" s="1136">
        <v>279938.10502433998</v>
      </c>
      <c r="F53" s="1136">
        <v>327910.8320255389</v>
      </c>
      <c r="G53" s="1136">
        <v>320171.30679858039</v>
      </c>
      <c r="H53" s="1136">
        <v>280822.53492081689</v>
      </c>
      <c r="I53" s="1136">
        <v>304449.98967204109</v>
      </c>
      <c r="J53" s="1136">
        <v>301088.89713564055</v>
      </c>
      <c r="K53" s="1136">
        <v>302930.04240626586</v>
      </c>
      <c r="L53" s="1136">
        <v>312451.91898554342</v>
      </c>
      <c r="M53" s="1136">
        <v>318118.48321293283</v>
      </c>
      <c r="N53" s="1136">
        <v>323227.47303719167</v>
      </c>
      <c r="O53" s="1136">
        <v>317121.40861257981</v>
      </c>
      <c r="P53" s="1136">
        <v>286354.90462211403</v>
      </c>
      <c r="Q53" s="1136">
        <v>301260.61578368506</v>
      </c>
      <c r="R53" s="1136">
        <v>291716.10072829016</v>
      </c>
      <c r="S53" s="1136">
        <v>318687.03130866907</v>
      </c>
      <c r="T53" s="1136">
        <v>305188.07283541822</v>
      </c>
      <c r="U53" s="1136">
        <v>287606.55099744862</v>
      </c>
      <c r="V53" s="1136">
        <v>293475.2466610134</v>
      </c>
      <c r="W53" s="1136">
        <v>292604.82713334222</v>
      </c>
      <c r="X53" s="1136">
        <v>347383.24200691615</v>
      </c>
      <c r="Y53" s="1136">
        <v>290654.23951224022</v>
      </c>
      <c r="Z53" s="1136">
        <v>267988.61551349226</v>
      </c>
      <c r="AA53" s="1136">
        <v>274768.44322053925</v>
      </c>
      <c r="AB53" s="1136">
        <v>321049.06011849875</v>
      </c>
      <c r="AC53" s="1136">
        <v>321847.61654908379</v>
      </c>
      <c r="AD53" s="1136">
        <v>340836.36152997706</v>
      </c>
      <c r="AE53" s="1136">
        <v>273456.51895855844</v>
      </c>
      <c r="AF53" s="1136">
        <v>304922.60916409292</v>
      </c>
      <c r="AG53" s="1136">
        <v>262526.97220607544</v>
      </c>
      <c r="AH53" s="1136">
        <v>286567.44082683767</v>
      </c>
      <c r="AI53" s="1136">
        <v>306184.25194562681</v>
      </c>
      <c r="AJ53" s="1136">
        <v>306172.36115914932</v>
      </c>
      <c r="AK53" s="1136">
        <v>309761.08105135418</v>
      </c>
      <c r="AL53" s="1136">
        <v>331111.15474308265</v>
      </c>
      <c r="AM53" s="1136">
        <v>278409.44842492574</v>
      </c>
      <c r="AN53" s="1137">
        <v>299533.06954427459</v>
      </c>
      <c r="AO53" s="1138">
        <v>310668.14065564412</v>
      </c>
      <c r="AP53" s="1138">
        <v>335198.83073661407</v>
      </c>
      <c r="AQ53" s="1138">
        <v>290541.90389346273</v>
      </c>
      <c r="AR53" s="1138">
        <v>307493.41187806381</v>
      </c>
      <c r="AS53" s="1138">
        <v>289118.00046138023</v>
      </c>
      <c r="AT53" s="1138">
        <v>281064.49624281575</v>
      </c>
      <c r="AU53" s="1138">
        <v>272297.13350531843</v>
      </c>
      <c r="AV53" s="1138">
        <v>276661.49469331006</v>
      </c>
      <c r="AW53" s="1138">
        <v>292801.9517582464</v>
      </c>
      <c r="AX53" s="1138">
        <v>268497.86107759853</v>
      </c>
      <c r="AY53" s="1138">
        <v>265920.13405156572</v>
      </c>
      <c r="AZ53" s="1138">
        <v>261333.85246753774</v>
      </c>
      <c r="BA53" s="1138">
        <v>281399.23989507044</v>
      </c>
      <c r="BB53" s="1138">
        <v>266165.4506704887</v>
      </c>
      <c r="BC53" s="1138">
        <v>262621.90154981613</v>
      </c>
      <c r="BD53" s="1138">
        <v>271259.19882236311</v>
      </c>
      <c r="BE53" s="1138">
        <v>285995.84924047318</v>
      </c>
      <c r="BF53" s="1138">
        <v>319933.42308586923</v>
      </c>
      <c r="BG53" s="1138">
        <v>358996.96364427783</v>
      </c>
      <c r="BH53" s="1138">
        <v>322355.93779513089</v>
      </c>
      <c r="BI53" s="1138">
        <v>335087.73974829266</v>
      </c>
      <c r="BJ53" s="1138">
        <v>355989.09586107393</v>
      </c>
      <c r="BK53" s="1138">
        <v>359122.29739360325</v>
      </c>
      <c r="BL53" s="1138">
        <v>418918.09434418491</v>
      </c>
      <c r="BM53" s="1138">
        <v>429695.2027612754</v>
      </c>
      <c r="BN53" s="1138">
        <v>395171.42290077568</v>
      </c>
      <c r="BO53" s="1138">
        <v>381222.78593859496</v>
      </c>
    </row>
    <row r="54" spans="1:67" s="1171" customFormat="1" ht="17.100000000000001" customHeight="1">
      <c r="A54" s="1174" t="s">
        <v>2661</v>
      </c>
      <c r="B54" s="1168">
        <v>30107.789499937426</v>
      </c>
      <c r="C54" s="1168">
        <v>31094.415139565433</v>
      </c>
      <c r="D54" s="1168">
        <v>30962.734737710922</v>
      </c>
      <c r="E54" s="1168">
        <v>31722.669563358049</v>
      </c>
      <c r="F54" s="1168">
        <v>32291.245409282688</v>
      </c>
      <c r="G54" s="1168">
        <v>32190.982644318014</v>
      </c>
      <c r="H54" s="1168">
        <v>30094.231303218694</v>
      </c>
      <c r="I54" s="1168">
        <v>28685.302738552557</v>
      </c>
      <c r="J54" s="1168">
        <v>27202.292881792404</v>
      </c>
      <c r="K54" s="1168">
        <v>28366.741870910635</v>
      </c>
      <c r="L54" s="1168">
        <v>26731.42360877612</v>
      </c>
      <c r="M54" s="1168">
        <v>29842.888080704441</v>
      </c>
      <c r="N54" s="1168">
        <v>29586.633266821053</v>
      </c>
      <c r="O54" s="1168">
        <v>29891.802077865294</v>
      </c>
      <c r="P54" s="1168">
        <v>25947.623236333402</v>
      </c>
      <c r="Q54" s="1168">
        <v>27891.315556650738</v>
      </c>
      <c r="R54" s="1168">
        <v>27836.31586989648</v>
      </c>
      <c r="S54" s="1168">
        <v>29550.652640857741</v>
      </c>
      <c r="T54" s="1168">
        <v>28814.146909541629</v>
      </c>
      <c r="U54" s="1168">
        <v>29743.461993769037</v>
      </c>
      <c r="V54" s="1168">
        <v>28007.929026793463</v>
      </c>
      <c r="W54" s="1168">
        <v>27848.917471561232</v>
      </c>
      <c r="X54" s="1168">
        <v>30798.47857303136</v>
      </c>
      <c r="Y54" s="1168">
        <v>30173.425683765054</v>
      </c>
      <c r="Z54" s="1168">
        <v>27635.564013278305</v>
      </c>
      <c r="AA54" s="1168">
        <v>28505.675546840474</v>
      </c>
      <c r="AB54" s="1168">
        <v>30015.249470331852</v>
      </c>
      <c r="AC54" s="1168">
        <v>28849.601820639546</v>
      </c>
      <c r="AD54" s="1168">
        <v>29685.935308031254</v>
      </c>
      <c r="AE54" s="1168">
        <v>27434.626315896196</v>
      </c>
      <c r="AF54" s="1168">
        <v>24564.372512824601</v>
      </c>
      <c r="AG54" s="1168">
        <v>24843.929419416803</v>
      </c>
      <c r="AH54" s="1168">
        <v>26903.079659206087</v>
      </c>
      <c r="AI54" s="1168">
        <v>26692.130185590468</v>
      </c>
      <c r="AJ54" s="1168">
        <v>23489.867346898696</v>
      </c>
      <c r="AK54" s="1168">
        <v>26748.267328989143</v>
      </c>
      <c r="AL54" s="1168">
        <v>24970.557388426176</v>
      </c>
      <c r="AM54" s="1168">
        <v>27360.034197333964</v>
      </c>
      <c r="AN54" s="1169">
        <v>28048.947249844314</v>
      </c>
      <c r="AO54" s="1170">
        <v>27103.250200486156</v>
      </c>
      <c r="AP54" s="1170">
        <v>23704.250976455434</v>
      </c>
      <c r="AQ54" s="1170">
        <v>24490.234397729695</v>
      </c>
      <c r="AR54" s="1170">
        <v>29194.044954404722</v>
      </c>
      <c r="AS54" s="1170">
        <v>31589.148616054383</v>
      </c>
      <c r="AT54" s="1170">
        <v>28878.627380932823</v>
      </c>
      <c r="AU54" s="1170">
        <v>29438.984456836901</v>
      </c>
      <c r="AV54" s="1170">
        <v>32222.328507304621</v>
      </c>
      <c r="AW54" s="1170">
        <v>34759.046630821162</v>
      </c>
      <c r="AX54" s="1170">
        <v>34060.323408110286</v>
      </c>
      <c r="AY54" s="1170">
        <v>34817.59427536845</v>
      </c>
      <c r="AZ54" s="1170">
        <v>35853.595180281867</v>
      </c>
      <c r="BA54" s="1170">
        <v>32821.366597128304</v>
      </c>
      <c r="BB54" s="1170">
        <v>35817.305316602025</v>
      </c>
      <c r="BC54" s="1170">
        <v>34503.982019541341</v>
      </c>
      <c r="BD54" s="1170">
        <v>34366.650950250732</v>
      </c>
      <c r="BE54" s="1170">
        <v>33649.017850934637</v>
      </c>
      <c r="BF54" s="1170">
        <v>34106.491150883034</v>
      </c>
      <c r="BG54" s="1170">
        <v>38799.4385675999</v>
      </c>
      <c r="BH54" s="1170">
        <v>42147.93707209549</v>
      </c>
      <c r="BI54" s="1170">
        <v>44771.48306422789</v>
      </c>
      <c r="BJ54" s="1170">
        <v>45036.202349362306</v>
      </c>
      <c r="BK54" s="1170">
        <v>46331.067374710321</v>
      </c>
      <c r="BL54" s="1170">
        <v>41183.321744285538</v>
      </c>
      <c r="BM54" s="1170">
        <v>43101.216780224531</v>
      </c>
      <c r="BN54" s="1170">
        <v>45620.751845429142</v>
      </c>
      <c r="BO54" s="1170">
        <v>46467.822872853139</v>
      </c>
    </row>
    <row r="55" spans="1:67" ht="17.100000000000001" customHeight="1">
      <c r="A55" s="1135" t="s">
        <v>202</v>
      </c>
      <c r="B55" s="1136">
        <v>-16094.591653099998</v>
      </c>
      <c r="C55" s="1136">
        <v>-15133.990915980001</v>
      </c>
      <c r="D55" s="1136">
        <v>-10574.257390679999</v>
      </c>
      <c r="E55" s="1136">
        <v>-13160.13132181</v>
      </c>
      <c r="F55" s="1136">
        <v>-13184.197336680001</v>
      </c>
      <c r="G55" s="1136">
        <v>-12603.214470860001</v>
      </c>
      <c r="H55" s="1136">
        <v>-12649.402737140001</v>
      </c>
      <c r="I55" s="1136">
        <v>-13999.36386032</v>
      </c>
      <c r="J55" s="1136">
        <v>-12309.791425859999</v>
      </c>
      <c r="K55" s="1136">
        <v>-9506.4930552200003</v>
      </c>
      <c r="L55" s="1136">
        <v>-11316.247423609999</v>
      </c>
      <c r="M55" s="1136">
        <v>-9687.6799926800013</v>
      </c>
      <c r="N55" s="1136">
        <v>-8384.2803368000004</v>
      </c>
      <c r="O55" s="1136">
        <v>-7735.6408573600002</v>
      </c>
      <c r="P55" s="1136">
        <v>-11176.693028849997</v>
      </c>
      <c r="Q55" s="1136">
        <v>-9606.6951597400002</v>
      </c>
      <c r="R55" s="1136">
        <v>-11320.184787369999</v>
      </c>
      <c r="S55" s="1136">
        <v>-10168.74607549</v>
      </c>
      <c r="T55" s="1136">
        <v>-11201.799995440004</v>
      </c>
      <c r="U55" s="1136">
        <v>-8361.1217992800011</v>
      </c>
      <c r="V55" s="1136">
        <v>-10561.849022570001</v>
      </c>
      <c r="W55" s="1136">
        <v>-11253.339342660001</v>
      </c>
      <c r="X55" s="1136">
        <v>-9436.6171233200002</v>
      </c>
      <c r="Y55" s="1136">
        <v>-7837.3001372700001</v>
      </c>
      <c r="Z55" s="1136">
        <v>-10079.960773000003</v>
      </c>
      <c r="AA55" s="1136">
        <v>-8692.3302772299994</v>
      </c>
      <c r="AB55" s="1136">
        <v>-9372.881900270002</v>
      </c>
      <c r="AC55" s="1136">
        <v>-8880.1699302400029</v>
      </c>
      <c r="AD55" s="1136">
        <v>-8780.1530179400033</v>
      </c>
      <c r="AE55" s="1136">
        <v>-11179.910112040001</v>
      </c>
      <c r="AF55" s="1136">
        <v>-11456.030725809998</v>
      </c>
      <c r="AG55" s="1136">
        <v>-13179.341982179998</v>
      </c>
      <c r="AH55" s="1136">
        <v>-11879.09227354</v>
      </c>
      <c r="AI55" s="1136">
        <v>-13350.546611650003</v>
      </c>
      <c r="AJ55" s="1136">
        <v>-16898.939951499997</v>
      </c>
      <c r="AK55" s="1136">
        <v>-11466.967172649998</v>
      </c>
      <c r="AL55" s="1136">
        <v>-13650.276193949998</v>
      </c>
      <c r="AM55" s="1136">
        <v>-12018.874950829999</v>
      </c>
      <c r="AN55" s="1137">
        <v>-12476.195903029999</v>
      </c>
      <c r="AO55" s="1138">
        <v>-14313.36957282</v>
      </c>
      <c r="AP55" s="1138">
        <v>-17374.062681929754</v>
      </c>
      <c r="AQ55" s="1138">
        <v>-18112.053482993684</v>
      </c>
      <c r="AR55" s="1138">
        <v>-14044.60487612374</v>
      </c>
      <c r="AS55" s="1138">
        <v>-13816.06028582856</v>
      </c>
      <c r="AT55" s="1138">
        <v>-17341.511666418828</v>
      </c>
      <c r="AU55" s="1138">
        <v>-15217.901120033093</v>
      </c>
      <c r="AV55" s="1138">
        <v>-13552.266238281474</v>
      </c>
      <c r="AW55" s="1138">
        <v>-10932.694839660657</v>
      </c>
      <c r="AX55" s="1138">
        <v>-13197.887711877294</v>
      </c>
      <c r="AY55" s="1138">
        <v>-12463.583303451964</v>
      </c>
      <c r="AZ55" s="1138">
        <v>-13387.690245879574</v>
      </c>
      <c r="BA55" s="1138">
        <v>-17897.114501728862</v>
      </c>
      <c r="BB55" s="1138">
        <v>-16472.475734490621</v>
      </c>
      <c r="BC55" s="1138">
        <v>-18912.303265928196</v>
      </c>
      <c r="BD55" s="1138">
        <v>-19181.228839505362</v>
      </c>
      <c r="BE55" s="1138">
        <v>-20865.026249724659</v>
      </c>
      <c r="BF55" s="1138">
        <v>-24581.233548614022</v>
      </c>
      <c r="BG55" s="1138">
        <v>-22626.159615587952</v>
      </c>
      <c r="BH55" s="1138">
        <v>-19870.683686191223</v>
      </c>
      <c r="BI55" s="1138">
        <v>-20743.429970004472</v>
      </c>
      <c r="BJ55" s="1138">
        <v>-19352.681883520723</v>
      </c>
      <c r="BK55" s="1138">
        <v>-22349.474304150681</v>
      </c>
      <c r="BL55" s="1138">
        <v>-23502.995871067244</v>
      </c>
      <c r="BM55" s="1138">
        <v>-22661.474497705807</v>
      </c>
      <c r="BN55" s="1138">
        <v>-22878.465939326445</v>
      </c>
      <c r="BO55" s="1138">
        <v>-21714.827886328236</v>
      </c>
    </row>
    <row r="56" spans="1:67" ht="17.100000000000001" customHeight="1">
      <c r="A56" s="1135" t="s">
        <v>2660</v>
      </c>
      <c r="B56" s="1136">
        <v>46202.381153037422</v>
      </c>
      <c r="C56" s="1136">
        <v>46228.406055545434</v>
      </c>
      <c r="D56" s="1136">
        <v>41536.992128390921</v>
      </c>
      <c r="E56" s="1136">
        <v>44882.80088516805</v>
      </c>
      <c r="F56" s="1136">
        <v>45475.44274596269</v>
      </c>
      <c r="G56" s="1136">
        <v>44794.197115178016</v>
      </c>
      <c r="H56" s="1136">
        <v>42743.634040358695</v>
      </c>
      <c r="I56" s="1136">
        <v>42684.666598872558</v>
      </c>
      <c r="J56" s="1136">
        <v>39512.084307652403</v>
      </c>
      <c r="K56" s="1136">
        <v>37873.234926130637</v>
      </c>
      <c r="L56" s="1136">
        <v>38047.671032386119</v>
      </c>
      <c r="M56" s="1136">
        <v>39530.568073384442</v>
      </c>
      <c r="N56" s="1136">
        <v>37970.913603621055</v>
      </c>
      <c r="O56" s="1136">
        <v>37627.442935225292</v>
      </c>
      <c r="P56" s="1136">
        <v>37124.316265183399</v>
      </c>
      <c r="Q56" s="1136">
        <v>37498.010716390738</v>
      </c>
      <c r="R56" s="1136">
        <v>39156.500657266479</v>
      </c>
      <c r="S56" s="1136">
        <v>39719.398716347743</v>
      </c>
      <c r="T56" s="1136">
        <v>40015.946904981633</v>
      </c>
      <c r="U56" s="1136">
        <v>38104.583793049038</v>
      </c>
      <c r="V56" s="1136">
        <v>38569.778049363464</v>
      </c>
      <c r="W56" s="1136">
        <v>39102.256814221233</v>
      </c>
      <c r="X56" s="1136">
        <v>40235.09569635136</v>
      </c>
      <c r="Y56" s="1136">
        <v>38010.725821035056</v>
      </c>
      <c r="Z56" s="1136">
        <v>37715.524786278307</v>
      </c>
      <c r="AA56" s="1136">
        <v>37198.005824070475</v>
      </c>
      <c r="AB56" s="1136">
        <v>39388.131370601855</v>
      </c>
      <c r="AC56" s="1136">
        <v>37729.771750879547</v>
      </c>
      <c r="AD56" s="1136">
        <v>38466.088325971257</v>
      </c>
      <c r="AE56" s="1136">
        <v>38614.536427936197</v>
      </c>
      <c r="AF56" s="1136">
        <v>36020.403238634601</v>
      </c>
      <c r="AG56" s="1136">
        <v>38023.271401596801</v>
      </c>
      <c r="AH56" s="1136">
        <v>38782.171932746089</v>
      </c>
      <c r="AI56" s="1136">
        <v>40042.67679724047</v>
      </c>
      <c r="AJ56" s="1136">
        <v>40388.807298398693</v>
      </c>
      <c r="AK56" s="1136">
        <v>38215.234501639141</v>
      </c>
      <c r="AL56" s="1136">
        <v>38620.833582376174</v>
      </c>
      <c r="AM56" s="1136">
        <v>39378.909148163963</v>
      </c>
      <c r="AN56" s="1137">
        <v>40525.143152874312</v>
      </c>
      <c r="AO56" s="1138">
        <v>41416.619773306156</v>
      </c>
      <c r="AP56" s="1138">
        <v>41078.313658385188</v>
      </c>
      <c r="AQ56" s="1138">
        <v>42602.287880723379</v>
      </c>
      <c r="AR56" s="1138">
        <v>43238.649830528462</v>
      </c>
      <c r="AS56" s="1138">
        <v>45405.208901882943</v>
      </c>
      <c r="AT56" s="1138">
        <v>46220.139047351651</v>
      </c>
      <c r="AU56" s="1138">
        <v>44656.885576869994</v>
      </c>
      <c r="AV56" s="1138">
        <v>45774.594745586095</v>
      </c>
      <c r="AW56" s="1138">
        <v>45691.741470481815</v>
      </c>
      <c r="AX56" s="1138">
        <v>47258.21111998758</v>
      </c>
      <c r="AY56" s="1138">
        <v>47281.17757882041</v>
      </c>
      <c r="AZ56" s="1138">
        <v>49241.285426161441</v>
      </c>
      <c r="BA56" s="1138">
        <v>50718.48109885717</v>
      </c>
      <c r="BB56" s="1138">
        <v>52289.78105109265</v>
      </c>
      <c r="BC56" s="1138">
        <v>53416.285285469537</v>
      </c>
      <c r="BD56" s="1138">
        <v>53547.879789756094</v>
      </c>
      <c r="BE56" s="1138">
        <v>54514.044100659296</v>
      </c>
      <c r="BF56" s="1138">
        <v>58687.724699497056</v>
      </c>
      <c r="BG56" s="1138">
        <v>61425.598183187853</v>
      </c>
      <c r="BH56" s="1138">
        <v>62018.620758286714</v>
      </c>
      <c r="BI56" s="1138">
        <v>65514.913034232362</v>
      </c>
      <c r="BJ56" s="1138">
        <v>64388.884232883029</v>
      </c>
      <c r="BK56" s="1138">
        <v>68680.541678861002</v>
      </c>
      <c r="BL56" s="1138">
        <v>64686.317615352782</v>
      </c>
      <c r="BM56" s="1138">
        <v>65762.691277930338</v>
      </c>
      <c r="BN56" s="1138">
        <v>68499.217784755587</v>
      </c>
      <c r="BO56" s="1138">
        <v>68182.650759181372</v>
      </c>
    </row>
    <row r="57" spans="1:67" s="1171" customFormat="1" ht="17.100000000000001" customHeight="1">
      <c r="A57" s="1174" t="s">
        <v>2662</v>
      </c>
      <c r="B57" s="1168">
        <v>249049.6457634767</v>
      </c>
      <c r="C57" s="1168">
        <v>248807.77216519354</v>
      </c>
      <c r="D57" s="1168">
        <v>251216.34014935835</v>
      </c>
      <c r="E57" s="1168">
        <v>252571.14770766051</v>
      </c>
      <c r="F57" s="1168">
        <v>263772.26442897564</v>
      </c>
      <c r="G57" s="1168">
        <v>267573.77706727927</v>
      </c>
      <c r="H57" s="1168">
        <v>266546.19427709124</v>
      </c>
      <c r="I57" s="1168">
        <v>271927.19652940845</v>
      </c>
      <c r="J57" s="1168">
        <v>272605.20555799588</v>
      </c>
      <c r="K57" s="1168">
        <v>274950.37682160974</v>
      </c>
      <c r="L57" s="1168">
        <v>276946.48094082711</v>
      </c>
      <c r="M57" s="1168">
        <v>279011.9005774298</v>
      </c>
      <c r="N57" s="1168">
        <v>278925.50306887995</v>
      </c>
      <c r="O57" s="1168">
        <v>281794.30187684559</v>
      </c>
      <c r="P57" s="1168">
        <v>282552.45791129809</v>
      </c>
      <c r="Q57" s="1168">
        <v>286531.20071991388</v>
      </c>
      <c r="R57" s="1168">
        <v>288418.86245035374</v>
      </c>
      <c r="S57" s="1168">
        <v>292124.32001176995</v>
      </c>
      <c r="T57" s="1168">
        <v>295910.29042288021</v>
      </c>
      <c r="U57" s="1168">
        <v>298869.28538751893</v>
      </c>
      <c r="V57" s="1168">
        <v>304317.74497532001</v>
      </c>
      <c r="W57" s="1168">
        <v>313019.72673447238</v>
      </c>
      <c r="X57" s="1168">
        <v>311448.56077553553</v>
      </c>
      <c r="Y57" s="1168">
        <v>311128.60589472816</v>
      </c>
      <c r="Z57" s="1168">
        <v>311614.96213569335</v>
      </c>
      <c r="AA57" s="1168">
        <v>312053.74452528806</v>
      </c>
      <c r="AB57" s="1168">
        <v>316252.63222865068</v>
      </c>
      <c r="AC57" s="1168">
        <v>322237.36142590013</v>
      </c>
      <c r="AD57" s="1168">
        <v>328425.03858686506</v>
      </c>
      <c r="AE57" s="1168">
        <v>339992.21987458708</v>
      </c>
      <c r="AF57" s="1168">
        <v>344302.14351216564</v>
      </c>
      <c r="AG57" s="1168">
        <v>346757.92890193785</v>
      </c>
      <c r="AH57" s="1168">
        <v>349337.30424399534</v>
      </c>
      <c r="AI57" s="1168">
        <v>353848.92335604446</v>
      </c>
      <c r="AJ57" s="1168">
        <v>357405.85055804724</v>
      </c>
      <c r="AK57" s="1168">
        <v>364273.63872408587</v>
      </c>
      <c r="AL57" s="1168">
        <v>365700.0106858334</v>
      </c>
      <c r="AM57" s="1168">
        <v>372023.55270095076</v>
      </c>
      <c r="AN57" s="1169">
        <v>369763.25433820783</v>
      </c>
      <c r="AO57" s="1170">
        <v>373549.03799787484</v>
      </c>
      <c r="AP57" s="1170">
        <v>371865.91460924764</v>
      </c>
      <c r="AQ57" s="1170">
        <v>371452.23091788462</v>
      </c>
      <c r="AR57" s="1170">
        <v>381516.64452129649</v>
      </c>
      <c r="AS57" s="1170">
        <v>403214.62648758269</v>
      </c>
      <c r="AT57" s="1170">
        <v>409852.99746432231</v>
      </c>
      <c r="AU57" s="1170">
        <v>403332.10506721033</v>
      </c>
      <c r="AV57" s="1170">
        <v>406428.21979282878</v>
      </c>
      <c r="AW57" s="1170">
        <v>413415.51091962057</v>
      </c>
      <c r="AX57" s="1170">
        <v>398598.84518461517</v>
      </c>
      <c r="AY57" s="1170">
        <v>401054.46897641121</v>
      </c>
      <c r="AZ57" s="1170">
        <v>402940.77149325603</v>
      </c>
      <c r="BA57" s="1170">
        <v>403970.49852973624</v>
      </c>
      <c r="BB57" s="1170">
        <v>398087.2159975979</v>
      </c>
      <c r="BC57" s="1170">
        <v>391977.25670871098</v>
      </c>
      <c r="BD57" s="1170">
        <v>390386.78573823883</v>
      </c>
      <c r="BE57" s="1170">
        <v>389133.07236688567</v>
      </c>
      <c r="BF57" s="1170">
        <v>390326.26670956856</v>
      </c>
      <c r="BG57" s="1170">
        <v>394713.68888715311</v>
      </c>
      <c r="BH57" s="1170">
        <v>403626.6251230645</v>
      </c>
      <c r="BI57" s="1170">
        <v>402034.57576756674</v>
      </c>
      <c r="BJ57" s="1170">
        <v>403049.78413234965</v>
      </c>
      <c r="BK57" s="1170">
        <v>406708.58711020421</v>
      </c>
      <c r="BL57" s="1170">
        <v>420833.52840106795</v>
      </c>
      <c r="BM57" s="1170">
        <v>409999.09764211474</v>
      </c>
      <c r="BN57" s="1170">
        <v>410049.14788507775</v>
      </c>
      <c r="BO57" s="1170">
        <v>414496.77065093926</v>
      </c>
    </row>
    <row r="58" spans="1:67" ht="17.100000000000001" customHeight="1">
      <c r="A58" s="1135" t="s">
        <v>202</v>
      </c>
      <c r="B58" s="1136">
        <v>153.19780331999999</v>
      </c>
      <c r="C58" s="1136">
        <v>154.31596911</v>
      </c>
      <c r="D58" s="1136">
        <v>138.70587049999997</v>
      </c>
      <c r="E58" s="1136">
        <v>145.20146566999998</v>
      </c>
      <c r="F58" s="1136">
        <v>139.64907062999998</v>
      </c>
      <c r="G58" s="1136">
        <v>144.54348844999998</v>
      </c>
      <c r="H58" s="1136">
        <v>136.46690247999999</v>
      </c>
      <c r="I58" s="1136">
        <v>137.70103456999999</v>
      </c>
      <c r="J58" s="1136">
        <v>166.28222216</v>
      </c>
      <c r="K58" s="1136">
        <v>164.10271523999998</v>
      </c>
      <c r="L58" s="1136">
        <v>188.36966712999998</v>
      </c>
      <c r="M58" s="1136">
        <v>289.10614802999993</v>
      </c>
      <c r="N58" s="1136">
        <v>325.25928297999997</v>
      </c>
      <c r="O58" s="1136">
        <v>266.26099159999995</v>
      </c>
      <c r="P58" s="1136">
        <v>282.16233682000001</v>
      </c>
      <c r="Q58" s="1136">
        <v>326.19289162000001</v>
      </c>
      <c r="R58" s="1136">
        <v>355.96613649</v>
      </c>
      <c r="S58" s="1136">
        <v>144.95301177000002</v>
      </c>
      <c r="T58" s="1136">
        <v>145.04960496999999</v>
      </c>
      <c r="U58" s="1136">
        <v>146.18456738</v>
      </c>
      <c r="V58" s="1136">
        <v>147.98835771</v>
      </c>
      <c r="W58" s="1136">
        <v>189.87692557</v>
      </c>
      <c r="X58" s="1136">
        <v>188.68572480999998</v>
      </c>
      <c r="Y58" s="1136">
        <v>187.66180904000001</v>
      </c>
      <c r="Z58" s="1136">
        <v>184.76241243000001</v>
      </c>
      <c r="AA58" s="1136">
        <v>235.96431477000002</v>
      </c>
      <c r="AB58" s="1136">
        <v>228.80128807000003</v>
      </c>
      <c r="AC58" s="1136">
        <v>202.30284356000001</v>
      </c>
      <c r="AD58" s="1136">
        <v>207.31680611000002</v>
      </c>
      <c r="AE58" s="1136">
        <v>142.31707372000002</v>
      </c>
      <c r="AF58" s="1136">
        <v>246.29880878</v>
      </c>
      <c r="AG58" s="1136">
        <v>157.61338316000001</v>
      </c>
      <c r="AH58" s="1136">
        <v>186.53756657</v>
      </c>
      <c r="AI58" s="1136">
        <v>186.00266166</v>
      </c>
      <c r="AJ58" s="1136">
        <v>148.20166657000001</v>
      </c>
      <c r="AK58" s="1136">
        <v>184.47326498999999</v>
      </c>
      <c r="AL58" s="1136">
        <v>158.50110899000001</v>
      </c>
      <c r="AM58" s="1136">
        <v>151.81138362999999</v>
      </c>
      <c r="AN58" s="1137">
        <v>144.74117856000001</v>
      </c>
      <c r="AO58" s="1138">
        <v>154.39851223000002</v>
      </c>
      <c r="AP58" s="1138">
        <v>135.40763834000001</v>
      </c>
      <c r="AQ58" s="1138">
        <v>198.07188681</v>
      </c>
      <c r="AR58" s="1138">
        <v>126.59522910000001</v>
      </c>
      <c r="AS58" s="1138">
        <v>150.84449430999999</v>
      </c>
      <c r="AT58" s="1138">
        <v>162.74188365000003</v>
      </c>
      <c r="AU58" s="1138">
        <v>164.49673319999999</v>
      </c>
      <c r="AV58" s="1138">
        <v>163.62766462999997</v>
      </c>
      <c r="AW58" s="1138">
        <v>172.66457023999999</v>
      </c>
      <c r="AX58" s="1138">
        <v>134.78201322999996</v>
      </c>
      <c r="AY58" s="1138">
        <v>146.16603488000001</v>
      </c>
      <c r="AZ58" s="1138">
        <v>154.80724961999994</v>
      </c>
      <c r="BA58" s="1138">
        <v>158.50427366000002</v>
      </c>
      <c r="BB58" s="1138">
        <v>161.91662781999997</v>
      </c>
      <c r="BC58" s="1138">
        <v>159.59387422</v>
      </c>
      <c r="BD58" s="1138">
        <v>117.25199542000001</v>
      </c>
      <c r="BE58" s="1138">
        <v>129.45984655000001</v>
      </c>
      <c r="BF58" s="1138">
        <v>134.73078520999996</v>
      </c>
      <c r="BG58" s="1138">
        <v>140.02408560999999</v>
      </c>
      <c r="BH58" s="1138">
        <v>139.35857369000001</v>
      </c>
      <c r="BI58" s="1138">
        <v>152.22108252999999</v>
      </c>
      <c r="BJ58" s="1138">
        <v>115.15130846999999</v>
      </c>
      <c r="BK58" s="1138">
        <v>126.01319054</v>
      </c>
      <c r="BL58" s="1138">
        <v>127.1554088</v>
      </c>
      <c r="BM58" s="1138">
        <v>371.52363643000001</v>
      </c>
      <c r="BN58" s="1138">
        <v>379.96656151999991</v>
      </c>
      <c r="BO58" s="1138">
        <v>3704.0103747000003</v>
      </c>
    </row>
    <row r="59" spans="1:67" ht="17.100000000000001" customHeight="1">
      <c r="A59" s="1135" t="s">
        <v>2663</v>
      </c>
      <c r="B59" s="1136">
        <v>248896.44796015669</v>
      </c>
      <c r="C59" s="1136">
        <v>248653.45619608354</v>
      </c>
      <c r="D59" s="1136">
        <v>251077.63427885834</v>
      </c>
      <c r="E59" s="1136">
        <v>252425.94624199052</v>
      </c>
      <c r="F59" s="1136">
        <v>263632.61535834562</v>
      </c>
      <c r="G59" s="1136">
        <v>267429.23357882927</v>
      </c>
      <c r="H59" s="1136">
        <v>266409.72737461125</v>
      </c>
      <c r="I59" s="1136">
        <v>271789.49549483845</v>
      </c>
      <c r="J59" s="1136">
        <v>272438.92333583586</v>
      </c>
      <c r="K59" s="1136">
        <v>274786.27410636976</v>
      </c>
      <c r="L59" s="1136">
        <v>276758.11127369711</v>
      </c>
      <c r="M59" s="1136">
        <v>278722.79442939977</v>
      </c>
      <c r="N59" s="1136">
        <v>278600.24378589995</v>
      </c>
      <c r="O59" s="1136">
        <v>281528.0408852456</v>
      </c>
      <c r="P59" s="1136">
        <v>282270.29557447811</v>
      </c>
      <c r="Q59" s="1136">
        <v>286205.00782829389</v>
      </c>
      <c r="R59" s="1136">
        <v>288062.89631386375</v>
      </c>
      <c r="S59" s="1136">
        <v>291979.36699999997</v>
      </c>
      <c r="T59" s="1136">
        <v>295765.24081791023</v>
      </c>
      <c r="U59" s="1136">
        <v>298723.10082013893</v>
      </c>
      <c r="V59" s="1136">
        <v>304169.75661760999</v>
      </c>
      <c r="W59" s="1136">
        <v>312829.84980890236</v>
      </c>
      <c r="X59" s="1136">
        <v>311259.87505072553</v>
      </c>
      <c r="Y59" s="1136">
        <v>310940.94408568816</v>
      </c>
      <c r="Z59" s="1136">
        <v>311430.19972326333</v>
      </c>
      <c r="AA59" s="1136">
        <v>311817.78021051805</v>
      </c>
      <c r="AB59" s="1136">
        <v>316023.83094058069</v>
      </c>
      <c r="AC59" s="1136">
        <v>322035.05858234013</v>
      </c>
      <c r="AD59" s="1136">
        <v>328217.72178075509</v>
      </c>
      <c r="AE59" s="1136">
        <v>339849.9028008671</v>
      </c>
      <c r="AF59" s="1136">
        <v>344055.84470338566</v>
      </c>
      <c r="AG59" s="1136">
        <v>346600.31551877788</v>
      </c>
      <c r="AH59" s="1136">
        <v>349150.76667742536</v>
      </c>
      <c r="AI59" s="1136">
        <v>353662.92069438443</v>
      </c>
      <c r="AJ59" s="1136">
        <v>357257.64889147726</v>
      </c>
      <c r="AK59" s="1136">
        <v>364089.16545909585</v>
      </c>
      <c r="AL59" s="1136">
        <v>365541.50957684341</v>
      </c>
      <c r="AM59" s="1136">
        <v>371871.74131732079</v>
      </c>
      <c r="AN59" s="1137">
        <v>369618.51315964782</v>
      </c>
      <c r="AO59" s="1138">
        <v>373394.63948564482</v>
      </c>
      <c r="AP59" s="1138">
        <v>371730.50697090762</v>
      </c>
      <c r="AQ59" s="1138">
        <v>371254.15903107461</v>
      </c>
      <c r="AR59" s="1138">
        <v>381390.04929219646</v>
      </c>
      <c r="AS59" s="1138">
        <v>403063.78199327271</v>
      </c>
      <c r="AT59" s="1138">
        <v>409690.2555806723</v>
      </c>
      <c r="AU59" s="1138">
        <v>403167.60833401035</v>
      </c>
      <c r="AV59" s="1138">
        <v>406264.59212819877</v>
      </c>
      <c r="AW59" s="1138">
        <v>413242.84634938056</v>
      </c>
      <c r="AX59" s="1138">
        <v>398464.06317138515</v>
      </c>
      <c r="AY59" s="1138">
        <v>400908.30294153123</v>
      </c>
      <c r="AZ59" s="1138">
        <v>402785.96424363606</v>
      </c>
      <c r="BA59" s="1138">
        <v>403811.99425607623</v>
      </c>
      <c r="BB59" s="1138">
        <v>397925.2993697779</v>
      </c>
      <c r="BC59" s="1138">
        <v>391817.662834491</v>
      </c>
      <c r="BD59" s="1138">
        <v>390269.53374281881</v>
      </c>
      <c r="BE59" s="1138">
        <v>389003.61252033565</v>
      </c>
      <c r="BF59" s="1138">
        <v>390191.53592435858</v>
      </c>
      <c r="BG59" s="1138">
        <v>394573.66480154311</v>
      </c>
      <c r="BH59" s="1138">
        <v>403487.2665493745</v>
      </c>
      <c r="BI59" s="1138">
        <v>401882.35468503676</v>
      </c>
      <c r="BJ59" s="1138">
        <v>402934.63282387966</v>
      </c>
      <c r="BK59" s="1138">
        <v>406582.5739196642</v>
      </c>
      <c r="BL59" s="1138">
        <v>420706.37299226795</v>
      </c>
      <c r="BM59" s="1138">
        <v>409627.57400568476</v>
      </c>
      <c r="BN59" s="1138">
        <v>409669.18132355774</v>
      </c>
      <c r="BO59" s="1138">
        <v>410792.76027623925</v>
      </c>
    </row>
    <row r="60" spans="1:67" s="1148" customFormat="1" ht="17.100000000000001" customHeight="1">
      <c r="A60" s="1144" t="s">
        <v>2664</v>
      </c>
      <c r="B60" s="1145">
        <v>279157.43526341411</v>
      </c>
      <c r="C60" s="1145">
        <v>279902.18730475899</v>
      </c>
      <c r="D60" s="1145">
        <v>282179.07488706929</v>
      </c>
      <c r="E60" s="1145">
        <v>284293.81727101858</v>
      </c>
      <c r="F60" s="1145">
        <v>296063.50983825832</v>
      </c>
      <c r="G60" s="1145">
        <v>299764.75971159729</v>
      </c>
      <c r="H60" s="1145">
        <v>296640.42558030994</v>
      </c>
      <c r="I60" s="1145">
        <v>300612.49926796101</v>
      </c>
      <c r="J60" s="1145">
        <v>299807.49843978829</v>
      </c>
      <c r="K60" s="1145">
        <v>303317.11869252037</v>
      </c>
      <c r="L60" s="1145">
        <v>303677.90454960323</v>
      </c>
      <c r="M60" s="1145">
        <v>308854.78865813423</v>
      </c>
      <c r="N60" s="1145">
        <v>308512.13633570098</v>
      </c>
      <c r="O60" s="1145">
        <v>311686.10395471088</v>
      </c>
      <c r="P60" s="1145">
        <v>308500.08114763151</v>
      </c>
      <c r="Q60" s="1145">
        <v>314422.51627656462</v>
      </c>
      <c r="R60" s="1145">
        <v>316255.17832025024</v>
      </c>
      <c r="S60" s="1145">
        <v>321674.97265262768</v>
      </c>
      <c r="T60" s="1145">
        <v>324724.43733242183</v>
      </c>
      <c r="U60" s="1145">
        <v>328612.74738128798</v>
      </c>
      <c r="V60" s="1145">
        <v>332325.67400211346</v>
      </c>
      <c r="W60" s="1145">
        <v>340868.64420603361</v>
      </c>
      <c r="X60" s="1145">
        <v>342247.0393485669</v>
      </c>
      <c r="Y60" s="1145">
        <v>341302.03157849319</v>
      </c>
      <c r="Z60" s="1145">
        <v>339250.52614897164</v>
      </c>
      <c r="AA60" s="1145">
        <v>340559.42007212853</v>
      </c>
      <c r="AB60" s="1145">
        <v>346267.88169898256</v>
      </c>
      <c r="AC60" s="1145">
        <v>351086.9632465397</v>
      </c>
      <c r="AD60" s="1145">
        <v>358110.97389489633</v>
      </c>
      <c r="AE60" s="1145">
        <v>367426.84619048331</v>
      </c>
      <c r="AF60" s="1145">
        <v>368866.51602499024</v>
      </c>
      <c r="AG60" s="1145">
        <v>371601.85832135467</v>
      </c>
      <c r="AH60" s="1145">
        <v>376240.38390320144</v>
      </c>
      <c r="AI60" s="1145">
        <v>380541.05354163493</v>
      </c>
      <c r="AJ60" s="1145">
        <v>380895.71790494595</v>
      </c>
      <c r="AK60" s="1145">
        <v>391021.90605307504</v>
      </c>
      <c r="AL60" s="1145">
        <v>390670.56807425956</v>
      </c>
      <c r="AM60" s="1145">
        <v>399383.58689828473</v>
      </c>
      <c r="AN60" s="1146">
        <v>397812.20158805215</v>
      </c>
      <c r="AO60" s="1147">
        <v>400652.288198361</v>
      </c>
      <c r="AP60" s="1147">
        <v>395570.1655857031</v>
      </c>
      <c r="AQ60" s="1147">
        <v>395942.4653156143</v>
      </c>
      <c r="AR60" s="1147">
        <v>410710.68947570119</v>
      </c>
      <c r="AS60" s="1147">
        <v>434803.77510363708</v>
      </c>
      <c r="AT60" s="1147">
        <v>438731.62484525511</v>
      </c>
      <c r="AU60" s="1147">
        <v>432771.08952404722</v>
      </c>
      <c r="AV60" s="1147">
        <v>438650.54830013338</v>
      </c>
      <c r="AW60" s="1147">
        <v>448174.55755044171</v>
      </c>
      <c r="AX60" s="1147">
        <v>432659.16859272547</v>
      </c>
      <c r="AY60" s="1147">
        <v>435872.06325177965</v>
      </c>
      <c r="AZ60" s="1147">
        <v>438794.36667353788</v>
      </c>
      <c r="BA60" s="1147">
        <v>436791.86512686452</v>
      </c>
      <c r="BB60" s="1147">
        <v>433904.5213141999</v>
      </c>
      <c r="BC60" s="1147">
        <v>426481.2387282523</v>
      </c>
      <c r="BD60" s="1147">
        <v>424753.43668848957</v>
      </c>
      <c r="BE60" s="1147">
        <v>422782.09021782031</v>
      </c>
      <c r="BF60" s="1147">
        <v>424432.75786045159</v>
      </c>
      <c r="BG60" s="1147">
        <v>433513.12745475303</v>
      </c>
      <c r="BH60" s="1147">
        <v>445774.56219515996</v>
      </c>
      <c r="BI60" s="1147">
        <v>446806.05883179465</v>
      </c>
      <c r="BJ60" s="1147">
        <v>448085.98648171197</v>
      </c>
      <c r="BK60" s="1147">
        <v>453039.65448491456</v>
      </c>
      <c r="BL60" s="1147">
        <v>462016.85014535347</v>
      </c>
      <c r="BM60" s="1147">
        <v>453100.31442233926</v>
      </c>
      <c r="BN60" s="1147">
        <v>455669.89973050688</v>
      </c>
      <c r="BO60" s="1147">
        <v>460964.5935237924</v>
      </c>
    </row>
    <row r="61" spans="1:67" s="1148" customFormat="1" ht="17.100000000000001" customHeight="1">
      <c r="A61" s="1144" t="s">
        <v>2665</v>
      </c>
      <c r="B61" s="1145">
        <v>355259.36110940948</v>
      </c>
      <c r="C61" s="1145">
        <v>359674.52067542169</v>
      </c>
      <c r="D61" s="1145">
        <v>365534.08899271872</v>
      </c>
      <c r="E61" s="1145">
        <v>350076.45939386607</v>
      </c>
      <c r="F61" s="1145">
        <v>408376.12498644798</v>
      </c>
      <c r="G61" s="1145">
        <v>402112.53101963754</v>
      </c>
      <c r="H61" s="1145">
        <v>364656.03892779577</v>
      </c>
      <c r="I61" s="1145">
        <v>393066.9151664619</v>
      </c>
      <c r="J61" s="1145">
        <v>390537.62147691939</v>
      </c>
      <c r="K61" s="1145">
        <v>391457.11670130375</v>
      </c>
      <c r="L61" s="1145">
        <v>402942.5897299879</v>
      </c>
      <c r="M61" s="1145">
        <v>404649.15065369115</v>
      </c>
      <c r="N61" s="1145">
        <v>407823.63352837315</v>
      </c>
      <c r="O61" s="1145">
        <v>405056.79783523042</v>
      </c>
      <c r="P61" s="1145">
        <v>373076.22365200013</v>
      </c>
      <c r="Q61" s="1145">
        <v>392324.13765174814</v>
      </c>
      <c r="R61" s="1145">
        <v>385746.33193663164</v>
      </c>
      <c r="S61" s="1145">
        <v>414087.30448866077</v>
      </c>
      <c r="T61" s="1145">
        <v>403593.92227355641</v>
      </c>
      <c r="U61" s="1145">
        <v>386969.89630842878</v>
      </c>
      <c r="V61" s="1145">
        <v>395351.35688924079</v>
      </c>
      <c r="W61" s="1145">
        <v>405087.09893024142</v>
      </c>
      <c r="X61" s="1145">
        <v>454427.65861462167</v>
      </c>
      <c r="Y61" s="1145">
        <v>392520.47702801961</v>
      </c>
      <c r="Z61" s="1145">
        <v>369105.09290209634</v>
      </c>
      <c r="AA61" s="1145">
        <v>376955.9310288633</v>
      </c>
      <c r="AB61" s="1145">
        <v>425700.47701899771</v>
      </c>
      <c r="AC61" s="1145">
        <v>430723.86365939816</v>
      </c>
      <c r="AD61" s="1145">
        <v>453051.42133272428</v>
      </c>
      <c r="AE61" s="1145">
        <v>398191.58983318222</v>
      </c>
      <c r="AF61" s="1145">
        <v>431310.64951476338</v>
      </c>
      <c r="AG61" s="1145">
        <v>391798.35496846749</v>
      </c>
      <c r="AH61" s="1145">
        <v>419472.37424158253</v>
      </c>
      <c r="AI61" s="1145">
        <v>440473.73401755263</v>
      </c>
      <c r="AJ61" s="1145">
        <v>440983.94812166237</v>
      </c>
      <c r="AK61" s="1145">
        <v>446725.61739693565</v>
      </c>
      <c r="AL61" s="1145">
        <v>474970.90923370438</v>
      </c>
      <c r="AM61" s="1145">
        <v>426515.81480752374</v>
      </c>
      <c r="AN61" s="1146">
        <v>445854.38320849871</v>
      </c>
      <c r="AO61" s="1147">
        <v>460625.32765421644</v>
      </c>
      <c r="AP61" s="1147">
        <v>488129.86957859132</v>
      </c>
      <c r="AQ61" s="1147">
        <v>438688.48267435428</v>
      </c>
      <c r="AR61" s="1147">
        <v>465953.60966626892</v>
      </c>
      <c r="AS61" s="1147">
        <v>471795.70692158758</v>
      </c>
      <c r="AT61" s="1147">
        <v>470230.33461851074</v>
      </c>
      <c r="AU61" s="1147">
        <v>455486.54418138292</v>
      </c>
      <c r="AV61" s="1147">
        <v>459880.23395209498</v>
      </c>
      <c r="AW61" s="1147">
        <v>478865.71640516765</v>
      </c>
      <c r="AX61" s="1147">
        <v>439097.77532928227</v>
      </c>
      <c r="AY61" s="1147">
        <v>441269.8403915122</v>
      </c>
      <c r="AZ61" s="1147">
        <v>438692.91461748979</v>
      </c>
      <c r="BA61" s="1147">
        <v>460236.83889744111</v>
      </c>
      <c r="BB61" s="1147">
        <v>442676.74993058713</v>
      </c>
      <c r="BC61" s="1147">
        <v>430266.48893325822</v>
      </c>
      <c r="BD61" s="1147">
        <v>439363.15186964103</v>
      </c>
      <c r="BE61" s="1147">
        <v>452836.70265660645</v>
      </c>
      <c r="BF61" s="1147">
        <v>485583.09844426496</v>
      </c>
      <c r="BG61" s="1147">
        <v>526195.34385628253</v>
      </c>
      <c r="BH61" s="1147">
        <v>496675.90007366199</v>
      </c>
      <c r="BI61" s="1147">
        <v>507072.70740943949</v>
      </c>
      <c r="BJ61" s="1147">
        <v>524258.49610627926</v>
      </c>
      <c r="BK61" s="1147">
        <v>533757.07369569398</v>
      </c>
      <c r="BL61" s="1147">
        <v>609082.18579530215</v>
      </c>
      <c r="BM61" s="1147">
        <v>610314.7623422672</v>
      </c>
      <c r="BN61" s="1147">
        <v>577098.77235605102</v>
      </c>
      <c r="BO61" s="1147">
        <v>562413.7520863933</v>
      </c>
    </row>
    <row r="62" spans="1:67" ht="17.100000000000001" customHeight="1">
      <c r="A62" s="1135"/>
      <c r="B62" s="1136"/>
      <c r="C62" s="1136"/>
      <c r="D62" s="1136"/>
      <c r="E62" s="1136"/>
      <c r="F62" s="1136"/>
      <c r="G62" s="1136"/>
      <c r="H62" s="1136"/>
      <c r="I62" s="1136"/>
      <c r="J62" s="1136"/>
      <c r="K62" s="1136"/>
      <c r="L62" s="1136"/>
      <c r="M62" s="1136"/>
      <c r="N62" s="1136"/>
      <c r="O62" s="1136"/>
      <c r="P62" s="1136"/>
      <c r="Q62" s="1136"/>
      <c r="R62" s="1136"/>
      <c r="S62" s="1136"/>
      <c r="T62" s="1136"/>
      <c r="U62" s="1136"/>
      <c r="V62" s="1136"/>
      <c r="W62" s="1136"/>
      <c r="X62" s="1136"/>
      <c r="Y62" s="1136"/>
      <c r="Z62" s="1136"/>
      <c r="AA62" s="1136"/>
      <c r="AB62" s="1136"/>
      <c r="AC62" s="1136"/>
      <c r="AD62" s="1136"/>
      <c r="AE62" s="1136"/>
      <c r="AF62" s="1136"/>
      <c r="AG62" s="1136"/>
      <c r="AH62" s="1136"/>
      <c r="AI62" s="1136"/>
      <c r="AJ62" s="1136"/>
      <c r="AK62" s="1136"/>
      <c r="AL62" s="1136"/>
      <c r="AM62" s="1136"/>
      <c r="AN62" s="1137"/>
      <c r="AO62" s="1138"/>
      <c r="AP62" s="1138"/>
      <c r="AQ62" s="1138"/>
      <c r="AR62" s="1138"/>
      <c r="AS62" s="1138"/>
      <c r="AT62" s="1138"/>
      <c r="AU62" s="1138"/>
      <c r="AV62" s="1138"/>
      <c r="AW62" s="1138"/>
      <c r="AX62" s="1138"/>
      <c r="AY62" s="1138"/>
      <c r="AZ62" s="1138"/>
      <c r="BA62" s="1138"/>
      <c r="BB62" s="1138"/>
      <c r="BC62" s="1138"/>
      <c r="BD62" s="1138"/>
      <c r="BE62" s="1138"/>
      <c r="BF62" s="1138"/>
      <c r="BG62" s="1138"/>
      <c r="BH62" s="1138"/>
      <c r="BI62" s="1138"/>
      <c r="BJ62" s="1138"/>
      <c r="BK62" s="1138"/>
      <c r="BL62" s="1138"/>
      <c r="BM62" s="1138"/>
      <c r="BN62" s="1138"/>
      <c r="BO62" s="1138"/>
    </row>
    <row r="63" spans="1:67" ht="17.100000000000001" customHeight="1">
      <c r="A63" s="1144" t="s">
        <v>2666</v>
      </c>
      <c r="B63" s="1145">
        <v>279735.10531540611</v>
      </c>
      <c r="C63" s="1145">
        <v>280832.71616430732</v>
      </c>
      <c r="D63" s="1145">
        <v>281427.58380275627</v>
      </c>
      <c r="E63" s="1145">
        <v>282053.88717788766</v>
      </c>
      <c r="F63" s="1145">
        <v>286161.75081736082</v>
      </c>
      <c r="G63" s="1145">
        <v>286852.74157677876</v>
      </c>
      <c r="H63" s="1145">
        <v>281980.74913940526</v>
      </c>
      <c r="I63" s="1145">
        <v>282105.32767522562</v>
      </c>
      <c r="J63" s="1145">
        <v>283581.44315563818</v>
      </c>
      <c r="K63" s="1145">
        <v>287418.95498439157</v>
      </c>
      <c r="L63" s="1145">
        <v>288135.77511421102</v>
      </c>
      <c r="M63" s="1145">
        <v>300231.38741758827</v>
      </c>
      <c r="N63" s="1145">
        <v>298556.62578708358</v>
      </c>
      <c r="O63" s="1145">
        <v>298369.33004481444</v>
      </c>
      <c r="P63" s="1145">
        <v>298155.49753263145</v>
      </c>
      <c r="Q63" s="1145">
        <v>299059.78403224458</v>
      </c>
      <c r="R63" s="1145">
        <v>299494.6394816144</v>
      </c>
      <c r="S63" s="1145">
        <v>306227.71741607366</v>
      </c>
      <c r="T63" s="1145">
        <v>305393.34314475307</v>
      </c>
      <c r="U63" s="1145">
        <v>308770.06989294133</v>
      </c>
      <c r="V63" s="1145">
        <v>309120.82380339794</v>
      </c>
      <c r="W63" s="1145">
        <v>309586.03971583769</v>
      </c>
      <c r="X63" s="1145">
        <v>312758.67268372775</v>
      </c>
      <c r="Y63" s="1145">
        <v>319536.66994800232</v>
      </c>
      <c r="Z63" s="1145">
        <v>318174.79569418321</v>
      </c>
      <c r="AA63" s="1145">
        <v>318311.51350059046</v>
      </c>
      <c r="AB63" s="1145">
        <v>321028.13302254636</v>
      </c>
      <c r="AC63" s="1145">
        <v>321243.46464984748</v>
      </c>
      <c r="AD63" s="1145">
        <v>323994.44183545001</v>
      </c>
      <c r="AE63" s="1145">
        <v>327851.0242175223</v>
      </c>
      <c r="AF63" s="1145">
        <v>328873.35024287179</v>
      </c>
      <c r="AG63" s="1145">
        <v>329210.58830269566</v>
      </c>
      <c r="AH63" s="1145">
        <v>331263.67529123981</v>
      </c>
      <c r="AI63" s="1145">
        <v>334358.44301515532</v>
      </c>
      <c r="AJ63" s="1145">
        <v>336572.52553336322</v>
      </c>
      <c r="AK63" s="1145">
        <v>345617.19551340822</v>
      </c>
      <c r="AL63" s="1145">
        <v>340908.92052914313</v>
      </c>
      <c r="AM63" s="1145">
        <v>344826.53440251609</v>
      </c>
      <c r="AN63" s="1146">
        <v>348245.69090443768</v>
      </c>
      <c r="AO63" s="1147">
        <v>346565.10847846698</v>
      </c>
      <c r="AP63" s="1147">
        <v>346711.64590246277</v>
      </c>
      <c r="AQ63" s="1147">
        <v>351375.8188580295</v>
      </c>
      <c r="AR63" s="1147">
        <v>352944.69968920399</v>
      </c>
      <c r="AS63" s="1147">
        <v>351417.83862996544</v>
      </c>
      <c r="AT63" s="1147">
        <v>350499.23615290475</v>
      </c>
      <c r="AU63" s="1147">
        <v>349810.86009880243</v>
      </c>
      <c r="AV63" s="1147">
        <v>354693.08322884847</v>
      </c>
      <c r="AW63" s="1147">
        <v>365608.73772902408</v>
      </c>
      <c r="AX63" s="1147">
        <v>364980.69233736559</v>
      </c>
      <c r="AY63" s="1147">
        <v>369066.69688267616</v>
      </c>
      <c r="AZ63" s="1147">
        <v>371778.39312112681</v>
      </c>
      <c r="BA63" s="1147">
        <v>372675.47367760952</v>
      </c>
      <c r="BB63" s="1147">
        <v>374448.43718937901</v>
      </c>
      <c r="BC63" s="1147">
        <v>378456.25837457669</v>
      </c>
      <c r="BD63" s="1147">
        <v>377725.22592014016</v>
      </c>
      <c r="BE63" s="1147">
        <v>379201.6061837934</v>
      </c>
      <c r="BF63" s="1147">
        <v>379536.06867122138</v>
      </c>
      <c r="BG63" s="1147">
        <v>386009.67288569768</v>
      </c>
      <c r="BH63" s="1147">
        <v>389293.57228882512</v>
      </c>
      <c r="BI63" s="1147">
        <v>397556.54743014241</v>
      </c>
      <c r="BJ63" s="1147">
        <v>399865.77736164053</v>
      </c>
      <c r="BK63" s="1147">
        <v>404452.45097584801</v>
      </c>
      <c r="BL63" s="1147">
        <v>410915.24788448901</v>
      </c>
      <c r="BM63" s="1147">
        <v>410066.84698475106</v>
      </c>
      <c r="BN63" s="1147">
        <v>411917.76295781811</v>
      </c>
      <c r="BO63" s="1147">
        <v>418402.10404157941</v>
      </c>
    </row>
    <row r="64" spans="1:67" ht="17.100000000000001" customHeight="1" thickBot="1">
      <c r="A64" s="1153"/>
      <c r="B64" s="1154"/>
      <c r="C64" s="1154"/>
      <c r="D64" s="1154"/>
      <c r="E64" s="1154"/>
      <c r="F64" s="1154"/>
      <c r="G64" s="1154"/>
      <c r="H64" s="1154"/>
      <c r="I64" s="1154"/>
      <c r="J64" s="1154"/>
      <c r="K64" s="1154"/>
      <c r="L64" s="1154"/>
      <c r="M64" s="1154"/>
      <c r="N64" s="1154"/>
      <c r="O64" s="1154"/>
      <c r="P64" s="1154"/>
      <c r="Q64" s="1154"/>
      <c r="R64" s="1154"/>
      <c r="S64" s="1154"/>
      <c r="T64" s="1154"/>
      <c r="U64" s="1154"/>
      <c r="V64" s="1154"/>
      <c r="W64" s="1154"/>
      <c r="X64" s="1176"/>
      <c r="Y64" s="1176"/>
      <c r="Z64" s="1176"/>
      <c r="AA64" s="1176"/>
      <c r="AB64" s="1176"/>
      <c r="AC64" s="1176"/>
      <c r="AD64" s="1176"/>
      <c r="AE64" s="1176"/>
      <c r="AF64" s="1176"/>
      <c r="AG64" s="1176"/>
      <c r="AH64" s="1176"/>
      <c r="AI64" s="1176"/>
      <c r="AJ64" s="1176"/>
      <c r="AK64" s="1176"/>
      <c r="AL64" s="1176"/>
      <c r="AM64" s="1176"/>
      <c r="AN64" s="1176"/>
      <c r="AO64" s="1176"/>
      <c r="AP64" s="1176"/>
      <c r="AQ64" s="1176"/>
      <c r="AR64" s="1176"/>
      <c r="AS64" s="1176"/>
      <c r="AT64" s="1176"/>
      <c r="AU64" s="1176"/>
      <c r="AV64" s="1176"/>
      <c r="AW64" s="1176"/>
      <c r="AX64" s="1176"/>
      <c r="AY64" s="1176"/>
      <c r="AZ64" s="1176"/>
      <c r="BA64" s="1176"/>
      <c r="BB64" s="1176"/>
      <c r="BC64" s="1176"/>
      <c r="BD64" s="1176"/>
      <c r="BE64" s="1176"/>
      <c r="BF64" s="1176"/>
      <c r="BG64" s="1176"/>
      <c r="BH64" s="1176"/>
      <c r="BI64" s="1176"/>
      <c r="BJ64" s="1176"/>
      <c r="BK64" s="1176"/>
      <c r="BL64" s="1176"/>
      <c r="BM64" s="1176"/>
      <c r="BN64" s="1176"/>
      <c r="BO64" s="1176"/>
    </row>
    <row r="65" spans="1:52" ht="15.75" thickTop="1">
      <c r="A65" s="1155" t="s">
        <v>2346</v>
      </c>
      <c r="B65" s="1157"/>
      <c r="C65" s="1157"/>
      <c r="D65" s="1157"/>
      <c r="E65" s="1157"/>
      <c r="F65" s="1157"/>
      <c r="G65" s="1157"/>
      <c r="H65" s="1157"/>
      <c r="I65" s="1157"/>
      <c r="J65" s="1157"/>
      <c r="K65" s="1157"/>
      <c r="L65" s="1157"/>
      <c r="M65" s="1157"/>
      <c r="N65" s="1157"/>
      <c r="O65" s="1157"/>
      <c r="P65" s="1157"/>
      <c r="Q65" s="1157"/>
      <c r="R65" s="1157"/>
      <c r="S65" s="1157"/>
      <c r="T65" s="1157"/>
      <c r="U65" s="1157"/>
      <c r="V65" s="1157"/>
      <c r="W65" s="1157"/>
      <c r="X65" s="1157"/>
      <c r="Y65" s="1157"/>
      <c r="Z65" s="1157"/>
      <c r="AA65" s="1157"/>
      <c r="AB65" s="1157"/>
      <c r="AC65" s="1157"/>
      <c r="AD65" s="1157"/>
      <c r="AE65" s="1157"/>
      <c r="AF65" s="1157"/>
      <c r="AG65" s="1157"/>
      <c r="AH65" s="1157"/>
      <c r="AI65" s="1157"/>
      <c r="AJ65" s="1157"/>
      <c r="AK65" s="1157"/>
      <c r="AL65" s="1157"/>
      <c r="AM65" s="1157"/>
      <c r="AN65" s="1157"/>
      <c r="AO65" s="1157"/>
      <c r="AP65" s="1157"/>
      <c r="AQ65" s="1157"/>
      <c r="AR65" s="1157"/>
      <c r="AS65" s="1157"/>
      <c r="AT65" s="1157"/>
      <c r="AU65" s="1157"/>
      <c r="AV65" s="1157"/>
    </row>
    <row r="66" spans="1:52" ht="18">
      <c r="A66" s="1155" t="s">
        <v>2667</v>
      </c>
      <c r="B66" s="1157"/>
      <c r="C66" s="1157"/>
      <c r="D66" s="1157"/>
      <c r="E66" s="1157"/>
      <c r="F66" s="1157"/>
      <c r="G66" s="1157"/>
      <c r="H66" s="1156"/>
      <c r="I66" s="1157"/>
      <c r="J66" s="1157"/>
      <c r="K66" s="1157"/>
      <c r="L66" s="1157"/>
      <c r="M66" s="1157"/>
      <c r="N66" s="1157"/>
      <c r="O66" s="1157"/>
      <c r="P66" s="1157"/>
      <c r="Q66" s="1157"/>
      <c r="R66" s="1157"/>
      <c r="S66" s="1157"/>
      <c r="T66" s="1157"/>
      <c r="U66" s="1157"/>
      <c r="V66" s="1157"/>
      <c r="W66" s="1157"/>
      <c r="X66" s="1157"/>
      <c r="Y66" s="1157"/>
      <c r="Z66" s="1157"/>
      <c r="AA66" s="1157"/>
      <c r="AB66" s="1157"/>
      <c r="AC66" s="1157"/>
      <c r="AD66" s="1157"/>
      <c r="AE66" s="1157"/>
      <c r="AF66" s="1157"/>
      <c r="AG66" s="1157"/>
      <c r="AH66" s="1157"/>
      <c r="AI66" s="1157"/>
      <c r="AJ66" s="1157"/>
      <c r="AK66" s="1157"/>
      <c r="AL66" s="1157"/>
      <c r="AM66" s="1157"/>
      <c r="AN66" s="1157"/>
      <c r="AO66" s="1157"/>
      <c r="AP66" s="1157"/>
      <c r="AQ66" s="1157"/>
      <c r="AR66" s="1157"/>
      <c r="AS66" s="1157"/>
      <c r="AT66" s="1157"/>
      <c r="AU66" s="1157"/>
      <c r="AV66" s="1157"/>
    </row>
    <row r="67" spans="1:52" ht="18">
      <c r="A67" s="1158" t="s">
        <v>2647</v>
      </c>
      <c r="B67" s="1159"/>
      <c r="C67" s="1160"/>
      <c r="D67" s="1160"/>
      <c r="E67" s="1160"/>
      <c r="F67" s="1160"/>
      <c r="G67" s="1160"/>
      <c r="H67" s="1160"/>
      <c r="I67" s="1160"/>
      <c r="J67" s="1160"/>
      <c r="K67" s="1160"/>
      <c r="L67" s="1160"/>
      <c r="M67" s="1160"/>
      <c r="N67" s="1160"/>
      <c r="O67" s="1160"/>
      <c r="P67" s="1160"/>
      <c r="Q67" s="1160"/>
      <c r="R67" s="1160"/>
      <c r="S67" s="1160"/>
      <c r="T67" s="1160"/>
      <c r="U67" s="1160"/>
      <c r="V67" s="1160"/>
      <c r="W67" s="1160"/>
      <c r="X67" s="1160"/>
      <c r="Y67" s="1160"/>
      <c r="Z67" s="1160"/>
      <c r="AA67" s="1156"/>
      <c r="AB67" s="1156"/>
      <c r="AC67" s="1156"/>
      <c r="AD67" s="1156"/>
      <c r="AE67" s="1157"/>
      <c r="AF67" s="1157"/>
      <c r="AG67" s="1157"/>
      <c r="AH67" s="1157"/>
      <c r="AI67" s="1157"/>
      <c r="AJ67" s="1157"/>
      <c r="AK67" s="1157"/>
      <c r="AL67" s="1157"/>
      <c r="AM67" s="1157"/>
      <c r="AN67" s="1157"/>
      <c r="AO67" s="1157"/>
      <c r="AP67" s="1157"/>
      <c r="AQ67" s="1157"/>
      <c r="AR67" s="1157"/>
      <c r="AS67" s="1157"/>
      <c r="AT67" s="1157"/>
      <c r="AU67" s="1157"/>
      <c r="AV67" s="1157"/>
    </row>
    <row r="68" spans="1:52" ht="15">
      <c r="A68" s="1158" t="s">
        <v>2630</v>
      </c>
      <c r="B68" s="1159"/>
      <c r="C68" s="1160"/>
      <c r="D68" s="1160"/>
      <c r="E68" s="1160"/>
      <c r="F68" s="1160"/>
      <c r="G68" s="1160"/>
      <c r="H68" s="1160"/>
      <c r="I68" s="1160"/>
      <c r="J68" s="1160"/>
      <c r="K68" s="1160"/>
      <c r="L68" s="1160"/>
      <c r="M68" s="1160"/>
      <c r="N68" s="1160"/>
      <c r="O68" s="1160"/>
      <c r="P68" s="1160"/>
      <c r="Q68" s="1160"/>
      <c r="R68" s="1160"/>
      <c r="S68" s="1160"/>
      <c r="T68" s="1160"/>
      <c r="U68" s="1160"/>
      <c r="V68" s="1160"/>
      <c r="W68" s="1160"/>
      <c r="X68" s="1160"/>
      <c r="Y68" s="1160"/>
      <c r="Z68" s="1160"/>
      <c r="AA68" s="1156"/>
      <c r="AB68" s="1156"/>
      <c r="AC68" s="1156"/>
      <c r="AD68" s="1156"/>
      <c r="AE68" s="1157"/>
      <c r="AF68" s="1157"/>
      <c r="AG68" s="1157"/>
      <c r="AH68" s="1157"/>
      <c r="AI68" s="1157"/>
      <c r="AJ68" s="1157"/>
      <c r="AK68" s="1157"/>
      <c r="AL68" s="1157"/>
      <c r="AM68" s="1157"/>
      <c r="AN68" s="1157"/>
      <c r="AO68" s="1157"/>
      <c r="AP68" s="1157"/>
      <c r="AQ68" s="1157"/>
      <c r="AR68" s="1157"/>
      <c r="AS68" s="1157"/>
      <c r="AT68" s="1157"/>
      <c r="AU68" s="1157"/>
      <c r="AV68" s="1157"/>
    </row>
    <row r="69" spans="1:52" ht="15">
      <c r="A69" s="1155" t="s">
        <v>2053</v>
      </c>
      <c r="B69" s="1157"/>
      <c r="C69" s="1157"/>
      <c r="D69" s="1157"/>
      <c r="E69" s="1156"/>
      <c r="F69" s="1156"/>
      <c r="G69" s="1156"/>
      <c r="H69" s="1156"/>
      <c r="I69" s="1156"/>
      <c r="J69" s="1156"/>
      <c r="K69" s="1156"/>
      <c r="L69" s="1157"/>
      <c r="M69" s="1157"/>
      <c r="N69" s="1157"/>
      <c r="O69" s="1157"/>
      <c r="P69" s="1157"/>
      <c r="Q69" s="1157"/>
      <c r="R69" s="1157"/>
      <c r="S69" s="1157"/>
      <c r="T69" s="1157"/>
      <c r="U69" s="1157"/>
      <c r="V69" s="1157"/>
      <c r="W69" s="1157"/>
      <c r="X69" s="1157"/>
      <c r="Y69" s="1157"/>
      <c r="Z69" s="1157"/>
      <c r="AA69" s="1157"/>
      <c r="AB69" s="1157"/>
      <c r="AC69" s="1157"/>
      <c r="AD69" s="1157"/>
      <c r="AE69" s="1157"/>
      <c r="AF69" s="1157"/>
      <c r="AG69" s="1157"/>
      <c r="AH69" s="1157"/>
      <c r="AI69" s="1157"/>
      <c r="AJ69" s="1157"/>
      <c r="AK69" s="1157"/>
      <c r="AL69" s="1157"/>
      <c r="AM69" s="1157"/>
      <c r="AN69" s="1157"/>
      <c r="AO69" s="1157"/>
      <c r="AP69" s="1157"/>
      <c r="AQ69" s="1157"/>
      <c r="AR69" s="1157"/>
      <c r="AS69" s="1157"/>
      <c r="AT69" s="1157"/>
      <c r="AU69" s="1157"/>
      <c r="AV69" s="1157"/>
    </row>
    <row r="70" spans="1:52" ht="15">
      <c r="A70" s="1157"/>
      <c r="B70" s="1157"/>
      <c r="C70" s="1157"/>
      <c r="D70" s="1157"/>
      <c r="E70" s="1157"/>
      <c r="F70" s="1157"/>
      <c r="G70" s="1157"/>
      <c r="H70" s="1157"/>
      <c r="I70" s="1157"/>
      <c r="J70" s="1157"/>
      <c r="K70" s="1157"/>
      <c r="L70" s="1157"/>
      <c r="M70" s="1157"/>
      <c r="N70" s="1157"/>
      <c r="O70" s="1157"/>
      <c r="P70" s="1157"/>
      <c r="Q70" s="1157"/>
      <c r="R70" s="1157"/>
      <c r="S70" s="1157"/>
      <c r="T70" s="1157"/>
      <c r="U70" s="1157"/>
      <c r="V70" s="1157"/>
      <c r="W70" s="1157"/>
      <c r="X70" s="1157"/>
      <c r="Y70" s="1157"/>
      <c r="Z70" s="1157"/>
      <c r="AA70" s="1157"/>
      <c r="AB70" s="1157"/>
      <c r="AC70" s="1157"/>
      <c r="AD70" s="1157"/>
      <c r="AE70" s="1157"/>
      <c r="AF70" s="1157"/>
      <c r="AG70" s="1157"/>
      <c r="AH70" s="1157"/>
      <c r="AI70" s="1157"/>
      <c r="AJ70" s="1157"/>
      <c r="AK70" s="1157"/>
      <c r="AL70" s="1157"/>
      <c r="AM70" s="1157"/>
      <c r="AN70" s="1157"/>
      <c r="AO70" s="1157"/>
      <c r="AP70" s="1157"/>
      <c r="AQ70" s="1157"/>
      <c r="AR70" s="1157"/>
      <c r="AS70" s="1157"/>
      <c r="AT70" s="1157"/>
      <c r="AU70" s="1157"/>
      <c r="AV70" s="1157"/>
    </row>
    <row r="71" spans="1:52" ht="13.5">
      <c r="A71" s="1177"/>
    </row>
    <row r="72" spans="1:52">
      <c r="B72" s="1139"/>
      <c r="C72" s="1139"/>
      <c r="D72" s="1139"/>
      <c r="E72" s="1139"/>
      <c r="F72" s="1139"/>
      <c r="G72" s="1139"/>
      <c r="H72" s="1139"/>
      <c r="I72" s="1139"/>
      <c r="J72" s="1139"/>
      <c r="K72" s="1139"/>
      <c r="L72" s="1139"/>
      <c r="M72" s="1139"/>
      <c r="N72" s="1139"/>
      <c r="O72" s="1139"/>
      <c r="P72" s="1139"/>
      <c r="Q72" s="1139"/>
      <c r="R72" s="1139"/>
      <c r="S72" s="1139"/>
      <c r="T72" s="1139"/>
      <c r="U72" s="1139"/>
      <c r="V72" s="1139"/>
      <c r="W72" s="1139"/>
      <c r="X72" s="1139"/>
      <c r="Y72" s="1139"/>
      <c r="Z72" s="1139"/>
      <c r="AA72" s="1139"/>
      <c r="AB72" s="1139"/>
      <c r="AC72" s="1139"/>
      <c r="AD72" s="1139"/>
      <c r="AE72" s="1139"/>
      <c r="AF72" s="1139"/>
      <c r="AG72" s="1139"/>
      <c r="AH72" s="1139"/>
      <c r="AI72" s="1139"/>
      <c r="AJ72" s="1139"/>
      <c r="AK72" s="1139"/>
      <c r="AL72" s="1139"/>
      <c r="AM72" s="1139"/>
      <c r="AN72" s="1139"/>
      <c r="AO72" s="1139"/>
      <c r="AP72" s="1139"/>
      <c r="AQ72" s="1139"/>
      <c r="AR72" s="1139"/>
      <c r="AS72" s="1139"/>
      <c r="AT72" s="1139"/>
      <c r="AU72" s="1139"/>
      <c r="AV72" s="1139"/>
      <c r="AW72" s="1139"/>
      <c r="AX72" s="1139"/>
      <c r="AY72" s="1139"/>
      <c r="AZ72" s="1139"/>
    </row>
  </sheetData>
  <printOptions verticalCentered="1"/>
  <pageMargins left="0.78740157480314965" right="0" top="0.39370078740157483" bottom="0" header="0" footer="0"/>
  <pageSetup paperSize="9" scale="48" fitToWidth="0" orientation="landscape" r:id="rId1"/>
  <headerFooter alignWithMargins="0"/>
  <rowBreaks count="1" manualBreakCount="1">
    <brk id="13" max="16383" man="1"/>
  </rowBreaks>
  <colBreaks count="1" manualBreakCount="1">
    <brk id="6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06"/>
  <sheetViews>
    <sheetView zoomScale="80" zoomScaleNormal="80" workbookViewId="0">
      <pane ySplit="5" topLeftCell="A6" activePane="bottomLeft" state="frozen"/>
      <selection pane="bottomLeft" activeCell="J111" sqref="J111"/>
    </sheetView>
  </sheetViews>
  <sheetFormatPr defaultRowHeight="15"/>
  <cols>
    <col min="1" max="1" width="8.42578125" style="2577" customWidth="1"/>
    <col min="2" max="2" width="14.28515625" style="2577" customWidth="1"/>
    <col min="3" max="3" width="7.140625" style="2577" bestFit="1" customWidth="1"/>
    <col min="4" max="4" width="7.7109375" style="2577" bestFit="1" customWidth="1"/>
    <col min="5" max="5" width="8.5703125" style="2577" bestFit="1" customWidth="1"/>
    <col min="6" max="6" width="9.5703125" style="2577" bestFit="1" customWidth="1"/>
    <col min="7" max="7" width="10.140625" style="2577" bestFit="1" customWidth="1"/>
    <col min="8" max="8" width="11" style="2577" customWidth="1"/>
    <col min="9" max="9" width="8.140625" style="2577" bestFit="1" customWidth="1"/>
    <col min="10" max="10" width="12" style="2577" customWidth="1"/>
    <col min="11" max="11" width="12.5703125" style="2577" customWidth="1"/>
    <col min="12" max="13" width="9" style="2577" bestFit="1" customWidth="1"/>
    <col min="14" max="14" width="9.42578125" style="2657" customWidth="1"/>
    <col min="15" max="23" width="8.28515625" style="2577" customWidth="1"/>
    <col min="24" max="24" width="10" style="2663" customWidth="1"/>
    <col min="25" max="25" width="11.7109375" style="2577" customWidth="1"/>
    <col min="26" max="26" width="9.140625" style="2577"/>
    <col min="27" max="27" width="19.42578125" style="2577" customWidth="1"/>
    <col min="28" max="28" width="16.42578125" style="2577" bestFit="1" customWidth="1"/>
    <col min="29" max="256" width="9.140625" style="2577"/>
    <col min="257" max="257" width="7.42578125" style="2577" customWidth="1"/>
    <col min="258" max="258" width="11.140625" style="2577" customWidth="1"/>
    <col min="259" max="259" width="7" style="2577" bestFit="1" customWidth="1"/>
    <col min="260" max="260" width="7.5703125" style="2577" bestFit="1" customWidth="1"/>
    <col min="261" max="261" width="7.7109375" style="2577" bestFit="1" customWidth="1"/>
    <col min="262" max="262" width="9.42578125" style="2577" bestFit="1" customWidth="1"/>
    <col min="263" max="263" width="10" style="2577" bestFit="1" customWidth="1"/>
    <col min="264" max="264" width="8.28515625" style="2577" customWidth="1"/>
    <col min="265" max="265" width="7.140625" style="2577" customWidth="1"/>
    <col min="266" max="266" width="10.7109375" style="2577" customWidth="1"/>
    <col min="267" max="267" width="8.5703125" style="2577" customWidth="1"/>
    <col min="268" max="269" width="8.85546875" style="2577" bestFit="1" customWidth="1"/>
    <col min="270" max="270" width="9.42578125" style="2577" customWidth="1"/>
    <col min="271" max="279" width="8.28515625" style="2577" customWidth="1"/>
    <col min="280" max="280" width="8.140625" style="2577" customWidth="1"/>
    <col min="281" max="281" width="10.42578125" style="2577" customWidth="1"/>
    <col min="282" max="282" width="9.140625" style="2577"/>
    <col min="283" max="283" width="19.42578125" style="2577" customWidth="1"/>
    <col min="284" max="284" width="16.42578125" style="2577" bestFit="1" customWidth="1"/>
    <col min="285" max="512" width="9.140625" style="2577"/>
    <col min="513" max="513" width="7.42578125" style="2577" customWidth="1"/>
    <col min="514" max="514" width="11.140625" style="2577" customWidth="1"/>
    <col min="515" max="515" width="7" style="2577" bestFit="1" customWidth="1"/>
    <col min="516" max="516" width="7.5703125" style="2577" bestFit="1" customWidth="1"/>
    <col min="517" max="517" width="7.7109375" style="2577" bestFit="1" customWidth="1"/>
    <col min="518" max="518" width="9.42578125" style="2577" bestFit="1" customWidth="1"/>
    <col min="519" max="519" width="10" style="2577" bestFit="1" customWidth="1"/>
    <col min="520" max="520" width="8.28515625" style="2577" customWidth="1"/>
    <col min="521" max="521" width="7.140625" style="2577" customWidth="1"/>
    <col min="522" max="522" width="10.7109375" style="2577" customWidth="1"/>
    <col min="523" max="523" width="8.5703125" style="2577" customWidth="1"/>
    <col min="524" max="525" width="8.85546875" style="2577" bestFit="1" customWidth="1"/>
    <col min="526" max="526" width="9.42578125" style="2577" customWidth="1"/>
    <col min="527" max="535" width="8.28515625" style="2577" customWidth="1"/>
    <col min="536" max="536" width="8.140625" style="2577" customWidth="1"/>
    <col min="537" max="537" width="10.42578125" style="2577" customWidth="1"/>
    <col min="538" max="538" width="9.140625" style="2577"/>
    <col min="539" max="539" width="19.42578125" style="2577" customWidth="1"/>
    <col min="540" max="540" width="16.42578125" style="2577" bestFit="1" customWidth="1"/>
    <col min="541" max="768" width="9.140625" style="2577"/>
    <col min="769" max="769" width="7.42578125" style="2577" customWidth="1"/>
    <col min="770" max="770" width="11.140625" style="2577" customWidth="1"/>
    <col min="771" max="771" width="7" style="2577" bestFit="1" customWidth="1"/>
    <col min="772" max="772" width="7.5703125" style="2577" bestFit="1" customWidth="1"/>
    <col min="773" max="773" width="7.7109375" style="2577" bestFit="1" customWidth="1"/>
    <col min="774" max="774" width="9.42578125" style="2577" bestFit="1" customWidth="1"/>
    <col min="775" max="775" width="10" style="2577" bestFit="1" customWidth="1"/>
    <col min="776" max="776" width="8.28515625" style="2577" customWidth="1"/>
    <col min="777" max="777" width="7.140625" style="2577" customWidth="1"/>
    <col min="778" max="778" width="10.7109375" style="2577" customWidth="1"/>
    <col min="779" max="779" width="8.5703125" style="2577" customWidth="1"/>
    <col min="780" max="781" width="8.85546875" style="2577" bestFit="1" customWidth="1"/>
    <col min="782" max="782" width="9.42578125" style="2577" customWidth="1"/>
    <col min="783" max="791" width="8.28515625" style="2577" customWidth="1"/>
    <col min="792" max="792" width="8.140625" style="2577" customWidth="1"/>
    <col min="793" max="793" width="10.42578125" style="2577" customWidth="1"/>
    <col min="794" max="794" width="9.140625" style="2577"/>
    <col min="795" max="795" width="19.42578125" style="2577" customWidth="1"/>
    <col min="796" max="796" width="16.42578125" style="2577" bestFit="1" customWidth="1"/>
    <col min="797" max="1024" width="9.140625" style="2577"/>
    <col min="1025" max="1025" width="7.42578125" style="2577" customWidth="1"/>
    <col min="1026" max="1026" width="11.140625" style="2577" customWidth="1"/>
    <col min="1027" max="1027" width="7" style="2577" bestFit="1" customWidth="1"/>
    <col min="1028" max="1028" width="7.5703125" style="2577" bestFit="1" customWidth="1"/>
    <col min="1029" max="1029" width="7.7109375" style="2577" bestFit="1" customWidth="1"/>
    <col min="1030" max="1030" width="9.42578125" style="2577" bestFit="1" customWidth="1"/>
    <col min="1031" max="1031" width="10" style="2577" bestFit="1" customWidth="1"/>
    <col min="1032" max="1032" width="8.28515625" style="2577" customWidth="1"/>
    <col min="1033" max="1033" width="7.140625" style="2577" customWidth="1"/>
    <col min="1034" max="1034" width="10.7109375" style="2577" customWidth="1"/>
    <col min="1035" max="1035" width="8.5703125" style="2577" customWidth="1"/>
    <col min="1036" max="1037" width="8.85546875" style="2577" bestFit="1" customWidth="1"/>
    <col min="1038" max="1038" width="9.42578125" style="2577" customWidth="1"/>
    <col min="1039" max="1047" width="8.28515625" style="2577" customWidth="1"/>
    <col min="1048" max="1048" width="8.140625" style="2577" customWidth="1"/>
    <col min="1049" max="1049" width="10.42578125" style="2577" customWidth="1"/>
    <col min="1050" max="1050" width="9.140625" style="2577"/>
    <col min="1051" max="1051" width="19.42578125" style="2577" customWidth="1"/>
    <col min="1052" max="1052" width="16.42578125" style="2577" bestFit="1" customWidth="1"/>
    <col min="1053" max="1280" width="9.140625" style="2577"/>
    <col min="1281" max="1281" width="7.42578125" style="2577" customWidth="1"/>
    <col min="1282" max="1282" width="11.140625" style="2577" customWidth="1"/>
    <col min="1283" max="1283" width="7" style="2577" bestFit="1" customWidth="1"/>
    <col min="1284" max="1284" width="7.5703125" style="2577" bestFit="1" customWidth="1"/>
    <col min="1285" max="1285" width="7.7109375" style="2577" bestFit="1" customWidth="1"/>
    <col min="1286" max="1286" width="9.42578125" style="2577" bestFit="1" customWidth="1"/>
    <col min="1287" max="1287" width="10" style="2577" bestFit="1" customWidth="1"/>
    <col min="1288" max="1288" width="8.28515625" style="2577" customWidth="1"/>
    <col min="1289" max="1289" width="7.140625" style="2577" customWidth="1"/>
    <col min="1290" max="1290" width="10.7109375" style="2577" customWidth="1"/>
    <col min="1291" max="1291" width="8.5703125" style="2577" customWidth="1"/>
    <col min="1292" max="1293" width="8.85546875" style="2577" bestFit="1" customWidth="1"/>
    <col min="1294" max="1294" width="9.42578125" style="2577" customWidth="1"/>
    <col min="1295" max="1303" width="8.28515625" style="2577" customWidth="1"/>
    <col min="1304" max="1304" width="8.140625" style="2577" customWidth="1"/>
    <col min="1305" max="1305" width="10.42578125" style="2577" customWidth="1"/>
    <col min="1306" max="1306" width="9.140625" style="2577"/>
    <col min="1307" max="1307" width="19.42578125" style="2577" customWidth="1"/>
    <col min="1308" max="1308" width="16.42578125" style="2577" bestFit="1" customWidth="1"/>
    <col min="1309" max="1536" width="9.140625" style="2577"/>
    <col min="1537" max="1537" width="7.42578125" style="2577" customWidth="1"/>
    <col min="1538" max="1538" width="11.140625" style="2577" customWidth="1"/>
    <col min="1539" max="1539" width="7" style="2577" bestFit="1" customWidth="1"/>
    <col min="1540" max="1540" width="7.5703125" style="2577" bestFit="1" customWidth="1"/>
    <col min="1541" max="1541" width="7.7109375" style="2577" bestFit="1" customWidth="1"/>
    <col min="1542" max="1542" width="9.42578125" style="2577" bestFit="1" customWidth="1"/>
    <col min="1543" max="1543" width="10" style="2577" bestFit="1" customWidth="1"/>
    <col min="1544" max="1544" width="8.28515625" style="2577" customWidth="1"/>
    <col min="1545" max="1545" width="7.140625" style="2577" customWidth="1"/>
    <col min="1546" max="1546" width="10.7109375" style="2577" customWidth="1"/>
    <col min="1547" max="1547" width="8.5703125" style="2577" customWidth="1"/>
    <col min="1548" max="1549" width="8.85546875" style="2577" bestFit="1" customWidth="1"/>
    <col min="1550" max="1550" width="9.42578125" style="2577" customWidth="1"/>
    <col min="1551" max="1559" width="8.28515625" style="2577" customWidth="1"/>
    <col min="1560" max="1560" width="8.140625" style="2577" customWidth="1"/>
    <col min="1561" max="1561" width="10.42578125" style="2577" customWidth="1"/>
    <col min="1562" max="1562" width="9.140625" style="2577"/>
    <col min="1563" max="1563" width="19.42578125" style="2577" customWidth="1"/>
    <col min="1564" max="1564" width="16.42578125" style="2577" bestFit="1" customWidth="1"/>
    <col min="1565" max="1792" width="9.140625" style="2577"/>
    <col min="1793" max="1793" width="7.42578125" style="2577" customWidth="1"/>
    <col min="1794" max="1794" width="11.140625" style="2577" customWidth="1"/>
    <col min="1795" max="1795" width="7" style="2577" bestFit="1" customWidth="1"/>
    <col min="1796" max="1796" width="7.5703125" style="2577" bestFit="1" customWidth="1"/>
    <col min="1797" max="1797" width="7.7109375" style="2577" bestFit="1" customWidth="1"/>
    <col min="1798" max="1798" width="9.42578125" style="2577" bestFit="1" customWidth="1"/>
    <col min="1799" max="1799" width="10" style="2577" bestFit="1" customWidth="1"/>
    <col min="1800" max="1800" width="8.28515625" style="2577" customWidth="1"/>
    <col min="1801" max="1801" width="7.140625" style="2577" customWidth="1"/>
    <col min="1802" max="1802" width="10.7109375" style="2577" customWidth="1"/>
    <col min="1803" max="1803" width="8.5703125" style="2577" customWidth="1"/>
    <col min="1804" max="1805" width="8.85546875" style="2577" bestFit="1" customWidth="1"/>
    <col min="1806" max="1806" width="9.42578125" style="2577" customWidth="1"/>
    <col min="1807" max="1815" width="8.28515625" style="2577" customWidth="1"/>
    <col min="1816" max="1816" width="8.140625" style="2577" customWidth="1"/>
    <col min="1817" max="1817" width="10.42578125" style="2577" customWidth="1"/>
    <col min="1818" max="1818" width="9.140625" style="2577"/>
    <col min="1819" max="1819" width="19.42578125" style="2577" customWidth="1"/>
    <col min="1820" max="1820" width="16.42578125" style="2577" bestFit="1" customWidth="1"/>
    <col min="1821" max="2048" width="9.140625" style="2577"/>
    <col min="2049" max="2049" width="7.42578125" style="2577" customWidth="1"/>
    <col min="2050" max="2050" width="11.140625" style="2577" customWidth="1"/>
    <col min="2051" max="2051" width="7" style="2577" bestFit="1" customWidth="1"/>
    <col min="2052" max="2052" width="7.5703125" style="2577" bestFit="1" customWidth="1"/>
    <col min="2053" max="2053" width="7.7109375" style="2577" bestFit="1" customWidth="1"/>
    <col min="2054" max="2054" width="9.42578125" style="2577" bestFit="1" customWidth="1"/>
    <col min="2055" max="2055" width="10" style="2577" bestFit="1" customWidth="1"/>
    <col min="2056" max="2056" width="8.28515625" style="2577" customWidth="1"/>
    <col min="2057" max="2057" width="7.140625" style="2577" customWidth="1"/>
    <col min="2058" max="2058" width="10.7109375" style="2577" customWidth="1"/>
    <col min="2059" max="2059" width="8.5703125" style="2577" customWidth="1"/>
    <col min="2060" max="2061" width="8.85546875" style="2577" bestFit="1" customWidth="1"/>
    <col min="2062" max="2062" width="9.42578125" style="2577" customWidth="1"/>
    <col min="2063" max="2071" width="8.28515625" style="2577" customWidth="1"/>
    <col min="2072" max="2072" width="8.140625" style="2577" customWidth="1"/>
    <col min="2073" max="2073" width="10.42578125" style="2577" customWidth="1"/>
    <col min="2074" max="2074" width="9.140625" style="2577"/>
    <col min="2075" max="2075" width="19.42578125" style="2577" customWidth="1"/>
    <col min="2076" max="2076" width="16.42578125" style="2577" bestFit="1" customWidth="1"/>
    <col min="2077" max="2304" width="9.140625" style="2577"/>
    <col min="2305" max="2305" width="7.42578125" style="2577" customWidth="1"/>
    <col min="2306" max="2306" width="11.140625" style="2577" customWidth="1"/>
    <col min="2307" max="2307" width="7" style="2577" bestFit="1" customWidth="1"/>
    <col min="2308" max="2308" width="7.5703125" style="2577" bestFit="1" customWidth="1"/>
    <col min="2309" max="2309" width="7.7109375" style="2577" bestFit="1" customWidth="1"/>
    <col min="2310" max="2310" width="9.42578125" style="2577" bestFit="1" customWidth="1"/>
    <col min="2311" max="2311" width="10" style="2577" bestFit="1" customWidth="1"/>
    <col min="2312" max="2312" width="8.28515625" style="2577" customWidth="1"/>
    <col min="2313" max="2313" width="7.140625" style="2577" customWidth="1"/>
    <col min="2314" max="2314" width="10.7109375" style="2577" customWidth="1"/>
    <col min="2315" max="2315" width="8.5703125" style="2577" customWidth="1"/>
    <col min="2316" max="2317" width="8.85546875" style="2577" bestFit="1" customWidth="1"/>
    <col min="2318" max="2318" width="9.42578125" style="2577" customWidth="1"/>
    <col min="2319" max="2327" width="8.28515625" style="2577" customWidth="1"/>
    <col min="2328" max="2328" width="8.140625" style="2577" customWidth="1"/>
    <col min="2329" max="2329" width="10.42578125" style="2577" customWidth="1"/>
    <col min="2330" max="2330" width="9.140625" style="2577"/>
    <col min="2331" max="2331" width="19.42578125" style="2577" customWidth="1"/>
    <col min="2332" max="2332" width="16.42578125" style="2577" bestFit="1" customWidth="1"/>
    <col min="2333" max="2560" width="9.140625" style="2577"/>
    <col min="2561" max="2561" width="7.42578125" style="2577" customWidth="1"/>
    <col min="2562" max="2562" width="11.140625" style="2577" customWidth="1"/>
    <col min="2563" max="2563" width="7" style="2577" bestFit="1" customWidth="1"/>
    <col min="2564" max="2564" width="7.5703125" style="2577" bestFit="1" customWidth="1"/>
    <col min="2565" max="2565" width="7.7109375" style="2577" bestFit="1" customWidth="1"/>
    <col min="2566" max="2566" width="9.42578125" style="2577" bestFit="1" customWidth="1"/>
    <col min="2567" max="2567" width="10" style="2577" bestFit="1" customWidth="1"/>
    <col min="2568" max="2568" width="8.28515625" style="2577" customWidth="1"/>
    <col min="2569" max="2569" width="7.140625" style="2577" customWidth="1"/>
    <col min="2570" max="2570" width="10.7109375" style="2577" customWidth="1"/>
    <col min="2571" max="2571" width="8.5703125" style="2577" customWidth="1"/>
    <col min="2572" max="2573" width="8.85546875" style="2577" bestFit="1" customWidth="1"/>
    <col min="2574" max="2574" width="9.42578125" style="2577" customWidth="1"/>
    <col min="2575" max="2583" width="8.28515625" style="2577" customWidth="1"/>
    <col min="2584" max="2584" width="8.140625" style="2577" customWidth="1"/>
    <col min="2585" max="2585" width="10.42578125" style="2577" customWidth="1"/>
    <col min="2586" max="2586" width="9.140625" style="2577"/>
    <col min="2587" max="2587" width="19.42578125" style="2577" customWidth="1"/>
    <col min="2588" max="2588" width="16.42578125" style="2577" bestFit="1" customWidth="1"/>
    <col min="2589" max="2816" width="9.140625" style="2577"/>
    <col min="2817" max="2817" width="7.42578125" style="2577" customWidth="1"/>
    <col min="2818" max="2818" width="11.140625" style="2577" customWidth="1"/>
    <col min="2819" max="2819" width="7" style="2577" bestFit="1" customWidth="1"/>
    <col min="2820" max="2820" width="7.5703125" style="2577" bestFit="1" customWidth="1"/>
    <col min="2821" max="2821" width="7.7109375" style="2577" bestFit="1" customWidth="1"/>
    <col min="2822" max="2822" width="9.42578125" style="2577" bestFit="1" customWidth="1"/>
    <col min="2823" max="2823" width="10" style="2577" bestFit="1" customWidth="1"/>
    <col min="2824" max="2824" width="8.28515625" style="2577" customWidth="1"/>
    <col min="2825" max="2825" width="7.140625" style="2577" customWidth="1"/>
    <col min="2826" max="2826" width="10.7109375" style="2577" customWidth="1"/>
    <col min="2827" max="2827" width="8.5703125" style="2577" customWidth="1"/>
    <col min="2828" max="2829" width="8.85546875" style="2577" bestFit="1" customWidth="1"/>
    <col min="2830" max="2830" width="9.42578125" style="2577" customWidth="1"/>
    <col min="2831" max="2839" width="8.28515625" style="2577" customWidth="1"/>
    <col min="2840" max="2840" width="8.140625" style="2577" customWidth="1"/>
    <col min="2841" max="2841" width="10.42578125" style="2577" customWidth="1"/>
    <col min="2842" max="2842" width="9.140625" style="2577"/>
    <col min="2843" max="2843" width="19.42578125" style="2577" customWidth="1"/>
    <col min="2844" max="2844" width="16.42578125" style="2577" bestFit="1" customWidth="1"/>
    <col min="2845" max="3072" width="9.140625" style="2577"/>
    <col min="3073" max="3073" width="7.42578125" style="2577" customWidth="1"/>
    <col min="3074" max="3074" width="11.140625" style="2577" customWidth="1"/>
    <col min="3075" max="3075" width="7" style="2577" bestFit="1" customWidth="1"/>
    <col min="3076" max="3076" width="7.5703125" style="2577" bestFit="1" customWidth="1"/>
    <col min="3077" max="3077" width="7.7109375" style="2577" bestFit="1" customWidth="1"/>
    <col min="3078" max="3078" width="9.42578125" style="2577" bestFit="1" customWidth="1"/>
    <col min="3079" max="3079" width="10" style="2577" bestFit="1" customWidth="1"/>
    <col min="3080" max="3080" width="8.28515625" style="2577" customWidth="1"/>
    <col min="3081" max="3081" width="7.140625" style="2577" customWidth="1"/>
    <col min="3082" max="3082" width="10.7109375" style="2577" customWidth="1"/>
    <col min="3083" max="3083" width="8.5703125" style="2577" customWidth="1"/>
    <col min="3084" max="3085" width="8.85546875" style="2577" bestFit="1" customWidth="1"/>
    <col min="3086" max="3086" width="9.42578125" style="2577" customWidth="1"/>
    <col min="3087" max="3095" width="8.28515625" style="2577" customWidth="1"/>
    <col min="3096" max="3096" width="8.140625" style="2577" customWidth="1"/>
    <col min="3097" max="3097" width="10.42578125" style="2577" customWidth="1"/>
    <col min="3098" max="3098" width="9.140625" style="2577"/>
    <col min="3099" max="3099" width="19.42578125" style="2577" customWidth="1"/>
    <col min="3100" max="3100" width="16.42578125" style="2577" bestFit="1" customWidth="1"/>
    <col min="3101" max="3328" width="9.140625" style="2577"/>
    <col min="3329" max="3329" width="7.42578125" style="2577" customWidth="1"/>
    <col min="3330" max="3330" width="11.140625" style="2577" customWidth="1"/>
    <col min="3331" max="3331" width="7" style="2577" bestFit="1" customWidth="1"/>
    <col min="3332" max="3332" width="7.5703125" style="2577" bestFit="1" customWidth="1"/>
    <col min="3333" max="3333" width="7.7109375" style="2577" bestFit="1" customWidth="1"/>
    <col min="3334" max="3334" width="9.42578125" style="2577" bestFit="1" customWidth="1"/>
    <col min="3335" max="3335" width="10" style="2577" bestFit="1" customWidth="1"/>
    <col min="3336" max="3336" width="8.28515625" style="2577" customWidth="1"/>
    <col min="3337" max="3337" width="7.140625" style="2577" customWidth="1"/>
    <col min="3338" max="3338" width="10.7109375" style="2577" customWidth="1"/>
    <col min="3339" max="3339" width="8.5703125" style="2577" customWidth="1"/>
    <col min="3340" max="3341" width="8.85546875" style="2577" bestFit="1" customWidth="1"/>
    <col min="3342" max="3342" width="9.42578125" style="2577" customWidth="1"/>
    <col min="3343" max="3351" width="8.28515625" style="2577" customWidth="1"/>
    <col min="3352" max="3352" width="8.140625" style="2577" customWidth="1"/>
    <col min="3353" max="3353" width="10.42578125" style="2577" customWidth="1"/>
    <col min="3354" max="3354" width="9.140625" style="2577"/>
    <col min="3355" max="3355" width="19.42578125" style="2577" customWidth="1"/>
    <col min="3356" max="3356" width="16.42578125" style="2577" bestFit="1" customWidth="1"/>
    <col min="3357" max="3584" width="9.140625" style="2577"/>
    <col min="3585" max="3585" width="7.42578125" style="2577" customWidth="1"/>
    <col min="3586" max="3586" width="11.140625" style="2577" customWidth="1"/>
    <col min="3587" max="3587" width="7" style="2577" bestFit="1" customWidth="1"/>
    <col min="3588" max="3588" width="7.5703125" style="2577" bestFit="1" customWidth="1"/>
    <col min="3589" max="3589" width="7.7109375" style="2577" bestFit="1" customWidth="1"/>
    <col min="3590" max="3590" width="9.42578125" style="2577" bestFit="1" customWidth="1"/>
    <col min="3591" max="3591" width="10" style="2577" bestFit="1" customWidth="1"/>
    <col min="3592" max="3592" width="8.28515625" style="2577" customWidth="1"/>
    <col min="3593" max="3593" width="7.140625" style="2577" customWidth="1"/>
    <col min="3594" max="3594" width="10.7109375" style="2577" customWidth="1"/>
    <col min="3595" max="3595" width="8.5703125" style="2577" customWidth="1"/>
    <col min="3596" max="3597" width="8.85546875" style="2577" bestFit="1" customWidth="1"/>
    <col min="3598" max="3598" width="9.42578125" style="2577" customWidth="1"/>
    <col min="3599" max="3607" width="8.28515625" style="2577" customWidth="1"/>
    <col min="3608" max="3608" width="8.140625" style="2577" customWidth="1"/>
    <col min="3609" max="3609" width="10.42578125" style="2577" customWidth="1"/>
    <col min="3610" max="3610" width="9.140625" style="2577"/>
    <col min="3611" max="3611" width="19.42578125" style="2577" customWidth="1"/>
    <col min="3612" max="3612" width="16.42578125" style="2577" bestFit="1" customWidth="1"/>
    <col min="3613" max="3840" width="9.140625" style="2577"/>
    <col min="3841" max="3841" width="7.42578125" style="2577" customWidth="1"/>
    <col min="3842" max="3842" width="11.140625" style="2577" customWidth="1"/>
    <col min="3843" max="3843" width="7" style="2577" bestFit="1" customWidth="1"/>
    <col min="3844" max="3844" width="7.5703125" style="2577" bestFit="1" customWidth="1"/>
    <col min="3845" max="3845" width="7.7109375" style="2577" bestFit="1" customWidth="1"/>
    <col min="3846" max="3846" width="9.42578125" style="2577" bestFit="1" customWidth="1"/>
    <col min="3847" max="3847" width="10" style="2577" bestFit="1" customWidth="1"/>
    <col min="3848" max="3848" width="8.28515625" style="2577" customWidth="1"/>
    <col min="3849" max="3849" width="7.140625" style="2577" customWidth="1"/>
    <col min="3850" max="3850" width="10.7109375" style="2577" customWidth="1"/>
    <col min="3851" max="3851" width="8.5703125" style="2577" customWidth="1"/>
    <col min="3852" max="3853" width="8.85546875" style="2577" bestFit="1" customWidth="1"/>
    <col min="3854" max="3854" width="9.42578125" style="2577" customWidth="1"/>
    <col min="3855" max="3863" width="8.28515625" style="2577" customWidth="1"/>
    <col min="3864" max="3864" width="8.140625" style="2577" customWidth="1"/>
    <col min="3865" max="3865" width="10.42578125" style="2577" customWidth="1"/>
    <col min="3866" max="3866" width="9.140625" style="2577"/>
    <col min="3867" max="3867" width="19.42578125" style="2577" customWidth="1"/>
    <col min="3868" max="3868" width="16.42578125" style="2577" bestFit="1" customWidth="1"/>
    <col min="3869" max="4096" width="9.140625" style="2577"/>
    <col min="4097" max="4097" width="7.42578125" style="2577" customWidth="1"/>
    <col min="4098" max="4098" width="11.140625" style="2577" customWidth="1"/>
    <col min="4099" max="4099" width="7" style="2577" bestFit="1" customWidth="1"/>
    <col min="4100" max="4100" width="7.5703125" style="2577" bestFit="1" customWidth="1"/>
    <col min="4101" max="4101" width="7.7109375" style="2577" bestFit="1" customWidth="1"/>
    <col min="4102" max="4102" width="9.42578125" style="2577" bestFit="1" customWidth="1"/>
    <col min="4103" max="4103" width="10" style="2577" bestFit="1" customWidth="1"/>
    <col min="4104" max="4104" width="8.28515625" style="2577" customWidth="1"/>
    <col min="4105" max="4105" width="7.140625" style="2577" customWidth="1"/>
    <col min="4106" max="4106" width="10.7109375" style="2577" customWidth="1"/>
    <col min="4107" max="4107" width="8.5703125" style="2577" customWidth="1"/>
    <col min="4108" max="4109" width="8.85546875" style="2577" bestFit="1" customWidth="1"/>
    <col min="4110" max="4110" width="9.42578125" style="2577" customWidth="1"/>
    <col min="4111" max="4119" width="8.28515625" style="2577" customWidth="1"/>
    <col min="4120" max="4120" width="8.140625" style="2577" customWidth="1"/>
    <col min="4121" max="4121" width="10.42578125" style="2577" customWidth="1"/>
    <col min="4122" max="4122" width="9.140625" style="2577"/>
    <col min="4123" max="4123" width="19.42578125" style="2577" customWidth="1"/>
    <col min="4124" max="4124" width="16.42578125" style="2577" bestFit="1" customWidth="1"/>
    <col min="4125" max="4352" width="9.140625" style="2577"/>
    <col min="4353" max="4353" width="7.42578125" style="2577" customWidth="1"/>
    <col min="4354" max="4354" width="11.140625" style="2577" customWidth="1"/>
    <col min="4355" max="4355" width="7" style="2577" bestFit="1" customWidth="1"/>
    <col min="4356" max="4356" width="7.5703125" style="2577" bestFit="1" customWidth="1"/>
    <col min="4357" max="4357" width="7.7109375" style="2577" bestFit="1" customWidth="1"/>
    <col min="4358" max="4358" width="9.42578125" style="2577" bestFit="1" customWidth="1"/>
    <col min="4359" max="4359" width="10" style="2577" bestFit="1" customWidth="1"/>
    <col min="4360" max="4360" width="8.28515625" style="2577" customWidth="1"/>
    <col min="4361" max="4361" width="7.140625" style="2577" customWidth="1"/>
    <col min="4362" max="4362" width="10.7109375" style="2577" customWidth="1"/>
    <col min="4363" max="4363" width="8.5703125" style="2577" customWidth="1"/>
    <col min="4364" max="4365" width="8.85546875" style="2577" bestFit="1" customWidth="1"/>
    <col min="4366" max="4366" width="9.42578125" style="2577" customWidth="1"/>
    <col min="4367" max="4375" width="8.28515625" style="2577" customWidth="1"/>
    <col min="4376" max="4376" width="8.140625" style="2577" customWidth="1"/>
    <col min="4377" max="4377" width="10.42578125" style="2577" customWidth="1"/>
    <col min="4378" max="4378" width="9.140625" style="2577"/>
    <col min="4379" max="4379" width="19.42578125" style="2577" customWidth="1"/>
    <col min="4380" max="4380" width="16.42578125" style="2577" bestFit="1" customWidth="1"/>
    <col min="4381" max="4608" width="9.140625" style="2577"/>
    <col min="4609" max="4609" width="7.42578125" style="2577" customWidth="1"/>
    <col min="4610" max="4610" width="11.140625" style="2577" customWidth="1"/>
    <col min="4611" max="4611" width="7" style="2577" bestFit="1" customWidth="1"/>
    <col min="4612" max="4612" width="7.5703125" style="2577" bestFit="1" customWidth="1"/>
    <col min="4613" max="4613" width="7.7109375" style="2577" bestFit="1" customWidth="1"/>
    <col min="4614" max="4614" width="9.42578125" style="2577" bestFit="1" customWidth="1"/>
    <col min="4615" max="4615" width="10" style="2577" bestFit="1" customWidth="1"/>
    <col min="4616" max="4616" width="8.28515625" style="2577" customWidth="1"/>
    <col min="4617" max="4617" width="7.140625" style="2577" customWidth="1"/>
    <col min="4618" max="4618" width="10.7109375" style="2577" customWidth="1"/>
    <col min="4619" max="4619" width="8.5703125" style="2577" customWidth="1"/>
    <col min="4620" max="4621" width="8.85546875" style="2577" bestFit="1" customWidth="1"/>
    <col min="4622" max="4622" width="9.42578125" style="2577" customWidth="1"/>
    <col min="4623" max="4631" width="8.28515625" style="2577" customWidth="1"/>
    <col min="4632" max="4632" width="8.140625" style="2577" customWidth="1"/>
    <col min="4633" max="4633" width="10.42578125" style="2577" customWidth="1"/>
    <col min="4634" max="4634" width="9.140625" style="2577"/>
    <col min="4635" max="4635" width="19.42578125" style="2577" customWidth="1"/>
    <col min="4636" max="4636" width="16.42578125" style="2577" bestFit="1" customWidth="1"/>
    <col min="4637" max="4864" width="9.140625" style="2577"/>
    <col min="4865" max="4865" width="7.42578125" style="2577" customWidth="1"/>
    <col min="4866" max="4866" width="11.140625" style="2577" customWidth="1"/>
    <col min="4867" max="4867" width="7" style="2577" bestFit="1" customWidth="1"/>
    <col min="4868" max="4868" width="7.5703125" style="2577" bestFit="1" customWidth="1"/>
    <col min="4869" max="4869" width="7.7109375" style="2577" bestFit="1" customWidth="1"/>
    <col min="4870" max="4870" width="9.42578125" style="2577" bestFit="1" customWidth="1"/>
    <col min="4871" max="4871" width="10" style="2577" bestFit="1" customWidth="1"/>
    <col min="4872" max="4872" width="8.28515625" style="2577" customWidth="1"/>
    <col min="4873" max="4873" width="7.140625" style="2577" customWidth="1"/>
    <col min="4874" max="4874" width="10.7109375" style="2577" customWidth="1"/>
    <col min="4875" max="4875" width="8.5703125" style="2577" customWidth="1"/>
    <col min="4876" max="4877" width="8.85546875" style="2577" bestFit="1" customWidth="1"/>
    <col min="4878" max="4878" width="9.42578125" style="2577" customWidth="1"/>
    <col min="4879" max="4887" width="8.28515625" style="2577" customWidth="1"/>
    <col min="4888" max="4888" width="8.140625" style="2577" customWidth="1"/>
    <col min="4889" max="4889" width="10.42578125" style="2577" customWidth="1"/>
    <col min="4890" max="4890" width="9.140625" style="2577"/>
    <col min="4891" max="4891" width="19.42578125" style="2577" customWidth="1"/>
    <col min="4892" max="4892" width="16.42578125" style="2577" bestFit="1" customWidth="1"/>
    <col min="4893" max="5120" width="9.140625" style="2577"/>
    <col min="5121" max="5121" width="7.42578125" style="2577" customWidth="1"/>
    <col min="5122" max="5122" width="11.140625" style="2577" customWidth="1"/>
    <col min="5123" max="5123" width="7" style="2577" bestFit="1" customWidth="1"/>
    <col min="5124" max="5124" width="7.5703125" style="2577" bestFit="1" customWidth="1"/>
    <col min="5125" max="5125" width="7.7109375" style="2577" bestFit="1" customWidth="1"/>
    <col min="5126" max="5126" width="9.42578125" style="2577" bestFit="1" customWidth="1"/>
    <col min="5127" max="5127" width="10" style="2577" bestFit="1" customWidth="1"/>
    <col min="5128" max="5128" width="8.28515625" style="2577" customWidth="1"/>
    <col min="5129" max="5129" width="7.140625" style="2577" customWidth="1"/>
    <col min="5130" max="5130" width="10.7109375" style="2577" customWidth="1"/>
    <col min="5131" max="5131" width="8.5703125" style="2577" customWidth="1"/>
    <col min="5132" max="5133" width="8.85546875" style="2577" bestFit="1" customWidth="1"/>
    <col min="5134" max="5134" width="9.42578125" style="2577" customWidth="1"/>
    <col min="5135" max="5143" width="8.28515625" style="2577" customWidth="1"/>
    <col min="5144" max="5144" width="8.140625" style="2577" customWidth="1"/>
    <col min="5145" max="5145" width="10.42578125" style="2577" customWidth="1"/>
    <col min="5146" max="5146" width="9.140625" style="2577"/>
    <col min="5147" max="5147" width="19.42578125" style="2577" customWidth="1"/>
    <col min="5148" max="5148" width="16.42578125" style="2577" bestFit="1" customWidth="1"/>
    <col min="5149" max="5376" width="9.140625" style="2577"/>
    <col min="5377" max="5377" width="7.42578125" style="2577" customWidth="1"/>
    <col min="5378" max="5378" width="11.140625" style="2577" customWidth="1"/>
    <col min="5379" max="5379" width="7" style="2577" bestFit="1" customWidth="1"/>
    <col min="5380" max="5380" width="7.5703125" style="2577" bestFit="1" customWidth="1"/>
    <col min="5381" max="5381" width="7.7109375" style="2577" bestFit="1" customWidth="1"/>
    <col min="5382" max="5382" width="9.42578125" style="2577" bestFit="1" customWidth="1"/>
    <col min="5383" max="5383" width="10" style="2577" bestFit="1" customWidth="1"/>
    <col min="5384" max="5384" width="8.28515625" style="2577" customWidth="1"/>
    <col min="5385" max="5385" width="7.140625" style="2577" customWidth="1"/>
    <col min="5386" max="5386" width="10.7109375" style="2577" customWidth="1"/>
    <col min="5387" max="5387" width="8.5703125" style="2577" customWidth="1"/>
    <col min="5388" max="5389" width="8.85546875" style="2577" bestFit="1" customWidth="1"/>
    <col min="5390" max="5390" width="9.42578125" style="2577" customWidth="1"/>
    <col min="5391" max="5399" width="8.28515625" style="2577" customWidth="1"/>
    <col min="5400" max="5400" width="8.140625" style="2577" customWidth="1"/>
    <col min="5401" max="5401" width="10.42578125" style="2577" customWidth="1"/>
    <col min="5402" max="5402" width="9.140625" style="2577"/>
    <col min="5403" max="5403" width="19.42578125" style="2577" customWidth="1"/>
    <col min="5404" max="5404" width="16.42578125" style="2577" bestFit="1" customWidth="1"/>
    <col min="5405" max="5632" width="9.140625" style="2577"/>
    <col min="5633" max="5633" width="7.42578125" style="2577" customWidth="1"/>
    <col min="5634" max="5634" width="11.140625" style="2577" customWidth="1"/>
    <col min="5635" max="5635" width="7" style="2577" bestFit="1" customWidth="1"/>
    <col min="5636" max="5636" width="7.5703125" style="2577" bestFit="1" customWidth="1"/>
    <col min="5637" max="5637" width="7.7109375" style="2577" bestFit="1" customWidth="1"/>
    <col min="5638" max="5638" width="9.42578125" style="2577" bestFit="1" customWidth="1"/>
    <col min="5639" max="5639" width="10" style="2577" bestFit="1" customWidth="1"/>
    <col min="5640" max="5640" width="8.28515625" style="2577" customWidth="1"/>
    <col min="5641" max="5641" width="7.140625" style="2577" customWidth="1"/>
    <col min="5642" max="5642" width="10.7109375" style="2577" customWidth="1"/>
    <col min="5643" max="5643" width="8.5703125" style="2577" customWidth="1"/>
    <col min="5644" max="5645" width="8.85546875" style="2577" bestFit="1" customWidth="1"/>
    <col min="5646" max="5646" width="9.42578125" style="2577" customWidth="1"/>
    <col min="5647" max="5655" width="8.28515625" style="2577" customWidth="1"/>
    <col min="5656" max="5656" width="8.140625" style="2577" customWidth="1"/>
    <col min="5657" max="5657" width="10.42578125" style="2577" customWidth="1"/>
    <col min="5658" max="5658" width="9.140625" style="2577"/>
    <col min="5659" max="5659" width="19.42578125" style="2577" customWidth="1"/>
    <col min="5660" max="5660" width="16.42578125" style="2577" bestFit="1" customWidth="1"/>
    <col min="5661" max="5888" width="9.140625" style="2577"/>
    <col min="5889" max="5889" width="7.42578125" style="2577" customWidth="1"/>
    <col min="5890" max="5890" width="11.140625" style="2577" customWidth="1"/>
    <col min="5891" max="5891" width="7" style="2577" bestFit="1" customWidth="1"/>
    <col min="5892" max="5892" width="7.5703125" style="2577" bestFit="1" customWidth="1"/>
    <col min="5893" max="5893" width="7.7109375" style="2577" bestFit="1" customWidth="1"/>
    <col min="5894" max="5894" width="9.42578125" style="2577" bestFit="1" customWidth="1"/>
    <col min="5895" max="5895" width="10" style="2577" bestFit="1" customWidth="1"/>
    <col min="5896" max="5896" width="8.28515625" style="2577" customWidth="1"/>
    <col min="5897" max="5897" width="7.140625" style="2577" customWidth="1"/>
    <col min="5898" max="5898" width="10.7109375" style="2577" customWidth="1"/>
    <col min="5899" max="5899" width="8.5703125" style="2577" customWidth="1"/>
    <col min="5900" max="5901" width="8.85546875" style="2577" bestFit="1" customWidth="1"/>
    <col min="5902" max="5902" width="9.42578125" style="2577" customWidth="1"/>
    <col min="5903" max="5911" width="8.28515625" style="2577" customWidth="1"/>
    <col min="5912" max="5912" width="8.140625" style="2577" customWidth="1"/>
    <col min="5913" max="5913" width="10.42578125" style="2577" customWidth="1"/>
    <col min="5914" max="5914" width="9.140625" style="2577"/>
    <col min="5915" max="5915" width="19.42578125" style="2577" customWidth="1"/>
    <col min="5916" max="5916" width="16.42578125" style="2577" bestFit="1" customWidth="1"/>
    <col min="5917" max="6144" width="9.140625" style="2577"/>
    <col min="6145" max="6145" width="7.42578125" style="2577" customWidth="1"/>
    <col min="6146" max="6146" width="11.140625" style="2577" customWidth="1"/>
    <col min="6147" max="6147" width="7" style="2577" bestFit="1" customWidth="1"/>
    <col min="6148" max="6148" width="7.5703125" style="2577" bestFit="1" customWidth="1"/>
    <col min="6149" max="6149" width="7.7109375" style="2577" bestFit="1" customWidth="1"/>
    <col min="6150" max="6150" width="9.42578125" style="2577" bestFit="1" customWidth="1"/>
    <col min="6151" max="6151" width="10" style="2577" bestFit="1" customWidth="1"/>
    <col min="6152" max="6152" width="8.28515625" style="2577" customWidth="1"/>
    <col min="6153" max="6153" width="7.140625" style="2577" customWidth="1"/>
    <col min="6154" max="6154" width="10.7109375" style="2577" customWidth="1"/>
    <col min="6155" max="6155" width="8.5703125" style="2577" customWidth="1"/>
    <col min="6156" max="6157" width="8.85546875" style="2577" bestFit="1" customWidth="1"/>
    <col min="6158" max="6158" width="9.42578125" style="2577" customWidth="1"/>
    <col min="6159" max="6167" width="8.28515625" style="2577" customWidth="1"/>
    <col min="6168" max="6168" width="8.140625" style="2577" customWidth="1"/>
    <col min="6169" max="6169" width="10.42578125" style="2577" customWidth="1"/>
    <col min="6170" max="6170" width="9.140625" style="2577"/>
    <col min="6171" max="6171" width="19.42578125" style="2577" customWidth="1"/>
    <col min="6172" max="6172" width="16.42578125" style="2577" bestFit="1" customWidth="1"/>
    <col min="6173" max="6400" width="9.140625" style="2577"/>
    <col min="6401" max="6401" width="7.42578125" style="2577" customWidth="1"/>
    <col min="6402" max="6402" width="11.140625" style="2577" customWidth="1"/>
    <col min="6403" max="6403" width="7" style="2577" bestFit="1" customWidth="1"/>
    <col min="6404" max="6404" width="7.5703125" style="2577" bestFit="1" customWidth="1"/>
    <col min="6405" max="6405" width="7.7109375" style="2577" bestFit="1" customWidth="1"/>
    <col min="6406" max="6406" width="9.42578125" style="2577" bestFit="1" customWidth="1"/>
    <col min="6407" max="6407" width="10" style="2577" bestFit="1" customWidth="1"/>
    <col min="6408" max="6408" width="8.28515625" style="2577" customWidth="1"/>
    <col min="6409" max="6409" width="7.140625" style="2577" customWidth="1"/>
    <col min="6410" max="6410" width="10.7109375" style="2577" customWidth="1"/>
    <col min="6411" max="6411" width="8.5703125" style="2577" customWidth="1"/>
    <col min="6412" max="6413" width="8.85546875" style="2577" bestFit="1" customWidth="1"/>
    <col min="6414" max="6414" width="9.42578125" style="2577" customWidth="1"/>
    <col min="6415" max="6423" width="8.28515625" style="2577" customWidth="1"/>
    <col min="6424" max="6424" width="8.140625" style="2577" customWidth="1"/>
    <col min="6425" max="6425" width="10.42578125" style="2577" customWidth="1"/>
    <col min="6426" max="6426" width="9.140625" style="2577"/>
    <col min="6427" max="6427" width="19.42578125" style="2577" customWidth="1"/>
    <col min="6428" max="6428" width="16.42578125" style="2577" bestFit="1" customWidth="1"/>
    <col min="6429" max="6656" width="9.140625" style="2577"/>
    <col min="6657" max="6657" width="7.42578125" style="2577" customWidth="1"/>
    <col min="6658" max="6658" width="11.140625" style="2577" customWidth="1"/>
    <col min="6659" max="6659" width="7" style="2577" bestFit="1" customWidth="1"/>
    <col min="6660" max="6660" width="7.5703125" style="2577" bestFit="1" customWidth="1"/>
    <col min="6661" max="6661" width="7.7109375" style="2577" bestFit="1" customWidth="1"/>
    <col min="6662" max="6662" width="9.42578125" style="2577" bestFit="1" customWidth="1"/>
    <col min="6663" max="6663" width="10" style="2577" bestFit="1" customWidth="1"/>
    <col min="6664" max="6664" width="8.28515625" style="2577" customWidth="1"/>
    <col min="6665" max="6665" width="7.140625" style="2577" customWidth="1"/>
    <col min="6666" max="6666" width="10.7109375" style="2577" customWidth="1"/>
    <col min="6667" max="6667" width="8.5703125" style="2577" customWidth="1"/>
    <col min="6668" max="6669" width="8.85546875" style="2577" bestFit="1" customWidth="1"/>
    <col min="6670" max="6670" width="9.42578125" style="2577" customWidth="1"/>
    <col min="6671" max="6679" width="8.28515625" style="2577" customWidth="1"/>
    <col min="6680" max="6680" width="8.140625" style="2577" customWidth="1"/>
    <col min="6681" max="6681" width="10.42578125" style="2577" customWidth="1"/>
    <col min="6682" max="6682" width="9.140625" style="2577"/>
    <col min="6683" max="6683" width="19.42578125" style="2577" customWidth="1"/>
    <col min="6684" max="6684" width="16.42578125" style="2577" bestFit="1" customWidth="1"/>
    <col min="6685" max="6912" width="9.140625" style="2577"/>
    <col min="6913" max="6913" width="7.42578125" style="2577" customWidth="1"/>
    <col min="6914" max="6914" width="11.140625" style="2577" customWidth="1"/>
    <col min="6915" max="6915" width="7" style="2577" bestFit="1" customWidth="1"/>
    <col min="6916" max="6916" width="7.5703125" style="2577" bestFit="1" customWidth="1"/>
    <col min="6917" max="6917" width="7.7109375" style="2577" bestFit="1" customWidth="1"/>
    <col min="6918" max="6918" width="9.42578125" style="2577" bestFit="1" customWidth="1"/>
    <col min="6919" max="6919" width="10" style="2577" bestFit="1" customWidth="1"/>
    <col min="6920" max="6920" width="8.28515625" style="2577" customWidth="1"/>
    <col min="6921" max="6921" width="7.140625" style="2577" customWidth="1"/>
    <col min="6922" max="6922" width="10.7109375" style="2577" customWidth="1"/>
    <col min="6923" max="6923" width="8.5703125" style="2577" customWidth="1"/>
    <col min="6924" max="6925" width="8.85546875" style="2577" bestFit="1" customWidth="1"/>
    <col min="6926" max="6926" width="9.42578125" style="2577" customWidth="1"/>
    <col min="6927" max="6935" width="8.28515625" style="2577" customWidth="1"/>
    <col min="6936" max="6936" width="8.140625" style="2577" customWidth="1"/>
    <col min="6937" max="6937" width="10.42578125" style="2577" customWidth="1"/>
    <col min="6938" max="6938" width="9.140625" style="2577"/>
    <col min="6939" max="6939" width="19.42578125" style="2577" customWidth="1"/>
    <col min="6940" max="6940" width="16.42578125" style="2577" bestFit="1" customWidth="1"/>
    <col min="6941" max="7168" width="9.140625" style="2577"/>
    <col min="7169" max="7169" width="7.42578125" style="2577" customWidth="1"/>
    <col min="7170" max="7170" width="11.140625" style="2577" customWidth="1"/>
    <col min="7171" max="7171" width="7" style="2577" bestFit="1" customWidth="1"/>
    <col min="7172" max="7172" width="7.5703125" style="2577" bestFit="1" customWidth="1"/>
    <col min="7173" max="7173" width="7.7109375" style="2577" bestFit="1" customWidth="1"/>
    <col min="7174" max="7174" width="9.42578125" style="2577" bestFit="1" customWidth="1"/>
    <col min="7175" max="7175" width="10" style="2577" bestFit="1" customWidth="1"/>
    <col min="7176" max="7176" width="8.28515625" style="2577" customWidth="1"/>
    <col min="7177" max="7177" width="7.140625" style="2577" customWidth="1"/>
    <col min="7178" max="7178" width="10.7109375" style="2577" customWidth="1"/>
    <col min="7179" max="7179" width="8.5703125" style="2577" customWidth="1"/>
    <col min="7180" max="7181" width="8.85546875" style="2577" bestFit="1" customWidth="1"/>
    <col min="7182" max="7182" width="9.42578125" style="2577" customWidth="1"/>
    <col min="7183" max="7191" width="8.28515625" style="2577" customWidth="1"/>
    <col min="7192" max="7192" width="8.140625" style="2577" customWidth="1"/>
    <col min="7193" max="7193" width="10.42578125" style="2577" customWidth="1"/>
    <col min="7194" max="7194" width="9.140625" style="2577"/>
    <col min="7195" max="7195" width="19.42578125" style="2577" customWidth="1"/>
    <col min="7196" max="7196" width="16.42578125" style="2577" bestFit="1" customWidth="1"/>
    <col min="7197" max="7424" width="9.140625" style="2577"/>
    <col min="7425" max="7425" width="7.42578125" style="2577" customWidth="1"/>
    <col min="7426" max="7426" width="11.140625" style="2577" customWidth="1"/>
    <col min="7427" max="7427" width="7" style="2577" bestFit="1" customWidth="1"/>
    <col min="7428" max="7428" width="7.5703125" style="2577" bestFit="1" customWidth="1"/>
    <col min="7429" max="7429" width="7.7109375" style="2577" bestFit="1" customWidth="1"/>
    <col min="7430" max="7430" width="9.42578125" style="2577" bestFit="1" customWidth="1"/>
    <col min="7431" max="7431" width="10" style="2577" bestFit="1" customWidth="1"/>
    <col min="7432" max="7432" width="8.28515625" style="2577" customWidth="1"/>
    <col min="7433" max="7433" width="7.140625" style="2577" customWidth="1"/>
    <col min="7434" max="7434" width="10.7109375" style="2577" customWidth="1"/>
    <col min="7435" max="7435" width="8.5703125" style="2577" customWidth="1"/>
    <col min="7436" max="7437" width="8.85546875" style="2577" bestFit="1" customWidth="1"/>
    <col min="7438" max="7438" width="9.42578125" style="2577" customWidth="1"/>
    <col min="7439" max="7447" width="8.28515625" style="2577" customWidth="1"/>
    <col min="7448" max="7448" width="8.140625" style="2577" customWidth="1"/>
    <col min="7449" max="7449" width="10.42578125" style="2577" customWidth="1"/>
    <col min="7450" max="7450" width="9.140625" style="2577"/>
    <col min="7451" max="7451" width="19.42578125" style="2577" customWidth="1"/>
    <col min="7452" max="7452" width="16.42578125" style="2577" bestFit="1" customWidth="1"/>
    <col min="7453" max="7680" width="9.140625" style="2577"/>
    <col min="7681" max="7681" width="7.42578125" style="2577" customWidth="1"/>
    <col min="7682" max="7682" width="11.140625" style="2577" customWidth="1"/>
    <col min="7683" max="7683" width="7" style="2577" bestFit="1" customWidth="1"/>
    <col min="7684" max="7684" width="7.5703125" style="2577" bestFit="1" customWidth="1"/>
    <col min="7685" max="7685" width="7.7109375" style="2577" bestFit="1" customWidth="1"/>
    <col min="7686" max="7686" width="9.42578125" style="2577" bestFit="1" customWidth="1"/>
    <col min="7687" max="7687" width="10" style="2577" bestFit="1" customWidth="1"/>
    <col min="7688" max="7688" width="8.28515625" style="2577" customWidth="1"/>
    <col min="7689" max="7689" width="7.140625" style="2577" customWidth="1"/>
    <col min="7690" max="7690" width="10.7109375" style="2577" customWidth="1"/>
    <col min="7691" max="7691" width="8.5703125" style="2577" customWidth="1"/>
    <col min="7692" max="7693" width="8.85546875" style="2577" bestFit="1" customWidth="1"/>
    <col min="7694" max="7694" width="9.42578125" style="2577" customWidth="1"/>
    <col min="7695" max="7703" width="8.28515625" style="2577" customWidth="1"/>
    <col min="7704" max="7704" width="8.140625" style="2577" customWidth="1"/>
    <col min="7705" max="7705" width="10.42578125" style="2577" customWidth="1"/>
    <col min="7706" max="7706" width="9.140625" style="2577"/>
    <col min="7707" max="7707" width="19.42578125" style="2577" customWidth="1"/>
    <col min="7708" max="7708" width="16.42578125" style="2577" bestFit="1" customWidth="1"/>
    <col min="7709" max="7936" width="9.140625" style="2577"/>
    <col min="7937" max="7937" width="7.42578125" style="2577" customWidth="1"/>
    <col min="7938" max="7938" width="11.140625" style="2577" customWidth="1"/>
    <col min="7939" max="7939" width="7" style="2577" bestFit="1" customWidth="1"/>
    <col min="7940" max="7940" width="7.5703125" style="2577" bestFit="1" customWidth="1"/>
    <col min="7941" max="7941" width="7.7109375" style="2577" bestFit="1" customWidth="1"/>
    <col min="7942" max="7942" width="9.42578125" style="2577" bestFit="1" customWidth="1"/>
    <col min="7943" max="7943" width="10" style="2577" bestFit="1" customWidth="1"/>
    <col min="7944" max="7944" width="8.28515625" style="2577" customWidth="1"/>
    <col min="7945" max="7945" width="7.140625" style="2577" customWidth="1"/>
    <col min="7946" max="7946" width="10.7109375" style="2577" customWidth="1"/>
    <col min="7947" max="7947" width="8.5703125" style="2577" customWidth="1"/>
    <col min="7948" max="7949" width="8.85546875" style="2577" bestFit="1" customWidth="1"/>
    <col min="7950" max="7950" width="9.42578125" style="2577" customWidth="1"/>
    <col min="7951" max="7959" width="8.28515625" style="2577" customWidth="1"/>
    <col min="7960" max="7960" width="8.140625" style="2577" customWidth="1"/>
    <col min="7961" max="7961" width="10.42578125" style="2577" customWidth="1"/>
    <col min="7962" max="7962" width="9.140625" style="2577"/>
    <col min="7963" max="7963" width="19.42578125" style="2577" customWidth="1"/>
    <col min="7964" max="7964" width="16.42578125" style="2577" bestFit="1" customWidth="1"/>
    <col min="7965" max="8192" width="9.140625" style="2577"/>
    <col min="8193" max="8193" width="7.42578125" style="2577" customWidth="1"/>
    <col min="8194" max="8194" width="11.140625" style="2577" customWidth="1"/>
    <col min="8195" max="8195" width="7" style="2577" bestFit="1" customWidth="1"/>
    <col min="8196" max="8196" width="7.5703125" style="2577" bestFit="1" customWidth="1"/>
    <col min="8197" max="8197" width="7.7109375" style="2577" bestFit="1" customWidth="1"/>
    <col min="8198" max="8198" width="9.42578125" style="2577" bestFit="1" customWidth="1"/>
    <col min="8199" max="8199" width="10" style="2577" bestFit="1" customWidth="1"/>
    <col min="8200" max="8200" width="8.28515625" style="2577" customWidth="1"/>
    <col min="8201" max="8201" width="7.140625" style="2577" customWidth="1"/>
    <col min="8202" max="8202" width="10.7109375" style="2577" customWidth="1"/>
    <col min="8203" max="8203" width="8.5703125" style="2577" customWidth="1"/>
    <col min="8204" max="8205" width="8.85546875" style="2577" bestFit="1" customWidth="1"/>
    <col min="8206" max="8206" width="9.42578125" style="2577" customWidth="1"/>
    <col min="8207" max="8215" width="8.28515625" style="2577" customWidth="1"/>
    <col min="8216" max="8216" width="8.140625" style="2577" customWidth="1"/>
    <col min="8217" max="8217" width="10.42578125" style="2577" customWidth="1"/>
    <col min="8218" max="8218" width="9.140625" style="2577"/>
    <col min="8219" max="8219" width="19.42578125" style="2577" customWidth="1"/>
    <col min="8220" max="8220" width="16.42578125" style="2577" bestFit="1" customWidth="1"/>
    <col min="8221" max="8448" width="9.140625" style="2577"/>
    <col min="8449" max="8449" width="7.42578125" style="2577" customWidth="1"/>
    <col min="8450" max="8450" width="11.140625" style="2577" customWidth="1"/>
    <col min="8451" max="8451" width="7" style="2577" bestFit="1" customWidth="1"/>
    <col min="8452" max="8452" width="7.5703125" style="2577" bestFit="1" customWidth="1"/>
    <col min="8453" max="8453" width="7.7109375" style="2577" bestFit="1" customWidth="1"/>
    <col min="8454" max="8454" width="9.42578125" style="2577" bestFit="1" customWidth="1"/>
    <col min="8455" max="8455" width="10" style="2577" bestFit="1" customWidth="1"/>
    <col min="8456" max="8456" width="8.28515625" style="2577" customWidth="1"/>
    <col min="8457" max="8457" width="7.140625" style="2577" customWidth="1"/>
    <col min="8458" max="8458" width="10.7109375" style="2577" customWidth="1"/>
    <col min="8459" max="8459" width="8.5703125" style="2577" customWidth="1"/>
    <col min="8460" max="8461" width="8.85546875" style="2577" bestFit="1" customWidth="1"/>
    <col min="8462" max="8462" width="9.42578125" style="2577" customWidth="1"/>
    <col min="8463" max="8471" width="8.28515625" style="2577" customWidth="1"/>
    <col min="8472" max="8472" width="8.140625" style="2577" customWidth="1"/>
    <col min="8473" max="8473" width="10.42578125" style="2577" customWidth="1"/>
    <col min="8474" max="8474" width="9.140625" style="2577"/>
    <col min="8475" max="8475" width="19.42578125" style="2577" customWidth="1"/>
    <col min="8476" max="8476" width="16.42578125" style="2577" bestFit="1" customWidth="1"/>
    <col min="8477" max="8704" width="9.140625" style="2577"/>
    <col min="8705" max="8705" width="7.42578125" style="2577" customWidth="1"/>
    <col min="8706" max="8706" width="11.140625" style="2577" customWidth="1"/>
    <col min="8707" max="8707" width="7" style="2577" bestFit="1" customWidth="1"/>
    <col min="8708" max="8708" width="7.5703125" style="2577" bestFit="1" customWidth="1"/>
    <col min="8709" max="8709" width="7.7109375" style="2577" bestFit="1" customWidth="1"/>
    <col min="8710" max="8710" width="9.42578125" style="2577" bestFit="1" customWidth="1"/>
    <col min="8711" max="8711" width="10" style="2577" bestFit="1" customWidth="1"/>
    <col min="8712" max="8712" width="8.28515625" style="2577" customWidth="1"/>
    <col min="8713" max="8713" width="7.140625" style="2577" customWidth="1"/>
    <col min="8714" max="8714" width="10.7109375" style="2577" customWidth="1"/>
    <col min="8715" max="8715" width="8.5703125" style="2577" customWidth="1"/>
    <col min="8716" max="8717" width="8.85546875" style="2577" bestFit="1" customWidth="1"/>
    <col min="8718" max="8718" width="9.42578125" style="2577" customWidth="1"/>
    <col min="8719" max="8727" width="8.28515625" style="2577" customWidth="1"/>
    <col min="8728" max="8728" width="8.140625" style="2577" customWidth="1"/>
    <col min="8729" max="8729" width="10.42578125" style="2577" customWidth="1"/>
    <col min="8730" max="8730" width="9.140625" style="2577"/>
    <col min="8731" max="8731" width="19.42578125" style="2577" customWidth="1"/>
    <col min="8732" max="8732" width="16.42578125" style="2577" bestFit="1" customWidth="1"/>
    <col min="8733" max="8960" width="9.140625" style="2577"/>
    <col min="8961" max="8961" width="7.42578125" style="2577" customWidth="1"/>
    <col min="8962" max="8962" width="11.140625" style="2577" customWidth="1"/>
    <col min="8963" max="8963" width="7" style="2577" bestFit="1" customWidth="1"/>
    <col min="8964" max="8964" width="7.5703125" style="2577" bestFit="1" customWidth="1"/>
    <col min="8965" max="8965" width="7.7109375" style="2577" bestFit="1" customWidth="1"/>
    <col min="8966" max="8966" width="9.42578125" style="2577" bestFit="1" customWidth="1"/>
    <col min="8967" max="8967" width="10" style="2577" bestFit="1" customWidth="1"/>
    <col min="8968" max="8968" width="8.28515625" style="2577" customWidth="1"/>
    <col min="8969" max="8969" width="7.140625" style="2577" customWidth="1"/>
    <col min="8970" max="8970" width="10.7109375" style="2577" customWidth="1"/>
    <col min="8971" max="8971" width="8.5703125" style="2577" customWidth="1"/>
    <col min="8972" max="8973" width="8.85546875" style="2577" bestFit="1" customWidth="1"/>
    <col min="8974" max="8974" width="9.42578125" style="2577" customWidth="1"/>
    <col min="8975" max="8983" width="8.28515625" style="2577" customWidth="1"/>
    <col min="8984" max="8984" width="8.140625" style="2577" customWidth="1"/>
    <col min="8985" max="8985" width="10.42578125" style="2577" customWidth="1"/>
    <col min="8986" max="8986" width="9.140625" style="2577"/>
    <col min="8987" max="8987" width="19.42578125" style="2577" customWidth="1"/>
    <col min="8988" max="8988" width="16.42578125" style="2577" bestFit="1" customWidth="1"/>
    <col min="8989" max="9216" width="9.140625" style="2577"/>
    <col min="9217" max="9217" width="7.42578125" style="2577" customWidth="1"/>
    <col min="9218" max="9218" width="11.140625" style="2577" customWidth="1"/>
    <col min="9219" max="9219" width="7" style="2577" bestFit="1" customWidth="1"/>
    <col min="9220" max="9220" width="7.5703125" style="2577" bestFit="1" customWidth="1"/>
    <col min="9221" max="9221" width="7.7109375" style="2577" bestFit="1" customWidth="1"/>
    <col min="9222" max="9222" width="9.42578125" style="2577" bestFit="1" customWidth="1"/>
    <col min="9223" max="9223" width="10" style="2577" bestFit="1" customWidth="1"/>
    <col min="9224" max="9224" width="8.28515625" style="2577" customWidth="1"/>
    <col min="9225" max="9225" width="7.140625" style="2577" customWidth="1"/>
    <col min="9226" max="9226" width="10.7109375" style="2577" customWidth="1"/>
    <col min="9227" max="9227" width="8.5703125" style="2577" customWidth="1"/>
    <col min="9228" max="9229" width="8.85546875" style="2577" bestFit="1" customWidth="1"/>
    <col min="9230" max="9230" width="9.42578125" style="2577" customWidth="1"/>
    <col min="9231" max="9239" width="8.28515625" style="2577" customWidth="1"/>
    <col min="9240" max="9240" width="8.140625" style="2577" customWidth="1"/>
    <col min="9241" max="9241" width="10.42578125" style="2577" customWidth="1"/>
    <col min="9242" max="9242" width="9.140625" style="2577"/>
    <col min="9243" max="9243" width="19.42578125" style="2577" customWidth="1"/>
    <col min="9244" max="9244" width="16.42578125" style="2577" bestFit="1" customWidth="1"/>
    <col min="9245" max="9472" width="9.140625" style="2577"/>
    <col min="9473" max="9473" width="7.42578125" style="2577" customWidth="1"/>
    <col min="9474" max="9474" width="11.140625" style="2577" customWidth="1"/>
    <col min="9475" max="9475" width="7" style="2577" bestFit="1" customWidth="1"/>
    <col min="9476" max="9476" width="7.5703125" style="2577" bestFit="1" customWidth="1"/>
    <col min="9477" max="9477" width="7.7109375" style="2577" bestFit="1" customWidth="1"/>
    <col min="9478" max="9478" width="9.42578125" style="2577" bestFit="1" customWidth="1"/>
    <col min="9479" max="9479" width="10" style="2577" bestFit="1" customWidth="1"/>
    <col min="9480" max="9480" width="8.28515625" style="2577" customWidth="1"/>
    <col min="9481" max="9481" width="7.140625" style="2577" customWidth="1"/>
    <col min="9482" max="9482" width="10.7109375" style="2577" customWidth="1"/>
    <col min="9483" max="9483" width="8.5703125" style="2577" customWidth="1"/>
    <col min="9484" max="9485" width="8.85546875" style="2577" bestFit="1" customWidth="1"/>
    <col min="9486" max="9486" width="9.42578125" style="2577" customWidth="1"/>
    <col min="9487" max="9495" width="8.28515625" style="2577" customWidth="1"/>
    <col min="9496" max="9496" width="8.140625" style="2577" customWidth="1"/>
    <col min="9497" max="9497" width="10.42578125" style="2577" customWidth="1"/>
    <col min="9498" max="9498" width="9.140625" style="2577"/>
    <col min="9499" max="9499" width="19.42578125" style="2577" customWidth="1"/>
    <col min="9500" max="9500" width="16.42578125" style="2577" bestFit="1" customWidth="1"/>
    <col min="9501" max="9728" width="9.140625" style="2577"/>
    <col min="9729" max="9729" width="7.42578125" style="2577" customWidth="1"/>
    <col min="9730" max="9730" width="11.140625" style="2577" customWidth="1"/>
    <col min="9731" max="9731" width="7" style="2577" bestFit="1" customWidth="1"/>
    <col min="9732" max="9732" width="7.5703125" style="2577" bestFit="1" customWidth="1"/>
    <col min="9733" max="9733" width="7.7109375" style="2577" bestFit="1" customWidth="1"/>
    <col min="9734" max="9734" width="9.42578125" style="2577" bestFit="1" customWidth="1"/>
    <col min="9735" max="9735" width="10" style="2577" bestFit="1" customWidth="1"/>
    <col min="9736" max="9736" width="8.28515625" style="2577" customWidth="1"/>
    <col min="9737" max="9737" width="7.140625" style="2577" customWidth="1"/>
    <col min="9738" max="9738" width="10.7109375" style="2577" customWidth="1"/>
    <col min="9739" max="9739" width="8.5703125" style="2577" customWidth="1"/>
    <col min="9740" max="9741" width="8.85546875" style="2577" bestFit="1" customWidth="1"/>
    <col min="9742" max="9742" width="9.42578125" style="2577" customWidth="1"/>
    <col min="9743" max="9751" width="8.28515625" style="2577" customWidth="1"/>
    <col min="9752" max="9752" width="8.140625" style="2577" customWidth="1"/>
    <col min="9753" max="9753" width="10.42578125" style="2577" customWidth="1"/>
    <col min="9754" max="9754" width="9.140625" style="2577"/>
    <col min="9755" max="9755" width="19.42578125" style="2577" customWidth="1"/>
    <col min="9756" max="9756" width="16.42578125" style="2577" bestFit="1" customWidth="1"/>
    <col min="9757" max="9984" width="9.140625" style="2577"/>
    <col min="9985" max="9985" width="7.42578125" style="2577" customWidth="1"/>
    <col min="9986" max="9986" width="11.140625" style="2577" customWidth="1"/>
    <col min="9987" max="9987" width="7" style="2577" bestFit="1" customWidth="1"/>
    <col min="9988" max="9988" width="7.5703125" style="2577" bestFit="1" customWidth="1"/>
    <col min="9989" max="9989" width="7.7109375" style="2577" bestFit="1" customWidth="1"/>
    <col min="9990" max="9990" width="9.42578125" style="2577" bestFit="1" customWidth="1"/>
    <col min="9991" max="9991" width="10" style="2577" bestFit="1" customWidth="1"/>
    <col min="9992" max="9992" width="8.28515625" style="2577" customWidth="1"/>
    <col min="9993" max="9993" width="7.140625" style="2577" customWidth="1"/>
    <col min="9994" max="9994" width="10.7109375" style="2577" customWidth="1"/>
    <col min="9995" max="9995" width="8.5703125" style="2577" customWidth="1"/>
    <col min="9996" max="9997" width="8.85546875" style="2577" bestFit="1" customWidth="1"/>
    <col min="9998" max="9998" width="9.42578125" style="2577" customWidth="1"/>
    <col min="9999" max="10007" width="8.28515625" style="2577" customWidth="1"/>
    <col min="10008" max="10008" width="8.140625" style="2577" customWidth="1"/>
    <col min="10009" max="10009" width="10.42578125" style="2577" customWidth="1"/>
    <col min="10010" max="10010" width="9.140625" style="2577"/>
    <col min="10011" max="10011" width="19.42578125" style="2577" customWidth="1"/>
    <col min="10012" max="10012" width="16.42578125" style="2577" bestFit="1" customWidth="1"/>
    <col min="10013" max="10240" width="9.140625" style="2577"/>
    <col min="10241" max="10241" width="7.42578125" style="2577" customWidth="1"/>
    <col min="10242" max="10242" width="11.140625" style="2577" customWidth="1"/>
    <col min="10243" max="10243" width="7" style="2577" bestFit="1" customWidth="1"/>
    <col min="10244" max="10244" width="7.5703125" style="2577" bestFit="1" customWidth="1"/>
    <col min="10245" max="10245" width="7.7109375" style="2577" bestFit="1" customWidth="1"/>
    <col min="10246" max="10246" width="9.42578125" style="2577" bestFit="1" customWidth="1"/>
    <col min="10247" max="10247" width="10" style="2577" bestFit="1" customWidth="1"/>
    <col min="10248" max="10248" width="8.28515625" style="2577" customWidth="1"/>
    <col min="10249" max="10249" width="7.140625" style="2577" customWidth="1"/>
    <col min="10250" max="10250" width="10.7109375" style="2577" customWidth="1"/>
    <col min="10251" max="10251" width="8.5703125" style="2577" customWidth="1"/>
    <col min="10252" max="10253" width="8.85546875" style="2577" bestFit="1" customWidth="1"/>
    <col min="10254" max="10254" width="9.42578125" style="2577" customWidth="1"/>
    <col min="10255" max="10263" width="8.28515625" style="2577" customWidth="1"/>
    <col min="10264" max="10264" width="8.140625" style="2577" customWidth="1"/>
    <col min="10265" max="10265" width="10.42578125" style="2577" customWidth="1"/>
    <col min="10266" max="10266" width="9.140625" style="2577"/>
    <col min="10267" max="10267" width="19.42578125" style="2577" customWidth="1"/>
    <col min="10268" max="10268" width="16.42578125" style="2577" bestFit="1" customWidth="1"/>
    <col min="10269" max="10496" width="9.140625" style="2577"/>
    <col min="10497" max="10497" width="7.42578125" style="2577" customWidth="1"/>
    <col min="10498" max="10498" width="11.140625" style="2577" customWidth="1"/>
    <col min="10499" max="10499" width="7" style="2577" bestFit="1" customWidth="1"/>
    <col min="10500" max="10500" width="7.5703125" style="2577" bestFit="1" customWidth="1"/>
    <col min="10501" max="10501" width="7.7109375" style="2577" bestFit="1" customWidth="1"/>
    <col min="10502" max="10502" width="9.42578125" style="2577" bestFit="1" customWidth="1"/>
    <col min="10503" max="10503" width="10" style="2577" bestFit="1" customWidth="1"/>
    <col min="10504" max="10504" width="8.28515625" style="2577" customWidth="1"/>
    <col min="10505" max="10505" width="7.140625" style="2577" customWidth="1"/>
    <col min="10506" max="10506" width="10.7109375" style="2577" customWidth="1"/>
    <col min="10507" max="10507" width="8.5703125" style="2577" customWidth="1"/>
    <col min="10508" max="10509" width="8.85546875" style="2577" bestFit="1" customWidth="1"/>
    <col min="10510" max="10510" width="9.42578125" style="2577" customWidth="1"/>
    <col min="10511" max="10519" width="8.28515625" style="2577" customWidth="1"/>
    <col min="10520" max="10520" width="8.140625" style="2577" customWidth="1"/>
    <col min="10521" max="10521" width="10.42578125" style="2577" customWidth="1"/>
    <col min="10522" max="10522" width="9.140625" style="2577"/>
    <col min="10523" max="10523" width="19.42578125" style="2577" customWidth="1"/>
    <col min="10524" max="10524" width="16.42578125" style="2577" bestFit="1" customWidth="1"/>
    <col min="10525" max="10752" width="9.140625" style="2577"/>
    <col min="10753" max="10753" width="7.42578125" style="2577" customWidth="1"/>
    <col min="10754" max="10754" width="11.140625" style="2577" customWidth="1"/>
    <col min="10755" max="10755" width="7" style="2577" bestFit="1" customWidth="1"/>
    <col min="10756" max="10756" width="7.5703125" style="2577" bestFit="1" customWidth="1"/>
    <col min="10757" max="10757" width="7.7109375" style="2577" bestFit="1" customWidth="1"/>
    <col min="10758" max="10758" width="9.42578125" style="2577" bestFit="1" customWidth="1"/>
    <col min="10759" max="10759" width="10" style="2577" bestFit="1" customWidth="1"/>
    <col min="10760" max="10760" width="8.28515625" style="2577" customWidth="1"/>
    <col min="10761" max="10761" width="7.140625" style="2577" customWidth="1"/>
    <col min="10762" max="10762" width="10.7109375" style="2577" customWidth="1"/>
    <col min="10763" max="10763" width="8.5703125" style="2577" customWidth="1"/>
    <col min="10764" max="10765" width="8.85546875" style="2577" bestFit="1" customWidth="1"/>
    <col min="10766" max="10766" width="9.42578125" style="2577" customWidth="1"/>
    <col min="10767" max="10775" width="8.28515625" style="2577" customWidth="1"/>
    <col min="10776" max="10776" width="8.140625" style="2577" customWidth="1"/>
    <col min="10777" max="10777" width="10.42578125" style="2577" customWidth="1"/>
    <col min="10778" max="10778" width="9.140625" style="2577"/>
    <col min="10779" max="10779" width="19.42578125" style="2577" customWidth="1"/>
    <col min="10780" max="10780" width="16.42578125" style="2577" bestFit="1" customWidth="1"/>
    <col min="10781" max="11008" width="9.140625" style="2577"/>
    <col min="11009" max="11009" width="7.42578125" style="2577" customWidth="1"/>
    <col min="11010" max="11010" width="11.140625" style="2577" customWidth="1"/>
    <col min="11011" max="11011" width="7" style="2577" bestFit="1" customWidth="1"/>
    <col min="11012" max="11012" width="7.5703125" style="2577" bestFit="1" customWidth="1"/>
    <col min="11013" max="11013" width="7.7109375" style="2577" bestFit="1" customWidth="1"/>
    <col min="11014" max="11014" width="9.42578125" style="2577" bestFit="1" customWidth="1"/>
    <col min="11015" max="11015" width="10" style="2577" bestFit="1" customWidth="1"/>
    <col min="11016" max="11016" width="8.28515625" style="2577" customWidth="1"/>
    <col min="11017" max="11017" width="7.140625" style="2577" customWidth="1"/>
    <col min="11018" max="11018" width="10.7109375" style="2577" customWidth="1"/>
    <col min="11019" max="11019" width="8.5703125" style="2577" customWidth="1"/>
    <col min="11020" max="11021" width="8.85546875" style="2577" bestFit="1" customWidth="1"/>
    <col min="11022" max="11022" width="9.42578125" style="2577" customWidth="1"/>
    <col min="11023" max="11031" width="8.28515625" style="2577" customWidth="1"/>
    <col min="11032" max="11032" width="8.140625" style="2577" customWidth="1"/>
    <col min="11033" max="11033" width="10.42578125" style="2577" customWidth="1"/>
    <col min="11034" max="11034" width="9.140625" style="2577"/>
    <col min="11035" max="11035" width="19.42578125" style="2577" customWidth="1"/>
    <col min="11036" max="11036" width="16.42578125" style="2577" bestFit="1" customWidth="1"/>
    <col min="11037" max="11264" width="9.140625" style="2577"/>
    <col min="11265" max="11265" width="7.42578125" style="2577" customWidth="1"/>
    <col min="11266" max="11266" width="11.140625" style="2577" customWidth="1"/>
    <col min="11267" max="11267" width="7" style="2577" bestFit="1" customWidth="1"/>
    <col min="11268" max="11268" width="7.5703125" style="2577" bestFit="1" customWidth="1"/>
    <col min="11269" max="11269" width="7.7109375" style="2577" bestFit="1" customWidth="1"/>
    <col min="11270" max="11270" width="9.42578125" style="2577" bestFit="1" customWidth="1"/>
    <col min="11271" max="11271" width="10" style="2577" bestFit="1" customWidth="1"/>
    <col min="11272" max="11272" width="8.28515625" style="2577" customWidth="1"/>
    <col min="11273" max="11273" width="7.140625" style="2577" customWidth="1"/>
    <col min="11274" max="11274" width="10.7109375" style="2577" customWidth="1"/>
    <col min="11275" max="11275" width="8.5703125" style="2577" customWidth="1"/>
    <col min="11276" max="11277" width="8.85546875" style="2577" bestFit="1" customWidth="1"/>
    <col min="11278" max="11278" width="9.42578125" style="2577" customWidth="1"/>
    <col min="11279" max="11287" width="8.28515625" style="2577" customWidth="1"/>
    <col min="11288" max="11288" width="8.140625" style="2577" customWidth="1"/>
    <col min="11289" max="11289" width="10.42578125" style="2577" customWidth="1"/>
    <col min="11290" max="11290" width="9.140625" style="2577"/>
    <col min="11291" max="11291" width="19.42578125" style="2577" customWidth="1"/>
    <col min="11292" max="11292" width="16.42578125" style="2577" bestFit="1" customWidth="1"/>
    <col min="11293" max="11520" width="9.140625" style="2577"/>
    <col min="11521" max="11521" width="7.42578125" style="2577" customWidth="1"/>
    <col min="11522" max="11522" width="11.140625" style="2577" customWidth="1"/>
    <col min="11523" max="11523" width="7" style="2577" bestFit="1" customWidth="1"/>
    <col min="11524" max="11524" width="7.5703125" style="2577" bestFit="1" customWidth="1"/>
    <col min="11525" max="11525" width="7.7109375" style="2577" bestFit="1" customWidth="1"/>
    <col min="11526" max="11526" width="9.42578125" style="2577" bestFit="1" customWidth="1"/>
    <col min="11527" max="11527" width="10" style="2577" bestFit="1" customWidth="1"/>
    <col min="11528" max="11528" width="8.28515625" style="2577" customWidth="1"/>
    <col min="11529" max="11529" width="7.140625" style="2577" customWidth="1"/>
    <col min="11530" max="11530" width="10.7109375" style="2577" customWidth="1"/>
    <col min="11531" max="11531" width="8.5703125" style="2577" customWidth="1"/>
    <col min="11532" max="11533" width="8.85546875" style="2577" bestFit="1" customWidth="1"/>
    <col min="11534" max="11534" width="9.42578125" style="2577" customWidth="1"/>
    <col min="11535" max="11543" width="8.28515625" style="2577" customWidth="1"/>
    <col min="11544" max="11544" width="8.140625" style="2577" customWidth="1"/>
    <col min="11545" max="11545" width="10.42578125" style="2577" customWidth="1"/>
    <col min="11546" max="11546" width="9.140625" style="2577"/>
    <col min="11547" max="11547" width="19.42578125" style="2577" customWidth="1"/>
    <col min="11548" max="11548" width="16.42578125" style="2577" bestFit="1" customWidth="1"/>
    <col min="11549" max="11776" width="9.140625" style="2577"/>
    <col min="11777" max="11777" width="7.42578125" style="2577" customWidth="1"/>
    <col min="11778" max="11778" width="11.140625" style="2577" customWidth="1"/>
    <col min="11779" max="11779" width="7" style="2577" bestFit="1" customWidth="1"/>
    <col min="11780" max="11780" width="7.5703125" style="2577" bestFit="1" customWidth="1"/>
    <col min="11781" max="11781" width="7.7109375" style="2577" bestFit="1" customWidth="1"/>
    <col min="11782" max="11782" width="9.42578125" style="2577" bestFit="1" customWidth="1"/>
    <col min="11783" max="11783" width="10" style="2577" bestFit="1" customWidth="1"/>
    <col min="11784" max="11784" width="8.28515625" style="2577" customWidth="1"/>
    <col min="11785" max="11785" width="7.140625" style="2577" customWidth="1"/>
    <col min="11786" max="11786" width="10.7109375" style="2577" customWidth="1"/>
    <col min="11787" max="11787" width="8.5703125" style="2577" customWidth="1"/>
    <col min="11788" max="11789" width="8.85546875" style="2577" bestFit="1" customWidth="1"/>
    <col min="11790" max="11790" width="9.42578125" style="2577" customWidth="1"/>
    <col min="11791" max="11799" width="8.28515625" style="2577" customWidth="1"/>
    <col min="11800" max="11800" width="8.140625" style="2577" customWidth="1"/>
    <col min="11801" max="11801" width="10.42578125" style="2577" customWidth="1"/>
    <col min="11802" max="11802" width="9.140625" style="2577"/>
    <col min="11803" max="11803" width="19.42578125" style="2577" customWidth="1"/>
    <col min="11804" max="11804" width="16.42578125" style="2577" bestFit="1" customWidth="1"/>
    <col min="11805" max="12032" width="9.140625" style="2577"/>
    <col min="12033" max="12033" width="7.42578125" style="2577" customWidth="1"/>
    <col min="12034" max="12034" width="11.140625" style="2577" customWidth="1"/>
    <col min="12035" max="12035" width="7" style="2577" bestFit="1" customWidth="1"/>
    <col min="12036" max="12036" width="7.5703125" style="2577" bestFit="1" customWidth="1"/>
    <col min="12037" max="12037" width="7.7109375" style="2577" bestFit="1" customWidth="1"/>
    <col min="12038" max="12038" width="9.42578125" style="2577" bestFit="1" customWidth="1"/>
    <col min="12039" max="12039" width="10" style="2577" bestFit="1" customWidth="1"/>
    <col min="12040" max="12040" width="8.28515625" style="2577" customWidth="1"/>
    <col min="12041" max="12041" width="7.140625" style="2577" customWidth="1"/>
    <col min="12042" max="12042" width="10.7109375" style="2577" customWidth="1"/>
    <col min="12043" max="12043" width="8.5703125" style="2577" customWidth="1"/>
    <col min="12044" max="12045" width="8.85546875" style="2577" bestFit="1" customWidth="1"/>
    <col min="12046" max="12046" width="9.42578125" style="2577" customWidth="1"/>
    <col min="12047" max="12055" width="8.28515625" style="2577" customWidth="1"/>
    <col min="12056" max="12056" width="8.140625" style="2577" customWidth="1"/>
    <col min="12057" max="12057" width="10.42578125" style="2577" customWidth="1"/>
    <col min="12058" max="12058" width="9.140625" style="2577"/>
    <col min="12059" max="12059" width="19.42578125" style="2577" customWidth="1"/>
    <col min="12060" max="12060" width="16.42578125" style="2577" bestFit="1" customWidth="1"/>
    <col min="12061" max="12288" width="9.140625" style="2577"/>
    <col min="12289" max="12289" width="7.42578125" style="2577" customWidth="1"/>
    <col min="12290" max="12290" width="11.140625" style="2577" customWidth="1"/>
    <col min="12291" max="12291" width="7" style="2577" bestFit="1" customWidth="1"/>
    <col min="12292" max="12292" width="7.5703125" style="2577" bestFit="1" customWidth="1"/>
    <col min="12293" max="12293" width="7.7109375" style="2577" bestFit="1" customWidth="1"/>
    <col min="12294" max="12294" width="9.42578125" style="2577" bestFit="1" customWidth="1"/>
    <col min="12295" max="12295" width="10" style="2577" bestFit="1" customWidth="1"/>
    <col min="12296" max="12296" width="8.28515625" style="2577" customWidth="1"/>
    <col min="12297" max="12297" width="7.140625" style="2577" customWidth="1"/>
    <col min="12298" max="12298" width="10.7109375" style="2577" customWidth="1"/>
    <col min="12299" max="12299" width="8.5703125" style="2577" customWidth="1"/>
    <col min="12300" max="12301" width="8.85546875" style="2577" bestFit="1" customWidth="1"/>
    <col min="12302" max="12302" width="9.42578125" style="2577" customWidth="1"/>
    <col min="12303" max="12311" width="8.28515625" style="2577" customWidth="1"/>
    <col min="12312" max="12312" width="8.140625" style="2577" customWidth="1"/>
    <col min="12313" max="12313" width="10.42578125" style="2577" customWidth="1"/>
    <col min="12314" max="12314" width="9.140625" style="2577"/>
    <col min="12315" max="12315" width="19.42578125" style="2577" customWidth="1"/>
    <col min="12316" max="12316" width="16.42578125" style="2577" bestFit="1" customWidth="1"/>
    <col min="12317" max="12544" width="9.140625" style="2577"/>
    <col min="12545" max="12545" width="7.42578125" style="2577" customWidth="1"/>
    <col min="12546" max="12546" width="11.140625" style="2577" customWidth="1"/>
    <col min="12547" max="12547" width="7" style="2577" bestFit="1" customWidth="1"/>
    <col min="12548" max="12548" width="7.5703125" style="2577" bestFit="1" customWidth="1"/>
    <col min="12549" max="12549" width="7.7109375" style="2577" bestFit="1" customWidth="1"/>
    <col min="12550" max="12550" width="9.42578125" style="2577" bestFit="1" customWidth="1"/>
    <col min="12551" max="12551" width="10" style="2577" bestFit="1" customWidth="1"/>
    <col min="12552" max="12552" width="8.28515625" style="2577" customWidth="1"/>
    <col min="12553" max="12553" width="7.140625" style="2577" customWidth="1"/>
    <col min="12554" max="12554" width="10.7109375" style="2577" customWidth="1"/>
    <col min="12555" max="12555" width="8.5703125" style="2577" customWidth="1"/>
    <col min="12556" max="12557" width="8.85546875" style="2577" bestFit="1" customWidth="1"/>
    <col min="12558" max="12558" width="9.42578125" style="2577" customWidth="1"/>
    <col min="12559" max="12567" width="8.28515625" style="2577" customWidth="1"/>
    <col min="12568" max="12568" width="8.140625" style="2577" customWidth="1"/>
    <col min="12569" max="12569" width="10.42578125" style="2577" customWidth="1"/>
    <col min="12570" max="12570" width="9.140625" style="2577"/>
    <col min="12571" max="12571" width="19.42578125" style="2577" customWidth="1"/>
    <col min="12572" max="12572" width="16.42578125" style="2577" bestFit="1" customWidth="1"/>
    <col min="12573" max="12800" width="9.140625" style="2577"/>
    <col min="12801" max="12801" width="7.42578125" style="2577" customWidth="1"/>
    <col min="12802" max="12802" width="11.140625" style="2577" customWidth="1"/>
    <col min="12803" max="12803" width="7" style="2577" bestFit="1" customWidth="1"/>
    <col min="12804" max="12804" width="7.5703125" style="2577" bestFit="1" customWidth="1"/>
    <col min="12805" max="12805" width="7.7109375" style="2577" bestFit="1" customWidth="1"/>
    <col min="12806" max="12806" width="9.42578125" style="2577" bestFit="1" customWidth="1"/>
    <col min="12807" max="12807" width="10" style="2577" bestFit="1" customWidth="1"/>
    <col min="12808" max="12808" width="8.28515625" style="2577" customWidth="1"/>
    <col min="12809" max="12809" width="7.140625" style="2577" customWidth="1"/>
    <col min="12810" max="12810" width="10.7109375" style="2577" customWidth="1"/>
    <col min="12811" max="12811" width="8.5703125" style="2577" customWidth="1"/>
    <col min="12812" max="12813" width="8.85546875" style="2577" bestFit="1" customWidth="1"/>
    <col min="12814" max="12814" width="9.42578125" style="2577" customWidth="1"/>
    <col min="12815" max="12823" width="8.28515625" style="2577" customWidth="1"/>
    <col min="12824" max="12824" width="8.140625" style="2577" customWidth="1"/>
    <col min="12825" max="12825" width="10.42578125" style="2577" customWidth="1"/>
    <col min="12826" max="12826" width="9.140625" style="2577"/>
    <col min="12827" max="12827" width="19.42578125" style="2577" customWidth="1"/>
    <col min="12828" max="12828" width="16.42578125" style="2577" bestFit="1" customWidth="1"/>
    <col min="12829" max="13056" width="9.140625" style="2577"/>
    <col min="13057" max="13057" width="7.42578125" style="2577" customWidth="1"/>
    <col min="13058" max="13058" width="11.140625" style="2577" customWidth="1"/>
    <col min="13059" max="13059" width="7" style="2577" bestFit="1" customWidth="1"/>
    <col min="13060" max="13060" width="7.5703125" style="2577" bestFit="1" customWidth="1"/>
    <col min="13061" max="13061" width="7.7109375" style="2577" bestFit="1" customWidth="1"/>
    <col min="13062" max="13062" width="9.42578125" style="2577" bestFit="1" customWidth="1"/>
    <col min="13063" max="13063" width="10" style="2577" bestFit="1" customWidth="1"/>
    <col min="13064" max="13064" width="8.28515625" style="2577" customWidth="1"/>
    <col min="13065" max="13065" width="7.140625" style="2577" customWidth="1"/>
    <col min="13066" max="13066" width="10.7109375" style="2577" customWidth="1"/>
    <col min="13067" max="13067" width="8.5703125" style="2577" customWidth="1"/>
    <col min="13068" max="13069" width="8.85546875" style="2577" bestFit="1" customWidth="1"/>
    <col min="13070" max="13070" width="9.42578125" style="2577" customWidth="1"/>
    <col min="13071" max="13079" width="8.28515625" style="2577" customWidth="1"/>
    <col min="13080" max="13080" width="8.140625" style="2577" customWidth="1"/>
    <col min="13081" max="13081" width="10.42578125" style="2577" customWidth="1"/>
    <col min="13082" max="13082" width="9.140625" style="2577"/>
    <col min="13083" max="13083" width="19.42578125" style="2577" customWidth="1"/>
    <col min="13084" max="13084" width="16.42578125" style="2577" bestFit="1" customWidth="1"/>
    <col min="13085" max="13312" width="9.140625" style="2577"/>
    <col min="13313" max="13313" width="7.42578125" style="2577" customWidth="1"/>
    <col min="13314" max="13314" width="11.140625" style="2577" customWidth="1"/>
    <col min="13315" max="13315" width="7" style="2577" bestFit="1" customWidth="1"/>
    <col min="13316" max="13316" width="7.5703125" style="2577" bestFit="1" customWidth="1"/>
    <col min="13317" max="13317" width="7.7109375" style="2577" bestFit="1" customWidth="1"/>
    <col min="13318" max="13318" width="9.42578125" style="2577" bestFit="1" customWidth="1"/>
    <col min="13319" max="13319" width="10" style="2577" bestFit="1" customWidth="1"/>
    <col min="13320" max="13320" width="8.28515625" style="2577" customWidth="1"/>
    <col min="13321" max="13321" width="7.140625" style="2577" customWidth="1"/>
    <col min="13322" max="13322" width="10.7109375" style="2577" customWidth="1"/>
    <col min="13323" max="13323" width="8.5703125" style="2577" customWidth="1"/>
    <col min="13324" max="13325" width="8.85546875" style="2577" bestFit="1" customWidth="1"/>
    <col min="13326" max="13326" width="9.42578125" style="2577" customWidth="1"/>
    <col min="13327" max="13335" width="8.28515625" style="2577" customWidth="1"/>
    <col min="13336" max="13336" width="8.140625" style="2577" customWidth="1"/>
    <col min="13337" max="13337" width="10.42578125" style="2577" customWidth="1"/>
    <col min="13338" max="13338" width="9.140625" style="2577"/>
    <col min="13339" max="13339" width="19.42578125" style="2577" customWidth="1"/>
    <col min="13340" max="13340" width="16.42578125" style="2577" bestFit="1" customWidth="1"/>
    <col min="13341" max="13568" width="9.140625" style="2577"/>
    <col min="13569" max="13569" width="7.42578125" style="2577" customWidth="1"/>
    <col min="13570" max="13570" width="11.140625" style="2577" customWidth="1"/>
    <col min="13571" max="13571" width="7" style="2577" bestFit="1" customWidth="1"/>
    <col min="13572" max="13572" width="7.5703125" style="2577" bestFit="1" customWidth="1"/>
    <col min="13573" max="13573" width="7.7109375" style="2577" bestFit="1" customWidth="1"/>
    <col min="13574" max="13574" width="9.42578125" style="2577" bestFit="1" customWidth="1"/>
    <col min="13575" max="13575" width="10" style="2577" bestFit="1" customWidth="1"/>
    <col min="13576" max="13576" width="8.28515625" style="2577" customWidth="1"/>
    <col min="13577" max="13577" width="7.140625" style="2577" customWidth="1"/>
    <col min="13578" max="13578" width="10.7109375" style="2577" customWidth="1"/>
    <col min="13579" max="13579" width="8.5703125" style="2577" customWidth="1"/>
    <col min="13580" max="13581" width="8.85546875" style="2577" bestFit="1" customWidth="1"/>
    <col min="13582" max="13582" width="9.42578125" style="2577" customWidth="1"/>
    <col min="13583" max="13591" width="8.28515625" style="2577" customWidth="1"/>
    <col min="13592" max="13592" width="8.140625" style="2577" customWidth="1"/>
    <col min="13593" max="13593" width="10.42578125" style="2577" customWidth="1"/>
    <col min="13594" max="13594" width="9.140625" style="2577"/>
    <col min="13595" max="13595" width="19.42578125" style="2577" customWidth="1"/>
    <col min="13596" max="13596" width="16.42578125" style="2577" bestFit="1" customWidth="1"/>
    <col min="13597" max="13824" width="9.140625" style="2577"/>
    <col min="13825" max="13825" width="7.42578125" style="2577" customWidth="1"/>
    <col min="13826" max="13826" width="11.140625" style="2577" customWidth="1"/>
    <col min="13827" max="13827" width="7" style="2577" bestFit="1" customWidth="1"/>
    <col min="13828" max="13828" width="7.5703125" style="2577" bestFit="1" customWidth="1"/>
    <col min="13829" max="13829" width="7.7109375" style="2577" bestFit="1" customWidth="1"/>
    <col min="13830" max="13830" width="9.42578125" style="2577" bestFit="1" customWidth="1"/>
    <col min="13831" max="13831" width="10" style="2577" bestFit="1" customWidth="1"/>
    <col min="13832" max="13832" width="8.28515625" style="2577" customWidth="1"/>
    <col min="13833" max="13833" width="7.140625" style="2577" customWidth="1"/>
    <col min="13834" max="13834" width="10.7109375" style="2577" customWidth="1"/>
    <col min="13835" max="13835" width="8.5703125" style="2577" customWidth="1"/>
    <col min="13836" max="13837" width="8.85546875" style="2577" bestFit="1" customWidth="1"/>
    <col min="13838" max="13838" width="9.42578125" style="2577" customWidth="1"/>
    <col min="13839" max="13847" width="8.28515625" style="2577" customWidth="1"/>
    <col min="13848" max="13848" width="8.140625" style="2577" customWidth="1"/>
    <col min="13849" max="13849" width="10.42578125" style="2577" customWidth="1"/>
    <col min="13850" max="13850" width="9.140625" style="2577"/>
    <col min="13851" max="13851" width="19.42578125" style="2577" customWidth="1"/>
    <col min="13852" max="13852" width="16.42578125" style="2577" bestFit="1" customWidth="1"/>
    <col min="13853" max="14080" width="9.140625" style="2577"/>
    <col min="14081" max="14081" width="7.42578125" style="2577" customWidth="1"/>
    <col min="14082" max="14082" width="11.140625" style="2577" customWidth="1"/>
    <col min="14083" max="14083" width="7" style="2577" bestFit="1" customWidth="1"/>
    <col min="14084" max="14084" width="7.5703125" style="2577" bestFit="1" customWidth="1"/>
    <col min="14085" max="14085" width="7.7109375" style="2577" bestFit="1" customWidth="1"/>
    <col min="14086" max="14086" width="9.42578125" style="2577" bestFit="1" customWidth="1"/>
    <col min="14087" max="14087" width="10" style="2577" bestFit="1" customWidth="1"/>
    <col min="14088" max="14088" width="8.28515625" style="2577" customWidth="1"/>
    <col min="14089" max="14089" width="7.140625" style="2577" customWidth="1"/>
    <col min="14090" max="14090" width="10.7109375" style="2577" customWidth="1"/>
    <col min="14091" max="14091" width="8.5703125" style="2577" customWidth="1"/>
    <col min="14092" max="14093" width="8.85546875" style="2577" bestFit="1" customWidth="1"/>
    <col min="14094" max="14094" width="9.42578125" style="2577" customWidth="1"/>
    <col min="14095" max="14103" width="8.28515625" style="2577" customWidth="1"/>
    <col min="14104" max="14104" width="8.140625" style="2577" customWidth="1"/>
    <col min="14105" max="14105" width="10.42578125" style="2577" customWidth="1"/>
    <col min="14106" max="14106" width="9.140625" style="2577"/>
    <col min="14107" max="14107" width="19.42578125" style="2577" customWidth="1"/>
    <col min="14108" max="14108" width="16.42578125" style="2577" bestFit="1" customWidth="1"/>
    <col min="14109" max="14336" width="9.140625" style="2577"/>
    <col min="14337" max="14337" width="7.42578125" style="2577" customWidth="1"/>
    <col min="14338" max="14338" width="11.140625" style="2577" customWidth="1"/>
    <col min="14339" max="14339" width="7" style="2577" bestFit="1" customWidth="1"/>
    <col min="14340" max="14340" width="7.5703125" style="2577" bestFit="1" customWidth="1"/>
    <col min="14341" max="14341" width="7.7109375" style="2577" bestFit="1" customWidth="1"/>
    <col min="14342" max="14342" width="9.42578125" style="2577" bestFit="1" customWidth="1"/>
    <col min="14343" max="14343" width="10" style="2577" bestFit="1" customWidth="1"/>
    <col min="14344" max="14344" width="8.28515625" style="2577" customWidth="1"/>
    <col min="14345" max="14345" width="7.140625" style="2577" customWidth="1"/>
    <col min="14346" max="14346" width="10.7109375" style="2577" customWidth="1"/>
    <col min="14347" max="14347" width="8.5703125" style="2577" customWidth="1"/>
    <col min="14348" max="14349" width="8.85546875" style="2577" bestFit="1" customWidth="1"/>
    <col min="14350" max="14350" width="9.42578125" style="2577" customWidth="1"/>
    <col min="14351" max="14359" width="8.28515625" style="2577" customWidth="1"/>
    <col min="14360" max="14360" width="8.140625" style="2577" customWidth="1"/>
    <col min="14361" max="14361" width="10.42578125" style="2577" customWidth="1"/>
    <col min="14362" max="14362" width="9.140625" style="2577"/>
    <col min="14363" max="14363" width="19.42578125" style="2577" customWidth="1"/>
    <col min="14364" max="14364" width="16.42578125" style="2577" bestFit="1" customWidth="1"/>
    <col min="14365" max="14592" width="9.140625" style="2577"/>
    <col min="14593" max="14593" width="7.42578125" style="2577" customWidth="1"/>
    <col min="14594" max="14594" width="11.140625" style="2577" customWidth="1"/>
    <col min="14595" max="14595" width="7" style="2577" bestFit="1" customWidth="1"/>
    <col min="14596" max="14596" width="7.5703125" style="2577" bestFit="1" customWidth="1"/>
    <col min="14597" max="14597" width="7.7109375" style="2577" bestFit="1" customWidth="1"/>
    <col min="14598" max="14598" width="9.42578125" style="2577" bestFit="1" customWidth="1"/>
    <col min="14599" max="14599" width="10" style="2577" bestFit="1" customWidth="1"/>
    <col min="14600" max="14600" width="8.28515625" style="2577" customWidth="1"/>
    <col min="14601" max="14601" width="7.140625" style="2577" customWidth="1"/>
    <col min="14602" max="14602" width="10.7109375" style="2577" customWidth="1"/>
    <col min="14603" max="14603" width="8.5703125" style="2577" customWidth="1"/>
    <col min="14604" max="14605" width="8.85546875" style="2577" bestFit="1" customWidth="1"/>
    <col min="14606" max="14606" width="9.42578125" style="2577" customWidth="1"/>
    <col min="14607" max="14615" width="8.28515625" style="2577" customWidth="1"/>
    <col min="14616" max="14616" width="8.140625" style="2577" customWidth="1"/>
    <col min="14617" max="14617" width="10.42578125" style="2577" customWidth="1"/>
    <col min="14618" max="14618" width="9.140625" style="2577"/>
    <col min="14619" max="14619" width="19.42578125" style="2577" customWidth="1"/>
    <col min="14620" max="14620" width="16.42578125" style="2577" bestFit="1" customWidth="1"/>
    <col min="14621" max="14848" width="9.140625" style="2577"/>
    <col min="14849" max="14849" width="7.42578125" style="2577" customWidth="1"/>
    <col min="14850" max="14850" width="11.140625" style="2577" customWidth="1"/>
    <col min="14851" max="14851" width="7" style="2577" bestFit="1" customWidth="1"/>
    <col min="14852" max="14852" width="7.5703125" style="2577" bestFit="1" customWidth="1"/>
    <col min="14853" max="14853" width="7.7109375" style="2577" bestFit="1" customWidth="1"/>
    <col min="14854" max="14854" width="9.42578125" style="2577" bestFit="1" customWidth="1"/>
    <col min="14855" max="14855" width="10" style="2577" bestFit="1" customWidth="1"/>
    <col min="14856" max="14856" width="8.28515625" style="2577" customWidth="1"/>
    <col min="14857" max="14857" width="7.140625" style="2577" customWidth="1"/>
    <col min="14858" max="14858" width="10.7109375" style="2577" customWidth="1"/>
    <col min="14859" max="14859" width="8.5703125" style="2577" customWidth="1"/>
    <col min="14860" max="14861" width="8.85546875" style="2577" bestFit="1" customWidth="1"/>
    <col min="14862" max="14862" width="9.42578125" style="2577" customWidth="1"/>
    <col min="14863" max="14871" width="8.28515625" style="2577" customWidth="1"/>
    <col min="14872" max="14872" width="8.140625" style="2577" customWidth="1"/>
    <col min="14873" max="14873" width="10.42578125" style="2577" customWidth="1"/>
    <col min="14874" max="14874" width="9.140625" style="2577"/>
    <col min="14875" max="14875" width="19.42578125" style="2577" customWidth="1"/>
    <col min="14876" max="14876" width="16.42578125" style="2577" bestFit="1" customWidth="1"/>
    <col min="14877" max="15104" width="9.140625" style="2577"/>
    <col min="15105" max="15105" width="7.42578125" style="2577" customWidth="1"/>
    <col min="15106" max="15106" width="11.140625" style="2577" customWidth="1"/>
    <col min="15107" max="15107" width="7" style="2577" bestFit="1" customWidth="1"/>
    <col min="15108" max="15108" width="7.5703125" style="2577" bestFit="1" customWidth="1"/>
    <col min="15109" max="15109" width="7.7109375" style="2577" bestFit="1" customWidth="1"/>
    <col min="15110" max="15110" width="9.42578125" style="2577" bestFit="1" customWidth="1"/>
    <col min="15111" max="15111" width="10" style="2577" bestFit="1" customWidth="1"/>
    <col min="15112" max="15112" width="8.28515625" style="2577" customWidth="1"/>
    <col min="15113" max="15113" width="7.140625" style="2577" customWidth="1"/>
    <col min="15114" max="15114" width="10.7109375" style="2577" customWidth="1"/>
    <col min="15115" max="15115" width="8.5703125" style="2577" customWidth="1"/>
    <col min="15116" max="15117" width="8.85546875" style="2577" bestFit="1" customWidth="1"/>
    <col min="15118" max="15118" width="9.42578125" style="2577" customWidth="1"/>
    <col min="15119" max="15127" width="8.28515625" style="2577" customWidth="1"/>
    <col min="15128" max="15128" width="8.140625" style="2577" customWidth="1"/>
    <col min="15129" max="15129" width="10.42578125" style="2577" customWidth="1"/>
    <col min="15130" max="15130" width="9.140625" style="2577"/>
    <col min="15131" max="15131" width="19.42578125" style="2577" customWidth="1"/>
    <col min="15132" max="15132" width="16.42578125" style="2577" bestFit="1" customWidth="1"/>
    <col min="15133" max="15360" width="9.140625" style="2577"/>
    <col min="15361" max="15361" width="7.42578125" style="2577" customWidth="1"/>
    <col min="15362" max="15362" width="11.140625" style="2577" customWidth="1"/>
    <col min="15363" max="15363" width="7" style="2577" bestFit="1" customWidth="1"/>
    <col min="15364" max="15364" width="7.5703125" style="2577" bestFit="1" customWidth="1"/>
    <col min="15365" max="15365" width="7.7109375" style="2577" bestFit="1" customWidth="1"/>
    <col min="15366" max="15366" width="9.42578125" style="2577" bestFit="1" customWidth="1"/>
    <col min="15367" max="15367" width="10" style="2577" bestFit="1" customWidth="1"/>
    <col min="15368" max="15368" width="8.28515625" style="2577" customWidth="1"/>
    <col min="15369" max="15369" width="7.140625" style="2577" customWidth="1"/>
    <col min="15370" max="15370" width="10.7109375" style="2577" customWidth="1"/>
    <col min="15371" max="15371" width="8.5703125" style="2577" customWidth="1"/>
    <col min="15372" max="15373" width="8.85546875" style="2577" bestFit="1" customWidth="1"/>
    <col min="15374" max="15374" width="9.42578125" style="2577" customWidth="1"/>
    <col min="15375" max="15383" width="8.28515625" style="2577" customWidth="1"/>
    <col min="15384" max="15384" width="8.140625" style="2577" customWidth="1"/>
    <col min="15385" max="15385" width="10.42578125" style="2577" customWidth="1"/>
    <col min="15386" max="15386" width="9.140625" style="2577"/>
    <col min="15387" max="15387" width="19.42578125" style="2577" customWidth="1"/>
    <col min="15388" max="15388" width="16.42578125" style="2577" bestFit="1" customWidth="1"/>
    <col min="15389" max="15616" width="9.140625" style="2577"/>
    <col min="15617" max="15617" width="7.42578125" style="2577" customWidth="1"/>
    <col min="15618" max="15618" width="11.140625" style="2577" customWidth="1"/>
    <col min="15619" max="15619" width="7" style="2577" bestFit="1" customWidth="1"/>
    <col min="15620" max="15620" width="7.5703125" style="2577" bestFit="1" customWidth="1"/>
    <col min="15621" max="15621" width="7.7109375" style="2577" bestFit="1" customWidth="1"/>
    <col min="15622" max="15622" width="9.42578125" style="2577" bestFit="1" customWidth="1"/>
    <col min="15623" max="15623" width="10" style="2577" bestFit="1" customWidth="1"/>
    <col min="15624" max="15624" width="8.28515625" style="2577" customWidth="1"/>
    <col min="15625" max="15625" width="7.140625" style="2577" customWidth="1"/>
    <col min="15626" max="15626" width="10.7109375" style="2577" customWidth="1"/>
    <col min="15627" max="15627" width="8.5703125" style="2577" customWidth="1"/>
    <col min="15628" max="15629" width="8.85546875" style="2577" bestFit="1" customWidth="1"/>
    <col min="15630" max="15630" width="9.42578125" style="2577" customWidth="1"/>
    <col min="15631" max="15639" width="8.28515625" style="2577" customWidth="1"/>
    <col min="15640" max="15640" width="8.140625" style="2577" customWidth="1"/>
    <col min="15641" max="15641" width="10.42578125" style="2577" customWidth="1"/>
    <col min="15642" max="15642" width="9.140625" style="2577"/>
    <col min="15643" max="15643" width="19.42578125" style="2577" customWidth="1"/>
    <col min="15644" max="15644" width="16.42578125" style="2577" bestFit="1" customWidth="1"/>
    <col min="15645" max="15872" width="9.140625" style="2577"/>
    <col min="15873" max="15873" width="7.42578125" style="2577" customWidth="1"/>
    <col min="15874" max="15874" width="11.140625" style="2577" customWidth="1"/>
    <col min="15875" max="15875" width="7" style="2577" bestFit="1" customWidth="1"/>
    <col min="15876" max="15876" width="7.5703125" style="2577" bestFit="1" customWidth="1"/>
    <col min="15877" max="15877" width="7.7109375" style="2577" bestFit="1" customWidth="1"/>
    <col min="15878" max="15878" width="9.42578125" style="2577" bestFit="1" customWidth="1"/>
    <col min="15879" max="15879" width="10" style="2577" bestFit="1" customWidth="1"/>
    <col min="15880" max="15880" width="8.28515625" style="2577" customWidth="1"/>
    <col min="15881" max="15881" width="7.140625" style="2577" customWidth="1"/>
    <col min="15882" max="15882" width="10.7109375" style="2577" customWidth="1"/>
    <col min="15883" max="15883" width="8.5703125" style="2577" customWidth="1"/>
    <col min="15884" max="15885" width="8.85546875" style="2577" bestFit="1" customWidth="1"/>
    <col min="15886" max="15886" width="9.42578125" style="2577" customWidth="1"/>
    <col min="15887" max="15895" width="8.28515625" style="2577" customWidth="1"/>
    <col min="15896" max="15896" width="8.140625" style="2577" customWidth="1"/>
    <col min="15897" max="15897" width="10.42578125" style="2577" customWidth="1"/>
    <col min="15898" max="15898" width="9.140625" style="2577"/>
    <col min="15899" max="15899" width="19.42578125" style="2577" customWidth="1"/>
    <col min="15900" max="15900" width="16.42578125" style="2577" bestFit="1" customWidth="1"/>
    <col min="15901" max="16128" width="9.140625" style="2577"/>
    <col min="16129" max="16129" width="7.42578125" style="2577" customWidth="1"/>
    <col min="16130" max="16130" width="11.140625" style="2577" customWidth="1"/>
    <col min="16131" max="16131" width="7" style="2577" bestFit="1" customWidth="1"/>
    <col min="16132" max="16132" width="7.5703125" style="2577" bestFit="1" customWidth="1"/>
    <col min="16133" max="16133" width="7.7109375" style="2577" bestFit="1" customWidth="1"/>
    <col min="16134" max="16134" width="9.42578125" style="2577" bestFit="1" customWidth="1"/>
    <col min="16135" max="16135" width="10" style="2577" bestFit="1" customWidth="1"/>
    <col min="16136" max="16136" width="8.28515625" style="2577" customWidth="1"/>
    <col min="16137" max="16137" width="7.140625" style="2577" customWidth="1"/>
    <col min="16138" max="16138" width="10.7109375" style="2577" customWidth="1"/>
    <col min="16139" max="16139" width="8.5703125" style="2577" customWidth="1"/>
    <col min="16140" max="16141" width="8.85546875" style="2577" bestFit="1" customWidth="1"/>
    <col min="16142" max="16142" width="9.42578125" style="2577" customWidth="1"/>
    <col min="16143" max="16151" width="8.28515625" style="2577" customWidth="1"/>
    <col min="16152" max="16152" width="8.140625" style="2577" customWidth="1"/>
    <col min="16153" max="16153" width="10.42578125" style="2577" customWidth="1"/>
    <col min="16154" max="16154" width="9.140625" style="2577"/>
    <col min="16155" max="16155" width="19.42578125" style="2577" customWidth="1"/>
    <col min="16156" max="16156" width="16.42578125" style="2577" bestFit="1" customWidth="1"/>
    <col min="16157" max="16384" width="9.140625" style="2577"/>
  </cols>
  <sheetData>
    <row r="1" spans="1:29" ht="30.75" customHeight="1">
      <c r="A1" s="2571" t="s">
        <v>3885</v>
      </c>
      <c r="B1" s="2572"/>
      <c r="C1" s="2573"/>
      <c r="D1" s="2574"/>
      <c r="E1" s="2573"/>
      <c r="F1" s="2573"/>
      <c r="G1" s="2573"/>
      <c r="H1" s="2575"/>
      <c r="I1" s="2575"/>
      <c r="J1" s="2575"/>
      <c r="K1" s="2575"/>
      <c r="L1" s="2573"/>
      <c r="M1" s="2573"/>
      <c r="N1" s="2576"/>
      <c r="O1" s="2573"/>
      <c r="P1" s="2573"/>
      <c r="Q1" s="2573"/>
      <c r="R1" s="2573"/>
      <c r="S1" s="2573"/>
      <c r="T1" s="2573"/>
      <c r="U1" s="2573"/>
      <c r="V1" s="2573"/>
      <c r="W1" s="2573"/>
      <c r="X1" s="2575"/>
      <c r="Y1" s="2573"/>
      <c r="Z1" s="2573"/>
    </row>
    <row r="2" spans="1:29" ht="28.5" customHeight="1" thickBot="1">
      <c r="A2" s="2578"/>
      <c r="B2" s="2578"/>
      <c r="C2" s="2578"/>
      <c r="D2" s="2578"/>
      <c r="E2" s="2579"/>
      <c r="F2" s="2578"/>
      <c r="G2" s="2578"/>
      <c r="H2" s="2578"/>
      <c r="I2" s="2578"/>
      <c r="J2" s="2578"/>
      <c r="K2" s="2578"/>
      <c r="L2" s="2578"/>
      <c r="M2" s="2578"/>
      <c r="N2" s="2580"/>
      <c r="O2" s="2578"/>
      <c r="P2" s="2581" t="s">
        <v>2695</v>
      </c>
      <c r="Q2" s="2578"/>
      <c r="R2" s="2578"/>
      <c r="S2" s="2578"/>
      <c r="T2" s="2578"/>
      <c r="U2" s="2573"/>
      <c r="V2" s="2582"/>
      <c r="W2" s="2578"/>
      <c r="X2" s="3168" t="s">
        <v>2559</v>
      </c>
      <c r="Y2" s="3168"/>
      <c r="Z2" s="2573"/>
    </row>
    <row r="3" spans="1:29" ht="30.75" customHeight="1" thickTop="1" thickBot="1">
      <c r="A3" s="2583" t="s">
        <v>3886</v>
      </c>
      <c r="B3" s="3169" t="s">
        <v>3887</v>
      </c>
      <c r="C3" s="3170"/>
      <c r="D3" s="3170"/>
      <c r="E3" s="3170"/>
      <c r="F3" s="3170"/>
      <c r="G3" s="3170"/>
      <c r="H3" s="3170"/>
      <c r="I3" s="3170"/>
      <c r="J3" s="2584"/>
      <c r="K3" s="3171" t="s">
        <v>3888</v>
      </c>
      <c r="L3" s="3172"/>
      <c r="M3" s="3172"/>
      <c r="N3" s="3172"/>
      <c r="O3" s="3172"/>
      <c r="P3" s="3172"/>
      <c r="Q3" s="3172"/>
      <c r="R3" s="3172"/>
      <c r="S3" s="3172"/>
      <c r="T3" s="3172"/>
      <c r="U3" s="3172"/>
      <c r="V3" s="3172"/>
      <c r="W3" s="3172"/>
      <c r="X3" s="2584"/>
      <c r="Y3" s="2585" t="s">
        <v>54</v>
      </c>
      <c r="Z3" s="2573"/>
    </row>
    <row r="4" spans="1:29" ht="28.5" customHeight="1">
      <c r="A4" s="2586" t="s">
        <v>118</v>
      </c>
      <c r="B4" s="2587" t="s">
        <v>3889</v>
      </c>
      <c r="C4" s="2588"/>
      <c r="D4" s="2588"/>
      <c r="E4" s="2589"/>
      <c r="F4" s="2588"/>
      <c r="G4" s="2588"/>
      <c r="H4" s="2588"/>
      <c r="I4" s="2590"/>
      <c r="J4" s="2591"/>
      <c r="K4" s="2588" t="s">
        <v>3890</v>
      </c>
      <c r="L4" s="2592" t="s">
        <v>3891</v>
      </c>
      <c r="M4" s="2592"/>
      <c r="N4" s="2592"/>
      <c r="O4" s="2592"/>
      <c r="P4" s="2592"/>
      <c r="Q4" s="2592"/>
      <c r="R4" s="2592"/>
      <c r="S4" s="2592"/>
      <c r="T4" s="2592"/>
      <c r="U4" s="2592"/>
      <c r="V4" s="2592"/>
      <c r="W4" s="2592"/>
      <c r="X4" s="2590"/>
      <c r="Y4" s="2593" t="s">
        <v>3892</v>
      </c>
      <c r="Z4" s="2573"/>
    </row>
    <row r="5" spans="1:29" ht="28.5" customHeight="1">
      <c r="A5" s="2586" t="s">
        <v>3095</v>
      </c>
      <c r="B5" s="2594" t="s">
        <v>2362</v>
      </c>
      <c r="C5" s="2594" t="s">
        <v>3893</v>
      </c>
      <c r="D5" s="2594" t="s">
        <v>3894</v>
      </c>
      <c r="E5" s="2595" t="s">
        <v>3895</v>
      </c>
      <c r="F5" s="2594" t="s">
        <v>3896</v>
      </c>
      <c r="G5" s="2594" t="s">
        <v>3897</v>
      </c>
      <c r="H5" s="2594" t="s">
        <v>3898</v>
      </c>
      <c r="I5" s="2596" t="s">
        <v>3899</v>
      </c>
      <c r="J5" s="2597" t="s">
        <v>81</v>
      </c>
      <c r="K5" s="2594" t="s">
        <v>3900</v>
      </c>
      <c r="L5" s="2598" t="s">
        <v>3901</v>
      </c>
      <c r="M5" s="2598" t="s">
        <v>3902</v>
      </c>
      <c r="N5" s="2598" t="s">
        <v>3903</v>
      </c>
      <c r="O5" s="2598" t="s">
        <v>3904</v>
      </c>
      <c r="P5" s="2598" t="s">
        <v>3905</v>
      </c>
      <c r="Q5" s="2598" t="s">
        <v>3906</v>
      </c>
      <c r="R5" s="2598" t="s">
        <v>3907</v>
      </c>
      <c r="S5" s="2598" t="s">
        <v>3908</v>
      </c>
      <c r="T5" s="2598" t="s">
        <v>3909</v>
      </c>
      <c r="U5" s="2598" t="s">
        <v>3910</v>
      </c>
      <c r="V5" s="2598" t="s">
        <v>3911</v>
      </c>
      <c r="W5" s="2598" t="s">
        <v>3912</v>
      </c>
      <c r="X5" s="2596" t="s">
        <v>81</v>
      </c>
      <c r="Y5" s="2593" t="s">
        <v>3913</v>
      </c>
      <c r="Z5" s="2573"/>
    </row>
    <row r="6" spans="1:29" ht="28.5" customHeight="1" thickBot="1">
      <c r="A6" s="2599"/>
      <c r="B6" s="2600" t="s">
        <v>3914</v>
      </c>
      <c r="C6" s="2600"/>
      <c r="D6" s="2600"/>
      <c r="E6" s="2601"/>
      <c r="F6" s="2600"/>
      <c r="G6" s="2600"/>
      <c r="H6" s="2600"/>
      <c r="I6" s="2602"/>
      <c r="J6" s="2603"/>
      <c r="K6" s="2600" t="s">
        <v>2340</v>
      </c>
      <c r="L6" s="2604" t="s">
        <v>2340</v>
      </c>
      <c r="M6" s="2604"/>
      <c r="N6" s="2604"/>
      <c r="O6" s="2604"/>
      <c r="P6" s="2604"/>
      <c r="Q6" s="2604"/>
      <c r="R6" s="2604"/>
      <c r="S6" s="2604"/>
      <c r="T6" s="2604" t="s">
        <v>3915</v>
      </c>
      <c r="U6" s="2604"/>
      <c r="V6" s="2604"/>
      <c r="W6" s="2604"/>
      <c r="X6" s="2602"/>
      <c r="Y6" s="2605" t="s">
        <v>3888</v>
      </c>
      <c r="Z6" s="2573"/>
    </row>
    <row r="7" spans="1:29" ht="3.75" hidden="1" customHeight="1" thickTop="1">
      <c r="A7" s="2606"/>
      <c r="B7" s="2607"/>
      <c r="C7" s="2608"/>
      <c r="D7" s="2608"/>
      <c r="E7" s="2609"/>
      <c r="F7" s="2608"/>
      <c r="G7" s="2608"/>
      <c r="H7" s="2608"/>
      <c r="I7" s="2610"/>
      <c r="J7" s="2611"/>
      <c r="K7" s="2607"/>
      <c r="L7" s="2612"/>
      <c r="M7" s="2612"/>
      <c r="N7" s="2613"/>
      <c r="O7" s="2613"/>
      <c r="P7" s="2612"/>
      <c r="Q7" s="2612"/>
      <c r="R7" s="2612"/>
      <c r="S7" s="2612"/>
      <c r="T7" s="2612"/>
      <c r="U7" s="2612"/>
      <c r="V7" s="2614"/>
      <c r="W7" s="2614"/>
      <c r="X7" s="2615"/>
      <c r="Y7" s="2616"/>
      <c r="Z7" s="2573"/>
    </row>
    <row r="8" spans="1:29" ht="28.5" hidden="1" customHeight="1">
      <c r="A8" s="2617">
        <v>35947</v>
      </c>
      <c r="B8" s="2618">
        <v>21.8</v>
      </c>
      <c r="C8" s="2619">
        <v>0</v>
      </c>
      <c r="D8" s="2619">
        <v>179.5</v>
      </c>
      <c r="E8" s="2619">
        <v>846</v>
      </c>
      <c r="F8" s="2619">
        <v>860.5</v>
      </c>
      <c r="G8" s="2619">
        <v>1426.8</v>
      </c>
      <c r="H8" s="2619">
        <v>2330.3000000000002</v>
      </c>
      <c r="I8" s="2620">
        <v>0</v>
      </c>
      <c r="J8" s="2621">
        <v>5835.4929099999999</v>
      </c>
      <c r="K8" s="2618">
        <v>6.6</v>
      </c>
      <c r="L8" s="2619">
        <v>11.7</v>
      </c>
      <c r="M8" s="2619"/>
      <c r="N8" s="2622">
        <v>17.8</v>
      </c>
      <c r="O8" s="2622">
        <v>53.5</v>
      </c>
      <c r="P8" s="2619">
        <v>66.3</v>
      </c>
      <c r="Q8" s="2619">
        <v>15.1</v>
      </c>
      <c r="R8" s="2619">
        <v>6.5</v>
      </c>
      <c r="S8" s="2619">
        <v>15.7</v>
      </c>
      <c r="T8" s="2619">
        <v>2.5</v>
      </c>
      <c r="U8" s="2619">
        <v>3.7</v>
      </c>
      <c r="V8" s="2619">
        <v>0.3</v>
      </c>
      <c r="W8" s="2619">
        <v>0.2</v>
      </c>
      <c r="X8" s="2623">
        <v>199.9</v>
      </c>
      <c r="Y8" s="2624">
        <v>6035.3929099999996</v>
      </c>
      <c r="Z8" s="2625"/>
    </row>
    <row r="9" spans="1:29" ht="28.5" hidden="1" customHeight="1">
      <c r="A9" s="2617">
        <v>36039</v>
      </c>
      <c r="B9" s="2618">
        <v>21.7</v>
      </c>
      <c r="C9" s="2619">
        <v>0</v>
      </c>
      <c r="D9" s="2619">
        <v>184.7</v>
      </c>
      <c r="E9" s="2619">
        <v>877.3</v>
      </c>
      <c r="F9" s="2619">
        <v>933</v>
      </c>
      <c r="G9" s="2619">
        <v>1518.8</v>
      </c>
      <c r="H9" s="2619">
        <v>2356.9</v>
      </c>
      <c r="I9" s="2620">
        <v>0</v>
      </c>
      <c r="J9" s="2621">
        <v>6056.2</v>
      </c>
      <c r="K9" s="2618">
        <v>6.6</v>
      </c>
      <c r="L9" s="2619">
        <v>11.7</v>
      </c>
      <c r="M9" s="2619"/>
      <c r="N9" s="2622">
        <v>26.9</v>
      </c>
      <c r="O9" s="2622">
        <v>55.2</v>
      </c>
      <c r="P9" s="2619">
        <v>66.8</v>
      </c>
      <c r="Q9" s="2619">
        <v>15.5</v>
      </c>
      <c r="R9" s="2619">
        <v>6.4</v>
      </c>
      <c r="S9" s="2619">
        <v>16.100000000000001</v>
      </c>
      <c r="T9" s="2619">
        <v>2.5</v>
      </c>
      <c r="U9" s="2619">
        <v>3.8</v>
      </c>
      <c r="V9" s="2619">
        <v>0.3</v>
      </c>
      <c r="W9" s="2619">
        <v>0.2</v>
      </c>
      <c r="X9" s="2623">
        <v>212.1</v>
      </c>
      <c r="Y9" s="2624">
        <v>6268.3</v>
      </c>
      <c r="Z9" s="2573"/>
    </row>
    <row r="10" spans="1:29" ht="28.5" hidden="1" customHeight="1">
      <c r="A10" s="2617">
        <v>36130</v>
      </c>
      <c r="B10" s="2618">
        <v>21.6</v>
      </c>
      <c r="C10" s="2619">
        <v>21.6</v>
      </c>
      <c r="D10" s="2619">
        <v>208.5</v>
      </c>
      <c r="E10" s="2619">
        <v>1063.0999999999999</v>
      </c>
      <c r="F10" s="2619">
        <v>1173.4000000000001</v>
      </c>
      <c r="G10" s="2619">
        <v>1841.1</v>
      </c>
      <c r="H10" s="2619">
        <v>3145.8</v>
      </c>
      <c r="I10" s="2620">
        <v>196.1</v>
      </c>
      <c r="J10" s="2621">
        <v>7814.4</v>
      </c>
      <c r="K10" s="2618">
        <v>6.6</v>
      </c>
      <c r="L10" s="2619">
        <v>11.8</v>
      </c>
      <c r="M10" s="2619"/>
      <c r="N10" s="2622">
        <v>51.8</v>
      </c>
      <c r="O10" s="2622">
        <v>58.9</v>
      </c>
      <c r="P10" s="2619">
        <v>69.3</v>
      </c>
      <c r="Q10" s="2619">
        <v>15.9</v>
      </c>
      <c r="R10" s="2619">
        <v>6.4</v>
      </c>
      <c r="S10" s="2619">
        <v>16.600000000000001</v>
      </c>
      <c r="T10" s="2619">
        <v>2.5</v>
      </c>
      <c r="U10" s="2619">
        <v>3.9</v>
      </c>
      <c r="V10" s="2619">
        <v>0.3</v>
      </c>
      <c r="W10" s="2619">
        <v>0.2</v>
      </c>
      <c r="X10" s="2623">
        <v>244.3</v>
      </c>
      <c r="Y10" s="2624">
        <v>8058.7</v>
      </c>
      <c r="Z10" s="2625"/>
    </row>
    <row r="11" spans="1:29" ht="28.5" hidden="1" customHeight="1">
      <c r="A11" s="2617">
        <v>36220</v>
      </c>
      <c r="B11" s="2618">
        <v>21.6</v>
      </c>
      <c r="C11" s="2619">
        <v>23.5</v>
      </c>
      <c r="D11" s="2619">
        <v>185</v>
      </c>
      <c r="E11" s="2619">
        <v>906.5</v>
      </c>
      <c r="F11" s="2619">
        <v>1022.4</v>
      </c>
      <c r="G11" s="2619">
        <v>1441.8</v>
      </c>
      <c r="H11" s="2619">
        <v>2565.5</v>
      </c>
      <c r="I11" s="2620">
        <v>213.9</v>
      </c>
      <c r="J11" s="2621">
        <v>6498.1</v>
      </c>
      <c r="K11" s="2618">
        <v>6.7</v>
      </c>
      <c r="L11" s="2619">
        <v>12</v>
      </c>
      <c r="M11" s="2619"/>
      <c r="N11" s="2622">
        <v>64.599999999999994</v>
      </c>
      <c r="O11" s="2622">
        <v>55.3</v>
      </c>
      <c r="P11" s="2619">
        <v>68.8</v>
      </c>
      <c r="Q11" s="2619">
        <v>16.100000000000001</v>
      </c>
      <c r="R11" s="2619">
        <v>6.4</v>
      </c>
      <c r="S11" s="2619">
        <v>16.899999999999999</v>
      </c>
      <c r="T11" s="2619">
        <v>2.4</v>
      </c>
      <c r="U11" s="2619">
        <v>3.9</v>
      </c>
      <c r="V11" s="2619">
        <v>0.3</v>
      </c>
      <c r="W11" s="2619">
        <v>0.2</v>
      </c>
      <c r="X11" s="2623">
        <v>253.6</v>
      </c>
      <c r="Y11" s="2624">
        <v>6751.7</v>
      </c>
      <c r="Z11" s="2625"/>
    </row>
    <row r="12" spans="1:29" ht="28.5" hidden="1" customHeight="1">
      <c r="A12" s="2617">
        <v>39448</v>
      </c>
      <c r="B12" s="2618">
        <v>228.1</v>
      </c>
      <c r="C12" s="2619">
        <v>166.9</v>
      </c>
      <c r="D12" s="2619">
        <v>231.3</v>
      </c>
      <c r="E12" s="2619">
        <v>923.4</v>
      </c>
      <c r="F12" s="2619">
        <v>1294.4000000000001</v>
      </c>
      <c r="G12" s="2619">
        <v>2078.1999999999998</v>
      </c>
      <c r="H12" s="2619">
        <v>9790</v>
      </c>
      <c r="I12" s="2620">
        <v>724.3</v>
      </c>
      <c r="J12" s="2621">
        <v>15436.616595</v>
      </c>
      <c r="K12" s="2618">
        <v>7</v>
      </c>
      <c r="L12" s="2619">
        <v>12.8</v>
      </c>
      <c r="M12" s="2619">
        <v>4.0999999999999996</v>
      </c>
      <c r="N12" s="2622">
        <v>203.6</v>
      </c>
      <c r="O12" s="2622">
        <v>86.2</v>
      </c>
      <c r="P12" s="2619">
        <v>103.3</v>
      </c>
      <c r="Q12" s="2619">
        <v>24.5</v>
      </c>
      <c r="R12" s="2619">
        <v>6.4</v>
      </c>
      <c r="S12" s="2619">
        <v>31</v>
      </c>
      <c r="T12" s="2619">
        <v>2.4</v>
      </c>
      <c r="U12" s="2619">
        <v>7.1</v>
      </c>
      <c r="V12" s="2619">
        <v>0.3</v>
      </c>
      <c r="W12" s="2619">
        <v>0.2</v>
      </c>
      <c r="X12" s="2623">
        <v>488.9</v>
      </c>
      <c r="Y12" s="2624">
        <v>15925.516594999999</v>
      </c>
      <c r="Z12" s="2625"/>
      <c r="AA12" s="2626"/>
      <c r="AB12" s="2626"/>
      <c r="AC12" s="2626"/>
    </row>
    <row r="13" spans="1:29" ht="28.5" hidden="1" customHeight="1">
      <c r="A13" s="2617">
        <v>39479</v>
      </c>
      <c r="B13" s="2618">
        <v>228.09999999999854</v>
      </c>
      <c r="C13" s="2619">
        <v>162.30000000000001</v>
      </c>
      <c r="D13" s="2619">
        <v>225.4</v>
      </c>
      <c r="E13" s="2619">
        <v>913.2</v>
      </c>
      <c r="F13" s="2619">
        <v>1229.7</v>
      </c>
      <c r="G13" s="2619">
        <v>1964.2</v>
      </c>
      <c r="H13" s="2619">
        <v>9538.1</v>
      </c>
      <c r="I13" s="2620">
        <v>703.6</v>
      </c>
      <c r="J13" s="2621">
        <v>14964.575835</v>
      </c>
      <c r="K13" s="2618">
        <v>7</v>
      </c>
      <c r="L13" s="2619">
        <v>12.8</v>
      </c>
      <c r="M13" s="2619">
        <v>8.8000000000000007</v>
      </c>
      <c r="N13" s="2622">
        <v>203.4</v>
      </c>
      <c r="O13" s="2622">
        <v>86.3</v>
      </c>
      <c r="P13" s="2619">
        <v>104</v>
      </c>
      <c r="Q13" s="2619">
        <v>24.6</v>
      </c>
      <c r="R13" s="2619">
        <v>6.4</v>
      </c>
      <c r="S13" s="2619">
        <v>31.1</v>
      </c>
      <c r="T13" s="2619">
        <v>2.4</v>
      </c>
      <c r="U13" s="2619">
        <v>7.2</v>
      </c>
      <c r="V13" s="2619">
        <v>0.3</v>
      </c>
      <c r="W13" s="2619">
        <v>0.2</v>
      </c>
      <c r="X13" s="2623">
        <v>494.5</v>
      </c>
      <c r="Y13" s="2624">
        <v>15458.975834999999</v>
      </c>
      <c r="Z13" s="2625"/>
      <c r="AA13" s="2626"/>
      <c r="AB13" s="2626"/>
      <c r="AC13" s="2626"/>
    </row>
    <row r="14" spans="1:29" ht="28.5" hidden="1" customHeight="1">
      <c r="A14" s="2617">
        <v>39508</v>
      </c>
      <c r="B14" s="2618">
        <v>228</v>
      </c>
      <c r="C14" s="2619">
        <v>155.6</v>
      </c>
      <c r="D14" s="2619">
        <v>224.1</v>
      </c>
      <c r="E14" s="2619">
        <v>885.2</v>
      </c>
      <c r="F14" s="2619">
        <v>1220.4000000000001</v>
      </c>
      <c r="G14" s="2619">
        <v>1878.9</v>
      </c>
      <c r="H14" s="2619">
        <v>9399.7999999999993</v>
      </c>
      <c r="I14" s="2620">
        <v>693.3</v>
      </c>
      <c r="J14" s="2621">
        <v>14685.322885</v>
      </c>
      <c r="K14" s="2618">
        <v>7</v>
      </c>
      <c r="L14" s="2619">
        <v>12.8</v>
      </c>
      <c r="M14" s="2619">
        <v>13.47024</v>
      </c>
      <c r="N14" s="2622">
        <v>203.34013999999999</v>
      </c>
      <c r="O14" s="2622">
        <v>86.178015000000002</v>
      </c>
      <c r="P14" s="2619">
        <v>104.259045</v>
      </c>
      <c r="Q14" s="2619">
        <v>24.6116755</v>
      </c>
      <c r="R14" s="2619">
        <v>6.3554042500000003</v>
      </c>
      <c r="S14" s="2619">
        <v>31.303156600000001</v>
      </c>
      <c r="T14" s="2619">
        <v>2.4</v>
      </c>
      <c r="U14" s="2619">
        <v>7.2</v>
      </c>
      <c r="V14" s="2619">
        <v>0.3</v>
      </c>
      <c r="W14" s="2619">
        <v>0.2</v>
      </c>
      <c r="X14" s="2623">
        <v>499.51767634999999</v>
      </c>
      <c r="Y14" s="2624">
        <v>15184.84056135</v>
      </c>
      <c r="Z14" s="2625"/>
      <c r="AA14" s="2626"/>
      <c r="AB14" s="2626"/>
      <c r="AC14" s="2626"/>
    </row>
    <row r="15" spans="1:29" ht="28.5" hidden="1" customHeight="1">
      <c r="A15" s="2617">
        <v>39539</v>
      </c>
      <c r="B15" s="2618">
        <v>228</v>
      </c>
      <c r="C15" s="2619">
        <v>150.5</v>
      </c>
      <c r="D15" s="2619">
        <v>224.1</v>
      </c>
      <c r="E15" s="2619">
        <v>899.9</v>
      </c>
      <c r="F15" s="2619">
        <v>1213.2</v>
      </c>
      <c r="G15" s="2619">
        <v>1911.1</v>
      </c>
      <c r="H15" s="2619">
        <v>9330.1</v>
      </c>
      <c r="I15" s="2620">
        <v>733.2</v>
      </c>
      <c r="J15" s="2621">
        <v>14690.1</v>
      </c>
      <c r="K15" s="2618">
        <v>7</v>
      </c>
      <c r="L15" s="2619">
        <v>12.8</v>
      </c>
      <c r="M15" s="2619">
        <v>21</v>
      </c>
      <c r="N15" s="2622">
        <v>201.7</v>
      </c>
      <c r="O15" s="2622">
        <v>85.9</v>
      </c>
      <c r="P15" s="2619">
        <v>104.7</v>
      </c>
      <c r="Q15" s="2619">
        <v>24.6</v>
      </c>
      <c r="R15" s="2619">
        <v>6.4</v>
      </c>
      <c r="S15" s="2619">
        <v>31.3</v>
      </c>
      <c r="T15" s="2619">
        <v>2.4</v>
      </c>
      <c r="U15" s="2619">
        <v>7.3</v>
      </c>
      <c r="V15" s="2619">
        <v>0.3</v>
      </c>
      <c r="W15" s="2619">
        <v>0.2</v>
      </c>
      <c r="X15" s="2623">
        <v>505.6</v>
      </c>
      <c r="Y15" s="2624">
        <v>15195.7</v>
      </c>
      <c r="Z15" s="2625"/>
      <c r="AA15" s="2626"/>
      <c r="AB15" s="2626"/>
      <c r="AC15" s="2626"/>
    </row>
    <row r="16" spans="1:29" ht="28.5" hidden="1" customHeight="1">
      <c r="A16" s="2617">
        <v>39569</v>
      </c>
      <c r="B16" s="2618">
        <v>228.1</v>
      </c>
      <c r="C16" s="2619">
        <v>145.9</v>
      </c>
      <c r="D16" s="2619">
        <v>223.7</v>
      </c>
      <c r="E16" s="2619">
        <v>875.2</v>
      </c>
      <c r="F16" s="2619">
        <v>1216.2</v>
      </c>
      <c r="G16" s="2619">
        <v>1857.7</v>
      </c>
      <c r="H16" s="2619">
        <v>9339</v>
      </c>
      <c r="I16" s="2620">
        <v>746.8</v>
      </c>
      <c r="J16" s="2621">
        <v>14632.557210000001</v>
      </c>
      <c r="K16" s="2618">
        <v>7</v>
      </c>
      <c r="L16" s="2619">
        <v>12.8</v>
      </c>
      <c r="M16" s="2619">
        <v>27.58</v>
      </c>
      <c r="N16" s="2622">
        <v>201.1</v>
      </c>
      <c r="O16" s="2622">
        <v>85.8</v>
      </c>
      <c r="P16" s="2619">
        <v>105</v>
      </c>
      <c r="Q16" s="2619">
        <v>24.7</v>
      </c>
      <c r="R16" s="2619">
        <v>6.4</v>
      </c>
      <c r="S16" s="2619">
        <v>31.4</v>
      </c>
      <c r="T16" s="2619">
        <v>2.4</v>
      </c>
      <c r="U16" s="2619">
        <v>7.3</v>
      </c>
      <c r="V16" s="2619">
        <v>0.3</v>
      </c>
      <c r="W16" s="2619">
        <v>0.2</v>
      </c>
      <c r="X16" s="2623">
        <v>511.98</v>
      </c>
      <c r="Y16" s="2624">
        <v>15144.53721</v>
      </c>
      <c r="Z16" s="2625"/>
      <c r="AA16" s="2626"/>
      <c r="AB16" s="2626"/>
      <c r="AC16" s="2626"/>
    </row>
    <row r="17" spans="1:29" ht="28.5" hidden="1" customHeight="1">
      <c r="A17" s="2617">
        <v>39600</v>
      </c>
      <c r="B17" s="2618">
        <v>227.70000000000073</v>
      </c>
      <c r="C17" s="2619">
        <v>141.6</v>
      </c>
      <c r="D17" s="2619">
        <v>222.5</v>
      </c>
      <c r="E17" s="2619">
        <v>867.9</v>
      </c>
      <c r="F17" s="2619">
        <v>1198.5999999999999</v>
      </c>
      <c r="G17" s="2619">
        <v>1875.2</v>
      </c>
      <c r="H17" s="2619">
        <v>9259.2999999999993</v>
      </c>
      <c r="I17" s="2620">
        <v>776.1</v>
      </c>
      <c r="J17" s="2621">
        <v>14568.9</v>
      </c>
      <c r="K17" s="2618">
        <v>7.056</v>
      </c>
      <c r="L17" s="2619">
        <v>12.8</v>
      </c>
      <c r="M17" s="2619">
        <v>34.090000000000003</v>
      </c>
      <c r="N17" s="2622">
        <v>200.8</v>
      </c>
      <c r="O17" s="2622">
        <v>85.6</v>
      </c>
      <c r="P17" s="2619">
        <v>105.4</v>
      </c>
      <c r="Q17" s="2619">
        <v>24.86</v>
      </c>
      <c r="R17" s="2619">
        <v>6.3498999999999999</v>
      </c>
      <c r="S17" s="2619">
        <v>31.54</v>
      </c>
      <c r="T17" s="2619">
        <v>2.4302999999999999</v>
      </c>
      <c r="U17" s="2619">
        <v>7.39</v>
      </c>
      <c r="V17" s="2619">
        <v>0.33</v>
      </c>
      <c r="W17" s="2619">
        <v>0.22</v>
      </c>
      <c r="X17" s="2623">
        <v>518.79999999999995</v>
      </c>
      <c r="Y17" s="2624">
        <v>15087.699999999999</v>
      </c>
      <c r="Z17" s="2625"/>
      <c r="AA17" s="2626"/>
      <c r="AB17" s="2626"/>
      <c r="AC17" s="2626"/>
    </row>
    <row r="18" spans="1:29" ht="28.5" hidden="1" customHeight="1">
      <c r="A18" s="2617">
        <v>39630</v>
      </c>
      <c r="B18" s="2618">
        <v>227.29999999999927</v>
      </c>
      <c r="C18" s="2619">
        <v>139.5</v>
      </c>
      <c r="D18" s="2619">
        <v>226</v>
      </c>
      <c r="E18" s="2619">
        <v>879.6</v>
      </c>
      <c r="F18" s="2619">
        <v>1238</v>
      </c>
      <c r="G18" s="2619">
        <v>1944</v>
      </c>
      <c r="H18" s="2619">
        <v>9572</v>
      </c>
      <c r="I18" s="2620">
        <v>865.7</v>
      </c>
      <c r="J18" s="2621">
        <v>15092.113185</v>
      </c>
      <c r="K18" s="2618">
        <v>7.1</v>
      </c>
      <c r="L18" s="2619">
        <v>12.8</v>
      </c>
      <c r="M18" s="2619">
        <v>40.47</v>
      </c>
      <c r="N18" s="2622">
        <v>200.6</v>
      </c>
      <c r="O18" s="2622">
        <v>85.7</v>
      </c>
      <c r="P18" s="2619">
        <v>105.7</v>
      </c>
      <c r="Q18" s="2619">
        <v>25</v>
      </c>
      <c r="R18" s="2619">
        <v>6.3</v>
      </c>
      <c r="S18" s="2619">
        <v>31.8</v>
      </c>
      <c r="T18" s="2619">
        <v>2.4</v>
      </c>
      <c r="U18" s="2619">
        <v>7.5</v>
      </c>
      <c r="V18" s="2619">
        <v>0.3</v>
      </c>
      <c r="W18" s="2619">
        <v>0.2</v>
      </c>
      <c r="X18" s="2623">
        <v>525.87</v>
      </c>
      <c r="Y18" s="2624">
        <v>15617.983185000001</v>
      </c>
      <c r="Z18" s="2625"/>
      <c r="AA18" s="2626"/>
      <c r="AB18" s="2626"/>
      <c r="AC18" s="2626"/>
    </row>
    <row r="19" spans="1:29" ht="28.5" hidden="1" customHeight="1">
      <c r="A19" s="2617">
        <v>39661</v>
      </c>
      <c r="B19" s="2618">
        <v>227.18999999999869</v>
      </c>
      <c r="C19" s="2619">
        <v>138.6</v>
      </c>
      <c r="D19" s="2619">
        <v>232.2</v>
      </c>
      <c r="E19" s="2619">
        <v>898.1</v>
      </c>
      <c r="F19" s="2619">
        <v>1234.3</v>
      </c>
      <c r="G19" s="2619">
        <v>1932.9</v>
      </c>
      <c r="H19" s="2619">
        <v>9622.1</v>
      </c>
      <c r="I19" s="2620">
        <v>921.01</v>
      </c>
      <c r="J19" s="2621">
        <v>15206.3951</v>
      </c>
      <c r="K19" s="2618">
        <v>7.0739999999999998</v>
      </c>
      <c r="L19" s="2619">
        <v>12.831</v>
      </c>
      <c r="M19" s="2619">
        <v>47.2</v>
      </c>
      <c r="N19" s="2622">
        <v>200.4</v>
      </c>
      <c r="O19" s="2622">
        <v>85.8</v>
      </c>
      <c r="P19" s="2619">
        <v>106</v>
      </c>
      <c r="Q19" s="2619">
        <v>25.1</v>
      </c>
      <c r="R19" s="2619">
        <v>6.3</v>
      </c>
      <c r="S19" s="2619">
        <v>32</v>
      </c>
      <c r="T19" s="2619">
        <v>2.4</v>
      </c>
      <c r="U19" s="2619">
        <v>7.5</v>
      </c>
      <c r="V19" s="2619">
        <v>0.3</v>
      </c>
      <c r="W19" s="2619">
        <v>0.2</v>
      </c>
      <c r="X19" s="2623">
        <v>533.20500000000004</v>
      </c>
      <c r="Y19" s="2624">
        <v>15739.6001</v>
      </c>
      <c r="Z19" s="2625"/>
      <c r="AA19" s="2626"/>
      <c r="AB19" s="2626"/>
      <c r="AC19" s="2626"/>
    </row>
    <row r="20" spans="1:29" ht="28.5" hidden="1" customHeight="1">
      <c r="A20" s="2617">
        <v>39692</v>
      </c>
      <c r="B20" s="2618">
        <v>226.59999999999854</v>
      </c>
      <c r="C20" s="2619">
        <v>140.1</v>
      </c>
      <c r="D20" s="2619">
        <v>240.3</v>
      </c>
      <c r="E20" s="2619">
        <v>892.4</v>
      </c>
      <c r="F20" s="2619">
        <v>1250.7</v>
      </c>
      <c r="G20" s="2619">
        <v>1966.4</v>
      </c>
      <c r="H20" s="2619">
        <v>9647.7000000000007</v>
      </c>
      <c r="I20" s="2620">
        <v>951.6</v>
      </c>
      <c r="J20" s="2621">
        <v>15315.8</v>
      </c>
      <c r="K20" s="2618">
        <v>8</v>
      </c>
      <c r="L20" s="2619">
        <v>12.831</v>
      </c>
      <c r="M20" s="2619">
        <v>56.2</v>
      </c>
      <c r="N20" s="2622">
        <v>203.8</v>
      </c>
      <c r="O20" s="2622">
        <v>86.3</v>
      </c>
      <c r="P20" s="2619">
        <v>106.2</v>
      </c>
      <c r="Q20" s="2619">
        <v>25.3</v>
      </c>
      <c r="R20" s="2619">
        <v>6.3</v>
      </c>
      <c r="S20" s="2619">
        <v>32.200000000000003</v>
      </c>
      <c r="T20" s="2619">
        <v>2.4</v>
      </c>
      <c r="U20" s="2619">
        <v>7.6</v>
      </c>
      <c r="V20" s="2619">
        <v>0.3</v>
      </c>
      <c r="W20" s="2619">
        <v>0.2</v>
      </c>
      <c r="X20" s="2623">
        <v>547.70000000000005</v>
      </c>
      <c r="Y20" s="2624">
        <v>15863.5</v>
      </c>
      <c r="Z20" s="2625"/>
      <c r="AA20" s="2626"/>
      <c r="AB20" s="2626"/>
      <c r="AC20" s="2626"/>
    </row>
    <row r="21" spans="1:29" ht="28.5" hidden="1" customHeight="1">
      <c r="A21" s="2617">
        <v>39722</v>
      </c>
      <c r="B21" s="2618">
        <v>226.6</v>
      </c>
      <c r="C21" s="2619">
        <v>145.19999999999999</v>
      </c>
      <c r="D21" s="2619">
        <v>227</v>
      </c>
      <c r="E21" s="2619">
        <v>913.5</v>
      </c>
      <c r="F21" s="2619">
        <v>1271.7</v>
      </c>
      <c r="G21" s="2619">
        <v>1996.8</v>
      </c>
      <c r="H21" s="2619">
        <v>9826.2999999999993</v>
      </c>
      <c r="I21" s="2620">
        <v>1016.8</v>
      </c>
      <c r="J21" s="2621">
        <v>15623.885180000001</v>
      </c>
      <c r="K21" s="2618">
        <v>8.0610079700000004</v>
      </c>
      <c r="L21" s="2619">
        <v>12.827</v>
      </c>
      <c r="M21" s="2619">
        <v>65.2</v>
      </c>
      <c r="N21" s="2622">
        <v>206.2</v>
      </c>
      <c r="O21" s="2622">
        <v>87.1</v>
      </c>
      <c r="P21" s="2619">
        <v>106.2</v>
      </c>
      <c r="Q21" s="2619">
        <v>25.4</v>
      </c>
      <c r="R21" s="2619">
        <v>6.3</v>
      </c>
      <c r="S21" s="2619">
        <v>32.4</v>
      </c>
      <c r="T21" s="2619">
        <v>2.4</v>
      </c>
      <c r="U21" s="2619">
        <v>7.6</v>
      </c>
      <c r="V21" s="2619">
        <v>0.3</v>
      </c>
      <c r="W21" s="2619">
        <v>0.2</v>
      </c>
      <c r="X21" s="2623">
        <v>560.18800796999994</v>
      </c>
      <c r="Y21" s="2624">
        <v>16184.073187970002</v>
      </c>
      <c r="Z21" s="2625"/>
      <c r="AA21" s="2626"/>
      <c r="AB21" s="2626"/>
      <c r="AC21" s="2626"/>
    </row>
    <row r="22" spans="1:29" ht="28.5" hidden="1" customHeight="1">
      <c r="A22" s="2617">
        <v>39753</v>
      </c>
      <c r="B22" s="2618">
        <v>226.6</v>
      </c>
      <c r="C22" s="2619">
        <v>146.19999999999999</v>
      </c>
      <c r="D22" s="2619">
        <v>220.6</v>
      </c>
      <c r="E22" s="2619">
        <v>913</v>
      </c>
      <c r="F22" s="2619">
        <v>1281.3</v>
      </c>
      <c r="G22" s="2619">
        <v>2053.8000000000002</v>
      </c>
      <c r="H22" s="2619">
        <v>10084.6</v>
      </c>
      <c r="I22" s="2620">
        <v>1052.9000000000001</v>
      </c>
      <c r="J22" s="2621">
        <v>15979</v>
      </c>
      <c r="K22" s="2618">
        <v>8.0632180000000009</v>
      </c>
      <c r="L22" s="2619">
        <v>12.839</v>
      </c>
      <c r="M22" s="2619">
        <v>72.73</v>
      </c>
      <c r="N22" s="2622">
        <v>208.4</v>
      </c>
      <c r="O22" s="2622">
        <v>87.7</v>
      </c>
      <c r="P22" s="2619">
        <v>106.5</v>
      </c>
      <c r="Q22" s="2619">
        <v>25.5</v>
      </c>
      <c r="R22" s="2619">
        <v>6.3</v>
      </c>
      <c r="S22" s="2619">
        <v>32.6</v>
      </c>
      <c r="T22" s="2619">
        <v>2.4</v>
      </c>
      <c r="U22" s="2619">
        <v>7.7</v>
      </c>
      <c r="V22" s="2619">
        <v>0.3</v>
      </c>
      <c r="W22" s="2619">
        <v>0.2</v>
      </c>
      <c r="X22" s="2623">
        <v>571.33221800000001</v>
      </c>
      <c r="Y22" s="2624">
        <v>16550.332218</v>
      </c>
      <c r="Z22" s="2625"/>
      <c r="AA22" s="2626"/>
      <c r="AB22" s="2626"/>
      <c r="AC22" s="2626"/>
    </row>
    <row r="23" spans="1:29" ht="28.5" hidden="1" customHeight="1">
      <c r="A23" s="2617">
        <v>39783</v>
      </c>
      <c r="B23" s="2618">
        <v>226.59999999999854</v>
      </c>
      <c r="C23" s="2619">
        <v>165.5</v>
      </c>
      <c r="D23" s="2619">
        <v>229</v>
      </c>
      <c r="E23" s="2619">
        <v>1113</v>
      </c>
      <c r="F23" s="2619">
        <v>1573.8</v>
      </c>
      <c r="G23" s="2619">
        <v>2547.3000000000002</v>
      </c>
      <c r="H23" s="2619">
        <v>12585.3</v>
      </c>
      <c r="I23" s="2620">
        <v>1155.3</v>
      </c>
      <c r="J23" s="2621">
        <v>19595.8</v>
      </c>
      <c r="K23" s="2618">
        <v>8.0632180000000009</v>
      </c>
      <c r="L23" s="2619">
        <v>12.9</v>
      </c>
      <c r="M23" s="2619">
        <v>86.8</v>
      </c>
      <c r="N23" s="2622">
        <v>213.1</v>
      </c>
      <c r="O23" s="2622">
        <v>89.2</v>
      </c>
      <c r="P23" s="2619">
        <v>109</v>
      </c>
      <c r="Q23" s="2619">
        <v>26</v>
      </c>
      <c r="R23" s="2619">
        <v>6.3</v>
      </c>
      <c r="S23" s="2619">
        <v>32.9</v>
      </c>
      <c r="T23" s="2619">
        <v>2.4</v>
      </c>
      <c r="U23" s="2619">
        <v>7.7</v>
      </c>
      <c r="V23" s="2619">
        <v>0.3</v>
      </c>
      <c r="W23" s="2619">
        <v>0.2</v>
      </c>
      <c r="X23" s="2623">
        <v>595</v>
      </c>
      <c r="Y23" s="2624">
        <v>20190.8</v>
      </c>
      <c r="Z23" s="2625"/>
      <c r="AA23" s="2626"/>
      <c r="AB23" s="2626"/>
      <c r="AC23" s="2626"/>
    </row>
    <row r="24" spans="1:29" ht="28.5" hidden="1" customHeight="1">
      <c r="A24" s="2617">
        <v>39814</v>
      </c>
      <c r="B24" s="2618">
        <v>226.60000000000218</v>
      </c>
      <c r="C24" s="2619">
        <v>166.6</v>
      </c>
      <c r="D24" s="2619">
        <v>226.2</v>
      </c>
      <c r="E24" s="2619">
        <v>990.3</v>
      </c>
      <c r="F24" s="2619">
        <v>1352.6</v>
      </c>
      <c r="G24" s="2619">
        <v>2162.3000000000002</v>
      </c>
      <c r="H24" s="2619">
        <v>11224.3</v>
      </c>
      <c r="I24" s="2620">
        <v>1116.8</v>
      </c>
      <c r="J24" s="2621">
        <v>17465.7</v>
      </c>
      <c r="K24" s="2618">
        <v>8.1</v>
      </c>
      <c r="L24" s="2619">
        <v>12.9</v>
      </c>
      <c r="M24" s="2619">
        <v>89.4</v>
      </c>
      <c r="N24" s="2622">
        <v>213.5</v>
      </c>
      <c r="O24" s="2622">
        <v>89.3</v>
      </c>
      <c r="P24" s="2619">
        <v>109.2</v>
      </c>
      <c r="Q24" s="2619">
        <v>26.1</v>
      </c>
      <c r="R24" s="2619">
        <v>6.3</v>
      </c>
      <c r="S24" s="2619">
        <v>33</v>
      </c>
      <c r="T24" s="2619">
        <v>2.4</v>
      </c>
      <c r="U24" s="2619">
        <v>7.8</v>
      </c>
      <c r="V24" s="2619">
        <v>0.3</v>
      </c>
      <c r="W24" s="2619">
        <v>0.2</v>
      </c>
      <c r="X24" s="2623">
        <v>598.4</v>
      </c>
      <c r="Y24" s="2624">
        <v>18064.2</v>
      </c>
      <c r="Z24" s="2625"/>
      <c r="AA24" s="2626"/>
      <c r="AB24" s="2626"/>
      <c r="AC24" s="2626"/>
    </row>
    <row r="25" spans="1:29" ht="28.5" hidden="1" customHeight="1">
      <c r="A25" s="2617">
        <v>39845</v>
      </c>
      <c r="B25" s="2618">
        <v>225.5</v>
      </c>
      <c r="C25" s="2619">
        <v>161.69999999999999</v>
      </c>
      <c r="D25" s="2619">
        <v>219.1</v>
      </c>
      <c r="E25" s="2619">
        <v>979.6</v>
      </c>
      <c r="F25" s="2619">
        <v>1315</v>
      </c>
      <c r="G25" s="2619">
        <v>2087.9</v>
      </c>
      <c r="H25" s="2619">
        <v>10977.6</v>
      </c>
      <c r="I25" s="2620">
        <v>1089.0999999999999</v>
      </c>
      <c r="J25" s="2621">
        <v>17055.5</v>
      </c>
      <c r="K25" s="2618">
        <v>8.1</v>
      </c>
      <c r="L25" s="2619">
        <v>12.9</v>
      </c>
      <c r="M25" s="2619">
        <v>90.1</v>
      </c>
      <c r="N25" s="2622">
        <v>213</v>
      </c>
      <c r="O25" s="2622">
        <v>89.3</v>
      </c>
      <c r="P25" s="2619">
        <v>109.3</v>
      </c>
      <c r="Q25" s="2619">
        <v>26.1</v>
      </c>
      <c r="R25" s="2619">
        <v>6.3</v>
      </c>
      <c r="S25" s="2619">
        <v>33.200000000000003</v>
      </c>
      <c r="T25" s="2619">
        <v>2.4</v>
      </c>
      <c r="U25" s="2619">
        <v>7.8</v>
      </c>
      <c r="V25" s="2619">
        <v>0.3</v>
      </c>
      <c r="W25" s="2619">
        <v>0.2</v>
      </c>
      <c r="X25" s="2623">
        <v>599.1</v>
      </c>
      <c r="Y25" s="2624">
        <v>17654.7</v>
      </c>
      <c r="Z25" s="2625"/>
      <c r="AA25" s="2626"/>
      <c r="AB25" s="2626"/>
      <c r="AC25" s="2626"/>
    </row>
    <row r="26" spans="1:29" ht="28.5" hidden="1" customHeight="1">
      <c r="A26" s="2617">
        <v>39873</v>
      </c>
      <c r="B26" s="2618">
        <v>225.10000000000218</v>
      </c>
      <c r="C26" s="2619">
        <v>157.9</v>
      </c>
      <c r="D26" s="2619">
        <v>217.8</v>
      </c>
      <c r="E26" s="2619">
        <v>936.1</v>
      </c>
      <c r="F26" s="2619">
        <v>1294</v>
      </c>
      <c r="G26" s="2619">
        <v>2027.5</v>
      </c>
      <c r="H26" s="2619">
        <v>10783.8</v>
      </c>
      <c r="I26" s="2620">
        <v>1069</v>
      </c>
      <c r="J26" s="2621">
        <v>16711.2</v>
      </c>
      <c r="K26" s="2618">
        <v>8.1</v>
      </c>
      <c r="L26" s="2619">
        <v>12.9</v>
      </c>
      <c r="M26" s="2619">
        <v>91.1</v>
      </c>
      <c r="N26" s="2622">
        <v>212.3</v>
      </c>
      <c r="O26" s="2622">
        <v>89.2</v>
      </c>
      <c r="P26" s="2619">
        <v>110.2</v>
      </c>
      <c r="Q26" s="2619">
        <v>26.2</v>
      </c>
      <c r="R26" s="2619">
        <v>6.3</v>
      </c>
      <c r="S26" s="2619">
        <v>33.299999999999997</v>
      </c>
      <c r="T26" s="2619">
        <v>2.4</v>
      </c>
      <c r="U26" s="2619">
        <v>7.9</v>
      </c>
      <c r="V26" s="2619">
        <v>0.3</v>
      </c>
      <c r="W26" s="2619">
        <v>0.2</v>
      </c>
      <c r="X26" s="2623">
        <v>600.5</v>
      </c>
      <c r="Y26" s="2624">
        <v>17311.599999999999</v>
      </c>
      <c r="Z26" s="2625"/>
      <c r="AA26" s="2626"/>
      <c r="AB26" s="2626"/>
      <c r="AC26" s="2626"/>
    </row>
    <row r="27" spans="1:29" ht="28.5" hidden="1" customHeight="1">
      <c r="A27" s="2617">
        <v>39904</v>
      </c>
      <c r="B27" s="2618">
        <v>225.09999999999854</v>
      </c>
      <c r="C27" s="2619">
        <v>154.30000000000001</v>
      </c>
      <c r="D27" s="2619">
        <v>213.1</v>
      </c>
      <c r="E27" s="2619">
        <v>929.7</v>
      </c>
      <c r="F27" s="2619">
        <v>1292.2</v>
      </c>
      <c r="G27" s="2619">
        <v>2044.1</v>
      </c>
      <c r="H27" s="2619">
        <v>10979.6</v>
      </c>
      <c r="I27" s="2620">
        <v>1064.2</v>
      </c>
      <c r="J27" s="2621">
        <v>16902.316824999998</v>
      </c>
      <c r="K27" s="2618">
        <v>8.1</v>
      </c>
      <c r="L27" s="2619">
        <v>12.9</v>
      </c>
      <c r="M27" s="2619">
        <v>93.9</v>
      </c>
      <c r="N27" s="2622">
        <v>210.6</v>
      </c>
      <c r="O27" s="2622">
        <v>89</v>
      </c>
      <c r="P27" s="2619">
        <v>110.6</v>
      </c>
      <c r="Q27" s="2619">
        <v>26.2</v>
      </c>
      <c r="R27" s="2619">
        <v>6.3</v>
      </c>
      <c r="S27" s="2619">
        <v>33.340000000000003</v>
      </c>
      <c r="T27" s="2619">
        <v>2.4</v>
      </c>
      <c r="U27" s="2619">
        <v>7.9</v>
      </c>
      <c r="V27" s="2619">
        <v>0.3</v>
      </c>
      <c r="W27" s="2619">
        <v>0.2</v>
      </c>
      <c r="X27" s="2623">
        <v>601.74</v>
      </c>
      <c r="Y27" s="2624">
        <v>17504</v>
      </c>
      <c r="Z27" s="2625"/>
      <c r="AA27" s="2626"/>
      <c r="AB27" s="2626"/>
      <c r="AC27" s="2626"/>
    </row>
    <row r="28" spans="1:29" ht="28.5" hidden="1" customHeight="1">
      <c r="A28" s="2617">
        <v>39934</v>
      </c>
      <c r="B28" s="2627">
        <v>224.90000000000146</v>
      </c>
      <c r="C28" s="2628">
        <v>149.5</v>
      </c>
      <c r="D28" s="2628">
        <v>208.1</v>
      </c>
      <c r="E28" s="2628">
        <v>930.1</v>
      </c>
      <c r="F28" s="2628">
        <v>1251.9000000000001</v>
      </c>
      <c r="G28" s="2628">
        <v>2038.3</v>
      </c>
      <c r="H28" s="2628">
        <v>10857.6</v>
      </c>
      <c r="I28" s="2629">
        <v>1074.8</v>
      </c>
      <c r="J28" s="2630">
        <v>16735.169044999999</v>
      </c>
      <c r="K28" s="2627">
        <v>8.1</v>
      </c>
      <c r="L28" s="2628">
        <v>12.9</v>
      </c>
      <c r="M28" s="2628">
        <v>94.8</v>
      </c>
      <c r="N28" s="2631">
        <v>209.1</v>
      </c>
      <c r="O28" s="2631">
        <v>89.12</v>
      </c>
      <c r="P28" s="2628">
        <v>110.7</v>
      </c>
      <c r="Q28" s="2628">
        <v>26.16</v>
      </c>
      <c r="R28" s="2628">
        <v>6.3</v>
      </c>
      <c r="S28" s="2628">
        <v>33.53</v>
      </c>
      <c r="T28" s="2628">
        <v>2.4288059999999998</v>
      </c>
      <c r="U28" s="2628">
        <v>7.9450000000000003</v>
      </c>
      <c r="V28" s="2628">
        <v>0.33050000000000002</v>
      </c>
      <c r="W28" s="2628">
        <v>0.222</v>
      </c>
      <c r="X28" s="2632">
        <v>601.68630600000006</v>
      </c>
      <c r="Y28" s="2633">
        <v>17336.855350999998</v>
      </c>
      <c r="Z28" s="2625"/>
      <c r="AA28" s="2626"/>
      <c r="AB28" s="2626"/>
      <c r="AC28" s="2626"/>
    </row>
    <row r="29" spans="1:29" ht="28.5" hidden="1" customHeight="1">
      <c r="A29" s="2617">
        <v>39965</v>
      </c>
      <c r="B29" s="2627">
        <v>223.8600000000024</v>
      </c>
      <c r="C29" s="2628">
        <v>144.30000000000001</v>
      </c>
      <c r="D29" s="2628">
        <v>203.24</v>
      </c>
      <c r="E29" s="2628">
        <v>928.1</v>
      </c>
      <c r="F29" s="2628">
        <v>1243.5</v>
      </c>
      <c r="G29" s="2628">
        <v>1990.7</v>
      </c>
      <c r="H29" s="2628">
        <v>10762.8</v>
      </c>
      <c r="I29" s="2629">
        <v>1086.4000000000001</v>
      </c>
      <c r="J29" s="2630">
        <v>16582.900000000001</v>
      </c>
      <c r="K29" s="2627">
        <v>8.1</v>
      </c>
      <c r="L29" s="2628">
        <v>12.9</v>
      </c>
      <c r="M29" s="2628">
        <v>95.2</v>
      </c>
      <c r="N29" s="2631">
        <v>209</v>
      </c>
      <c r="O29" s="2631">
        <v>89.1</v>
      </c>
      <c r="P29" s="2628">
        <v>110.8</v>
      </c>
      <c r="Q29" s="2628">
        <v>26.2</v>
      </c>
      <c r="R29" s="2628">
        <v>6.3</v>
      </c>
      <c r="S29" s="2628">
        <v>33.56</v>
      </c>
      <c r="T29" s="2628">
        <v>2.4</v>
      </c>
      <c r="U29" s="2628">
        <v>8</v>
      </c>
      <c r="V29" s="2628">
        <v>0.3</v>
      </c>
      <c r="W29" s="2628">
        <v>0.2</v>
      </c>
      <c r="X29" s="2632">
        <v>602.16</v>
      </c>
      <c r="Y29" s="2633">
        <v>17185.060000000001</v>
      </c>
      <c r="Z29" s="2625"/>
      <c r="AA29" s="2626"/>
      <c r="AB29" s="2626"/>
      <c r="AC29" s="2626"/>
    </row>
    <row r="30" spans="1:29" ht="28.5" hidden="1" customHeight="1">
      <c r="A30" s="2617">
        <v>39995</v>
      </c>
      <c r="B30" s="2627">
        <v>224</v>
      </c>
      <c r="C30" s="2628">
        <v>142.69999999999999</v>
      </c>
      <c r="D30" s="2628">
        <v>202.2</v>
      </c>
      <c r="E30" s="2628">
        <v>922.7</v>
      </c>
      <c r="F30" s="2628">
        <v>1283.3</v>
      </c>
      <c r="G30" s="2628">
        <v>2090.8000000000002</v>
      </c>
      <c r="H30" s="2628">
        <v>11081.6</v>
      </c>
      <c r="I30" s="2629">
        <v>1112.2</v>
      </c>
      <c r="J30" s="2630">
        <v>17059.5</v>
      </c>
      <c r="K30" s="2627">
        <v>8.1</v>
      </c>
      <c r="L30" s="2628">
        <v>12.9</v>
      </c>
      <c r="M30" s="2628">
        <v>100.5</v>
      </c>
      <c r="N30" s="2631">
        <v>209.2</v>
      </c>
      <c r="O30" s="2631">
        <v>89.1</v>
      </c>
      <c r="P30" s="2628">
        <v>110.9</v>
      </c>
      <c r="Q30" s="2628">
        <v>26.3</v>
      </c>
      <c r="R30" s="2628">
        <v>6.3</v>
      </c>
      <c r="S30" s="2628">
        <v>33.56</v>
      </c>
      <c r="T30" s="2628">
        <v>2.4</v>
      </c>
      <c r="U30" s="2628">
        <v>8</v>
      </c>
      <c r="V30" s="2628">
        <v>0.3</v>
      </c>
      <c r="W30" s="2628">
        <v>0.2</v>
      </c>
      <c r="X30" s="2632">
        <v>607.8599999999999</v>
      </c>
      <c r="Y30" s="2633">
        <v>17667.36</v>
      </c>
      <c r="Z30" s="2625"/>
      <c r="AA30" s="2626"/>
      <c r="AB30" s="2626"/>
      <c r="AC30" s="2626"/>
    </row>
    <row r="31" spans="1:29" ht="28.5" hidden="1" customHeight="1">
      <c r="A31" s="2617">
        <v>40026</v>
      </c>
      <c r="B31" s="2627">
        <v>223.9</v>
      </c>
      <c r="C31" s="2628">
        <v>142.69999999999999</v>
      </c>
      <c r="D31" s="2628">
        <v>201.1</v>
      </c>
      <c r="E31" s="2628">
        <v>931.1</v>
      </c>
      <c r="F31" s="2628">
        <v>1288.4000000000001</v>
      </c>
      <c r="G31" s="2628">
        <v>2081.8000000000002</v>
      </c>
      <c r="H31" s="2628">
        <v>11138.7</v>
      </c>
      <c r="I31" s="2629">
        <v>1113.7</v>
      </c>
      <c r="J31" s="2630">
        <v>17121.400000000001</v>
      </c>
      <c r="K31" s="2627">
        <v>8.1</v>
      </c>
      <c r="L31" s="2628">
        <v>12.9</v>
      </c>
      <c r="M31" s="2628">
        <v>107.3</v>
      </c>
      <c r="N31" s="2631">
        <v>209</v>
      </c>
      <c r="O31" s="2631">
        <v>89.2</v>
      </c>
      <c r="P31" s="2628">
        <v>111.1</v>
      </c>
      <c r="Q31" s="2628">
        <v>26.5</v>
      </c>
      <c r="R31" s="2628">
        <v>6.3</v>
      </c>
      <c r="S31" s="2628">
        <v>33.700000000000003</v>
      </c>
      <c r="T31" s="2628">
        <v>2.4</v>
      </c>
      <c r="U31" s="2628">
        <v>8</v>
      </c>
      <c r="V31" s="2628">
        <v>0.3</v>
      </c>
      <c r="W31" s="2628">
        <v>0.2</v>
      </c>
      <c r="X31" s="2632">
        <v>615.1</v>
      </c>
      <c r="Y31" s="2633">
        <v>17736.5</v>
      </c>
      <c r="Z31" s="2625"/>
      <c r="AA31" s="2626"/>
      <c r="AB31" s="2626"/>
      <c r="AC31" s="2626"/>
    </row>
    <row r="32" spans="1:29" ht="28.5" hidden="1" customHeight="1">
      <c r="A32" s="2617">
        <v>40057</v>
      </c>
      <c r="B32" s="2627">
        <v>223.8</v>
      </c>
      <c r="C32" s="2628">
        <v>148.5</v>
      </c>
      <c r="D32" s="2628">
        <v>200.5</v>
      </c>
      <c r="E32" s="2628">
        <v>939.9</v>
      </c>
      <c r="F32" s="2628">
        <v>1303.0999999999999</v>
      </c>
      <c r="G32" s="2628">
        <v>2058.9</v>
      </c>
      <c r="H32" s="2628">
        <v>10927.5</v>
      </c>
      <c r="I32" s="2629">
        <v>1104.5</v>
      </c>
      <c r="J32" s="2630">
        <v>16906.7</v>
      </c>
      <c r="K32" s="2627">
        <v>8.1</v>
      </c>
      <c r="L32" s="2628">
        <v>12.9</v>
      </c>
      <c r="M32" s="2628">
        <v>113.8</v>
      </c>
      <c r="N32" s="2631">
        <v>209.3</v>
      </c>
      <c r="O32" s="2631">
        <v>89.2</v>
      </c>
      <c r="P32" s="2628">
        <v>111.7</v>
      </c>
      <c r="Q32" s="2628">
        <v>26.6</v>
      </c>
      <c r="R32" s="2628">
        <v>6.3</v>
      </c>
      <c r="S32" s="2628">
        <v>34</v>
      </c>
      <c r="T32" s="2628">
        <v>2.4</v>
      </c>
      <c r="U32" s="2628">
        <v>8.1</v>
      </c>
      <c r="V32" s="2628">
        <v>0.3</v>
      </c>
      <c r="W32" s="2628">
        <v>0.2</v>
      </c>
      <c r="X32" s="2632">
        <v>623.04499999999996</v>
      </c>
      <c r="Y32" s="2633">
        <v>17529.7</v>
      </c>
      <c r="Z32" s="2625"/>
      <c r="AA32" s="2626"/>
      <c r="AB32" s="2626"/>
      <c r="AC32" s="2626"/>
    </row>
    <row r="33" spans="1:29" ht="28.5" hidden="1" customHeight="1">
      <c r="A33" s="2617">
        <v>40087</v>
      </c>
      <c r="B33" s="2627">
        <v>223.65862500000003</v>
      </c>
      <c r="C33" s="2628">
        <v>154.61484999999999</v>
      </c>
      <c r="D33" s="2628">
        <v>199.25479999999999</v>
      </c>
      <c r="E33" s="2628">
        <v>951.44920000000002</v>
      </c>
      <c r="F33" s="2628">
        <v>1307.9898000000001</v>
      </c>
      <c r="G33" s="2628">
        <v>2127.0259999999998</v>
      </c>
      <c r="H33" s="2628">
        <v>11263.867</v>
      </c>
      <c r="I33" s="2629">
        <v>1113.374</v>
      </c>
      <c r="J33" s="2630">
        <v>17341.234274999999</v>
      </c>
      <c r="K33" s="2627">
        <v>8.1999999999999993</v>
      </c>
      <c r="L33" s="2628">
        <v>12.9</v>
      </c>
      <c r="M33" s="2628">
        <v>118.3</v>
      </c>
      <c r="N33" s="2631">
        <v>209.3</v>
      </c>
      <c r="O33" s="2631">
        <v>89.27</v>
      </c>
      <c r="P33" s="2628">
        <v>112</v>
      </c>
      <c r="Q33" s="2628">
        <v>26.71</v>
      </c>
      <c r="R33" s="2628">
        <v>6.3</v>
      </c>
      <c r="S33" s="2628">
        <v>34.25</v>
      </c>
      <c r="T33" s="2628">
        <v>2.4</v>
      </c>
      <c r="U33" s="2628">
        <v>8.1</v>
      </c>
      <c r="V33" s="2628">
        <v>0.3</v>
      </c>
      <c r="W33" s="2628">
        <v>0.2</v>
      </c>
      <c r="X33" s="2632">
        <v>628.33000000000004</v>
      </c>
      <c r="Y33" s="2633">
        <v>17969.564275000001</v>
      </c>
      <c r="Z33" s="2625"/>
      <c r="AA33" s="2626"/>
      <c r="AB33" s="2626"/>
      <c r="AC33" s="2626"/>
    </row>
    <row r="34" spans="1:29" ht="28.5" hidden="1" customHeight="1">
      <c r="A34" s="2617">
        <v>40118</v>
      </c>
      <c r="B34" s="2627">
        <v>223.6</v>
      </c>
      <c r="C34" s="2628">
        <v>153.30000000000001</v>
      </c>
      <c r="D34" s="2628">
        <v>197.7</v>
      </c>
      <c r="E34" s="2628">
        <v>964.86</v>
      </c>
      <c r="F34" s="2628">
        <v>1333.5</v>
      </c>
      <c r="G34" s="2628">
        <v>2126.8000000000002</v>
      </c>
      <c r="H34" s="2628">
        <v>11465</v>
      </c>
      <c r="I34" s="2629">
        <v>1107.7</v>
      </c>
      <c r="J34" s="2630">
        <v>17572.460000000003</v>
      </c>
      <c r="K34" s="2627">
        <v>8.5</v>
      </c>
      <c r="L34" s="2628">
        <v>13</v>
      </c>
      <c r="M34" s="2628">
        <v>122.9</v>
      </c>
      <c r="N34" s="2631">
        <v>210.9</v>
      </c>
      <c r="O34" s="2631">
        <v>89.7</v>
      </c>
      <c r="P34" s="2628">
        <v>113.2</v>
      </c>
      <c r="Q34" s="2628">
        <v>27.2</v>
      </c>
      <c r="R34" s="2628">
        <v>6.3</v>
      </c>
      <c r="S34" s="2628">
        <v>34.5</v>
      </c>
      <c r="T34" s="2628">
        <v>2.4</v>
      </c>
      <c r="U34" s="2628">
        <v>8.1999999999999993</v>
      </c>
      <c r="V34" s="2628">
        <v>0.3</v>
      </c>
      <c r="W34" s="2628">
        <v>0.2</v>
      </c>
      <c r="X34" s="2632">
        <v>637.30000000000007</v>
      </c>
      <c r="Y34" s="2633">
        <v>18209.760000000002</v>
      </c>
      <c r="Z34" s="2625"/>
      <c r="AA34" s="2626"/>
      <c r="AB34" s="2626"/>
      <c r="AC34" s="2626"/>
    </row>
    <row r="35" spans="1:29" ht="28.5" hidden="1" customHeight="1">
      <c r="A35" s="2617">
        <v>40148</v>
      </c>
      <c r="B35" s="2627">
        <v>223.5</v>
      </c>
      <c r="C35" s="2628">
        <v>157.11632499999999</v>
      </c>
      <c r="D35" s="2628">
        <v>207.54839999999999</v>
      </c>
      <c r="E35" s="2628">
        <v>1103.7596000000001</v>
      </c>
      <c r="F35" s="2628">
        <v>1611.6784</v>
      </c>
      <c r="G35" s="2628">
        <v>2578.212</v>
      </c>
      <c r="H35" s="2628">
        <v>13609.625</v>
      </c>
      <c r="I35" s="2629">
        <v>1163.1199999999999</v>
      </c>
      <c r="J35" s="2630">
        <v>20654.559724999999</v>
      </c>
      <c r="K35" s="2627">
        <v>8.5850000000000009</v>
      </c>
      <c r="L35" s="2628">
        <v>12.955</v>
      </c>
      <c r="M35" s="2628">
        <v>133.39807999999999</v>
      </c>
      <c r="N35" s="2631">
        <v>216.40622999999999</v>
      </c>
      <c r="O35" s="2634">
        <v>93.355885000000001</v>
      </c>
      <c r="P35" s="2635">
        <v>114.90643</v>
      </c>
      <c r="Q35" s="2628">
        <v>27.515757000000001</v>
      </c>
      <c r="R35" s="2628">
        <v>6.3474992500000003</v>
      </c>
      <c r="S35" s="2628">
        <v>34.670226199999995</v>
      </c>
      <c r="T35" s="2628">
        <v>2.4285654999999999</v>
      </c>
      <c r="U35" s="2628">
        <v>8.2286047</v>
      </c>
      <c r="V35" s="2628">
        <v>0.33051676000000002</v>
      </c>
      <c r="W35" s="2628">
        <v>0.22206902000000001</v>
      </c>
      <c r="X35" s="2632">
        <v>659.34986343000003</v>
      </c>
      <c r="Y35" s="2633">
        <v>21313.90958843</v>
      </c>
      <c r="Z35" s="2625"/>
      <c r="AA35" s="2626"/>
      <c r="AB35" s="2626"/>
      <c r="AC35" s="2626"/>
    </row>
    <row r="36" spans="1:29" ht="28.5" hidden="1" customHeight="1">
      <c r="A36" s="2617">
        <v>40179</v>
      </c>
      <c r="B36" s="2627">
        <v>223.4</v>
      </c>
      <c r="C36" s="2628">
        <v>163.1</v>
      </c>
      <c r="D36" s="2628">
        <v>206.7</v>
      </c>
      <c r="E36" s="2628">
        <v>1000.4</v>
      </c>
      <c r="F36" s="2628">
        <v>1380.6</v>
      </c>
      <c r="G36" s="2628">
        <v>2232</v>
      </c>
      <c r="H36" s="2628">
        <v>12193.1</v>
      </c>
      <c r="I36" s="2629">
        <v>1132</v>
      </c>
      <c r="J36" s="2630">
        <v>18531.3</v>
      </c>
      <c r="K36" s="2627">
        <v>8.6</v>
      </c>
      <c r="L36" s="2628">
        <v>12.9621</v>
      </c>
      <c r="M36" s="2628">
        <v>136.4</v>
      </c>
      <c r="N36" s="2631">
        <v>218.57</v>
      </c>
      <c r="O36" s="2634">
        <v>93.36</v>
      </c>
      <c r="P36" s="2635">
        <v>116.24</v>
      </c>
      <c r="Q36" s="2628">
        <v>27.76</v>
      </c>
      <c r="R36" s="2628">
        <v>6.3474992500000003</v>
      </c>
      <c r="S36" s="2628">
        <v>34.700000000000003</v>
      </c>
      <c r="T36" s="2628">
        <v>2.4</v>
      </c>
      <c r="U36" s="2628">
        <v>8.1999999999999993</v>
      </c>
      <c r="V36" s="2628">
        <v>0.3</v>
      </c>
      <c r="W36" s="2628">
        <v>0.2</v>
      </c>
      <c r="X36" s="2632">
        <v>666.03959925000015</v>
      </c>
      <c r="Y36" s="2633">
        <v>19197.339599250001</v>
      </c>
      <c r="Z36" s="2625"/>
      <c r="AA36" s="2626"/>
      <c r="AB36" s="2626"/>
      <c r="AC36" s="2626"/>
    </row>
    <row r="37" spans="1:29" ht="28.5" hidden="1" customHeight="1">
      <c r="A37" s="2617">
        <v>40210</v>
      </c>
      <c r="B37" s="2627">
        <v>223.3</v>
      </c>
      <c r="C37" s="2628">
        <v>161.252725</v>
      </c>
      <c r="D37" s="2628">
        <v>206.64425</v>
      </c>
      <c r="E37" s="2628">
        <v>979.74149999999997</v>
      </c>
      <c r="F37" s="2628">
        <v>1375.3363999999999</v>
      </c>
      <c r="G37" s="2628">
        <v>2160.5745000000002</v>
      </c>
      <c r="H37" s="2628">
        <v>11993.867</v>
      </c>
      <c r="I37" s="2629">
        <v>1119.5519999999999</v>
      </c>
      <c r="J37" s="2630">
        <v>18220.268375</v>
      </c>
      <c r="K37" s="2627">
        <v>8.6</v>
      </c>
      <c r="L37" s="2628">
        <v>13</v>
      </c>
      <c r="M37" s="2628">
        <v>134.91</v>
      </c>
      <c r="N37" s="2631">
        <v>218.6</v>
      </c>
      <c r="O37" s="2634">
        <v>93.4</v>
      </c>
      <c r="P37" s="2635">
        <v>116.99</v>
      </c>
      <c r="Q37" s="2628">
        <v>27.76</v>
      </c>
      <c r="R37" s="2628">
        <v>6.3474992500000003</v>
      </c>
      <c r="S37" s="2628">
        <v>34.799999999999997</v>
      </c>
      <c r="T37" s="2628">
        <v>2.4</v>
      </c>
      <c r="U37" s="2628">
        <v>8.25</v>
      </c>
      <c r="V37" s="2628">
        <v>0.33</v>
      </c>
      <c r="W37" s="2628">
        <v>0.2</v>
      </c>
      <c r="X37" s="2632">
        <v>665.59</v>
      </c>
      <c r="Y37" s="2633">
        <v>18885.858375</v>
      </c>
      <c r="Z37" s="2625"/>
      <c r="AA37" s="2626"/>
      <c r="AB37" s="2626"/>
      <c r="AC37" s="2626"/>
    </row>
    <row r="38" spans="1:29" ht="28.5" hidden="1" customHeight="1">
      <c r="A38" s="2617">
        <v>40238</v>
      </c>
      <c r="B38" s="2627">
        <v>223.3</v>
      </c>
      <c r="C38" s="2628">
        <v>162.4</v>
      </c>
      <c r="D38" s="2628">
        <v>203.1</v>
      </c>
      <c r="E38" s="2628">
        <v>980.83</v>
      </c>
      <c r="F38" s="2628">
        <v>1372.3</v>
      </c>
      <c r="G38" s="2628">
        <v>2229.5</v>
      </c>
      <c r="H38" s="2628">
        <v>12056.4</v>
      </c>
      <c r="I38" s="2629">
        <v>1097.7</v>
      </c>
      <c r="J38" s="2630">
        <v>18325.53</v>
      </c>
      <c r="K38" s="2627">
        <v>8.61</v>
      </c>
      <c r="L38" s="2628">
        <v>12.967000000000001</v>
      </c>
      <c r="M38" s="2628">
        <v>130.96</v>
      </c>
      <c r="N38" s="2631">
        <v>218.20168000000001</v>
      </c>
      <c r="O38" s="2634">
        <v>94.12</v>
      </c>
      <c r="P38" s="2635">
        <v>117.398</v>
      </c>
      <c r="Q38" s="2628">
        <v>27.76</v>
      </c>
      <c r="R38" s="2628">
        <v>6.3470000000000004</v>
      </c>
      <c r="S38" s="2628">
        <v>35.049999999999997</v>
      </c>
      <c r="T38" s="2628">
        <v>2.4300000000000002</v>
      </c>
      <c r="U38" s="2628">
        <v>8.2606000000000002</v>
      </c>
      <c r="V38" s="2628">
        <v>0.33</v>
      </c>
      <c r="W38" s="2628">
        <v>0.2</v>
      </c>
      <c r="X38" s="2632">
        <v>662.63427999999999</v>
      </c>
      <c r="Y38" s="2633">
        <v>18988.164280000001</v>
      </c>
      <c r="Z38" s="2625"/>
      <c r="AA38" s="2626"/>
      <c r="AB38" s="2626"/>
      <c r="AC38" s="2626"/>
    </row>
    <row r="39" spans="1:29" ht="28.5" hidden="1" customHeight="1">
      <c r="A39" s="2617">
        <v>40269</v>
      </c>
      <c r="B39" s="2627">
        <v>223.2</v>
      </c>
      <c r="C39" s="2628">
        <v>170.58</v>
      </c>
      <c r="D39" s="2628">
        <v>220.6797</v>
      </c>
      <c r="E39" s="2628">
        <v>970.68</v>
      </c>
      <c r="F39" s="2628">
        <v>1337.58</v>
      </c>
      <c r="G39" s="2628">
        <v>2183.1799999999998</v>
      </c>
      <c r="H39" s="2628">
        <v>12143.69</v>
      </c>
      <c r="I39" s="2629">
        <v>1082.3499999999999</v>
      </c>
      <c r="J39" s="2630">
        <v>18331.939699999999</v>
      </c>
      <c r="K39" s="2627">
        <v>8.6</v>
      </c>
      <c r="L39" s="2628">
        <v>12.97</v>
      </c>
      <c r="M39" s="2628">
        <v>131.37</v>
      </c>
      <c r="N39" s="2631">
        <v>218.35</v>
      </c>
      <c r="O39" s="2634">
        <v>95.01</v>
      </c>
      <c r="P39" s="2635">
        <v>117.64</v>
      </c>
      <c r="Q39" s="2628">
        <v>27.75</v>
      </c>
      <c r="R39" s="2628">
        <v>6.34</v>
      </c>
      <c r="S39" s="2628">
        <v>35.17</v>
      </c>
      <c r="T39" s="2628">
        <v>2.42</v>
      </c>
      <c r="U39" s="2628">
        <v>8.26</v>
      </c>
      <c r="V39" s="2628">
        <v>0.33</v>
      </c>
      <c r="W39" s="2628">
        <v>0.22</v>
      </c>
      <c r="X39" s="2632">
        <v>664.43</v>
      </c>
      <c r="Y39" s="2633">
        <v>18996.369699999999</v>
      </c>
      <c r="Z39" s="2625"/>
      <c r="AA39" s="2626"/>
      <c r="AB39" s="2626"/>
      <c r="AC39" s="2626"/>
    </row>
    <row r="40" spans="1:29" ht="28.5" hidden="1" customHeight="1">
      <c r="A40" s="2617">
        <v>40299</v>
      </c>
      <c r="B40" s="2627">
        <v>219.7</v>
      </c>
      <c r="C40" s="2628">
        <v>173.1</v>
      </c>
      <c r="D40" s="2628">
        <v>233</v>
      </c>
      <c r="E40" s="2628">
        <v>978.9</v>
      </c>
      <c r="F40" s="2628">
        <v>1364.79</v>
      </c>
      <c r="G40" s="2628">
        <v>2189.9</v>
      </c>
      <c r="H40" s="2628">
        <v>12249.4</v>
      </c>
      <c r="I40" s="2629">
        <v>1080.0999999999999</v>
      </c>
      <c r="J40" s="2636">
        <v>18488.89</v>
      </c>
      <c r="K40" s="2627">
        <v>8.6</v>
      </c>
      <c r="L40" s="2628">
        <v>12.98</v>
      </c>
      <c r="M40" s="2628">
        <v>129.77000000000001</v>
      </c>
      <c r="N40" s="2637">
        <v>218.63</v>
      </c>
      <c r="O40" s="2637">
        <v>95.18</v>
      </c>
      <c r="P40" s="2638">
        <v>117.85</v>
      </c>
      <c r="Q40" s="2638">
        <v>27.8</v>
      </c>
      <c r="R40" s="2628">
        <v>6.3</v>
      </c>
      <c r="S40" s="2628">
        <v>35.25</v>
      </c>
      <c r="T40" s="2628">
        <v>2.4300000000000002</v>
      </c>
      <c r="U40" s="2628">
        <v>8.33</v>
      </c>
      <c r="V40" s="2628">
        <v>0.33</v>
      </c>
      <c r="W40" s="2628">
        <v>0.22</v>
      </c>
      <c r="X40" s="2632">
        <v>663.67</v>
      </c>
      <c r="Y40" s="2633">
        <v>19152.559999999998</v>
      </c>
      <c r="Z40" s="2625"/>
      <c r="AA40" s="2626"/>
      <c r="AB40" s="2626"/>
      <c r="AC40" s="2626"/>
    </row>
    <row r="41" spans="1:29" ht="28.5" hidden="1" customHeight="1">
      <c r="A41" s="2617">
        <v>40330</v>
      </c>
      <c r="B41" s="2627">
        <v>219.6</v>
      </c>
      <c r="C41" s="2628">
        <v>174.9</v>
      </c>
      <c r="D41" s="2628">
        <v>236.9</v>
      </c>
      <c r="E41" s="2628">
        <v>957.7</v>
      </c>
      <c r="F41" s="2628">
        <v>1316</v>
      </c>
      <c r="G41" s="2628">
        <v>2155.4</v>
      </c>
      <c r="H41" s="2628">
        <v>12099.4</v>
      </c>
      <c r="I41" s="2629">
        <v>1068.5</v>
      </c>
      <c r="J41" s="2636">
        <v>18228.400000000001</v>
      </c>
      <c r="K41" s="2627">
        <v>8.6</v>
      </c>
      <c r="L41" s="2628">
        <v>12.98</v>
      </c>
      <c r="M41" s="2628">
        <v>128.6</v>
      </c>
      <c r="N41" s="2637">
        <v>217.07</v>
      </c>
      <c r="O41" s="2637">
        <v>95.27</v>
      </c>
      <c r="P41" s="2638">
        <v>118.08</v>
      </c>
      <c r="Q41" s="2638">
        <v>27.83</v>
      </c>
      <c r="R41" s="2628">
        <v>6.3</v>
      </c>
      <c r="S41" s="2628">
        <v>35.54</v>
      </c>
      <c r="T41" s="2628">
        <v>2.4300000000000002</v>
      </c>
      <c r="U41" s="2628">
        <v>8.41</v>
      </c>
      <c r="V41" s="2628">
        <v>0.33</v>
      </c>
      <c r="W41" s="2628">
        <v>0.22</v>
      </c>
      <c r="X41" s="2632">
        <v>661.66</v>
      </c>
      <c r="Y41" s="2633">
        <v>18890.060000000001</v>
      </c>
      <c r="Z41" s="2625"/>
      <c r="AA41" s="2626"/>
      <c r="AB41" s="2626"/>
      <c r="AC41" s="2626"/>
    </row>
    <row r="42" spans="1:29" ht="28.5" hidden="1" customHeight="1">
      <c r="A42" s="2617">
        <v>40360</v>
      </c>
      <c r="B42" s="2627">
        <v>219.56</v>
      </c>
      <c r="C42" s="2628">
        <v>175.46</v>
      </c>
      <c r="D42" s="2628">
        <v>242.4</v>
      </c>
      <c r="E42" s="2628">
        <v>973.4</v>
      </c>
      <c r="F42" s="2628">
        <v>1327</v>
      </c>
      <c r="G42" s="2628">
        <v>2207</v>
      </c>
      <c r="H42" s="2628">
        <v>12337.3</v>
      </c>
      <c r="I42" s="2629">
        <v>1059.5999999999999</v>
      </c>
      <c r="J42" s="2636">
        <v>18541.72</v>
      </c>
      <c r="K42" s="2627">
        <v>8.6</v>
      </c>
      <c r="L42" s="2628">
        <v>12.98</v>
      </c>
      <c r="M42" s="2628">
        <v>126.51</v>
      </c>
      <c r="N42" s="2637">
        <v>215.95</v>
      </c>
      <c r="O42" s="2637">
        <v>95.09</v>
      </c>
      <c r="P42" s="2638">
        <v>118.4</v>
      </c>
      <c r="Q42" s="2638">
        <v>27.9</v>
      </c>
      <c r="R42" s="2628">
        <v>6.3460000000000001</v>
      </c>
      <c r="S42" s="2628">
        <v>35.64</v>
      </c>
      <c r="T42" s="2628">
        <v>2.4300000000000002</v>
      </c>
      <c r="U42" s="2628">
        <v>8.4600000000000009</v>
      </c>
      <c r="V42" s="2628">
        <v>0.33</v>
      </c>
      <c r="W42" s="2628">
        <v>0.22</v>
      </c>
      <c r="X42" s="2632">
        <v>658.85599999999999</v>
      </c>
      <c r="Y42" s="2633">
        <v>19200.575999999997</v>
      </c>
      <c r="Z42" s="2625"/>
      <c r="AA42" s="2626"/>
      <c r="AB42" s="2626"/>
      <c r="AC42" s="2626"/>
    </row>
    <row r="43" spans="1:29" ht="28.5" hidden="1" customHeight="1">
      <c r="A43" s="2617">
        <v>40391</v>
      </c>
      <c r="B43" s="2627">
        <v>219.5</v>
      </c>
      <c r="C43" s="2628">
        <v>179.6</v>
      </c>
      <c r="D43" s="2628">
        <v>251.75</v>
      </c>
      <c r="E43" s="2628">
        <v>972.95</v>
      </c>
      <c r="F43" s="2628">
        <v>1361.1</v>
      </c>
      <c r="G43" s="2628">
        <v>2211.4899999999998</v>
      </c>
      <c r="H43" s="2628">
        <v>12434.69</v>
      </c>
      <c r="I43" s="2629">
        <v>1049.9000000000001</v>
      </c>
      <c r="J43" s="2636">
        <v>18680.98</v>
      </c>
      <c r="K43" s="2627">
        <v>8.6300000000000008</v>
      </c>
      <c r="L43" s="2628">
        <v>12.99</v>
      </c>
      <c r="M43" s="2628">
        <v>126.58</v>
      </c>
      <c r="N43" s="2637">
        <v>215.91</v>
      </c>
      <c r="O43" s="2637">
        <v>95.42</v>
      </c>
      <c r="P43" s="2638">
        <v>118.66</v>
      </c>
      <c r="Q43" s="2638">
        <v>28</v>
      </c>
      <c r="R43" s="2628">
        <v>6.3460000000000001</v>
      </c>
      <c r="S43" s="2628">
        <v>35.89</v>
      </c>
      <c r="T43" s="2628">
        <v>2.4</v>
      </c>
      <c r="U43" s="2628">
        <v>8.5030000000000001</v>
      </c>
      <c r="V43" s="2628">
        <v>0.33</v>
      </c>
      <c r="W43" s="2628">
        <v>0.22</v>
      </c>
      <c r="X43" s="2632">
        <v>659.87900000000013</v>
      </c>
      <c r="Y43" s="2633">
        <v>19340.859000000004</v>
      </c>
      <c r="Z43" s="2625"/>
      <c r="AA43" s="2626"/>
      <c r="AB43" s="2626"/>
      <c r="AC43" s="2626"/>
    </row>
    <row r="44" spans="1:29" ht="28.5" hidden="1" customHeight="1">
      <c r="A44" s="2617">
        <v>40422</v>
      </c>
      <c r="B44" s="2627">
        <v>219.44</v>
      </c>
      <c r="C44" s="2628">
        <v>182.4</v>
      </c>
      <c r="D44" s="2628">
        <v>255.9</v>
      </c>
      <c r="E44" s="2628">
        <v>1013.9</v>
      </c>
      <c r="F44" s="2628">
        <v>1350.8</v>
      </c>
      <c r="G44" s="2628">
        <v>2246.6999999999998</v>
      </c>
      <c r="H44" s="2628">
        <v>12363.3</v>
      </c>
      <c r="I44" s="2629">
        <v>1044.5999999999999</v>
      </c>
      <c r="J44" s="2636">
        <v>18677.039999999997</v>
      </c>
      <c r="K44" s="2627">
        <v>8.6</v>
      </c>
      <c r="L44" s="2628">
        <v>12.99</v>
      </c>
      <c r="M44" s="2628">
        <v>126.69</v>
      </c>
      <c r="N44" s="2637">
        <v>215.62</v>
      </c>
      <c r="O44" s="2637">
        <v>95.63</v>
      </c>
      <c r="P44" s="2638">
        <v>118.81</v>
      </c>
      <c r="Q44" s="2638">
        <v>28.06</v>
      </c>
      <c r="R44" s="2628">
        <v>6.3</v>
      </c>
      <c r="S44" s="2628">
        <v>35.93</v>
      </c>
      <c r="T44" s="2628">
        <v>2.4300000000000002</v>
      </c>
      <c r="U44" s="2628">
        <v>8.5500000000000007</v>
      </c>
      <c r="V44" s="2628">
        <v>0.33</v>
      </c>
      <c r="W44" s="2628">
        <v>0.2</v>
      </c>
      <c r="X44" s="2632">
        <v>660.14999999999975</v>
      </c>
      <c r="Y44" s="2633">
        <v>19337.189999999999</v>
      </c>
      <c r="Z44" s="2625"/>
      <c r="AA44" s="2626"/>
      <c r="AB44" s="2626"/>
      <c r="AC44" s="2626"/>
    </row>
    <row r="45" spans="1:29" ht="28.5" hidden="1" customHeight="1">
      <c r="A45" s="2617">
        <v>40452</v>
      </c>
      <c r="B45" s="2627">
        <v>219.39</v>
      </c>
      <c r="C45" s="2628">
        <v>180.07</v>
      </c>
      <c r="D45" s="2628">
        <v>252.2</v>
      </c>
      <c r="E45" s="2628">
        <v>1009.1</v>
      </c>
      <c r="F45" s="2628">
        <v>1357.59</v>
      </c>
      <c r="G45" s="2628">
        <v>2233.25</v>
      </c>
      <c r="H45" s="2628">
        <v>12536.1</v>
      </c>
      <c r="I45" s="2629">
        <v>1034.5999999999999</v>
      </c>
      <c r="J45" s="2636">
        <v>18822.3</v>
      </c>
      <c r="K45" s="2627">
        <v>8.6</v>
      </c>
      <c r="L45" s="2628">
        <v>12.996</v>
      </c>
      <c r="M45" s="2628">
        <v>127.81</v>
      </c>
      <c r="N45" s="2637">
        <v>216.33</v>
      </c>
      <c r="O45" s="2637">
        <v>95.79</v>
      </c>
      <c r="P45" s="2638">
        <v>119.03</v>
      </c>
      <c r="Q45" s="2638">
        <v>28.06</v>
      </c>
      <c r="R45" s="2628">
        <v>6.3460000000000001</v>
      </c>
      <c r="S45" s="2628">
        <v>35.9</v>
      </c>
      <c r="T45" s="2628">
        <v>2.4300000000000002</v>
      </c>
      <c r="U45" s="2628">
        <v>8.59</v>
      </c>
      <c r="V45" s="2628">
        <v>0.33</v>
      </c>
      <c r="W45" s="2628">
        <v>0.22</v>
      </c>
      <c r="X45" s="2632">
        <v>662.43200000000002</v>
      </c>
      <c r="Y45" s="2633">
        <v>19484.732</v>
      </c>
      <c r="Z45" s="2625"/>
      <c r="AA45" s="2626"/>
      <c r="AB45" s="2626"/>
      <c r="AC45" s="2626"/>
    </row>
    <row r="46" spans="1:29" ht="28.5" hidden="1" customHeight="1">
      <c r="A46" s="2617">
        <v>40483</v>
      </c>
      <c r="B46" s="2639">
        <v>219.3</v>
      </c>
      <c r="C46" s="2628">
        <v>179.85</v>
      </c>
      <c r="D46" s="2628">
        <v>260.08</v>
      </c>
      <c r="E46" s="2628">
        <v>1018.2</v>
      </c>
      <c r="F46" s="2628">
        <v>1363</v>
      </c>
      <c r="G46" s="2628">
        <v>2250.25</v>
      </c>
      <c r="H46" s="2628">
        <v>12720.4</v>
      </c>
      <c r="I46" s="2629">
        <v>1079.26</v>
      </c>
      <c r="J46" s="2636">
        <v>19090.34</v>
      </c>
      <c r="K46" s="2627">
        <v>8.6</v>
      </c>
      <c r="L46" s="2628">
        <v>13.003</v>
      </c>
      <c r="M46" s="2628">
        <v>128.13</v>
      </c>
      <c r="N46" s="2628">
        <v>217.26</v>
      </c>
      <c r="O46" s="2628">
        <v>96.89</v>
      </c>
      <c r="P46" s="2628">
        <v>119.64</v>
      </c>
      <c r="Q46" s="2628">
        <v>28.09</v>
      </c>
      <c r="R46" s="2628">
        <v>6.3460000000000001</v>
      </c>
      <c r="S46" s="2628">
        <v>36.25</v>
      </c>
      <c r="T46" s="2628">
        <v>2.4300000000000002</v>
      </c>
      <c r="U46" s="2628">
        <v>8.64</v>
      </c>
      <c r="V46" s="2628">
        <v>0.33</v>
      </c>
      <c r="W46" s="2628">
        <v>0.22</v>
      </c>
      <c r="X46" s="2632">
        <v>665.82900000000006</v>
      </c>
      <c r="Y46" s="2632">
        <v>19756.169000000002</v>
      </c>
      <c r="Z46" s="2625"/>
      <c r="AA46" s="2626"/>
      <c r="AB46" s="2626"/>
      <c r="AC46" s="2626"/>
    </row>
    <row r="47" spans="1:29" ht="28.5" hidden="1" customHeight="1">
      <c r="A47" s="2617">
        <v>40513</v>
      </c>
      <c r="B47" s="2639">
        <v>219.26900000000001</v>
      </c>
      <c r="C47" s="2628">
        <v>196.5</v>
      </c>
      <c r="D47" s="2628">
        <v>289.39999999999998</v>
      </c>
      <c r="E47" s="2628">
        <v>1112.6300000000001</v>
      </c>
      <c r="F47" s="2628">
        <v>1563.9</v>
      </c>
      <c r="G47" s="2628">
        <v>2688.13</v>
      </c>
      <c r="H47" s="2628">
        <v>14930.42</v>
      </c>
      <c r="I47" s="2629">
        <v>1154.04</v>
      </c>
      <c r="J47" s="2636">
        <v>22154.289000000001</v>
      </c>
      <c r="K47" s="2627">
        <v>8.82</v>
      </c>
      <c r="L47" s="2628">
        <v>13.009</v>
      </c>
      <c r="M47" s="2628">
        <v>131.69999999999999</v>
      </c>
      <c r="N47" s="2628">
        <v>221.75</v>
      </c>
      <c r="O47" s="2628">
        <v>99.16</v>
      </c>
      <c r="P47" s="2628">
        <v>121.23</v>
      </c>
      <c r="Q47" s="2628">
        <v>28.18</v>
      </c>
      <c r="R47" s="2628">
        <v>6.3460000000000001</v>
      </c>
      <c r="S47" s="2628">
        <v>36.700000000000003</v>
      </c>
      <c r="T47" s="2628">
        <v>2.4300000000000002</v>
      </c>
      <c r="U47" s="2628">
        <v>8.7200000000000006</v>
      </c>
      <c r="V47" s="2628">
        <v>0.33</v>
      </c>
      <c r="W47" s="2628">
        <v>0.22</v>
      </c>
      <c r="X47" s="2632">
        <v>678.59500000000003</v>
      </c>
      <c r="Y47" s="2632">
        <v>22832.884000000002</v>
      </c>
      <c r="Z47" s="2625"/>
      <c r="AA47" s="2626"/>
      <c r="AB47" s="2626"/>
      <c r="AC47" s="2626"/>
    </row>
    <row r="48" spans="1:29" ht="28.5" hidden="1" customHeight="1">
      <c r="A48" s="2617">
        <v>40544</v>
      </c>
      <c r="B48" s="2639">
        <v>219.2</v>
      </c>
      <c r="C48" s="2628">
        <v>189.8</v>
      </c>
      <c r="D48" s="2628">
        <v>275</v>
      </c>
      <c r="E48" s="2628">
        <v>1033.4000000000001</v>
      </c>
      <c r="F48" s="2628">
        <v>1434.5</v>
      </c>
      <c r="G48" s="2628">
        <v>2496.1999999999998</v>
      </c>
      <c r="H48" s="2628">
        <v>14004.6</v>
      </c>
      <c r="I48" s="2629">
        <v>1129.5999999999999</v>
      </c>
      <c r="J48" s="2636">
        <v>20782.3</v>
      </c>
      <c r="K48" s="2627">
        <v>8.82</v>
      </c>
      <c r="L48" s="2628">
        <v>13</v>
      </c>
      <c r="M48" s="2628">
        <v>131.9</v>
      </c>
      <c r="N48" s="2628">
        <v>223.65</v>
      </c>
      <c r="O48" s="2628">
        <v>100.82</v>
      </c>
      <c r="P48" s="2628">
        <v>122.25</v>
      </c>
      <c r="Q48" s="2628">
        <v>28.28</v>
      </c>
      <c r="R48" s="2628">
        <v>6.3460000000000001</v>
      </c>
      <c r="S48" s="2628">
        <v>36.880000000000003</v>
      </c>
      <c r="T48" s="2628">
        <v>2.4300000000000002</v>
      </c>
      <c r="U48" s="2628">
        <v>8.76</v>
      </c>
      <c r="V48" s="2628">
        <v>0.33</v>
      </c>
      <c r="W48" s="2628">
        <v>0.2</v>
      </c>
      <c r="X48" s="2632">
        <v>683.66600000000005</v>
      </c>
      <c r="Y48" s="2632">
        <v>21466.016</v>
      </c>
      <c r="Z48" s="2625"/>
      <c r="AA48" s="2626"/>
      <c r="AB48" s="2626"/>
      <c r="AC48" s="2626"/>
    </row>
    <row r="49" spans="1:29" ht="28.5" hidden="1" customHeight="1">
      <c r="A49" s="2617">
        <v>40575</v>
      </c>
      <c r="B49" s="2639">
        <v>219.2</v>
      </c>
      <c r="C49" s="2628">
        <v>178.8</v>
      </c>
      <c r="D49" s="2628">
        <v>260.92</v>
      </c>
      <c r="E49" s="2628">
        <v>1008.72</v>
      </c>
      <c r="F49" s="2628">
        <v>1393.11</v>
      </c>
      <c r="G49" s="2628">
        <v>2357.5</v>
      </c>
      <c r="H49" s="2628">
        <v>13570.2</v>
      </c>
      <c r="I49" s="2629">
        <v>1107</v>
      </c>
      <c r="J49" s="2636">
        <v>20095.45</v>
      </c>
      <c r="K49" s="2627">
        <v>8.83</v>
      </c>
      <c r="L49" s="2628">
        <v>13.015000000000001</v>
      </c>
      <c r="M49" s="2628">
        <v>131.87</v>
      </c>
      <c r="N49" s="2628">
        <v>223.57</v>
      </c>
      <c r="O49" s="2628">
        <v>101.03</v>
      </c>
      <c r="P49" s="2628">
        <v>122.74</v>
      </c>
      <c r="Q49" s="2628">
        <v>28.32</v>
      </c>
      <c r="R49" s="2628">
        <v>6.3</v>
      </c>
      <c r="S49" s="2628">
        <v>37</v>
      </c>
      <c r="T49" s="2628">
        <v>2.4</v>
      </c>
      <c r="U49" s="2628">
        <v>8.7799999999999994</v>
      </c>
      <c r="V49" s="2628">
        <v>0.33</v>
      </c>
      <c r="W49" s="2628">
        <v>0.22</v>
      </c>
      <c r="X49" s="2632">
        <v>684.40499999999997</v>
      </c>
      <c r="Y49" s="2632">
        <v>20779.855</v>
      </c>
      <c r="Z49" s="2625"/>
      <c r="AA49" s="2626"/>
      <c r="AB49" s="2640"/>
      <c r="AC49" s="2626"/>
    </row>
    <row r="50" spans="1:29" ht="28.5" hidden="1" customHeight="1">
      <c r="A50" s="2617">
        <v>40603</v>
      </c>
      <c r="B50" s="2639">
        <v>219.1</v>
      </c>
      <c r="C50" s="2628">
        <v>175.44</v>
      </c>
      <c r="D50" s="2628">
        <v>257.2</v>
      </c>
      <c r="E50" s="2628">
        <v>1024</v>
      </c>
      <c r="F50" s="2628">
        <v>1410.8</v>
      </c>
      <c r="G50" s="2628">
        <v>2354.1999999999998</v>
      </c>
      <c r="H50" s="2628">
        <v>13547.2</v>
      </c>
      <c r="I50" s="2629">
        <v>1123.7</v>
      </c>
      <c r="J50" s="2636">
        <v>20111.64</v>
      </c>
      <c r="K50" s="2639">
        <v>8.8000000000000007</v>
      </c>
      <c r="L50" s="2631">
        <v>13.021000000000001</v>
      </c>
      <c r="M50" s="2631">
        <v>131.93</v>
      </c>
      <c r="N50" s="2631">
        <v>223.68</v>
      </c>
      <c r="O50" s="2631">
        <v>101.09</v>
      </c>
      <c r="P50" s="2631">
        <v>123.83</v>
      </c>
      <c r="Q50" s="2631">
        <v>28.5</v>
      </c>
      <c r="R50" s="2631">
        <v>6.3460000000000001</v>
      </c>
      <c r="S50" s="2631">
        <v>37.229999999999997</v>
      </c>
      <c r="T50" s="2631">
        <v>2.4300000000000002</v>
      </c>
      <c r="U50" s="2631">
        <v>8.85</v>
      </c>
      <c r="V50" s="2631">
        <v>0.33</v>
      </c>
      <c r="W50" s="2631">
        <v>0.22</v>
      </c>
      <c r="X50" s="2632">
        <v>686.25700000000018</v>
      </c>
      <c r="Y50" s="2632">
        <v>20797.897000000004</v>
      </c>
      <c r="Z50" s="2625"/>
      <c r="AB50" s="2640"/>
      <c r="AC50" s="2626"/>
    </row>
    <row r="51" spans="1:29" ht="28.5" hidden="1" customHeight="1">
      <c r="A51" s="2617">
        <v>40634</v>
      </c>
      <c r="B51" s="2639">
        <v>219.06</v>
      </c>
      <c r="C51" s="2628">
        <v>172.1</v>
      </c>
      <c r="D51" s="2628">
        <v>253.6</v>
      </c>
      <c r="E51" s="2628">
        <v>1007.86</v>
      </c>
      <c r="F51" s="2628">
        <v>1364.3</v>
      </c>
      <c r="G51" s="2628">
        <v>2308</v>
      </c>
      <c r="H51" s="2628">
        <v>13462.2</v>
      </c>
      <c r="I51" s="2629">
        <v>1120</v>
      </c>
      <c r="J51" s="2636">
        <v>19907.12</v>
      </c>
      <c r="K51" s="2639">
        <v>8.84</v>
      </c>
      <c r="L51" s="2631">
        <v>13</v>
      </c>
      <c r="M51" s="2631">
        <v>132.1</v>
      </c>
      <c r="N51" s="2631">
        <v>223.71</v>
      </c>
      <c r="O51" s="2631">
        <v>100.77</v>
      </c>
      <c r="P51" s="2631">
        <v>124.1</v>
      </c>
      <c r="Q51" s="2631">
        <v>28.65</v>
      </c>
      <c r="R51" s="2631">
        <v>6.34</v>
      </c>
      <c r="S51" s="2631">
        <v>37.270000000000003</v>
      </c>
      <c r="T51" s="2631">
        <v>2.4300000000000002</v>
      </c>
      <c r="U51" s="2631">
        <v>8.8699999999999992</v>
      </c>
      <c r="V51" s="2631">
        <v>0.33</v>
      </c>
      <c r="W51" s="2631">
        <v>0.22</v>
      </c>
      <c r="X51" s="2632">
        <v>686.63</v>
      </c>
      <c r="Y51" s="2632">
        <v>20593.75</v>
      </c>
      <c r="Z51" s="2625"/>
      <c r="AA51" s="2626"/>
      <c r="AB51" s="2640"/>
      <c r="AC51" s="2626"/>
    </row>
    <row r="52" spans="1:29" ht="28.5" hidden="1" customHeight="1">
      <c r="A52" s="2617">
        <v>40664</v>
      </c>
      <c r="B52" s="2639">
        <v>219</v>
      </c>
      <c r="C52" s="2628">
        <v>172.35</v>
      </c>
      <c r="D52" s="2628">
        <v>253.16</v>
      </c>
      <c r="E52" s="2628">
        <v>989.89</v>
      </c>
      <c r="F52" s="2628">
        <v>1360.39</v>
      </c>
      <c r="G52" s="2628">
        <v>2339.66</v>
      </c>
      <c r="H52" s="2628">
        <v>13699.36</v>
      </c>
      <c r="I52" s="2629">
        <v>1115.7</v>
      </c>
      <c r="J52" s="2636">
        <v>20149.509999999998</v>
      </c>
      <c r="K52" s="2639">
        <v>8.8000000000000007</v>
      </c>
      <c r="L52" s="2631">
        <v>13</v>
      </c>
      <c r="M52" s="2631">
        <v>131.5</v>
      </c>
      <c r="N52" s="2631">
        <v>223.8</v>
      </c>
      <c r="O52" s="2631">
        <v>100.61</v>
      </c>
      <c r="P52" s="2631">
        <v>124.5</v>
      </c>
      <c r="Q52" s="2631">
        <v>28.84</v>
      </c>
      <c r="R52" s="2631">
        <v>6.3460000000000001</v>
      </c>
      <c r="S52" s="2631">
        <v>37.4</v>
      </c>
      <c r="T52" s="2631">
        <v>2.4300000000000002</v>
      </c>
      <c r="U52" s="2631">
        <v>8.91</v>
      </c>
      <c r="V52" s="2631">
        <v>0.33</v>
      </c>
      <c r="W52" s="2631">
        <v>0.22</v>
      </c>
      <c r="X52" s="2632">
        <v>686.68600000000004</v>
      </c>
      <c r="Y52" s="2632">
        <v>20836.196000000004</v>
      </c>
      <c r="Z52" s="2625"/>
      <c r="AA52" s="2641"/>
      <c r="AB52" s="2640"/>
      <c r="AC52" s="2626"/>
    </row>
    <row r="53" spans="1:29" ht="28.5" hidden="1" customHeight="1">
      <c r="A53" s="2617">
        <v>40695</v>
      </c>
      <c r="B53" s="2639">
        <v>218.97</v>
      </c>
      <c r="C53" s="2628">
        <v>169.75</v>
      </c>
      <c r="D53" s="2628">
        <v>246.4</v>
      </c>
      <c r="E53" s="2628">
        <v>1009.8</v>
      </c>
      <c r="F53" s="2628">
        <v>1367.5</v>
      </c>
      <c r="G53" s="2628">
        <v>2285.1</v>
      </c>
      <c r="H53" s="2628">
        <v>13573.6</v>
      </c>
      <c r="I53" s="2629">
        <v>1136.5</v>
      </c>
      <c r="J53" s="2636">
        <v>20007.620000000003</v>
      </c>
      <c r="K53" s="2639">
        <v>8.8699999999999992</v>
      </c>
      <c r="L53" s="2631">
        <v>13.037000000000001</v>
      </c>
      <c r="M53" s="2631">
        <v>131.57</v>
      </c>
      <c r="N53" s="2631">
        <v>223.79</v>
      </c>
      <c r="O53" s="2631">
        <v>100.63</v>
      </c>
      <c r="P53" s="2631">
        <v>124.68</v>
      </c>
      <c r="Q53" s="2631">
        <v>28.9</v>
      </c>
      <c r="R53" s="2631">
        <v>6.3440000000000003</v>
      </c>
      <c r="S53" s="2631">
        <v>37.43</v>
      </c>
      <c r="T53" s="2631">
        <v>2.4</v>
      </c>
      <c r="U53" s="2631">
        <v>8.94</v>
      </c>
      <c r="V53" s="2631">
        <v>0.3</v>
      </c>
      <c r="W53" s="2631">
        <v>0.22</v>
      </c>
      <c r="X53" s="2630">
        <v>687.11099999999999</v>
      </c>
      <c r="Y53" s="2630">
        <v>20694.731000000003</v>
      </c>
      <c r="Z53" s="2625"/>
      <c r="AA53" s="2626"/>
      <c r="AB53" s="2640"/>
      <c r="AC53" s="2626"/>
    </row>
    <row r="54" spans="1:29" ht="28.5" hidden="1" customHeight="1">
      <c r="A54" s="2617">
        <v>40725</v>
      </c>
      <c r="B54" s="2639">
        <v>218.94</v>
      </c>
      <c r="C54" s="2628">
        <v>167.62</v>
      </c>
      <c r="D54" s="2628">
        <v>243</v>
      </c>
      <c r="E54" s="2628">
        <v>1019.7</v>
      </c>
      <c r="F54" s="2628">
        <v>1377.32</v>
      </c>
      <c r="G54" s="2628">
        <v>2376.34</v>
      </c>
      <c r="H54" s="2628">
        <v>13889.93</v>
      </c>
      <c r="I54" s="2629">
        <v>1164.0999999999999</v>
      </c>
      <c r="J54" s="2636">
        <v>20456.949999999997</v>
      </c>
      <c r="K54" s="2639">
        <v>8.9</v>
      </c>
      <c r="L54" s="2631">
        <v>13.04</v>
      </c>
      <c r="M54" s="2631">
        <v>132.18</v>
      </c>
      <c r="N54" s="2631">
        <v>224.36</v>
      </c>
      <c r="O54" s="2631">
        <v>101.29</v>
      </c>
      <c r="P54" s="2631">
        <v>125.03</v>
      </c>
      <c r="Q54" s="2631">
        <v>29</v>
      </c>
      <c r="R54" s="2631">
        <v>6.34</v>
      </c>
      <c r="S54" s="2631">
        <v>37.51</v>
      </c>
      <c r="T54" s="2631">
        <v>2.4300000000000002</v>
      </c>
      <c r="U54" s="2631">
        <v>9</v>
      </c>
      <c r="V54" s="2631">
        <v>0.33</v>
      </c>
      <c r="W54" s="2631">
        <v>0.22</v>
      </c>
      <c r="X54" s="2630">
        <v>689.63000000000011</v>
      </c>
      <c r="Y54" s="2630">
        <v>21146.579999999998</v>
      </c>
      <c r="Z54" s="2625"/>
      <c r="AA54" s="2626"/>
      <c r="AB54" s="2640"/>
      <c r="AC54" s="2626"/>
    </row>
    <row r="55" spans="1:29" ht="28.5" hidden="1" customHeight="1">
      <c r="A55" s="2617">
        <v>40756</v>
      </c>
      <c r="B55" s="2639">
        <v>218.9</v>
      </c>
      <c r="C55" s="2628">
        <v>172.7</v>
      </c>
      <c r="D55" s="2628">
        <v>249.2</v>
      </c>
      <c r="E55" s="2628">
        <v>1035.5999999999999</v>
      </c>
      <c r="F55" s="2628">
        <v>1424.9</v>
      </c>
      <c r="G55" s="2628">
        <v>2468.1</v>
      </c>
      <c r="H55" s="2628">
        <v>14458.4</v>
      </c>
      <c r="I55" s="2629">
        <v>1160.0999999999999</v>
      </c>
      <c r="J55" s="2636">
        <v>21187.9</v>
      </c>
      <c r="K55" s="2639">
        <v>8.89</v>
      </c>
      <c r="L55" s="2631">
        <v>13.04</v>
      </c>
      <c r="M55" s="2631">
        <v>137.16</v>
      </c>
      <c r="N55" s="2631">
        <v>227.17</v>
      </c>
      <c r="O55" s="2631">
        <v>101.93</v>
      </c>
      <c r="P55" s="2631">
        <v>125.26</v>
      </c>
      <c r="Q55" s="2631">
        <v>29.03</v>
      </c>
      <c r="R55" s="2631">
        <v>6.34</v>
      </c>
      <c r="S55" s="2631">
        <v>37.58</v>
      </c>
      <c r="T55" s="2631">
        <v>2.4300000000000002</v>
      </c>
      <c r="U55" s="2631">
        <v>8.98</v>
      </c>
      <c r="V55" s="2631">
        <v>0.33</v>
      </c>
      <c r="W55" s="2631">
        <v>0.22</v>
      </c>
      <c r="X55" s="2630">
        <v>698.36000000000013</v>
      </c>
      <c r="Y55" s="2630">
        <v>21886.260000000002</v>
      </c>
      <c r="Z55" s="2625"/>
      <c r="AA55" s="2626"/>
      <c r="AB55" s="2640"/>
      <c r="AC55" s="2626"/>
    </row>
    <row r="56" spans="1:29" ht="28.5" hidden="1" customHeight="1">
      <c r="A56" s="2617">
        <v>40787</v>
      </c>
      <c r="B56" s="2639">
        <v>218.8</v>
      </c>
      <c r="C56" s="2628">
        <v>172.3</v>
      </c>
      <c r="D56" s="2628">
        <v>248.8</v>
      </c>
      <c r="E56" s="2628">
        <v>1029.3</v>
      </c>
      <c r="F56" s="2628">
        <v>1425.3</v>
      </c>
      <c r="G56" s="2628">
        <v>2392.4</v>
      </c>
      <c r="H56" s="2628">
        <v>13982.3</v>
      </c>
      <c r="I56" s="2629">
        <v>1222.4000000000001</v>
      </c>
      <c r="J56" s="2636">
        <v>20691.599999999999</v>
      </c>
      <c r="K56" s="2639">
        <v>8.89</v>
      </c>
      <c r="L56" s="2631">
        <v>13</v>
      </c>
      <c r="M56" s="2631">
        <v>141.16</v>
      </c>
      <c r="N56" s="2631">
        <v>229.9</v>
      </c>
      <c r="O56" s="2631">
        <v>102.1</v>
      </c>
      <c r="P56" s="2631">
        <v>125.6</v>
      </c>
      <c r="Q56" s="2631">
        <v>29.09</v>
      </c>
      <c r="R56" s="2631">
        <v>6.3</v>
      </c>
      <c r="S56" s="2631">
        <v>37.6</v>
      </c>
      <c r="T56" s="2631">
        <v>2.4</v>
      </c>
      <c r="U56" s="2631">
        <v>9</v>
      </c>
      <c r="V56" s="2631">
        <v>0.3</v>
      </c>
      <c r="W56" s="2631">
        <v>0.2</v>
      </c>
      <c r="X56" s="2630">
        <v>705.95</v>
      </c>
      <c r="Y56" s="2630">
        <v>21397.55</v>
      </c>
      <c r="Z56" s="2625"/>
      <c r="AA56" s="2626"/>
      <c r="AB56" s="2640"/>
      <c r="AC56" s="2626"/>
    </row>
    <row r="57" spans="1:29" ht="28.5" hidden="1" customHeight="1">
      <c r="A57" s="2617">
        <v>40817</v>
      </c>
      <c r="B57" s="2639">
        <v>218.8</v>
      </c>
      <c r="C57" s="2628">
        <v>173.4</v>
      </c>
      <c r="D57" s="2628">
        <v>247.7</v>
      </c>
      <c r="E57" s="2628">
        <v>1062.0999999999999</v>
      </c>
      <c r="F57" s="2628">
        <v>1507.1</v>
      </c>
      <c r="G57" s="2628">
        <v>2517.1</v>
      </c>
      <c r="H57" s="2628">
        <v>14456.7</v>
      </c>
      <c r="I57" s="2629">
        <v>1182.2</v>
      </c>
      <c r="J57" s="2636">
        <v>21365.1</v>
      </c>
      <c r="K57" s="2639">
        <v>8.9</v>
      </c>
      <c r="L57" s="2631">
        <v>13</v>
      </c>
      <c r="M57" s="2631">
        <v>145.9</v>
      </c>
      <c r="N57" s="2631">
        <v>231.6</v>
      </c>
      <c r="O57" s="2631">
        <v>102.6</v>
      </c>
      <c r="P57" s="2631">
        <v>126.29</v>
      </c>
      <c r="Q57" s="2631">
        <v>29.19</v>
      </c>
      <c r="R57" s="2631">
        <v>6.34</v>
      </c>
      <c r="S57" s="2631">
        <v>37.82</v>
      </c>
      <c r="T57" s="2631">
        <v>2.4300000000000002</v>
      </c>
      <c r="U57" s="2631">
        <v>9.0500000000000007</v>
      </c>
      <c r="V57" s="2631">
        <v>0.33</v>
      </c>
      <c r="W57" s="2631">
        <v>0.22</v>
      </c>
      <c r="X57" s="2630">
        <v>713.74</v>
      </c>
      <c r="Y57" s="2630">
        <v>22078.880000000001</v>
      </c>
      <c r="Z57" s="2625"/>
      <c r="AA57" s="2642"/>
      <c r="AB57" s="2640"/>
      <c r="AC57" s="2626"/>
    </row>
    <row r="58" spans="1:29" ht="28.5" hidden="1" customHeight="1">
      <c r="A58" s="2617">
        <v>40848</v>
      </c>
      <c r="B58" s="2639">
        <v>218.636</v>
      </c>
      <c r="C58" s="2628">
        <v>174.2</v>
      </c>
      <c r="D58" s="2628">
        <v>247</v>
      </c>
      <c r="E58" s="2628">
        <v>1046.0999999999999</v>
      </c>
      <c r="F58" s="2628">
        <v>1454.2</v>
      </c>
      <c r="G58" s="2628">
        <v>2421.4</v>
      </c>
      <c r="H58" s="2628">
        <v>14170.8</v>
      </c>
      <c r="I58" s="2629">
        <v>1200.5999999999999</v>
      </c>
      <c r="J58" s="2636">
        <v>20932.900000000001</v>
      </c>
      <c r="K58" s="2639">
        <v>8.9</v>
      </c>
      <c r="L58" s="2631">
        <v>13.067</v>
      </c>
      <c r="M58" s="2631">
        <v>150.71</v>
      </c>
      <c r="N58" s="2631">
        <v>233.7</v>
      </c>
      <c r="O58" s="2631">
        <v>102.9</v>
      </c>
      <c r="P58" s="2631">
        <v>127.5</v>
      </c>
      <c r="Q58" s="2631">
        <v>29.4</v>
      </c>
      <c r="R58" s="2631">
        <v>6.34</v>
      </c>
      <c r="S58" s="2631">
        <v>38.07</v>
      </c>
      <c r="T58" s="2631">
        <v>2.4300000000000002</v>
      </c>
      <c r="U58" s="2631">
        <v>9.1</v>
      </c>
      <c r="V58" s="2631">
        <v>0.33</v>
      </c>
      <c r="W58" s="2631">
        <v>0.22</v>
      </c>
      <c r="X58" s="2630">
        <v>722.7</v>
      </c>
      <c r="Y58" s="2630">
        <v>21655.599999999999</v>
      </c>
      <c r="Z58" s="2625"/>
      <c r="AA58" s="2626"/>
      <c r="AB58" s="2640"/>
      <c r="AC58" s="2626"/>
    </row>
    <row r="59" spans="1:29" ht="28.5" hidden="1" customHeight="1">
      <c r="A59" s="2617">
        <v>40878</v>
      </c>
      <c r="B59" s="2639">
        <v>218.59</v>
      </c>
      <c r="C59" s="2628">
        <v>183.45</v>
      </c>
      <c r="D59" s="2628">
        <v>275.99</v>
      </c>
      <c r="E59" s="2628">
        <v>1125.3</v>
      </c>
      <c r="F59" s="2628">
        <v>1675.97</v>
      </c>
      <c r="G59" s="2628">
        <v>2849.27</v>
      </c>
      <c r="H59" s="2628">
        <v>16484.45</v>
      </c>
      <c r="I59" s="2629">
        <v>1163.2</v>
      </c>
      <c r="J59" s="2636">
        <v>23976.22</v>
      </c>
      <c r="K59" s="2639">
        <v>9</v>
      </c>
      <c r="L59" s="2631">
        <v>13.08</v>
      </c>
      <c r="M59" s="2631">
        <v>156.13999999999999</v>
      </c>
      <c r="N59" s="2631">
        <v>236.47</v>
      </c>
      <c r="O59" s="2631">
        <v>104.04</v>
      </c>
      <c r="P59" s="2631">
        <v>128.97999999999999</v>
      </c>
      <c r="Q59" s="2631">
        <v>29.53</v>
      </c>
      <c r="R59" s="2631">
        <v>6.3419999999999996</v>
      </c>
      <c r="S59" s="2631">
        <v>38.43</v>
      </c>
      <c r="T59" s="2631">
        <v>2.4300000000000002</v>
      </c>
      <c r="U59" s="2631">
        <v>9.19</v>
      </c>
      <c r="V59" s="2631">
        <v>0.33</v>
      </c>
      <c r="W59" s="2631">
        <v>0.22</v>
      </c>
      <c r="X59" s="2630">
        <v>734.1819999999999</v>
      </c>
      <c r="Y59" s="2630">
        <v>24710.402000000002</v>
      </c>
      <c r="Z59" s="2625"/>
      <c r="AA59" s="2626"/>
      <c r="AB59" s="2640"/>
      <c r="AC59" s="2626"/>
    </row>
    <row r="60" spans="1:29" ht="28.5" hidden="1" customHeight="1">
      <c r="A60" s="2617">
        <v>40909</v>
      </c>
      <c r="B60" s="2639">
        <v>218.56</v>
      </c>
      <c r="C60" s="2628">
        <v>180.8</v>
      </c>
      <c r="D60" s="2628">
        <v>268.7</v>
      </c>
      <c r="E60" s="2628">
        <v>1057.3900000000001</v>
      </c>
      <c r="F60" s="2628">
        <v>1551.45</v>
      </c>
      <c r="G60" s="2628">
        <v>2575.5</v>
      </c>
      <c r="H60" s="2628">
        <v>15069.3</v>
      </c>
      <c r="I60" s="2629">
        <v>1171.0999999999999</v>
      </c>
      <c r="J60" s="2636">
        <v>22092.799999999996</v>
      </c>
      <c r="K60" s="2639">
        <v>8.9749999999999996</v>
      </c>
      <c r="L60" s="2631">
        <v>13.083</v>
      </c>
      <c r="M60" s="2631">
        <v>156.6</v>
      </c>
      <c r="N60" s="2631">
        <v>237.54</v>
      </c>
      <c r="O60" s="2631">
        <v>104.11</v>
      </c>
      <c r="P60" s="2631">
        <v>129.03</v>
      </c>
      <c r="Q60" s="2631">
        <v>29.56</v>
      </c>
      <c r="R60" s="2631">
        <v>6.34</v>
      </c>
      <c r="S60" s="2631">
        <v>38.5</v>
      </c>
      <c r="T60" s="2631">
        <v>2.4300000000000002</v>
      </c>
      <c r="U60" s="2631">
        <v>9.1999999999999993</v>
      </c>
      <c r="V60" s="2631">
        <v>0.3</v>
      </c>
      <c r="W60" s="2631">
        <v>0.2</v>
      </c>
      <c r="X60" s="2630">
        <v>735.86799999999994</v>
      </c>
      <c r="Y60" s="2630">
        <v>22828.7</v>
      </c>
      <c r="Z60" s="2625"/>
      <c r="AA60" s="2626"/>
      <c r="AB60" s="2640"/>
      <c r="AC60" s="2626"/>
    </row>
    <row r="61" spans="1:29" ht="28.5" hidden="1" customHeight="1">
      <c r="A61" s="2617">
        <v>40940</v>
      </c>
      <c r="B61" s="2639">
        <v>218.48</v>
      </c>
      <c r="C61" s="2628">
        <v>177.5</v>
      </c>
      <c r="D61" s="2628">
        <v>263.3</v>
      </c>
      <c r="E61" s="2628">
        <v>1046.0999999999999</v>
      </c>
      <c r="F61" s="2628">
        <v>1474.1</v>
      </c>
      <c r="G61" s="2628">
        <v>2504.8000000000002</v>
      </c>
      <c r="H61" s="2628">
        <v>14837.2</v>
      </c>
      <c r="I61" s="2629">
        <v>1159.4000000000001</v>
      </c>
      <c r="J61" s="2636">
        <v>21680.9</v>
      </c>
      <c r="K61" s="2639">
        <v>8.98</v>
      </c>
      <c r="L61" s="2631">
        <v>13.08</v>
      </c>
      <c r="M61" s="2631">
        <v>151.87</v>
      </c>
      <c r="N61" s="2631">
        <v>237.04</v>
      </c>
      <c r="O61" s="2631">
        <v>104.13</v>
      </c>
      <c r="P61" s="2631">
        <v>129.08000000000001</v>
      </c>
      <c r="Q61" s="2631">
        <v>29.61</v>
      </c>
      <c r="R61" s="2631">
        <v>6.34</v>
      </c>
      <c r="S61" s="2631">
        <v>38.57</v>
      </c>
      <c r="T61" s="2631">
        <v>2.4</v>
      </c>
      <c r="U61" s="2631">
        <v>9.1999999999999993</v>
      </c>
      <c r="V61" s="2631">
        <v>0.33</v>
      </c>
      <c r="W61" s="2631">
        <v>0.22</v>
      </c>
      <c r="X61" s="2630">
        <v>730.9</v>
      </c>
      <c r="Y61" s="2630">
        <v>22411.8</v>
      </c>
      <c r="Z61" s="2625"/>
      <c r="AA61" s="2626"/>
      <c r="AB61" s="2640"/>
      <c r="AC61" s="2626"/>
    </row>
    <row r="62" spans="1:29" ht="28.5" hidden="1" customHeight="1">
      <c r="A62" s="2617">
        <v>40969</v>
      </c>
      <c r="B62" s="2639">
        <v>218.44</v>
      </c>
      <c r="C62" s="2628">
        <v>176.9</v>
      </c>
      <c r="D62" s="2628">
        <v>262.43</v>
      </c>
      <c r="E62" s="2628">
        <v>1034.5</v>
      </c>
      <c r="F62" s="2628">
        <v>1453.9</v>
      </c>
      <c r="G62" s="2628">
        <v>2412.9</v>
      </c>
      <c r="H62" s="2628">
        <v>14691.1</v>
      </c>
      <c r="I62" s="2629">
        <v>1123.4000000000001</v>
      </c>
      <c r="J62" s="2636">
        <v>21373.55</v>
      </c>
      <c r="K62" s="2639">
        <v>9</v>
      </c>
      <c r="L62" s="2631">
        <v>13.086</v>
      </c>
      <c r="M62" s="2631">
        <v>149.37</v>
      </c>
      <c r="N62" s="2631">
        <v>237.2</v>
      </c>
      <c r="O62" s="2631">
        <v>104.13</v>
      </c>
      <c r="P62" s="2631">
        <v>129.15</v>
      </c>
      <c r="Q62" s="2631">
        <v>29.861000000000001</v>
      </c>
      <c r="R62" s="2631">
        <v>6.3419999999999996</v>
      </c>
      <c r="S62" s="2631">
        <v>38.68</v>
      </c>
      <c r="T62" s="2631">
        <v>2.4300000000000002</v>
      </c>
      <c r="U62" s="2631">
        <v>9.2330000000000005</v>
      </c>
      <c r="V62" s="2631">
        <v>0.33</v>
      </c>
      <c r="W62" s="2631">
        <v>0.22</v>
      </c>
      <c r="X62" s="2630">
        <v>729.03199999999993</v>
      </c>
      <c r="Y62" s="2630">
        <v>22102.581999999999</v>
      </c>
      <c r="Z62" s="2625"/>
      <c r="AA62" s="2626"/>
      <c r="AB62" s="2640"/>
      <c r="AC62" s="2626"/>
    </row>
    <row r="63" spans="1:29" ht="28.5" hidden="1" customHeight="1">
      <c r="A63" s="2617">
        <v>41000</v>
      </c>
      <c r="B63" s="2639">
        <v>218.4</v>
      </c>
      <c r="C63" s="2628">
        <v>175.53</v>
      </c>
      <c r="D63" s="2628">
        <v>261.39</v>
      </c>
      <c r="E63" s="2628">
        <v>1000.98</v>
      </c>
      <c r="F63" s="2628">
        <v>1462.26</v>
      </c>
      <c r="G63" s="2628">
        <v>2422.4</v>
      </c>
      <c r="H63" s="2628">
        <v>14778.4</v>
      </c>
      <c r="I63" s="2629">
        <v>1131.8</v>
      </c>
      <c r="J63" s="2636">
        <v>21451.16</v>
      </c>
      <c r="K63" s="2639">
        <v>9</v>
      </c>
      <c r="L63" s="2631">
        <v>13.1</v>
      </c>
      <c r="M63" s="2631">
        <v>148.83000000000001</v>
      </c>
      <c r="N63" s="2631">
        <v>237.2</v>
      </c>
      <c r="O63" s="2631">
        <v>104.1</v>
      </c>
      <c r="P63" s="2631">
        <v>129.16</v>
      </c>
      <c r="Q63" s="2631">
        <v>30.01</v>
      </c>
      <c r="R63" s="2631">
        <v>6.3</v>
      </c>
      <c r="S63" s="2631">
        <v>38.79</v>
      </c>
      <c r="T63" s="2631">
        <v>2.4300000000000002</v>
      </c>
      <c r="U63" s="2631">
        <v>9.24</v>
      </c>
      <c r="V63" s="2631">
        <v>0.33</v>
      </c>
      <c r="W63" s="2631">
        <v>0.2</v>
      </c>
      <c r="X63" s="2630">
        <v>728.69</v>
      </c>
      <c r="Y63" s="2630">
        <v>22179.85</v>
      </c>
      <c r="Z63" s="2625"/>
      <c r="AA63" s="2626"/>
      <c r="AB63" s="2640"/>
      <c r="AC63" s="2626"/>
    </row>
    <row r="64" spans="1:29" ht="28.5" hidden="1" customHeight="1">
      <c r="A64" s="2617">
        <v>41030</v>
      </c>
      <c r="B64" s="2639">
        <v>218.25</v>
      </c>
      <c r="C64" s="2628">
        <v>175.9</v>
      </c>
      <c r="D64" s="2628">
        <v>259.77999999999997</v>
      </c>
      <c r="E64" s="2628">
        <v>996.6</v>
      </c>
      <c r="F64" s="2628">
        <v>1464.59</v>
      </c>
      <c r="G64" s="2628">
        <v>2443.9</v>
      </c>
      <c r="H64" s="2628">
        <v>14911.7</v>
      </c>
      <c r="I64" s="2629">
        <v>1126.4000000000001</v>
      </c>
      <c r="J64" s="2636">
        <v>21597.09</v>
      </c>
      <c r="K64" s="2639">
        <v>9</v>
      </c>
      <c r="L64" s="2631">
        <v>13.1</v>
      </c>
      <c r="M64" s="2631">
        <v>146.6</v>
      </c>
      <c r="N64" s="2631">
        <v>235.8</v>
      </c>
      <c r="O64" s="2631">
        <v>104.14</v>
      </c>
      <c r="P64" s="2631">
        <v>129.21</v>
      </c>
      <c r="Q64" s="2631">
        <v>30.09</v>
      </c>
      <c r="R64" s="2631">
        <v>6.34</v>
      </c>
      <c r="S64" s="2631">
        <v>38.9</v>
      </c>
      <c r="T64" s="2631">
        <v>2.4</v>
      </c>
      <c r="U64" s="2631">
        <v>9.25</v>
      </c>
      <c r="V64" s="2631">
        <v>0.33</v>
      </c>
      <c r="W64" s="2631">
        <v>0.2</v>
      </c>
      <c r="X64" s="2630">
        <v>725.36000000000013</v>
      </c>
      <c r="Y64" s="2630">
        <v>22322.45</v>
      </c>
      <c r="Z64" s="2625"/>
      <c r="AA64" s="2626"/>
      <c r="AB64" s="2640"/>
      <c r="AC64" s="2626"/>
    </row>
    <row r="65" spans="1:29" ht="28.5" hidden="1" customHeight="1">
      <c r="A65" s="2617">
        <v>41061</v>
      </c>
      <c r="B65" s="2639">
        <v>218.22</v>
      </c>
      <c r="C65" s="2628">
        <v>176.76</v>
      </c>
      <c r="D65" s="2628">
        <v>258.8</v>
      </c>
      <c r="E65" s="2628">
        <v>996.95</v>
      </c>
      <c r="F65" s="2628">
        <v>1446.05</v>
      </c>
      <c r="G65" s="2628">
        <v>2381.3000000000002</v>
      </c>
      <c r="H65" s="2628">
        <v>14668.3</v>
      </c>
      <c r="I65" s="2629">
        <v>1113.0899999999999</v>
      </c>
      <c r="J65" s="2636">
        <v>21259.47</v>
      </c>
      <c r="K65" s="2639">
        <v>9</v>
      </c>
      <c r="L65" s="2631">
        <v>13.1</v>
      </c>
      <c r="M65" s="2631">
        <v>147.6</v>
      </c>
      <c r="N65" s="2631">
        <v>235.82</v>
      </c>
      <c r="O65" s="2631">
        <v>104.13</v>
      </c>
      <c r="P65" s="2631">
        <v>129.15</v>
      </c>
      <c r="Q65" s="2631">
        <v>30.2</v>
      </c>
      <c r="R65" s="2631">
        <v>6.34</v>
      </c>
      <c r="S65" s="2631">
        <v>38.94</v>
      </c>
      <c r="T65" s="2631">
        <v>2.4300000000000002</v>
      </c>
      <c r="U65" s="2631">
        <v>9.25</v>
      </c>
      <c r="V65" s="2631">
        <v>0.3</v>
      </c>
      <c r="W65" s="2631">
        <v>0.2</v>
      </c>
      <c r="X65" s="2630">
        <v>726.45999999999992</v>
      </c>
      <c r="Y65" s="2630">
        <v>21985.93</v>
      </c>
      <c r="Z65" s="2625"/>
      <c r="AA65" s="2626"/>
      <c r="AB65" s="2640"/>
      <c r="AC65" s="2626"/>
    </row>
    <row r="66" spans="1:29" ht="28.5" hidden="1" customHeight="1">
      <c r="A66" s="2617">
        <v>41091</v>
      </c>
      <c r="B66" s="2639">
        <v>217.9</v>
      </c>
      <c r="C66" s="2628">
        <v>177.9</v>
      </c>
      <c r="D66" s="2628">
        <v>259.82</v>
      </c>
      <c r="E66" s="2628">
        <v>1005.9</v>
      </c>
      <c r="F66" s="2628">
        <v>1430.6</v>
      </c>
      <c r="G66" s="2628">
        <v>2469.42</v>
      </c>
      <c r="H66" s="2628">
        <v>14993.64</v>
      </c>
      <c r="I66" s="2629">
        <v>1105.24</v>
      </c>
      <c r="J66" s="2636">
        <v>21660.400000000001</v>
      </c>
      <c r="K66" s="2639">
        <v>8.99</v>
      </c>
      <c r="L66" s="2631">
        <v>13.1</v>
      </c>
      <c r="M66" s="2631">
        <v>150.05000000000001</v>
      </c>
      <c r="N66" s="2631">
        <v>235.9</v>
      </c>
      <c r="O66" s="2631">
        <v>104.14</v>
      </c>
      <c r="P66" s="2631">
        <v>129.19999999999999</v>
      </c>
      <c r="Q66" s="2631">
        <v>30.41</v>
      </c>
      <c r="R66" s="2631">
        <v>6.34</v>
      </c>
      <c r="S66" s="2631">
        <v>38.97</v>
      </c>
      <c r="T66" s="2631">
        <v>2.4300000000000002</v>
      </c>
      <c r="U66" s="2631">
        <v>9.3000000000000007</v>
      </c>
      <c r="V66" s="2631">
        <v>0.3</v>
      </c>
      <c r="W66" s="2631">
        <v>0.2</v>
      </c>
      <c r="X66" s="2630">
        <v>729.3</v>
      </c>
      <c r="Y66" s="2630">
        <f>J66+X66</f>
        <v>22389.7</v>
      </c>
      <c r="Z66" s="2625"/>
      <c r="AA66" s="2626"/>
      <c r="AB66" s="2640"/>
      <c r="AC66" s="2626"/>
    </row>
    <row r="67" spans="1:29" ht="28.5" hidden="1" customHeight="1">
      <c r="A67" s="2617">
        <v>41122</v>
      </c>
      <c r="B67" s="2639">
        <v>217.76</v>
      </c>
      <c r="C67" s="2628">
        <v>183.5</v>
      </c>
      <c r="D67" s="2628">
        <v>266.66000000000003</v>
      </c>
      <c r="E67" s="2628">
        <v>1021.68</v>
      </c>
      <c r="F67" s="2628">
        <v>1446.14</v>
      </c>
      <c r="G67" s="2628">
        <v>2482.6</v>
      </c>
      <c r="H67" s="2628">
        <v>15152.7</v>
      </c>
      <c r="I67" s="2629">
        <v>1304.97</v>
      </c>
      <c r="J67" s="2636">
        <v>22076.010000000002</v>
      </c>
      <c r="K67" s="2639">
        <v>8.99</v>
      </c>
      <c r="L67" s="2631">
        <v>13.1</v>
      </c>
      <c r="M67" s="2631">
        <v>154.34</v>
      </c>
      <c r="N67" s="2631">
        <v>238.45</v>
      </c>
      <c r="O67" s="2631">
        <v>104.26</v>
      </c>
      <c r="P67" s="2631">
        <v>129.19999999999999</v>
      </c>
      <c r="Q67" s="2631">
        <v>30.51</v>
      </c>
      <c r="R67" s="2631">
        <v>6.34</v>
      </c>
      <c r="S67" s="2631">
        <v>38.99</v>
      </c>
      <c r="T67" s="2631">
        <v>2.4300000000000002</v>
      </c>
      <c r="U67" s="2631">
        <v>9.3000000000000007</v>
      </c>
      <c r="V67" s="2631">
        <v>0.33</v>
      </c>
      <c r="W67" s="2631">
        <v>0.2</v>
      </c>
      <c r="X67" s="2630">
        <v>736.4</v>
      </c>
      <c r="Y67" s="2630">
        <v>22812.410000000003</v>
      </c>
      <c r="Z67" s="2625"/>
      <c r="AA67" s="2626"/>
      <c r="AB67" s="2640"/>
      <c r="AC67" s="2626"/>
    </row>
    <row r="68" spans="1:29" ht="28.5" hidden="1" customHeight="1">
      <c r="A68" s="2617">
        <v>41153</v>
      </c>
      <c r="B68" s="2639">
        <v>217.63</v>
      </c>
      <c r="C68" s="2628">
        <v>183.4</v>
      </c>
      <c r="D68" s="2628">
        <v>268.3</v>
      </c>
      <c r="E68" s="2628">
        <v>1047</v>
      </c>
      <c r="F68" s="2628">
        <v>1444.9</v>
      </c>
      <c r="G68" s="2628">
        <v>2460.04</v>
      </c>
      <c r="H68" s="2628">
        <v>14838.55</v>
      </c>
      <c r="I68" s="2629">
        <v>1495.14</v>
      </c>
      <c r="J68" s="2636">
        <f>SUM(B68:I68)</f>
        <v>21954.959999999999</v>
      </c>
      <c r="K68" s="2639">
        <v>8.99</v>
      </c>
      <c r="L68" s="2631">
        <v>13.1</v>
      </c>
      <c r="M68" s="2631">
        <v>154.88</v>
      </c>
      <c r="N68" s="2631">
        <v>239</v>
      </c>
      <c r="O68" s="2631">
        <v>104.3</v>
      </c>
      <c r="P68" s="2631">
        <v>129.19999999999999</v>
      </c>
      <c r="Q68" s="2631">
        <v>30.55</v>
      </c>
      <c r="R68" s="2631">
        <v>6.34</v>
      </c>
      <c r="S68" s="2631">
        <v>39</v>
      </c>
      <c r="T68" s="2631">
        <v>2.42</v>
      </c>
      <c r="U68" s="2631">
        <v>9.3000000000000007</v>
      </c>
      <c r="V68" s="2631">
        <v>0.33</v>
      </c>
      <c r="W68" s="2631">
        <v>0.22</v>
      </c>
      <c r="X68" s="2630">
        <f t="shared" ref="X68:X94" si="0">SUM(K68:W68)</f>
        <v>737.63</v>
      </c>
      <c r="Y68" s="2630">
        <f t="shared" ref="Y68:Y92" si="1">J68+X68</f>
        <v>22692.59</v>
      </c>
      <c r="Z68" s="2625"/>
      <c r="AA68" s="2626"/>
      <c r="AB68" s="2640"/>
      <c r="AC68" s="2626"/>
    </row>
    <row r="69" spans="1:29" ht="28.5" hidden="1" customHeight="1">
      <c r="A69" s="2617">
        <v>41183</v>
      </c>
      <c r="B69" s="2639">
        <v>217.49</v>
      </c>
      <c r="C69" s="2628">
        <v>195.87</v>
      </c>
      <c r="D69" s="2628">
        <v>314.95999999999998</v>
      </c>
      <c r="E69" s="2628">
        <v>1059.5</v>
      </c>
      <c r="F69" s="2628">
        <v>1415.9</v>
      </c>
      <c r="G69" s="2628">
        <v>2464.96</v>
      </c>
      <c r="H69" s="2628">
        <v>15104.4</v>
      </c>
      <c r="I69" s="2629">
        <v>1759.53</v>
      </c>
      <c r="J69" s="2636">
        <f t="shared" ref="J69:J100" si="2">SUM(B69:I69)</f>
        <v>22532.61</v>
      </c>
      <c r="K69" s="2639">
        <v>8.99</v>
      </c>
      <c r="L69" s="2631">
        <v>13.1</v>
      </c>
      <c r="M69" s="2631">
        <v>156.93</v>
      </c>
      <c r="N69" s="2631">
        <v>238.97</v>
      </c>
      <c r="O69" s="2631">
        <v>104.24</v>
      </c>
      <c r="P69" s="2631">
        <v>129.5</v>
      </c>
      <c r="Q69" s="2631">
        <v>30.61</v>
      </c>
      <c r="R69" s="2631">
        <v>6.34</v>
      </c>
      <c r="S69" s="2631">
        <v>39.06</v>
      </c>
      <c r="T69" s="2631">
        <v>2.42</v>
      </c>
      <c r="U69" s="2631">
        <v>9.2799999999999994</v>
      </c>
      <c r="V69" s="2631">
        <v>0.33</v>
      </c>
      <c r="W69" s="2631">
        <v>0.22</v>
      </c>
      <c r="X69" s="2630">
        <f t="shared" si="0"/>
        <v>739.99</v>
      </c>
      <c r="Y69" s="2630">
        <f t="shared" si="1"/>
        <v>23272.600000000002</v>
      </c>
      <c r="Z69" s="2625"/>
      <c r="AA69" s="2626"/>
      <c r="AB69" s="2640"/>
      <c r="AC69" s="2626"/>
    </row>
    <row r="70" spans="1:29" ht="26.25" hidden="1" customHeight="1">
      <c r="A70" s="2617">
        <v>41214</v>
      </c>
      <c r="B70" s="2639">
        <v>217.45</v>
      </c>
      <c r="C70" s="2628">
        <v>193.43</v>
      </c>
      <c r="D70" s="2628">
        <v>310.89999999999998</v>
      </c>
      <c r="E70" s="2628">
        <v>1115.9100000000001</v>
      </c>
      <c r="F70" s="2628">
        <v>1394.5</v>
      </c>
      <c r="G70" s="2628">
        <v>2489.6</v>
      </c>
      <c r="H70" s="2628">
        <v>15041</v>
      </c>
      <c r="I70" s="2629">
        <v>1945.3</v>
      </c>
      <c r="J70" s="2636">
        <f t="shared" si="2"/>
        <v>22708.09</v>
      </c>
      <c r="K70" s="2639">
        <v>9.0009829999999997</v>
      </c>
      <c r="L70" s="2631">
        <v>13.1</v>
      </c>
      <c r="M70" s="2631">
        <v>159.49</v>
      </c>
      <c r="N70" s="2631">
        <v>241.42</v>
      </c>
      <c r="O70" s="2631">
        <v>105.42</v>
      </c>
      <c r="P70" s="2631">
        <v>130.72</v>
      </c>
      <c r="Q70" s="2631">
        <v>30.63</v>
      </c>
      <c r="R70" s="2631">
        <v>6.3390000000000004</v>
      </c>
      <c r="S70" s="2631">
        <v>39.31</v>
      </c>
      <c r="T70" s="2631">
        <v>2.42</v>
      </c>
      <c r="U70" s="2631">
        <v>9.34</v>
      </c>
      <c r="V70" s="2631">
        <v>0.33</v>
      </c>
      <c r="W70" s="2631">
        <v>0.22</v>
      </c>
      <c r="X70" s="2630">
        <f t="shared" si="0"/>
        <v>747.73998300000005</v>
      </c>
      <c r="Y70" s="2630">
        <f t="shared" si="1"/>
        <v>23455.829983</v>
      </c>
      <c r="Z70" s="2625"/>
      <c r="AA70" s="2626"/>
      <c r="AB70" s="2640"/>
      <c r="AC70" s="2626"/>
    </row>
    <row r="71" spans="1:29" ht="28.5" hidden="1" customHeight="1">
      <c r="A71" s="2617">
        <v>41244</v>
      </c>
      <c r="B71" s="2639">
        <v>217.39</v>
      </c>
      <c r="C71" s="2628">
        <v>194.03</v>
      </c>
      <c r="D71" s="2628">
        <v>306.7</v>
      </c>
      <c r="E71" s="2628">
        <v>1284.2</v>
      </c>
      <c r="F71" s="2628">
        <v>1559.5</v>
      </c>
      <c r="G71" s="2628">
        <v>2948.7</v>
      </c>
      <c r="H71" s="2628">
        <v>17722.5</v>
      </c>
      <c r="I71" s="2629">
        <v>2206.34</v>
      </c>
      <c r="J71" s="2636">
        <f t="shared" si="2"/>
        <v>26439.360000000001</v>
      </c>
      <c r="K71" s="2639">
        <v>9</v>
      </c>
      <c r="L71" s="2631">
        <v>13.1</v>
      </c>
      <c r="M71" s="2631">
        <v>165.54</v>
      </c>
      <c r="N71" s="2631">
        <v>245.15</v>
      </c>
      <c r="O71" s="2631">
        <v>107.89</v>
      </c>
      <c r="P71" s="2631">
        <v>131.78</v>
      </c>
      <c r="Q71" s="2631">
        <v>30.89</v>
      </c>
      <c r="R71" s="2631">
        <v>6.33</v>
      </c>
      <c r="S71" s="2631">
        <v>39.54</v>
      </c>
      <c r="T71" s="2631">
        <v>2.42</v>
      </c>
      <c r="U71" s="2631">
        <v>9.3699999999999992</v>
      </c>
      <c r="V71" s="2631">
        <v>0.33</v>
      </c>
      <c r="W71" s="2631">
        <v>0.22</v>
      </c>
      <c r="X71" s="2630">
        <f t="shared" si="0"/>
        <v>761.56</v>
      </c>
      <c r="Y71" s="2630">
        <f t="shared" si="1"/>
        <v>27200.920000000002</v>
      </c>
      <c r="Z71" s="2625"/>
      <c r="AA71" s="2626"/>
      <c r="AB71" s="2640"/>
      <c r="AC71" s="2626"/>
    </row>
    <row r="72" spans="1:29" ht="28.5" hidden="1" customHeight="1">
      <c r="A72" s="2617">
        <v>41275</v>
      </c>
      <c r="B72" s="2639">
        <v>217.32</v>
      </c>
      <c r="C72" s="2628">
        <v>190.4</v>
      </c>
      <c r="D72" s="2628">
        <v>293.81</v>
      </c>
      <c r="E72" s="2628">
        <v>1151.3</v>
      </c>
      <c r="F72" s="2628">
        <v>1448</v>
      </c>
      <c r="G72" s="2628">
        <v>2664.6</v>
      </c>
      <c r="H72" s="2628">
        <v>16403.5</v>
      </c>
      <c r="I72" s="2629">
        <v>2264</v>
      </c>
      <c r="J72" s="2636">
        <f t="shared" si="2"/>
        <v>24632.93</v>
      </c>
      <c r="K72" s="2639">
        <v>9</v>
      </c>
      <c r="L72" s="2631">
        <v>13.1</v>
      </c>
      <c r="M72" s="2631">
        <v>168.79</v>
      </c>
      <c r="N72" s="2631">
        <v>247.32</v>
      </c>
      <c r="O72" s="2631">
        <v>109.34</v>
      </c>
      <c r="P72" s="2631">
        <v>132.81</v>
      </c>
      <c r="Q72" s="2631">
        <v>30.96</v>
      </c>
      <c r="R72" s="2631">
        <v>6.34</v>
      </c>
      <c r="S72" s="2631">
        <v>39.71</v>
      </c>
      <c r="T72" s="2631">
        <v>2.42</v>
      </c>
      <c r="U72" s="2631">
        <v>9.39</v>
      </c>
      <c r="V72" s="2631">
        <v>0.33</v>
      </c>
      <c r="W72" s="2631">
        <v>0.2</v>
      </c>
      <c r="X72" s="2630">
        <f t="shared" si="0"/>
        <v>769.71</v>
      </c>
      <c r="Y72" s="2630">
        <f t="shared" si="1"/>
        <v>25402.639999999999</v>
      </c>
      <c r="Z72" s="2625"/>
      <c r="AA72" s="2626"/>
      <c r="AB72" s="2640"/>
      <c r="AC72" s="2626"/>
    </row>
    <row r="73" spans="1:29" ht="28.5" hidden="1" customHeight="1">
      <c r="A73" s="2617">
        <v>41306</v>
      </c>
      <c r="B73" s="2639">
        <v>217.19</v>
      </c>
      <c r="C73" s="2628">
        <v>187.92</v>
      </c>
      <c r="D73" s="2628">
        <v>288.66000000000003</v>
      </c>
      <c r="E73" s="2628">
        <v>1168.05</v>
      </c>
      <c r="F73" s="2628">
        <v>1391.75</v>
      </c>
      <c r="G73" s="2628">
        <v>2511.4899999999998</v>
      </c>
      <c r="H73" s="2628">
        <v>15837.7</v>
      </c>
      <c r="I73" s="2629">
        <v>2361.6999999999998</v>
      </c>
      <c r="J73" s="2636">
        <f t="shared" si="2"/>
        <v>23964.460000000003</v>
      </c>
      <c r="K73" s="2639">
        <v>9</v>
      </c>
      <c r="L73" s="2631">
        <v>13.1</v>
      </c>
      <c r="M73" s="2631">
        <v>170.14</v>
      </c>
      <c r="N73" s="2631">
        <v>247.42500000000001</v>
      </c>
      <c r="O73" s="2631">
        <v>110.86499999999999</v>
      </c>
      <c r="P73" s="2631">
        <v>133.58000000000001</v>
      </c>
      <c r="Q73" s="2631">
        <v>31.02</v>
      </c>
      <c r="R73" s="2631">
        <v>6.3390000000000004</v>
      </c>
      <c r="S73" s="2631">
        <v>39.85</v>
      </c>
      <c r="T73" s="2631">
        <v>2.42</v>
      </c>
      <c r="U73" s="2631">
        <v>9.41</v>
      </c>
      <c r="V73" s="2631">
        <v>0.33</v>
      </c>
      <c r="W73" s="2631">
        <v>0.22</v>
      </c>
      <c r="X73" s="2630">
        <f t="shared" si="0"/>
        <v>773.69900000000007</v>
      </c>
      <c r="Y73" s="2630">
        <f t="shared" si="1"/>
        <v>24738.159000000003</v>
      </c>
      <c r="Z73" s="2625"/>
      <c r="AA73" s="2640"/>
      <c r="AB73" s="2640"/>
      <c r="AC73" s="2626"/>
    </row>
    <row r="74" spans="1:29" ht="28.5" hidden="1" customHeight="1">
      <c r="A74" s="2617">
        <v>41334</v>
      </c>
      <c r="B74" s="2639">
        <v>217.14</v>
      </c>
      <c r="C74" s="2628">
        <v>188.9</v>
      </c>
      <c r="D74" s="2628">
        <v>287.89999999999998</v>
      </c>
      <c r="E74" s="2628">
        <v>1159.3</v>
      </c>
      <c r="F74" s="2628">
        <v>1383.7</v>
      </c>
      <c r="G74" s="2628">
        <v>2528.1</v>
      </c>
      <c r="H74" s="2628">
        <v>16082.1</v>
      </c>
      <c r="I74" s="2629">
        <v>2572.8000000000002</v>
      </c>
      <c r="J74" s="2636">
        <f t="shared" si="2"/>
        <v>24419.94</v>
      </c>
      <c r="K74" s="2639">
        <v>9</v>
      </c>
      <c r="L74" s="2631">
        <v>13.1</v>
      </c>
      <c r="M74" s="2631">
        <v>169.59</v>
      </c>
      <c r="N74" s="2631">
        <v>247.14</v>
      </c>
      <c r="O74" s="2631">
        <v>111.5</v>
      </c>
      <c r="P74" s="2631">
        <v>134.4</v>
      </c>
      <c r="Q74" s="2631">
        <v>31.03</v>
      </c>
      <c r="R74" s="2631">
        <v>6.3390000000000004</v>
      </c>
      <c r="S74" s="2631">
        <v>39.97</v>
      </c>
      <c r="T74" s="2631">
        <v>2.42</v>
      </c>
      <c r="U74" s="2631">
        <v>9.4499999999999993</v>
      </c>
      <c r="V74" s="2631">
        <v>0.33</v>
      </c>
      <c r="W74" s="2631">
        <v>0.22</v>
      </c>
      <c r="X74" s="2630">
        <f t="shared" si="0"/>
        <v>774.48900000000003</v>
      </c>
      <c r="Y74" s="2630">
        <f t="shared" si="1"/>
        <v>25194.429</v>
      </c>
      <c r="Z74" s="2625"/>
      <c r="AA74" s="2626"/>
      <c r="AB74" s="2640"/>
      <c r="AC74" s="2626"/>
    </row>
    <row r="75" spans="1:29" ht="28.5" hidden="1" customHeight="1">
      <c r="A75" s="2617">
        <v>41365</v>
      </c>
      <c r="B75" s="2639">
        <v>217.04</v>
      </c>
      <c r="C75" s="2628">
        <v>188.8</v>
      </c>
      <c r="D75" s="2628">
        <v>286.5</v>
      </c>
      <c r="E75" s="2628">
        <v>1132.3</v>
      </c>
      <c r="F75" s="2628">
        <v>1370.4</v>
      </c>
      <c r="G75" s="2628">
        <v>2529.9</v>
      </c>
      <c r="H75" s="2628">
        <v>15968.7</v>
      </c>
      <c r="I75" s="2629">
        <v>2683.2</v>
      </c>
      <c r="J75" s="2636">
        <f t="shared" si="2"/>
        <v>24376.84</v>
      </c>
      <c r="K75" s="2639">
        <v>9</v>
      </c>
      <c r="L75" s="2631">
        <v>13.1</v>
      </c>
      <c r="M75" s="2631">
        <v>174.18</v>
      </c>
      <c r="N75" s="2631">
        <v>249.04</v>
      </c>
      <c r="O75" s="2631">
        <v>111.62</v>
      </c>
      <c r="P75" s="2631">
        <v>135.13999999999999</v>
      </c>
      <c r="Q75" s="2631">
        <v>31.04</v>
      </c>
      <c r="R75" s="2631">
        <v>6.34</v>
      </c>
      <c r="S75" s="2631">
        <v>40.119999999999997</v>
      </c>
      <c r="T75" s="2631">
        <v>2.4</v>
      </c>
      <c r="U75" s="2631">
        <v>9.4700000000000006</v>
      </c>
      <c r="V75" s="2631">
        <v>0.33</v>
      </c>
      <c r="W75" s="2631">
        <v>0.22</v>
      </c>
      <c r="X75" s="2630">
        <f t="shared" si="0"/>
        <v>782.00000000000011</v>
      </c>
      <c r="Y75" s="2630">
        <f t="shared" si="1"/>
        <v>25158.84</v>
      </c>
      <c r="Z75" s="2625"/>
      <c r="AA75" s="2626"/>
      <c r="AB75" s="2640"/>
      <c r="AC75" s="2626"/>
    </row>
    <row r="76" spans="1:29" ht="28.5" hidden="1" customHeight="1">
      <c r="A76" s="2617">
        <v>41395</v>
      </c>
      <c r="B76" s="2639">
        <v>217</v>
      </c>
      <c r="C76" s="2628">
        <v>187.1</v>
      </c>
      <c r="D76" s="2628">
        <v>273</v>
      </c>
      <c r="E76" s="2628">
        <v>1155.7</v>
      </c>
      <c r="F76" s="2628">
        <v>1279.6600000000001</v>
      </c>
      <c r="G76" s="2628">
        <v>2435.8000000000002</v>
      </c>
      <c r="H76" s="2628">
        <v>15705.8</v>
      </c>
      <c r="I76" s="2629">
        <v>2788.04</v>
      </c>
      <c r="J76" s="2636">
        <f t="shared" si="2"/>
        <v>24042.1</v>
      </c>
      <c r="K76" s="2639">
        <v>9</v>
      </c>
      <c r="L76" s="2631">
        <v>13.12</v>
      </c>
      <c r="M76" s="2631">
        <v>175.44</v>
      </c>
      <c r="N76" s="2631">
        <v>249.35</v>
      </c>
      <c r="O76" s="2631">
        <v>112.4</v>
      </c>
      <c r="P76" s="2631">
        <v>135.77000000000001</v>
      </c>
      <c r="Q76" s="2631">
        <v>31.04</v>
      </c>
      <c r="R76" s="2631">
        <v>6.33</v>
      </c>
      <c r="S76" s="2631">
        <v>40.270000000000003</v>
      </c>
      <c r="T76" s="2631">
        <v>2.42</v>
      </c>
      <c r="U76" s="2631">
        <v>9.49</v>
      </c>
      <c r="V76" s="2631">
        <v>0.33</v>
      </c>
      <c r="W76" s="2631">
        <v>0.2</v>
      </c>
      <c r="X76" s="2630">
        <f t="shared" si="0"/>
        <v>785.16</v>
      </c>
      <c r="Y76" s="2630">
        <f t="shared" si="1"/>
        <v>24827.26</v>
      </c>
      <c r="Z76" s="2625"/>
      <c r="AA76" s="2626"/>
      <c r="AB76" s="2640"/>
      <c r="AC76" s="2626"/>
    </row>
    <row r="77" spans="1:29" ht="28.5" hidden="1" customHeight="1">
      <c r="A77" s="2617">
        <v>41426</v>
      </c>
      <c r="B77" s="2639">
        <v>216.73</v>
      </c>
      <c r="C77" s="2628">
        <v>185.3</v>
      </c>
      <c r="D77" s="2628">
        <v>275.7</v>
      </c>
      <c r="E77" s="2628">
        <v>1119.3</v>
      </c>
      <c r="F77" s="2628">
        <v>1241.4000000000001</v>
      </c>
      <c r="G77" s="2628">
        <v>2417.9</v>
      </c>
      <c r="H77" s="2628">
        <v>15537.8</v>
      </c>
      <c r="I77" s="2629">
        <v>2861.2</v>
      </c>
      <c r="J77" s="2636">
        <f t="shared" si="2"/>
        <v>23855.329999999998</v>
      </c>
      <c r="K77" s="2639">
        <v>9</v>
      </c>
      <c r="L77" s="2631">
        <v>13.1</v>
      </c>
      <c r="M77" s="2631">
        <v>177.63</v>
      </c>
      <c r="N77" s="2631">
        <v>249.49</v>
      </c>
      <c r="O77" s="2631">
        <v>112.83</v>
      </c>
      <c r="P77" s="2631">
        <v>136.38999999999999</v>
      </c>
      <c r="Q77" s="2631">
        <v>31.06</v>
      </c>
      <c r="R77" s="2631">
        <v>6.33</v>
      </c>
      <c r="S77" s="2631">
        <v>40.4</v>
      </c>
      <c r="T77" s="2631">
        <v>2.4</v>
      </c>
      <c r="U77" s="2631">
        <v>9.5</v>
      </c>
      <c r="V77" s="2631">
        <v>0.3</v>
      </c>
      <c r="W77" s="2631">
        <v>0.22</v>
      </c>
      <c r="X77" s="2630">
        <f t="shared" si="0"/>
        <v>788.65</v>
      </c>
      <c r="Y77" s="2630">
        <f t="shared" si="1"/>
        <v>24643.98</v>
      </c>
      <c r="Z77" s="2625"/>
      <c r="AA77" s="2626"/>
      <c r="AB77" s="2640"/>
      <c r="AC77" s="2626"/>
    </row>
    <row r="78" spans="1:29" ht="28.5" hidden="1" customHeight="1">
      <c r="A78" s="2617">
        <v>41456</v>
      </c>
      <c r="B78" s="2639">
        <v>216.7</v>
      </c>
      <c r="C78" s="2628">
        <v>184.3</v>
      </c>
      <c r="D78" s="2628">
        <v>285.8</v>
      </c>
      <c r="E78" s="2628">
        <v>1182.2</v>
      </c>
      <c r="F78" s="2628">
        <v>1248.74</v>
      </c>
      <c r="G78" s="2628">
        <v>2543.02</v>
      </c>
      <c r="H78" s="2628">
        <v>16147.8</v>
      </c>
      <c r="I78" s="2629">
        <v>2858.21</v>
      </c>
      <c r="J78" s="2636">
        <f t="shared" si="2"/>
        <v>24666.769999999997</v>
      </c>
      <c r="K78" s="2639">
        <v>9</v>
      </c>
      <c r="L78" s="2631">
        <v>13.1</v>
      </c>
      <c r="M78" s="2631">
        <v>180.1</v>
      </c>
      <c r="N78" s="2631">
        <v>249.92</v>
      </c>
      <c r="O78" s="2631">
        <v>113</v>
      </c>
      <c r="P78" s="2631">
        <v>137.30000000000001</v>
      </c>
      <c r="Q78" s="2631">
        <v>31.07</v>
      </c>
      <c r="R78" s="2631">
        <v>6.33</v>
      </c>
      <c r="S78" s="2631">
        <v>40.630000000000003</v>
      </c>
      <c r="T78" s="2631">
        <v>2.4</v>
      </c>
      <c r="U78" s="2631">
        <v>9.5500000000000007</v>
      </c>
      <c r="V78" s="2631">
        <v>0.3</v>
      </c>
      <c r="W78" s="2631">
        <v>0.22</v>
      </c>
      <c r="X78" s="2630">
        <f t="shared" si="0"/>
        <v>792.92000000000007</v>
      </c>
      <c r="Y78" s="2630">
        <f t="shared" si="1"/>
        <v>25459.689999999995</v>
      </c>
      <c r="Z78" s="2625"/>
      <c r="AA78" s="2626"/>
      <c r="AB78" s="2640"/>
      <c r="AC78" s="2626"/>
    </row>
    <row r="79" spans="1:29" ht="28.5" hidden="1" customHeight="1">
      <c r="A79" s="2617">
        <v>41487</v>
      </c>
      <c r="B79" s="2639">
        <v>216.7</v>
      </c>
      <c r="C79" s="2628">
        <v>187.18</v>
      </c>
      <c r="D79" s="2628">
        <v>297.89999999999998</v>
      </c>
      <c r="E79" s="2628">
        <v>1198</v>
      </c>
      <c r="F79" s="2628">
        <v>1344.75</v>
      </c>
      <c r="G79" s="2628">
        <v>2691.3</v>
      </c>
      <c r="H79" s="2628">
        <v>15862.32</v>
      </c>
      <c r="I79" s="2629">
        <v>2956.46</v>
      </c>
      <c r="J79" s="2636">
        <f t="shared" si="2"/>
        <v>24754.61</v>
      </c>
      <c r="K79" s="2639">
        <v>9</v>
      </c>
      <c r="L79" s="2631">
        <v>13.13</v>
      </c>
      <c r="M79" s="2631">
        <v>185.49</v>
      </c>
      <c r="N79" s="2631">
        <v>252.23</v>
      </c>
      <c r="O79" s="2631">
        <v>113.3</v>
      </c>
      <c r="P79" s="2631">
        <v>137.69</v>
      </c>
      <c r="Q79" s="2631">
        <v>31.09</v>
      </c>
      <c r="R79" s="2631">
        <v>6.33</v>
      </c>
      <c r="S79" s="2631">
        <v>40.770000000000003</v>
      </c>
      <c r="T79" s="2631">
        <v>2.42</v>
      </c>
      <c r="U79" s="2631">
        <v>9.58</v>
      </c>
      <c r="V79" s="2631">
        <v>0.33</v>
      </c>
      <c r="W79" s="2631">
        <v>0.2</v>
      </c>
      <c r="X79" s="2630">
        <f t="shared" si="0"/>
        <v>801.56000000000006</v>
      </c>
      <c r="Y79" s="2630">
        <f t="shared" si="1"/>
        <v>25556.170000000002</v>
      </c>
      <c r="Z79" s="2625"/>
      <c r="AA79" s="2626"/>
      <c r="AB79" s="2640"/>
      <c r="AC79" s="2626"/>
    </row>
    <row r="80" spans="1:29" ht="28.5" hidden="1" customHeight="1">
      <c r="A80" s="2617">
        <v>41518</v>
      </c>
      <c r="B80" s="2639">
        <v>216.6</v>
      </c>
      <c r="C80" s="2628">
        <v>191.66</v>
      </c>
      <c r="D80" s="2628">
        <v>301.35000000000002</v>
      </c>
      <c r="E80" s="2628">
        <v>1171</v>
      </c>
      <c r="F80" s="2628">
        <v>1301.67</v>
      </c>
      <c r="G80" s="2628">
        <v>2676.1</v>
      </c>
      <c r="H80" s="2628">
        <v>15481.5</v>
      </c>
      <c r="I80" s="2629">
        <v>3000.4</v>
      </c>
      <c r="J80" s="2636">
        <f t="shared" si="2"/>
        <v>24340.280000000002</v>
      </c>
      <c r="K80" s="2639">
        <v>9</v>
      </c>
      <c r="L80" s="2631">
        <v>13.1</v>
      </c>
      <c r="M80" s="2631">
        <v>185.8</v>
      </c>
      <c r="N80" s="2631">
        <v>254.6</v>
      </c>
      <c r="O80" s="2631">
        <v>113.43</v>
      </c>
      <c r="P80" s="2631">
        <v>137.9</v>
      </c>
      <c r="Q80" s="2631">
        <v>31.2</v>
      </c>
      <c r="R80" s="2631">
        <v>6.3</v>
      </c>
      <c r="S80" s="2631">
        <v>40.97</v>
      </c>
      <c r="T80" s="2631">
        <v>2.4</v>
      </c>
      <c r="U80" s="2631">
        <v>9.6199999999999992</v>
      </c>
      <c r="V80" s="2631">
        <v>0.33</v>
      </c>
      <c r="W80" s="2631">
        <v>0.22</v>
      </c>
      <c r="X80" s="2630">
        <f t="shared" si="0"/>
        <v>804.87000000000012</v>
      </c>
      <c r="Y80" s="2630">
        <f t="shared" si="1"/>
        <v>25145.15</v>
      </c>
      <c r="Z80" s="2625"/>
      <c r="AA80" s="2626"/>
      <c r="AB80" s="2640"/>
      <c r="AC80" s="2626"/>
    </row>
    <row r="81" spans="1:29" ht="28.5" hidden="1" customHeight="1">
      <c r="A81" s="2617">
        <v>41548</v>
      </c>
      <c r="B81" s="2639">
        <v>216.59</v>
      </c>
      <c r="C81" s="2628">
        <v>200.39</v>
      </c>
      <c r="D81" s="2628">
        <v>303.49</v>
      </c>
      <c r="E81" s="2628">
        <v>1232.4000000000001</v>
      </c>
      <c r="F81" s="2628">
        <v>1295.586</v>
      </c>
      <c r="G81" s="2628">
        <v>2784.4</v>
      </c>
      <c r="H81" s="2628">
        <v>15740.6</v>
      </c>
      <c r="I81" s="2629">
        <v>3172.1</v>
      </c>
      <c r="J81" s="2636">
        <f t="shared" si="2"/>
        <v>24945.555999999997</v>
      </c>
      <c r="K81" s="2639">
        <v>9</v>
      </c>
      <c r="L81" s="2631">
        <v>13.13</v>
      </c>
      <c r="M81" s="2631">
        <v>186.82</v>
      </c>
      <c r="N81" s="2631">
        <v>254.99</v>
      </c>
      <c r="O81" s="2631">
        <v>113.76</v>
      </c>
      <c r="P81" s="2631">
        <v>139.25</v>
      </c>
      <c r="Q81" s="2631">
        <v>31.17</v>
      </c>
      <c r="R81" s="2631">
        <v>6.3319999999999999</v>
      </c>
      <c r="S81" s="2631">
        <v>41.17</v>
      </c>
      <c r="T81" s="2631">
        <v>2.4</v>
      </c>
      <c r="U81" s="2631">
        <v>9.66</v>
      </c>
      <c r="V81" s="2631">
        <v>0.33</v>
      </c>
      <c r="W81" s="2631">
        <v>0.22</v>
      </c>
      <c r="X81" s="2630">
        <f t="shared" si="0"/>
        <v>808.23199999999997</v>
      </c>
      <c r="Y81" s="2630">
        <f t="shared" si="1"/>
        <v>25753.787999999997</v>
      </c>
      <c r="Z81" s="2625"/>
      <c r="AA81" s="2626"/>
      <c r="AB81" s="2640"/>
      <c r="AC81" s="2626"/>
    </row>
    <row r="82" spans="1:29" ht="28.5" hidden="1" customHeight="1">
      <c r="A82" s="2617">
        <v>41579</v>
      </c>
      <c r="B82" s="2639">
        <v>216.54</v>
      </c>
      <c r="C82" s="2628">
        <v>207.7</v>
      </c>
      <c r="D82" s="2628">
        <v>302.2</v>
      </c>
      <c r="E82" s="2628">
        <v>1211.0999999999999</v>
      </c>
      <c r="F82" s="2628">
        <v>1310.2</v>
      </c>
      <c r="G82" s="2628">
        <v>2846.9</v>
      </c>
      <c r="H82" s="2628">
        <v>15425.9</v>
      </c>
      <c r="I82" s="2629">
        <v>3258.4</v>
      </c>
      <c r="J82" s="2636">
        <f t="shared" si="2"/>
        <v>24778.940000000002</v>
      </c>
      <c r="K82" s="2639">
        <v>9.0079999999999991</v>
      </c>
      <c r="L82" s="2631">
        <v>13.13</v>
      </c>
      <c r="M82" s="2631">
        <v>188.9</v>
      </c>
      <c r="N82" s="2631">
        <v>257.10000000000002</v>
      </c>
      <c r="O82" s="2631">
        <v>115.03</v>
      </c>
      <c r="P82" s="2631">
        <v>140.91</v>
      </c>
      <c r="Q82" s="2631">
        <v>31.47</v>
      </c>
      <c r="R82" s="2631">
        <v>6.33</v>
      </c>
      <c r="S82" s="2631">
        <v>41.4</v>
      </c>
      <c r="T82" s="2631">
        <v>2.42</v>
      </c>
      <c r="U82" s="2631">
        <v>9.7100000000000009</v>
      </c>
      <c r="V82" s="2631">
        <v>0.3</v>
      </c>
      <c r="W82" s="2631">
        <v>0.2</v>
      </c>
      <c r="X82" s="2630">
        <f t="shared" si="0"/>
        <v>815.90800000000002</v>
      </c>
      <c r="Y82" s="2630">
        <f t="shared" si="1"/>
        <v>25594.848000000002</v>
      </c>
      <c r="Z82" s="2625"/>
      <c r="AA82" s="2626"/>
      <c r="AB82" s="2640"/>
      <c r="AC82" s="2626"/>
    </row>
    <row r="83" spans="1:29" ht="28.5" hidden="1" customHeight="1" thickTop="1">
      <c r="A83" s="2617">
        <v>41609</v>
      </c>
      <c r="B83" s="2639">
        <v>216.5</v>
      </c>
      <c r="C83" s="2628">
        <v>225.7</v>
      </c>
      <c r="D83" s="2628">
        <v>331.6</v>
      </c>
      <c r="E83" s="2628">
        <v>1373.1</v>
      </c>
      <c r="F83" s="2628">
        <v>1596</v>
      </c>
      <c r="G83" s="2628">
        <v>3535</v>
      </c>
      <c r="H83" s="2628">
        <v>18480.2</v>
      </c>
      <c r="I83" s="2629">
        <v>3778.6</v>
      </c>
      <c r="J83" s="2636">
        <f t="shared" si="2"/>
        <v>29536.699999999997</v>
      </c>
      <c r="K83" s="2639">
        <v>9</v>
      </c>
      <c r="L83" s="2631">
        <v>13.13</v>
      </c>
      <c r="M83" s="2631">
        <v>195.7</v>
      </c>
      <c r="N83" s="2631">
        <v>260.76</v>
      </c>
      <c r="O83" s="2631">
        <v>116.66</v>
      </c>
      <c r="P83" s="2631">
        <v>142.16999999999999</v>
      </c>
      <c r="Q83" s="2631">
        <v>31.7</v>
      </c>
      <c r="R83" s="2631">
        <v>6.3</v>
      </c>
      <c r="S83" s="2631">
        <v>41.6</v>
      </c>
      <c r="T83" s="2631">
        <v>2.4</v>
      </c>
      <c r="U83" s="2631">
        <v>9.8000000000000007</v>
      </c>
      <c r="V83" s="2631">
        <v>0.3</v>
      </c>
      <c r="W83" s="2631">
        <v>0.2</v>
      </c>
      <c r="X83" s="2630">
        <f t="shared" si="0"/>
        <v>829.71999999999991</v>
      </c>
      <c r="Y83" s="2630">
        <f t="shared" si="1"/>
        <v>30366.42</v>
      </c>
      <c r="Z83" s="2625"/>
      <c r="AA83" s="2626"/>
      <c r="AB83" s="2640"/>
      <c r="AC83" s="2626"/>
    </row>
    <row r="84" spans="1:29" ht="28.5" hidden="1" customHeight="1" thickTop="1">
      <c r="A84" s="2617">
        <v>41640</v>
      </c>
      <c r="B84" s="2639">
        <v>216.49</v>
      </c>
      <c r="C84" s="2628">
        <v>222.4</v>
      </c>
      <c r="D84" s="2628">
        <v>322.3</v>
      </c>
      <c r="E84" s="2628">
        <v>1255.5</v>
      </c>
      <c r="F84" s="2628">
        <v>1353.2</v>
      </c>
      <c r="G84" s="2628">
        <v>2984.3</v>
      </c>
      <c r="H84" s="2628">
        <v>16470.3</v>
      </c>
      <c r="I84" s="2629">
        <v>3915.1</v>
      </c>
      <c r="J84" s="2636">
        <f t="shared" si="2"/>
        <v>26739.589999999997</v>
      </c>
      <c r="K84" s="2639">
        <v>9.02</v>
      </c>
      <c r="L84" s="2631">
        <v>13.1</v>
      </c>
      <c r="M84" s="2631">
        <v>197.81</v>
      </c>
      <c r="N84" s="2631">
        <v>263.2</v>
      </c>
      <c r="O84" s="2631">
        <v>116.7</v>
      </c>
      <c r="P84" s="2631">
        <v>142.54</v>
      </c>
      <c r="Q84" s="2631">
        <v>31.82</v>
      </c>
      <c r="R84" s="2631">
        <v>6.33</v>
      </c>
      <c r="S84" s="2631">
        <v>41.73</v>
      </c>
      <c r="T84" s="2631">
        <v>2.42</v>
      </c>
      <c r="U84" s="2631">
        <v>9.77</v>
      </c>
      <c r="V84" s="2631">
        <v>0.3</v>
      </c>
      <c r="W84" s="2631">
        <v>0.2</v>
      </c>
      <c r="X84" s="2630">
        <f t="shared" si="0"/>
        <v>834.94</v>
      </c>
      <c r="Y84" s="2630">
        <f t="shared" si="1"/>
        <v>27574.529999999995</v>
      </c>
      <c r="Z84" s="2625"/>
      <c r="AA84" s="2626"/>
      <c r="AB84" s="2640"/>
      <c r="AC84" s="2626"/>
    </row>
    <row r="85" spans="1:29" ht="28.5" hidden="1" customHeight="1" thickTop="1">
      <c r="A85" s="2617">
        <v>41671</v>
      </c>
      <c r="B85" s="2639">
        <v>216.47</v>
      </c>
      <c r="C85" s="2628">
        <v>221.1</v>
      </c>
      <c r="D85" s="2628">
        <v>321.39999999999998</v>
      </c>
      <c r="E85" s="2628">
        <v>1268.8</v>
      </c>
      <c r="F85" s="2628">
        <v>1350.3</v>
      </c>
      <c r="G85" s="2628">
        <v>2963.5</v>
      </c>
      <c r="H85" s="2628">
        <v>15923.1</v>
      </c>
      <c r="I85" s="2629">
        <v>4074.2</v>
      </c>
      <c r="J85" s="2636">
        <f t="shared" si="2"/>
        <v>26338.87</v>
      </c>
      <c r="K85" s="2639">
        <v>9.02</v>
      </c>
      <c r="L85" s="2631">
        <v>13.14</v>
      </c>
      <c r="M85" s="2631">
        <v>198.45</v>
      </c>
      <c r="N85" s="2631">
        <v>263.13</v>
      </c>
      <c r="O85" s="2631">
        <v>117.6</v>
      </c>
      <c r="P85" s="2631">
        <v>143.19999999999999</v>
      </c>
      <c r="Q85" s="2631">
        <v>31.92</v>
      </c>
      <c r="R85" s="2631">
        <v>6.33</v>
      </c>
      <c r="S85" s="2631">
        <v>41.83</v>
      </c>
      <c r="T85" s="2631">
        <v>2.42</v>
      </c>
      <c r="U85" s="2631">
        <v>9.8000000000000007</v>
      </c>
      <c r="V85" s="2631">
        <v>0.33</v>
      </c>
      <c r="W85" s="2631">
        <v>0.22</v>
      </c>
      <c r="X85" s="2630">
        <f t="shared" si="0"/>
        <v>837.39</v>
      </c>
      <c r="Y85" s="2630">
        <f t="shared" si="1"/>
        <v>27176.26</v>
      </c>
      <c r="Z85" s="2625"/>
      <c r="AA85" s="2640"/>
      <c r="AB85" s="2640"/>
      <c r="AC85" s="2626"/>
    </row>
    <row r="86" spans="1:29" ht="28.5" hidden="1" customHeight="1" thickTop="1">
      <c r="A86" s="2617">
        <v>41699</v>
      </c>
      <c r="B86" s="2639">
        <v>216.4</v>
      </c>
      <c r="C86" s="2628">
        <v>221.1</v>
      </c>
      <c r="D86" s="2628">
        <v>317.66000000000003</v>
      </c>
      <c r="E86" s="2628">
        <v>1249.8499999999999</v>
      </c>
      <c r="F86" s="2628">
        <v>1345</v>
      </c>
      <c r="G86" s="2628">
        <v>2928.45</v>
      </c>
      <c r="H86" s="2628">
        <v>15660.1</v>
      </c>
      <c r="I86" s="2629">
        <v>4229.26</v>
      </c>
      <c r="J86" s="2636">
        <f t="shared" si="2"/>
        <v>26167.82</v>
      </c>
      <c r="K86" s="2639">
        <v>9.02</v>
      </c>
      <c r="L86" s="2631">
        <v>13.14</v>
      </c>
      <c r="M86" s="2631">
        <v>199.7</v>
      </c>
      <c r="N86" s="2631">
        <v>263.33</v>
      </c>
      <c r="O86" s="2631">
        <v>117.73</v>
      </c>
      <c r="P86" s="2631">
        <v>143.87</v>
      </c>
      <c r="Q86" s="2631">
        <v>32.020000000000003</v>
      </c>
      <c r="R86" s="2631">
        <v>6.33</v>
      </c>
      <c r="S86" s="2631">
        <v>41.95</v>
      </c>
      <c r="T86" s="2631">
        <v>2.42</v>
      </c>
      <c r="U86" s="2631">
        <v>9.82</v>
      </c>
      <c r="V86" s="2631">
        <v>0.33</v>
      </c>
      <c r="W86" s="2631">
        <v>0.2</v>
      </c>
      <c r="X86" s="2630">
        <f t="shared" si="0"/>
        <v>839.86000000000013</v>
      </c>
      <c r="Y86" s="2630">
        <f t="shared" si="1"/>
        <v>27007.68</v>
      </c>
      <c r="Z86" s="2625"/>
      <c r="AA86" s="2640"/>
      <c r="AB86" s="2640"/>
      <c r="AC86" s="2626"/>
    </row>
    <row r="87" spans="1:29" ht="28.5" hidden="1" customHeight="1" thickTop="1">
      <c r="A87" s="2617">
        <v>41730</v>
      </c>
      <c r="B87" s="2639">
        <v>216.36</v>
      </c>
      <c r="C87" s="2628">
        <v>219.9</v>
      </c>
      <c r="D87" s="2628">
        <v>313.60000000000002</v>
      </c>
      <c r="E87" s="2628">
        <v>1251.98</v>
      </c>
      <c r="F87" s="2628">
        <v>1325.4</v>
      </c>
      <c r="G87" s="2628">
        <v>2877.1</v>
      </c>
      <c r="H87" s="2628">
        <v>15524.2</v>
      </c>
      <c r="I87" s="2629">
        <v>4389.1000000000004</v>
      </c>
      <c r="J87" s="2636">
        <f t="shared" si="2"/>
        <v>26117.64</v>
      </c>
      <c r="K87" s="2639">
        <v>9</v>
      </c>
      <c r="L87" s="2631">
        <v>13.1</v>
      </c>
      <c r="M87" s="2631">
        <v>199.9</v>
      </c>
      <c r="N87" s="2631">
        <v>263.89999999999998</v>
      </c>
      <c r="O87" s="2631">
        <v>118.4</v>
      </c>
      <c r="P87" s="2631">
        <v>144.5</v>
      </c>
      <c r="Q87" s="2631">
        <v>32.200000000000003</v>
      </c>
      <c r="R87" s="2631">
        <v>6.33</v>
      </c>
      <c r="S87" s="2631">
        <v>42.03</v>
      </c>
      <c r="T87" s="2631">
        <v>2.42</v>
      </c>
      <c r="U87" s="2631">
        <v>9.86</v>
      </c>
      <c r="V87" s="2631">
        <v>0.33</v>
      </c>
      <c r="W87" s="2631">
        <v>0.2</v>
      </c>
      <c r="X87" s="2630">
        <f t="shared" si="0"/>
        <v>842.17000000000007</v>
      </c>
      <c r="Y87" s="2630">
        <f t="shared" si="1"/>
        <v>26959.809999999998</v>
      </c>
      <c r="Z87" s="2625"/>
      <c r="AA87" s="2640"/>
      <c r="AB87" s="2640"/>
      <c r="AC87" s="2626"/>
    </row>
    <row r="88" spans="1:29" ht="28.5" hidden="1" customHeight="1" thickTop="1">
      <c r="A88" s="2617">
        <v>41760</v>
      </c>
      <c r="B88" s="2639">
        <v>216.3</v>
      </c>
      <c r="C88" s="2628">
        <v>217.9</v>
      </c>
      <c r="D88" s="2628">
        <v>311.89999999999998</v>
      </c>
      <c r="E88" s="2628">
        <v>1213.92</v>
      </c>
      <c r="F88" s="2628">
        <v>1268.71</v>
      </c>
      <c r="G88" s="2628">
        <v>2866.19</v>
      </c>
      <c r="H88" s="2628">
        <v>14803.5</v>
      </c>
      <c r="I88" s="2629">
        <v>4518</v>
      </c>
      <c r="J88" s="2636">
        <f t="shared" si="2"/>
        <v>25416.42</v>
      </c>
      <c r="K88" s="2639">
        <v>9.0229999999999997</v>
      </c>
      <c r="L88" s="2631">
        <v>13.14</v>
      </c>
      <c r="M88" s="2631">
        <v>200.2</v>
      </c>
      <c r="N88" s="2631">
        <v>265.02999999999997</v>
      </c>
      <c r="O88" s="2631">
        <v>118.7</v>
      </c>
      <c r="P88" s="2631">
        <v>144.9</v>
      </c>
      <c r="Q88" s="2631">
        <v>32.299999999999997</v>
      </c>
      <c r="R88" s="2631">
        <v>6.33</v>
      </c>
      <c r="S88" s="2631">
        <v>42</v>
      </c>
      <c r="T88" s="2631">
        <v>2.42</v>
      </c>
      <c r="U88" s="2631">
        <v>9.9</v>
      </c>
      <c r="V88" s="2631">
        <v>0.33</v>
      </c>
      <c r="W88" s="2631">
        <v>0.22</v>
      </c>
      <c r="X88" s="2630">
        <f t="shared" si="0"/>
        <v>844.49299999999994</v>
      </c>
      <c r="Y88" s="2630">
        <f t="shared" si="1"/>
        <v>26260.912999999997</v>
      </c>
      <c r="Z88" s="2625"/>
      <c r="AA88" s="2640"/>
      <c r="AB88" s="2640"/>
      <c r="AC88" s="2626"/>
    </row>
    <row r="89" spans="1:29" ht="28.5" hidden="1" customHeight="1" thickTop="1">
      <c r="A89" s="2617">
        <v>41791</v>
      </c>
      <c r="B89" s="2639">
        <v>216.26</v>
      </c>
      <c r="C89" s="2628">
        <v>218.5</v>
      </c>
      <c r="D89" s="2628">
        <v>314.39999999999998</v>
      </c>
      <c r="E89" s="2628">
        <v>1236.5999999999999</v>
      </c>
      <c r="F89" s="2628">
        <v>1282.9000000000001</v>
      </c>
      <c r="G89" s="2628">
        <v>2870.9</v>
      </c>
      <c r="H89" s="2628">
        <v>15064.12</v>
      </c>
      <c r="I89" s="2629">
        <v>4532</v>
      </c>
      <c r="J89" s="2636">
        <f t="shared" si="2"/>
        <v>25735.68</v>
      </c>
      <c r="K89" s="2639">
        <v>9.0239999999999991</v>
      </c>
      <c r="L89" s="2631">
        <v>13.14</v>
      </c>
      <c r="M89" s="2631">
        <v>201</v>
      </c>
      <c r="N89" s="2631">
        <v>266.10000000000002</v>
      </c>
      <c r="O89" s="2631">
        <v>119.4</v>
      </c>
      <c r="P89" s="2631">
        <v>145.4</v>
      </c>
      <c r="Q89" s="2631">
        <v>32.4</v>
      </c>
      <c r="R89" s="2631">
        <v>6.33</v>
      </c>
      <c r="S89" s="2631">
        <v>42.15</v>
      </c>
      <c r="T89" s="2631">
        <v>2.4</v>
      </c>
      <c r="U89" s="2631">
        <v>9.9</v>
      </c>
      <c r="V89" s="2631">
        <v>0.3</v>
      </c>
      <c r="W89" s="2631">
        <v>0.22</v>
      </c>
      <c r="X89" s="2630">
        <f t="shared" si="0"/>
        <v>847.7639999999999</v>
      </c>
      <c r="Y89" s="2630">
        <f t="shared" si="1"/>
        <v>26583.444</v>
      </c>
      <c r="Z89" s="2625"/>
      <c r="AA89" s="2640"/>
      <c r="AB89" s="2640"/>
      <c r="AC89" s="2626"/>
    </row>
    <row r="90" spans="1:29" ht="28.5" customHeight="1" thickTop="1">
      <c r="A90" s="2617">
        <v>41821</v>
      </c>
      <c r="B90" s="2639">
        <v>216.25</v>
      </c>
      <c r="C90" s="2628">
        <v>223.36</v>
      </c>
      <c r="D90" s="2628">
        <v>321.7</v>
      </c>
      <c r="E90" s="2628">
        <v>1267.75</v>
      </c>
      <c r="F90" s="2628">
        <v>1342.8</v>
      </c>
      <c r="G90" s="2628">
        <v>2978.2</v>
      </c>
      <c r="H90" s="2628">
        <v>15851</v>
      </c>
      <c r="I90" s="2629">
        <v>4526.1000000000004</v>
      </c>
      <c r="J90" s="2636">
        <f t="shared" si="2"/>
        <v>26727.159999999996</v>
      </c>
      <c r="K90" s="2639">
        <v>9.0239999999999991</v>
      </c>
      <c r="L90" s="2631">
        <v>13.14</v>
      </c>
      <c r="M90" s="2631">
        <v>201.4</v>
      </c>
      <c r="N90" s="2631">
        <v>266.62</v>
      </c>
      <c r="O90" s="2631">
        <v>119.89</v>
      </c>
      <c r="P90" s="2631">
        <v>145.87</v>
      </c>
      <c r="Q90" s="2631">
        <v>32.549999999999997</v>
      </c>
      <c r="R90" s="2631">
        <v>6.3319999999999999</v>
      </c>
      <c r="S90" s="2631">
        <v>42.38</v>
      </c>
      <c r="T90" s="2631">
        <v>2.42</v>
      </c>
      <c r="U90" s="2631">
        <v>9.9499999999999993</v>
      </c>
      <c r="V90" s="2631">
        <v>0.33</v>
      </c>
      <c r="W90" s="2631">
        <v>0.22</v>
      </c>
      <c r="X90" s="2630">
        <f t="shared" si="0"/>
        <v>850.12600000000009</v>
      </c>
      <c r="Y90" s="2630">
        <f t="shared" si="1"/>
        <v>27577.285999999996</v>
      </c>
      <c r="Z90" s="2625"/>
      <c r="AA90" s="2640"/>
      <c r="AB90" s="2640"/>
      <c r="AC90" s="2626"/>
    </row>
    <row r="91" spans="1:29" ht="28.5" customHeight="1">
      <c r="A91" s="2617">
        <v>41852</v>
      </c>
      <c r="B91" s="2639">
        <v>216.16</v>
      </c>
      <c r="C91" s="2628">
        <v>224.6</v>
      </c>
      <c r="D91" s="2628">
        <v>322.8</v>
      </c>
      <c r="E91" s="2628">
        <v>1282.0999999999999</v>
      </c>
      <c r="F91" s="2628">
        <v>1320.78</v>
      </c>
      <c r="G91" s="2628">
        <v>2971.4</v>
      </c>
      <c r="H91" s="2628">
        <v>15351.9</v>
      </c>
      <c r="I91" s="2629">
        <v>4675.2</v>
      </c>
      <c r="J91" s="2636">
        <f t="shared" si="2"/>
        <v>26364.94</v>
      </c>
      <c r="K91" s="2639">
        <v>9</v>
      </c>
      <c r="L91" s="2631">
        <v>13.1</v>
      </c>
      <c r="M91" s="2631">
        <v>201.7</v>
      </c>
      <c r="N91" s="2631">
        <v>268.60000000000002</v>
      </c>
      <c r="O91" s="2631">
        <v>120.26</v>
      </c>
      <c r="P91" s="2631">
        <v>146.5</v>
      </c>
      <c r="Q91" s="2631">
        <v>32.69</v>
      </c>
      <c r="R91" s="2631">
        <v>6.33</v>
      </c>
      <c r="S91" s="2631">
        <v>42.57</v>
      </c>
      <c r="T91" s="2631">
        <v>2.42</v>
      </c>
      <c r="U91" s="2631">
        <v>10</v>
      </c>
      <c r="V91" s="2631">
        <v>0.33</v>
      </c>
      <c r="W91" s="2631">
        <v>0.22</v>
      </c>
      <c r="X91" s="2630">
        <f t="shared" si="0"/>
        <v>853.72</v>
      </c>
      <c r="Y91" s="2630">
        <f t="shared" si="1"/>
        <v>27218.66</v>
      </c>
      <c r="Z91" s="2625"/>
      <c r="AA91" s="2640"/>
      <c r="AB91" s="2640"/>
      <c r="AC91" s="2626"/>
    </row>
    <row r="92" spans="1:29" ht="28.5" customHeight="1">
      <c r="A92" s="2617">
        <v>41883</v>
      </c>
      <c r="B92" s="2639">
        <v>216.13</v>
      </c>
      <c r="C92" s="2628">
        <v>224.86</v>
      </c>
      <c r="D92" s="2628">
        <v>321.60000000000002</v>
      </c>
      <c r="E92" s="2628">
        <v>1271.0999999999999</v>
      </c>
      <c r="F92" s="2628">
        <v>1287.3800000000001</v>
      </c>
      <c r="G92" s="2628">
        <v>2907.6</v>
      </c>
      <c r="H92" s="2628">
        <v>14951.9</v>
      </c>
      <c r="I92" s="2629">
        <v>4771</v>
      </c>
      <c r="J92" s="2636">
        <f t="shared" si="2"/>
        <v>25951.57</v>
      </c>
      <c r="K92" s="2639">
        <v>9.0280000000000005</v>
      </c>
      <c r="L92" s="2631">
        <v>13.15</v>
      </c>
      <c r="M92" s="2631">
        <v>201.9</v>
      </c>
      <c r="N92" s="2631">
        <v>271.05</v>
      </c>
      <c r="O92" s="2631">
        <v>120.68</v>
      </c>
      <c r="P92" s="2631">
        <v>147.1</v>
      </c>
      <c r="Q92" s="2631">
        <v>32.81</v>
      </c>
      <c r="R92" s="2631">
        <v>6.3310000000000004</v>
      </c>
      <c r="S92" s="2631">
        <v>42.74</v>
      </c>
      <c r="T92" s="2631">
        <v>2.4</v>
      </c>
      <c r="U92" s="2631">
        <v>10.02</v>
      </c>
      <c r="V92" s="2631">
        <v>0.33</v>
      </c>
      <c r="W92" s="2631">
        <v>0.2</v>
      </c>
      <c r="X92" s="2630">
        <f t="shared" si="0"/>
        <v>857.73900000000015</v>
      </c>
      <c r="Y92" s="2630">
        <f t="shared" si="1"/>
        <v>26809.309000000001</v>
      </c>
      <c r="Z92" s="2625"/>
      <c r="AA92" s="2640"/>
      <c r="AB92" s="2640"/>
      <c r="AC92" s="2626"/>
    </row>
    <row r="93" spans="1:29" ht="28.5" customHeight="1">
      <c r="A93" s="2617">
        <v>41913</v>
      </c>
      <c r="B93" s="2639">
        <v>216.06</v>
      </c>
      <c r="C93" s="2628">
        <v>224.3</v>
      </c>
      <c r="D93" s="2628">
        <v>324.7</v>
      </c>
      <c r="E93" s="2628">
        <v>1247.7</v>
      </c>
      <c r="F93" s="2628">
        <v>1345.6</v>
      </c>
      <c r="G93" s="2628">
        <v>2995.9</v>
      </c>
      <c r="H93" s="2628">
        <v>14860.54</v>
      </c>
      <c r="I93" s="2629">
        <v>4759.3999999999996</v>
      </c>
      <c r="J93" s="2636">
        <f t="shared" si="2"/>
        <v>25974.200000000004</v>
      </c>
      <c r="K93" s="2639">
        <v>9</v>
      </c>
      <c r="L93" s="2631">
        <v>13.15</v>
      </c>
      <c r="M93" s="2631">
        <v>201.91</v>
      </c>
      <c r="N93" s="2631">
        <v>271.5</v>
      </c>
      <c r="O93" s="2631">
        <v>121.5</v>
      </c>
      <c r="P93" s="2631">
        <v>147.80000000000001</v>
      </c>
      <c r="Q93" s="2631">
        <v>33.04</v>
      </c>
      <c r="R93" s="2631">
        <v>6.3</v>
      </c>
      <c r="S93" s="2631">
        <v>43.03</v>
      </c>
      <c r="T93" s="2631">
        <v>2.4</v>
      </c>
      <c r="U93" s="2631">
        <v>10</v>
      </c>
      <c r="V93" s="2631">
        <v>0.33</v>
      </c>
      <c r="W93" s="2631">
        <v>0.22</v>
      </c>
      <c r="X93" s="2630">
        <f t="shared" si="0"/>
        <v>860.17999999999984</v>
      </c>
      <c r="Y93" s="2630">
        <f>J93+X93</f>
        <v>26834.380000000005</v>
      </c>
      <c r="Z93" s="2625"/>
      <c r="AA93" s="2640"/>
      <c r="AB93" s="2640"/>
      <c r="AC93" s="2626"/>
    </row>
    <row r="94" spans="1:29" ht="28.5" customHeight="1">
      <c r="A94" s="2617">
        <v>41944</v>
      </c>
      <c r="B94" s="2639">
        <v>216.04</v>
      </c>
      <c r="C94" s="2628">
        <v>225.24</v>
      </c>
      <c r="D94" s="2628">
        <v>328.6</v>
      </c>
      <c r="E94" s="2628">
        <v>1295.4000000000001</v>
      </c>
      <c r="F94" s="2628">
        <v>1361.3</v>
      </c>
      <c r="G94" s="2628">
        <v>2954.6</v>
      </c>
      <c r="H94" s="2628">
        <v>15290.52</v>
      </c>
      <c r="I94" s="2629">
        <v>4934.2</v>
      </c>
      <c r="J94" s="2636">
        <f t="shared" si="2"/>
        <v>26605.9</v>
      </c>
      <c r="K94" s="2639">
        <v>9</v>
      </c>
      <c r="L94" s="2631">
        <v>13.16</v>
      </c>
      <c r="M94" s="2631">
        <v>202</v>
      </c>
      <c r="N94" s="2631">
        <v>273.3</v>
      </c>
      <c r="O94" s="2631">
        <v>122.14</v>
      </c>
      <c r="P94" s="2631">
        <v>149</v>
      </c>
      <c r="Q94" s="2631">
        <v>33.229999999999997</v>
      </c>
      <c r="R94" s="2631">
        <v>6.3</v>
      </c>
      <c r="S94" s="2631">
        <v>43.24</v>
      </c>
      <c r="T94" s="2631">
        <v>2.4</v>
      </c>
      <c r="U94" s="2631">
        <v>10.119999999999999</v>
      </c>
      <c r="V94" s="2631">
        <v>0.3</v>
      </c>
      <c r="W94" s="2631">
        <v>0.2</v>
      </c>
      <c r="X94" s="2630">
        <f t="shared" si="0"/>
        <v>864.39</v>
      </c>
      <c r="Y94" s="2630">
        <f>J94+X94</f>
        <v>27470.29</v>
      </c>
      <c r="Z94" s="2625"/>
      <c r="AA94" s="2640"/>
      <c r="AB94" s="2640"/>
      <c r="AC94" s="2626"/>
    </row>
    <row r="95" spans="1:29" ht="28.5" customHeight="1">
      <c r="A95" s="2617">
        <v>41974</v>
      </c>
      <c r="B95" s="2639">
        <v>216</v>
      </c>
      <c r="C95" s="2628">
        <v>240.88</v>
      </c>
      <c r="D95" s="2628">
        <v>347.45</v>
      </c>
      <c r="E95" s="2628">
        <v>1485.8</v>
      </c>
      <c r="F95" s="2628">
        <v>1647</v>
      </c>
      <c r="G95" s="2628">
        <v>3745.43</v>
      </c>
      <c r="H95" s="2628">
        <v>18829.7</v>
      </c>
      <c r="I95" s="2629">
        <v>5385</v>
      </c>
      <c r="J95" s="2636">
        <f t="shared" si="2"/>
        <v>31897.260000000002</v>
      </c>
      <c r="K95" s="2639">
        <v>9</v>
      </c>
      <c r="L95" s="2631">
        <v>13.16</v>
      </c>
      <c r="M95" s="2631">
        <v>203.1</v>
      </c>
      <c r="N95" s="2631">
        <v>277.3</v>
      </c>
      <c r="O95" s="2631">
        <v>123.26</v>
      </c>
      <c r="P95" s="2631">
        <v>149.97</v>
      </c>
      <c r="Q95" s="2631">
        <v>33.380000000000003</v>
      </c>
      <c r="R95" s="2631">
        <v>6.33</v>
      </c>
      <c r="S95" s="2631">
        <v>43.4</v>
      </c>
      <c r="T95" s="2631">
        <v>2.4</v>
      </c>
      <c r="U95" s="2631">
        <v>10.15</v>
      </c>
      <c r="V95" s="2631">
        <v>0.3</v>
      </c>
      <c r="W95" s="2631">
        <v>0.22</v>
      </c>
      <c r="X95" s="2630">
        <v>871.97</v>
      </c>
      <c r="Y95" s="2630">
        <v>32769.230000000003</v>
      </c>
      <c r="Z95" s="2625"/>
      <c r="AA95" s="2640"/>
      <c r="AB95" s="2640"/>
      <c r="AC95" s="2626"/>
    </row>
    <row r="96" spans="1:29" ht="28.5" customHeight="1">
      <c r="A96" s="2617">
        <v>42005</v>
      </c>
      <c r="B96" s="2639">
        <v>215.9</v>
      </c>
      <c r="C96" s="2628">
        <v>240.8</v>
      </c>
      <c r="D96" s="2628">
        <v>346.8</v>
      </c>
      <c r="E96" s="2628">
        <v>1403.2</v>
      </c>
      <c r="F96" s="2628">
        <v>1482.7</v>
      </c>
      <c r="G96" s="2628">
        <v>3148.18</v>
      </c>
      <c r="H96" s="2628">
        <v>16294.91</v>
      </c>
      <c r="I96" s="2629">
        <v>4918.5600000000004</v>
      </c>
      <c r="J96" s="2636">
        <f t="shared" si="2"/>
        <v>28051.05</v>
      </c>
      <c r="K96" s="2639">
        <v>9</v>
      </c>
      <c r="L96" s="2631">
        <v>13.16</v>
      </c>
      <c r="M96" s="2631">
        <v>203.22</v>
      </c>
      <c r="N96" s="2631">
        <v>281.89999999999998</v>
      </c>
      <c r="O96" s="2631">
        <v>125.6</v>
      </c>
      <c r="P96" s="2631">
        <v>151.4</v>
      </c>
      <c r="Q96" s="2631">
        <v>33.5</v>
      </c>
      <c r="R96" s="2631">
        <v>6.33</v>
      </c>
      <c r="S96" s="2631">
        <v>43.5</v>
      </c>
      <c r="T96" s="2631">
        <v>2.42</v>
      </c>
      <c r="U96" s="2631">
        <v>10.199999999999999</v>
      </c>
      <c r="V96" s="2631">
        <v>0.33</v>
      </c>
      <c r="W96" s="2631">
        <v>0.22</v>
      </c>
      <c r="X96" s="2630">
        <f>SUM(K96:W96)</f>
        <v>880.78000000000009</v>
      </c>
      <c r="Y96" s="2630">
        <f>J96+X96</f>
        <v>28931.829999999998</v>
      </c>
      <c r="Z96" s="2625"/>
      <c r="AA96" s="2640"/>
      <c r="AB96" s="2640"/>
      <c r="AC96" s="2626"/>
    </row>
    <row r="97" spans="1:29" ht="28.5" customHeight="1">
      <c r="A97" s="2617">
        <v>42036</v>
      </c>
      <c r="B97" s="2639">
        <v>215.84</v>
      </c>
      <c r="C97" s="2628">
        <v>239.92</v>
      </c>
      <c r="D97" s="2628">
        <v>346</v>
      </c>
      <c r="E97" s="2628">
        <v>1379.7</v>
      </c>
      <c r="F97" s="2628">
        <v>1439.7</v>
      </c>
      <c r="G97" s="2628">
        <v>3206.2</v>
      </c>
      <c r="H97" s="2628">
        <v>16165</v>
      </c>
      <c r="I97" s="2629">
        <v>4901</v>
      </c>
      <c r="J97" s="2636">
        <f t="shared" si="2"/>
        <v>27893.360000000001</v>
      </c>
      <c r="K97" s="2639">
        <v>9.0500000000000007</v>
      </c>
      <c r="L97" s="2631">
        <v>13.2</v>
      </c>
      <c r="M97" s="2631">
        <v>203.21</v>
      </c>
      <c r="N97" s="2631">
        <v>282</v>
      </c>
      <c r="O97" s="2631">
        <v>126.1</v>
      </c>
      <c r="P97" s="2631">
        <v>151.80000000000001</v>
      </c>
      <c r="Q97" s="2631">
        <v>33.64</v>
      </c>
      <c r="R97" s="2631">
        <v>6.3</v>
      </c>
      <c r="S97" s="2631">
        <v>43.7</v>
      </c>
      <c r="T97" s="2631">
        <v>2.4</v>
      </c>
      <c r="U97" s="2631">
        <v>10.199999999999999</v>
      </c>
      <c r="V97" s="2631">
        <v>0.3</v>
      </c>
      <c r="W97" s="2631">
        <v>0.2</v>
      </c>
      <c r="X97" s="2630">
        <f>SUM(K97:W97)</f>
        <v>882.10000000000014</v>
      </c>
      <c r="Y97" s="2630">
        <f>J97+X97</f>
        <v>28775.46</v>
      </c>
      <c r="Z97" s="2625"/>
      <c r="AA97" s="2640"/>
      <c r="AB97" s="2640"/>
      <c r="AC97" s="2626"/>
    </row>
    <row r="98" spans="1:29" ht="28.5" customHeight="1">
      <c r="A98" s="2617">
        <v>42064</v>
      </c>
      <c r="B98" s="2639">
        <v>215.84</v>
      </c>
      <c r="C98" s="2628">
        <v>236.6</v>
      </c>
      <c r="D98" s="2628">
        <v>344.05</v>
      </c>
      <c r="E98" s="2628">
        <v>1358.2</v>
      </c>
      <c r="F98" s="2628">
        <v>1387.65</v>
      </c>
      <c r="G98" s="2628">
        <v>3199.3</v>
      </c>
      <c r="H98" s="2628">
        <v>15847.75</v>
      </c>
      <c r="I98" s="2629">
        <v>5000.46</v>
      </c>
      <c r="J98" s="2636">
        <f t="shared" si="2"/>
        <v>27589.85</v>
      </c>
      <c r="K98" s="2639">
        <v>9.1</v>
      </c>
      <c r="L98" s="2631">
        <v>13.2</v>
      </c>
      <c r="M98" s="2631">
        <v>203.21</v>
      </c>
      <c r="N98" s="2631">
        <v>282.5</v>
      </c>
      <c r="O98" s="2631">
        <v>126.6</v>
      </c>
      <c r="P98" s="2631">
        <v>152.35</v>
      </c>
      <c r="Q98" s="2631">
        <v>33.799999999999997</v>
      </c>
      <c r="R98" s="2631">
        <v>6.3</v>
      </c>
      <c r="S98" s="2631">
        <v>43.8</v>
      </c>
      <c r="T98" s="2631">
        <v>2.4</v>
      </c>
      <c r="U98" s="2631">
        <v>10.3</v>
      </c>
      <c r="V98" s="2631">
        <v>0.3</v>
      </c>
      <c r="W98" s="2631">
        <v>0.2</v>
      </c>
      <c r="X98" s="2630">
        <f>SUM(K98:W98)</f>
        <v>884.05999999999983</v>
      </c>
      <c r="Y98" s="2630">
        <f>J98+X98</f>
        <v>28473.91</v>
      </c>
      <c r="Z98" s="2625"/>
      <c r="AA98" s="2640"/>
      <c r="AB98" s="2640"/>
      <c r="AC98" s="2626"/>
    </row>
    <row r="99" spans="1:29" ht="28.5" customHeight="1">
      <c r="A99" s="2617">
        <v>42095</v>
      </c>
      <c r="B99" s="2639">
        <v>215.76</v>
      </c>
      <c r="C99" s="2628">
        <v>240.4</v>
      </c>
      <c r="D99" s="2628">
        <v>345.55</v>
      </c>
      <c r="E99" s="2628">
        <v>1343.56</v>
      </c>
      <c r="F99" s="2628">
        <v>1438.8</v>
      </c>
      <c r="G99" s="2628">
        <v>3251.4</v>
      </c>
      <c r="H99" s="2628">
        <v>16328.9</v>
      </c>
      <c r="I99" s="2629">
        <v>5078.8</v>
      </c>
      <c r="J99" s="2636">
        <f t="shared" si="2"/>
        <v>28243.17</v>
      </c>
      <c r="K99" s="2639">
        <v>9.06</v>
      </c>
      <c r="L99" s="2631">
        <v>13.2</v>
      </c>
      <c r="M99" s="2631">
        <v>203.3</v>
      </c>
      <c r="N99" s="2631">
        <v>283.10000000000002</v>
      </c>
      <c r="O99" s="2631">
        <v>127.1</v>
      </c>
      <c r="P99" s="2631">
        <v>153.30000000000001</v>
      </c>
      <c r="Q99" s="2631">
        <v>33.96</v>
      </c>
      <c r="R99" s="2631">
        <v>6.3</v>
      </c>
      <c r="S99" s="2631">
        <v>44</v>
      </c>
      <c r="T99" s="2631">
        <v>2.4</v>
      </c>
      <c r="U99" s="2631">
        <v>10.28</v>
      </c>
      <c r="V99" s="2631">
        <v>0.33</v>
      </c>
      <c r="W99" s="2631">
        <v>0.22</v>
      </c>
      <c r="X99" s="2630">
        <v>886.55</v>
      </c>
      <c r="Y99" s="2630">
        <f t="shared" ref="Y99:Y102" si="3">J99+X99</f>
        <v>29129.719999999998</v>
      </c>
      <c r="Z99" s="2625"/>
      <c r="AA99" s="2640"/>
      <c r="AB99" s="2640"/>
      <c r="AC99" s="2626"/>
    </row>
    <row r="100" spans="1:29" ht="28.5" customHeight="1">
      <c r="A100" s="2617">
        <v>42125</v>
      </c>
      <c r="B100" s="2639">
        <v>215.7</v>
      </c>
      <c r="C100" s="2628">
        <v>240.5</v>
      </c>
      <c r="D100" s="2628">
        <v>346.1</v>
      </c>
      <c r="E100" s="2628">
        <v>1302.2</v>
      </c>
      <c r="F100" s="2628">
        <v>1403.8</v>
      </c>
      <c r="G100" s="2628">
        <v>3195.7</v>
      </c>
      <c r="H100" s="2628">
        <v>15871.8</v>
      </c>
      <c r="I100" s="2629">
        <v>5157.3</v>
      </c>
      <c r="J100" s="2636">
        <f t="shared" si="2"/>
        <v>27733.1</v>
      </c>
      <c r="K100" s="2639">
        <v>9.1</v>
      </c>
      <c r="L100" s="2631">
        <v>13.18</v>
      </c>
      <c r="M100" s="2631">
        <v>201.45</v>
      </c>
      <c r="N100" s="2631">
        <v>283.5</v>
      </c>
      <c r="O100" s="2631">
        <v>127.7</v>
      </c>
      <c r="P100" s="2631">
        <v>153.80000000000001</v>
      </c>
      <c r="Q100" s="2631">
        <v>34.200000000000003</v>
      </c>
      <c r="R100" s="2631">
        <v>6.3</v>
      </c>
      <c r="S100" s="2631">
        <v>44.16</v>
      </c>
      <c r="T100" s="2631">
        <v>2.4</v>
      </c>
      <c r="U100" s="2631">
        <v>10.3</v>
      </c>
      <c r="V100" s="2631">
        <v>0.3</v>
      </c>
      <c r="W100" s="2631">
        <v>0.2</v>
      </c>
      <c r="X100" s="2630">
        <f>SUM(K100:W100)</f>
        <v>886.58999999999992</v>
      </c>
      <c r="Y100" s="2630">
        <f t="shared" si="3"/>
        <v>28619.69</v>
      </c>
      <c r="Z100" s="2625"/>
      <c r="AA100" s="2640"/>
      <c r="AB100" s="2640"/>
      <c r="AC100" s="2626"/>
    </row>
    <row r="101" spans="1:29" ht="28.5" customHeight="1">
      <c r="A101" s="2617">
        <v>42156</v>
      </c>
      <c r="B101" s="2639">
        <v>215.7</v>
      </c>
      <c r="C101" s="2628">
        <v>242.18</v>
      </c>
      <c r="D101" s="2628">
        <v>345.26</v>
      </c>
      <c r="E101" s="2628">
        <v>1304.3499999999999</v>
      </c>
      <c r="F101" s="2628">
        <v>1384.85</v>
      </c>
      <c r="G101" s="2628">
        <v>3211.89</v>
      </c>
      <c r="H101" s="2628">
        <v>15797.78</v>
      </c>
      <c r="I101" s="2629">
        <v>5248.58</v>
      </c>
      <c r="J101" s="2636">
        <f>SUM(B101:I101)</f>
        <v>27750.590000000004</v>
      </c>
      <c r="K101" s="2639">
        <v>9.08</v>
      </c>
      <c r="L101" s="2631">
        <v>13.18</v>
      </c>
      <c r="M101" s="2631">
        <v>201.5</v>
      </c>
      <c r="N101" s="2631">
        <v>284.08999999999997</v>
      </c>
      <c r="O101" s="2631">
        <v>128.47</v>
      </c>
      <c r="P101" s="2631">
        <v>154.08000000000001</v>
      </c>
      <c r="Q101" s="2631">
        <v>34.32</v>
      </c>
      <c r="R101" s="2631">
        <v>6.33</v>
      </c>
      <c r="S101" s="2631">
        <v>44.27</v>
      </c>
      <c r="T101" s="2631">
        <v>2.4</v>
      </c>
      <c r="U101" s="2631">
        <v>10.34</v>
      </c>
      <c r="V101" s="2631">
        <v>0.3</v>
      </c>
      <c r="W101" s="2631">
        <v>0.2</v>
      </c>
      <c r="X101" s="2630">
        <f>SUM(K101:W101)</f>
        <v>888.56000000000006</v>
      </c>
      <c r="Y101" s="2630">
        <f t="shared" si="3"/>
        <v>28639.150000000005</v>
      </c>
      <c r="Z101" s="2625"/>
      <c r="AA101" s="2640"/>
      <c r="AB101" s="2640"/>
      <c r="AC101" s="2626"/>
    </row>
    <row r="102" spans="1:29" ht="28.5" customHeight="1" thickBot="1">
      <c r="A102" s="2643">
        <v>42186</v>
      </c>
      <c r="B102" s="2644">
        <v>215.7</v>
      </c>
      <c r="C102" s="2645">
        <v>240.78</v>
      </c>
      <c r="D102" s="2645">
        <v>347.65</v>
      </c>
      <c r="E102" s="2645">
        <v>1324.2</v>
      </c>
      <c r="F102" s="2645">
        <v>1415.8</v>
      </c>
      <c r="G102" s="2645">
        <v>3174.9</v>
      </c>
      <c r="H102" s="2645">
        <v>16374.4</v>
      </c>
      <c r="I102" s="2646">
        <v>5336.9</v>
      </c>
      <c r="J102" s="2647">
        <f>SUM(B102:I102)</f>
        <v>28430.33</v>
      </c>
      <c r="K102" s="2644">
        <v>9.1</v>
      </c>
      <c r="L102" s="2648">
        <v>13.2</v>
      </c>
      <c r="M102" s="2649">
        <v>201.76</v>
      </c>
      <c r="N102" s="2649">
        <v>286.3</v>
      </c>
      <c r="O102" s="2649">
        <v>128.80000000000001</v>
      </c>
      <c r="P102" s="2649">
        <v>154.6</v>
      </c>
      <c r="Q102" s="2649">
        <v>34.4</v>
      </c>
      <c r="R102" s="2649">
        <v>6.3</v>
      </c>
      <c r="S102" s="2649">
        <v>44.5</v>
      </c>
      <c r="T102" s="2649">
        <v>2.4</v>
      </c>
      <c r="U102" s="2649">
        <v>10.4</v>
      </c>
      <c r="V102" s="2649">
        <v>0.3</v>
      </c>
      <c r="W102" s="2649">
        <v>0.2</v>
      </c>
      <c r="X102" s="2650">
        <f>SUM(K102:W102)</f>
        <v>892.26</v>
      </c>
      <c r="Y102" s="2647">
        <f t="shared" si="3"/>
        <v>29322.59</v>
      </c>
      <c r="Z102" s="2625"/>
      <c r="AA102" s="2640"/>
      <c r="AB102" s="2640"/>
      <c r="AC102" s="2626"/>
    </row>
    <row r="103" spans="1:29" ht="15.75" thickTop="1">
      <c r="A103" s="2651" t="s">
        <v>2346</v>
      </c>
      <c r="B103" s="2652"/>
      <c r="C103" s="2652"/>
      <c r="D103" s="2652"/>
      <c r="E103" s="2652"/>
      <c r="F103" s="2652"/>
      <c r="G103" s="2652"/>
      <c r="H103" s="2652"/>
      <c r="I103" s="2652"/>
      <c r="J103" s="2653"/>
      <c r="K103" s="2652"/>
      <c r="L103" s="2652"/>
      <c r="M103" s="2652"/>
      <c r="N103" s="2652"/>
      <c r="O103" s="2652"/>
      <c r="P103" s="2652"/>
      <c r="Q103" s="2652"/>
      <c r="R103" s="2652"/>
      <c r="S103" s="2652"/>
      <c r="T103" s="2652"/>
      <c r="U103" s="2652"/>
      <c r="V103" s="2652"/>
      <c r="W103" s="2652"/>
      <c r="X103" s="2653"/>
      <c r="Y103" s="2653"/>
      <c r="Z103" s="2573"/>
      <c r="AA103" s="2640"/>
      <c r="AB103" s="2626"/>
      <c r="AC103" s="2626"/>
    </row>
    <row r="104" spans="1:29">
      <c r="A104" s="2654" t="s">
        <v>2053</v>
      </c>
      <c r="E104" s="2655"/>
      <c r="G104" s="2640"/>
      <c r="K104" s="2655"/>
      <c r="M104" s="2656"/>
      <c r="Q104" s="2655"/>
      <c r="T104" s="2640"/>
      <c r="U104" s="2656"/>
      <c r="V104" s="2656"/>
      <c r="X104" s="2658"/>
      <c r="Y104" s="2626"/>
      <c r="AA104" s="2626"/>
      <c r="AB104" s="2626"/>
      <c r="AC104" s="2626"/>
    </row>
    <row r="105" spans="1:29">
      <c r="F105" s="2640"/>
      <c r="M105" s="2659"/>
      <c r="O105" s="2660"/>
      <c r="P105" s="2626"/>
      <c r="R105" s="2661"/>
      <c r="S105" s="2661"/>
      <c r="T105" s="2656"/>
      <c r="U105" s="2656"/>
      <c r="V105" s="2655"/>
      <c r="W105" s="2655"/>
      <c r="X105" s="2658"/>
      <c r="Y105" s="2626"/>
      <c r="AA105" s="2626"/>
      <c r="AB105" s="2626"/>
      <c r="AC105" s="2626"/>
    </row>
    <row r="106" spans="1:29">
      <c r="D106" s="2656"/>
      <c r="E106" s="2656"/>
      <c r="F106" s="2656"/>
      <c r="G106" s="2656"/>
      <c r="H106" s="2656"/>
      <c r="I106" s="2656"/>
      <c r="J106" s="2655"/>
      <c r="O106" s="2655"/>
      <c r="Q106" s="2655"/>
      <c r="S106" s="2656"/>
      <c r="X106" s="2662"/>
      <c r="AA106" s="2626"/>
      <c r="AB106" s="2626"/>
      <c r="AC106" s="2626"/>
    </row>
    <row r="107" spans="1:29">
      <c r="J107" s="2660"/>
      <c r="S107" s="2656"/>
      <c r="AA107" s="2626"/>
      <c r="AB107" s="2626"/>
      <c r="AC107" s="2626"/>
    </row>
    <row r="108" spans="1:29">
      <c r="H108" s="2656"/>
      <c r="AA108" s="2626"/>
      <c r="AB108" s="2626"/>
      <c r="AC108" s="2626"/>
    </row>
    <row r="109" spans="1:29">
      <c r="K109" s="2664"/>
      <c r="T109" s="2655"/>
      <c r="AA109" s="2626"/>
      <c r="AB109" s="2626"/>
      <c r="AC109" s="2626"/>
    </row>
    <row r="110" spans="1:29">
      <c r="AA110" s="2626"/>
      <c r="AB110" s="2626"/>
      <c r="AC110" s="2626"/>
    </row>
    <row r="111" spans="1:29">
      <c r="AA111" s="2626"/>
      <c r="AB111" s="2626"/>
      <c r="AC111" s="2626"/>
    </row>
    <row r="112" spans="1:29">
      <c r="AA112" s="2626"/>
      <c r="AB112" s="2626"/>
      <c r="AC112" s="2626"/>
    </row>
    <row r="113" spans="27:29">
      <c r="AA113" s="2626"/>
      <c r="AB113" s="2626"/>
      <c r="AC113" s="2626"/>
    </row>
    <row r="114" spans="27:29">
      <c r="AA114" s="2626"/>
      <c r="AB114" s="2626"/>
      <c r="AC114" s="2626"/>
    </row>
    <row r="115" spans="27:29">
      <c r="AA115" s="2626"/>
      <c r="AB115" s="2626"/>
      <c r="AC115" s="2626"/>
    </row>
    <row r="116" spans="27:29">
      <c r="AA116" s="2626"/>
      <c r="AB116" s="2626"/>
      <c r="AC116" s="2626"/>
    </row>
    <row r="117" spans="27:29">
      <c r="AA117" s="2626"/>
      <c r="AB117" s="2626"/>
      <c r="AC117" s="2626"/>
    </row>
    <row r="118" spans="27:29">
      <c r="AA118" s="2626"/>
      <c r="AB118" s="2626"/>
      <c r="AC118" s="2626"/>
    </row>
    <row r="119" spans="27:29">
      <c r="AA119" s="2626"/>
      <c r="AB119" s="2626"/>
      <c r="AC119" s="2626"/>
    </row>
    <row r="120" spans="27:29">
      <c r="AA120" s="2626"/>
      <c r="AC120" s="2626"/>
    </row>
    <row r="121" spans="27:29">
      <c r="AA121" s="2626"/>
      <c r="AC121" s="2626"/>
    </row>
    <row r="122" spans="27:29">
      <c r="AA122" s="2626"/>
    </row>
    <row r="123" spans="27:29">
      <c r="AA123" s="2626"/>
    </row>
    <row r="124" spans="27:29">
      <c r="AA124" s="2626"/>
    </row>
    <row r="125" spans="27:29">
      <c r="AA125" s="2626"/>
    </row>
    <row r="126" spans="27:29">
      <c r="AA126" s="2626"/>
    </row>
    <row r="127" spans="27:29">
      <c r="AA127" s="2626"/>
    </row>
    <row r="128" spans="27:29">
      <c r="AA128" s="2626"/>
    </row>
    <row r="129" spans="27:27">
      <c r="AA129" s="2626"/>
    </row>
    <row r="130" spans="27:27">
      <c r="AA130" s="2626"/>
    </row>
    <row r="131" spans="27:27">
      <c r="AA131" s="2626"/>
    </row>
    <row r="132" spans="27:27">
      <c r="AA132" s="2626"/>
    </row>
    <row r="133" spans="27:27">
      <c r="AA133" s="2626"/>
    </row>
    <row r="134" spans="27:27">
      <c r="AA134" s="2626"/>
    </row>
    <row r="135" spans="27:27">
      <c r="AA135" s="2626"/>
    </row>
    <row r="136" spans="27:27">
      <c r="AA136" s="2626"/>
    </row>
    <row r="137" spans="27:27">
      <c r="AA137" s="2626"/>
    </row>
    <row r="138" spans="27:27">
      <c r="AA138" s="2626"/>
    </row>
    <row r="139" spans="27:27">
      <c r="AA139" s="2626"/>
    </row>
    <row r="140" spans="27:27">
      <c r="AA140" s="2626"/>
    </row>
    <row r="141" spans="27:27">
      <c r="AA141" s="2626"/>
    </row>
    <row r="142" spans="27:27">
      <c r="AA142" s="2626"/>
    </row>
    <row r="143" spans="27:27">
      <c r="AA143" s="2626"/>
    </row>
    <row r="144" spans="27:27">
      <c r="AA144" s="2626"/>
    </row>
    <row r="145" spans="27:27">
      <c r="AA145" s="2626"/>
    </row>
    <row r="146" spans="27:27">
      <c r="AA146" s="2626"/>
    </row>
    <row r="147" spans="27:27">
      <c r="AA147" s="2626"/>
    </row>
    <row r="148" spans="27:27">
      <c r="AA148" s="2626"/>
    </row>
    <row r="149" spans="27:27">
      <c r="AA149" s="2626"/>
    </row>
    <row r="150" spans="27:27">
      <c r="AA150" s="2626"/>
    </row>
    <row r="151" spans="27:27">
      <c r="AA151" s="2626"/>
    </row>
    <row r="152" spans="27:27">
      <c r="AA152" s="2626"/>
    </row>
    <row r="153" spans="27:27">
      <c r="AA153" s="2626"/>
    </row>
    <row r="154" spans="27:27">
      <c r="AA154" s="2626"/>
    </row>
    <row r="155" spans="27:27">
      <c r="AA155" s="2626"/>
    </row>
    <row r="156" spans="27:27">
      <c r="AA156" s="2626"/>
    </row>
    <row r="157" spans="27:27">
      <c r="AA157" s="2626"/>
    </row>
    <row r="158" spans="27:27">
      <c r="AA158" s="2626"/>
    </row>
    <row r="159" spans="27:27">
      <c r="AA159" s="2626"/>
    </row>
    <row r="160" spans="27:27">
      <c r="AA160" s="2626"/>
    </row>
    <row r="161" spans="27:27">
      <c r="AA161" s="2626"/>
    </row>
    <row r="162" spans="27:27">
      <c r="AA162" s="2626"/>
    </row>
    <row r="163" spans="27:27">
      <c r="AA163" s="2626"/>
    </row>
    <row r="164" spans="27:27">
      <c r="AA164" s="2626"/>
    </row>
    <row r="165" spans="27:27">
      <c r="AA165" s="2626"/>
    </row>
    <row r="166" spans="27:27">
      <c r="AA166" s="2626"/>
    </row>
    <row r="167" spans="27:27">
      <c r="AA167" s="2626"/>
    </row>
    <row r="168" spans="27:27">
      <c r="AA168" s="2626"/>
    </row>
    <row r="169" spans="27:27">
      <c r="AA169" s="2626"/>
    </row>
    <row r="170" spans="27:27">
      <c r="AA170" s="2626"/>
    </row>
    <row r="171" spans="27:27">
      <c r="AA171" s="2626"/>
    </row>
    <row r="172" spans="27:27">
      <c r="AA172" s="2626"/>
    </row>
    <row r="173" spans="27:27">
      <c r="AA173" s="2626"/>
    </row>
    <row r="174" spans="27:27">
      <c r="AA174" s="2626"/>
    </row>
    <row r="175" spans="27:27">
      <c r="AA175" s="2626"/>
    </row>
    <row r="176" spans="27:27">
      <c r="AA176" s="2626"/>
    </row>
    <row r="177" spans="27:27">
      <c r="AA177" s="2626"/>
    </row>
    <row r="178" spans="27:27">
      <c r="AA178" s="2626"/>
    </row>
    <row r="179" spans="27:27">
      <c r="AA179" s="2626"/>
    </row>
    <row r="180" spans="27:27">
      <c r="AA180" s="2626"/>
    </row>
    <row r="181" spans="27:27">
      <c r="AA181" s="2626"/>
    </row>
    <row r="182" spans="27:27">
      <c r="AA182" s="2626"/>
    </row>
    <row r="183" spans="27:27">
      <c r="AA183" s="2626"/>
    </row>
    <row r="184" spans="27:27">
      <c r="AA184" s="2626"/>
    </row>
    <row r="185" spans="27:27">
      <c r="AA185" s="2626"/>
    </row>
    <row r="186" spans="27:27">
      <c r="AA186" s="2626"/>
    </row>
    <row r="187" spans="27:27">
      <c r="AA187" s="2626"/>
    </row>
    <row r="188" spans="27:27">
      <c r="AA188" s="2626"/>
    </row>
    <row r="189" spans="27:27">
      <c r="AA189" s="2626"/>
    </row>
    <row r="190" spans="27:27">
      <c r="AA190" s="2626"/>
    </row>
    <row r="191" spans="27:27">
      <c r="AA191" s="2626"/>
    </row>
    <row r="192" spans="27:27">
      <c r="AA192" s="2626"/>
    </row>
    <row r="193" spans="27:27">
      <c r="AA193" s="2626"/>
    </row>
    <row r="194" spans="27:27">
      <c r="AA194" s="2626"/>
    </row>
    <row r="195" spans="27:27">
      <c r="AA195" s="2626"/>
    </row>
    <row r="196" spans="27:27">
      <c r="AA196" s="2626"/>
    </row>
    <row r="197" spans="27:27">
      <c r="AA197" s="2626"/>
    </row>
    <row r="198" spans="27:27">
      <c r="AA198" s="2626"/>
    </row>
    <row r="199" spans="27:27">
      <c r="AA199" s="2626"/>
    </row>
    <row r="200" spans="27:27">
      <c r="AA200" s="2626"/>
    </row>
    <row r="201" spans="27:27">
      <c r="AA201" s="2626"/>
    </row>
    <row r="202" spans="27:27">
      <c r="AA202" s="2626"/>
    </row>
    <row r="203" spans="27:27">
      <c r="AA203" s="2626"/>
    </row>
    <row r="204" spans="27:27">
      <c r="AA204" s="2626"/>
    </row>
    <row r="205" spans="27:27">
      <c r="AA205" s="2626"/>
    </row>
    <row r="206" spans="27:27">
      <c r="AA206" s="2626"/>
    </row>
    <row r="207" spans="27:27">
      <c r="AA207" s="2626"/>
    </row>
    <row r="208" spans="27:27">
      <c r="AA208" s="2626"/>
    </row>
    <row r="209" spans="27:27">
      <c r="AA209" s="2626"/>
    </row>
    <row r="210" spans="27:27">
      <c r="AA210" s="2626"/>
    </row>
    <row r="211" spans="27:27">
      <c r="AA211" s="2626"/>
    </row>
    <row r="212" spans="27:27">
      <c r="AA212" s="2626"/>
    </row>
    <row r="213" spans="27:27">
      <c r="AA213" s="2626"/>
    </row>
    <row r="214" spans="27:27">
      <c r="AA214" s="2626"/>
    </row>
    <row r="215" spans="27:27">
      <c r="AA215" s="2626"/>
    </row>
    <row r="216" spans="27:27">
      <c r="AA216" s="2626"/>
    </row>
    <row r="217" spans="27:27">
      <c r="AA217" s="2626"/>
    </row>
    <row r="218" spans="27:27">
      <c r="AA218" s="2626"/>
    </row>
    <row r="219" spans="27:27">
      <c r="AA219" s="2626"/>
    </row>
    <row r="220" spans="27:27">
      <c r="AA220" s="2626"/>
    </row>
    <row r="221" spans="27:27">
      <c r="AA221" s="2626"/>
    </row>
    <row r="222" spans="27:27">
      <c r="AA222" s="2626"/>
    </row>
    <row r="223" spans="27:27">
      <c r="AA223" s="2626"/>
    </row>
    <row r="224" spans="27:27">
      <c r="AA224" s="2626"/>
    </row>
    <row r="225" spans="27:27">
      <c r="AA225" s="2626"/>
    </row>
    <row r="226" spans="27:27">
      <c r="AA226" s="2626"/>
    </row>
    <row r="227" spans="27:27">
      <c r="AA227" s="2626"/>
    </row>
    <row r="228" spans="27:27">
      <c r="AA228" s="2626"/>
    </row>
    <row r="229" spans="27:27">
      <c r="AA229" s="2626"/>
    </row>
    <row r="230" spans="27:27">
      <c r="AA230" s="2626"/>
    </row>
    <row r="231" spans="27:27">
      <c r="AA231" s="2626"/>
    </row>
    <row r="232" spans="27:27">
      <c r="AA232" s="2626"/>
    </row>
    <row r="233" spans="27:27">
      <c r="AA233" s="2626"/>
    </row>
    <row r="234" spans="27:27">
      <c r="AA234" s="2626"/>
    </row>
    <row r="235" spans="27:27">
      <c r="AA235" s="2626"/>
    </row>
    <row r="236" spans="27:27">
      <c r="AA236" s="2626"/>
    </row>
    <row r="237" spans="27:27">
      <c r="AA237" s="2626"/>
    </row>
    <row r="238" spans="27:27">
      <c r="AA238" s="2626"/>
    </row>
    <row r="239" spans="27:27">
      <c r="AA239" s="2626"/>
    </row>
    <row r="240" spans="27:27">
      <c r="AA240" s="2626"/>
    </row>
    <row r="241" spans="27:27">
      <c r="AA241" s="2626"/>
    </row>
    <row r="242" spans="27:27">
      <c r="AA242" s="2626"/>
    </row>
    <row r="243" spans="27:27">
      <c r="AA243" s="2626"/>
    </row>
    <row r="244" spans="27:27">
      <c r="AA244" s="2626"/>
    </row>
    <row r="245" spans="27:27">
      <c r="AA245" s="2626"/>
    </row>
    <row r="246" spans="27:27">
      <c r="AA246" s="2626"/>
    </row>
    <row r="247" spans="27:27">
      <c r="AA247" s="2626"/>
    </row>
    <row r="248" spans="27:27">
      <c r="AA248" s="2626"/>
    </row>
    <row r="249" spans="27:27">
      <c r="AA249" s="2626"/>
    </row>
    <row r="250" spans="27:27">
      <c r="AA250" s="2626"/>
    </row>
    <row r="251" spans="27:27">
      <c r="AA251" s="2626"/>
    </row>
    <row r="252" spans="27:27">
      <c r="AA252" s="2626"/>
    </row>
    <row r="253" spans="27:27">
      <c r="AA253" s="2626"/>
    </row>
    <row r="254" spans="27:27">
      <c r="AA254" s="2626"/>
    </row>
    <row r="255" spans="27:27">
      <c r="AA255" s="2626"/>
    </row>
    <row r="256" spans="27:27">
      <c r="AA256" s="2626"/>
    </row>
    <row r="257" spans="27:27">
      <c r="AA257" s="2626"/>
    </row>
    <row r="258" spans="27:27">
      <c r="AA258" s="2626"/>
    </row>
    <row r="259" spans="27:27">
      <c r="AA259" s="2626"/>
    </row>
    <row r="260" spans="27:27">
      <c r="AA260" s="2626"/>
    </row>
    <row r="261" spans="27:27">
      <c r="AA261" s="2626"/>
    </row>
    <row r="262" spans="27:27">
      <c r="AA262" s="2626"/>
    </row>
    <row r="263" spans="27:27">
      <c r="AA263" s="2626"/>
    </row>
    <row r="264" spans="27:27">
      <c r="AA264" s="2626"/>
    </row>
    <row r="265" spans="27:27">
      <c r="AA265" s="2626"/>
    </row>
    <row r="266" spans="27:27">
      <c r="AA266" s="2626"/>
    </row>
    <row r="267" spans="27:27">
      <c r="AA267" s="2626"/>
    </row>
    <row r="268" spans="27:27">
      <c r="AA268" s="2626"/>
    </row>
    <row r="269" spans="27:27">
      <c r="AA269" s="2626"/>
    </row>
    <row r="270" spans="27:27">
      <c r="AA270" s="2626"/>
    </row>
    <row r="271" spans="27:27">
      <c r="AA271" s="2626"/>
    </row>
    <row r="272" spans="27:27">
      <c r="AA272" s="2626"/>
    </row>
    <row r="273" spans="27:27">
      <c r="AA273" s="2626"/>
    </row>
    <row r="274" spans="27:27">
      <c r="AA274" s="2626"/>
    </row>
    <row r="275" spans="27:27">
      <c r="AA275" s="2626"/>
    </row>
    <row r="276" spans="27:27">
      <c r="AA276" s="2626"/>
    </row>
    <row r="277" spans="27:27">
      <c r="AA277" s="2626"/>
    </row>
    <row r="278" spans="27:27">
      <c r="AA278" s="2626"/>
    </row>
    <row r="279" spans="27:27">
      <c r="AA279" s="2626"/>
    </row>
    <row r="280" spans="27:27">
      <c r="AA280" s="2626"/>
    </row>
    <row r="281" spans="27:27">
      <c r="AA281" s="2626"/>
    </row>
    <row r="282" spans="27:27">
      <c r="AA282" s="2626"/>
    </row>
    <row r="283" spans="27:27">
      <c r="AA283" s="2626"/>
    </row>
    <row r="284" spans="27:27">
      <c r="AA284" s="2626"/>
    </row>
    <row r="285" spans="27:27">
      <c r="AA285" s="2626"/>
    </row>
    <row r="286" spans="27:27">
      <c r="AA286" s="2626"/>
    </row>
    <row r="287" spans="27:27">
      <c r="AA287" s="2626"/>
    </row>
    <row r="288" spans="27:27">
      <c r="AA288" s="2626"/>
    </row>
    <row r="289" spans="27:27">
      <c r="AA289" s="2626"/>
    </row>
    <row r="290" spans="27:27">
      <c r="AA290" s="2626"/>
    </row>
    <row r="291" spans="27:27">
      <c r="AA291" s="2626"/>
    </row>
    <row r="292" spans="27:27">
      <c r="AA292" s="2626"/>
    </row>
    <row r="293" spans="27:27">
      <c r="AA293" s="2626"/>
    </row>
    <row r="294" spans="27:27">
      <c r="AA294" s="2626"/>
    </row>
    <row r="295" spans="27:27">
      <c r="AA295" s="2626"/>
    </row>
    <row r="296" spans="27:27">
      <c r="AA296" s="2626"/>
    </row>
    <row r="297" spans="27:27">
      <c r="AA297" s="2626"/>
    </row>
    <row r="298" spans="27:27">
      <c r="AA298" s="2626"/>
    </row>
    <row r="299" spans="27:27">
      <c r="AA299" s="2626"/>
    </row>
    <row r="300" spans="27:27">
      <c r="AA300" s="2626"/>
    </row>
    <row r="301" spans="27:27">
      <c r="AA301" s="2626"/>
    </row>
    <row r="302" spans="27:27">
      <c r="AA302" s="2626"/>
    </row>
    <row r="303" spans="27:27">
      <c r="AA303" s="2626"/>
    </row>
    <row r="304" spans="27:27">
      <c r="AA304" s="2626"/>
    </row>
    <row r="305" spans="27:27">
      <c r="AA305" s="2626"/>
    </row>
    <row r="306" spans="27:27">
      <c r="AA306" s="2626"/>
    </row>
    <row r="307" spans="27:27">
      <c r="AA307" s="2626"/>
    </row>
    <row r="308" spans="27:27">
      <c r="AA308" s="2626"/>
    </row>
    <row r="309" spans="27:27">
      <c r="AA309" s="2626"/>
    </row>
    <row r="310" spans="27:27">
      <c r="AA310" s="2626"/>
    </row>
    <row r="311" spans="27:27">
      <c r="AA311" s="2626"/>
    </row>
    <row r="312" spans="27:27">
      <c r="AA312" s="2626"/>
    </row>
    <row r="313" spans="27:27">
      <c r="AA313" s="2626"/>
    </row>
    <row r="314" spans="27:27">
      <c r="AA314" s="2626"/>
    </row>
    <row r="315" spans="27:27">
      <c r="AA315" s="2626"/>
    </row>
    <row r="316" spans="27:27">
      <c r="AA316" s="2626"/>
    </row>
    <row r="317" spans="27:27">
      <c r="AA317" s="2626"/>
    </row>
    <row r="318" spans="27:27">
      <c r="AA318" s="2626"/>
    </row>
    <row r="319" spans="27:27">
      <c r="AA319" s="2626"/>
    </row>
    <row r="320" spans="27:27">
      <c r="AA320" s="2626"/>
    </row>
    <row r="321" spans="27:27">
      <c r="AA321" s="2626"/>
    </row>
    <row r="322" spans="27:27">
      <c r="AA322" s="2626"/>
    </row>
    <row r="323" spans="27:27">
      <c r="AA323" s="2626"/>
    </row>
    <row r="324" spans="27:27">
      <c r="AA324" s="2626"/>
    </row>
    <row r="325" spans="27:27">
      <c r="AA325" s="2626"/>
    </row>
    <row r="326" spans="27:27">
      <c r="AA326" s="2626"/>
    </row>
    <row r="327" spans="27:27">
      <c r="AA327" s="2626"/>
    </row>
    <row r="328" spans="27:27">
      <c r="AA328" s="2626"/>
    </row>
    <row r="329" spans="27:27">
      <c r="AA329" s="2626"/>
    </row>
    <row r="330" spans="27:27">
      <c r="AA330" s="2626"/>
    </row>
    <row r="331" spans="27:27">
      <c r="AA331" s="2626"/>
    </row>
    <row r="332" spans="27:27">
      <c r="AA332" s="2626"/>
    </row>
    <row r="333" spans="27:27">
      <c r="AA333" s="2626"/>
    </row>
    <row r="334" spans="27:27">
      <c r="AA334" s="2626"/>
    </row>
    <row r="335" spans="27:27">
      <c r="AA335" s="2626"/>
    </row>
    <row r="336" spans="27:27">
      <c r="AA336" s="2626"/>
    </row>
    <row r="337" spans="27:27">
      <c r="AA337" s="2626"/>
    </row>
    <row r="338" spans="27:27">
      <c r="AA338" s="2626"/>
    </row>
    <row r="339" spans="27:27">
      <c r="AA339" s="2626"/>
    </row>
    <row r="340" spans="27:27">
      <c r="AA340" s="2626"/>
    </row>
    <row r="341" spans="27:27">
      <c r="AA341" s="2626"/>
    </row>
    <row r="342" spans="27:27">
      <c r="AA342" s="2626"/>
    </row>
    <row r="343" spans="27:27">
      <c r="AA343" s="2626"/>
    </row>
    <row r="344" spans="27:27">
      <c r="AA344" s="2626"/>
    </row>
    <row r="345" spans="27:27">
      <c r="AA345" s="2626"/>
    </row>
    <row r="346" spans="27:27">
      <c r="AA346" s="2626"/>
    </row>
    <row r="347" spans="27:27">
      <c r="AA347" s="2626"/>
    </row>
    <row r="348" spans="27:27">
      <c r="AA348" s="2626"/>
    </row>
    <row r="349" spans="27:27">
      <c r="AA349" s="2626"/>
    </row>
    <row r="350" spans="27:27">
      <c r="AA350" s="2626"/>
    </row>
    <row r="351" spans="27:27">
      <c r="AA351" s="2626"/>
    </row>
    <row r="352" spans="27:27">
      <c r="AA352" s="2626"/>
    </row>
    <row r="353" spans="27:27">
      <c r="AA353" s="2626"/>
    </row>
    <row r="354" spans="27:27">
      <c r="AA354" s="2626"/>
    </row>
    <row r="355" spans="27:27">
      <c r="AA355" s="2626"/>
    </row>
    <row r="356" spans="27:27">
      <c r="AA356" s="2626"/>
    </row>
    <row r="357" spans="27:27">
      <c r="AA357" s="2626"/>
    </row>
    <row r="358" spans="27:27">
      <c r="AA358" s="2626"/>
    </row>
    <row r="359" spans="27:27">
      <c r="AA359" s="2626"/>
    </row>
    <row r="360" spans="27:27">
      <c r="AA360" s="2626"/>
    </row>
    <row r="361" spans="27:27">
      <c r="AA361" s="2626"/>
    </row>
    <row r="362" spans="27:27">
      <c r="AA362" s="2626"/>
    </row>
    <row r="363" spans="27:27">
      <c r="AA363" s="2626"/>
    </row>
    <row r="364" spans="27:27">
      <c r="AA364" s="2626"/>
    </row>
    <row r="365" spans="27:27">
      <c r="AA365" s="2626"/>
    </row>
    <row r="366" spans="27:27">
      <c r="AA366" s="2626"/>
    </row>
    <row r="367" spans="27:27">
      <c r="AA367" s="2626"/>
    </row>
    <row r="368" spans="27:27">
      <c r="AA368" s="2626"/>
    </row>
    <row r="369" spans="27:27">
      <c r="AA369" s="2626"/>
    </row>
    <row r="370" spans="27:27">
      <c r="AA370" s="2626"/>
    </row>
    <row r="371" spans="27:27">
      <c r="AA371" s="2626"/>
    </row>
    <row r="372" spans="27:27">
      <c r="AA372" s="2626"/>
    </row>
    <row r="373" spans="27:27">
      <c r="AA373" s="2626"/>
    </row>
    <row r="374" spans="27:27">
      <c r="AA374" s="2626"/>
    </row>
    <row r="375" spans="27:27">
      <c r="AA375" s="2626"/>
    </row>
    <row r="376" spans="27:27">
      <c r="AA376" s="2626"/>
    </row>
    <row r="377" spans="27:27">
      <c r="AA377" s="2626"/>
    </row>
    <row r="378" spans="27:27">
      <c r="AA378" s="2626"/>
    </row>
    <row r="379" spans="27:27">
      <c r="AA379" s="2626"/>
    </row>
    <row r="380" spans="27:27">
      <c r="AA380" s="2626"/>
    </row>
    <row r="381" spans="27:27">
      <c r="AA381" s="2626"/>
    </row>
    <row r="382" spans="27:27">
      <c r="AA382" s="2626"/>
    </row>
    <row r="383" spans="27:27">
      <c r="AA383" s="2626"/>
    </row>
    <row r="384" spans="27:27">
      <c r="AA384" s="2626"/>
    </row>
    <row r="385" spans="27:27">
      <c r="AA385" s="2626"/>
    </row>
    <row r="386" spans="27:27">
      <c r="AA386" s="2626"/>
    </row>
    <row r="387" spans="27:27">
      <c r="AA387" s="2626"/>
    </row>
    <row r="388" spans="27:27">
      <c r="AA388" s="2626"/>
    </row>
    <row r="389" spans="27:27">
      <c r="AA389" s="2626"/>
    </row>
    <row r="390" spans="27:27">
      <c r="AA390" s="2626"/>
    </row>
    <row r="391" spans="27:27">
      <c r="AA391" s="2626"/>
    </row>
    <row r="392" spans="27:27">
      <c r="AA392" s="2626"/>
    </row>
    <row r="393" spans="27:27">
      <c r="AA393" s="2626"/>
    </row>
    <row r="394" spans="27:27">
      <c r="AA394" s="2626"/>
    </row>
    <row r="395" spans="27:27">
      <c r="AA395" s="2626"/>
    </row>
    <row r="396" spans="27:27">
      <c r="AA396" s="2626"/>
    </row>
    <row r="397" spans="27:27">
      <c r="AA397" s="2626"/>
    </row>
    <row r="398" spans="27:27">
      <c r="AA398" s="2626"/>
    </row>
    <row r="399" spans="27:27">
      <c r="AA399" s="2626"/>
    </row>
    <row r="400" spans="27:27">
      <c r="AA400" s="2626"/>
    </row>
    <row r="401" spans="27:27">
      <c r="AA401" s="2626"/>
    </row>
    <row r="402" spans="27:27">
      <c r="AA402" s="2626"/>
    </row>
    <row r="403" spans="27:27">
      <c r="AA403" s="2626"/>
    </row>
    <row r="404" spans="27:27">
      <c r="AA404" s="2626"/>
    </row>
    <row r="405" spans="27:27">
      <c r="AA405" s="2626"/>
    </row>
    <row r="406" spans="27:27">
      <c r="AA406" s="2626"/>
    </row>
    <row r="407" spans="27:27">
      <c r="AA407" s="2626"/>
    </row>
    <row r="408" spans="27:27">
      <c r="AA408" s="2626"/>
    </row>
    <row r="409" spans="27:27">
      <c r="AA409" s="2626"/>
    </row>
    <row r="410" spans="27:27">
      <c r="AA410" s="2626"/>
    </row>
    <row r="411" spans="27:27">
      <c r="AA411" s="2626"/>
    </row>
    <row r="412" spans="27:27">
      <c r="AA412" s="2626"/>
    </row>
    <row r="413" spans="27:27">
      <c r="AA413" s="2626"/>
    </row>
    <row r="414" spans="27:27">
      <c r="AA414" s="2626"/>
    </row>
    <row r="415" spans="27:27">
      <c r="AA415" s="2626"/>
    </row>
    <row r="416" spans="27:27">
      <c r="AA416" s="2626"/>
    </row>
    <row r="417" spans="27:27">
      <c r="AA417" s="2626"/>
    </row>
    <row r="418" spans="27:27">
      <c r="AA418" s="2626"/>
    </row>
    <row r="419" spans="27:27">
      <c r="AA419" s="2626"/>
    </row>
    <row r="420" spans="27:27">
      <c r="AA420" s="2626"/>
    </row>
    <row r="421" spans="27:27">
      <c r="AA421" s="2626"/>
    </row>
    <row r="422" spans="27:27">
      <c r="AA422" s="2626"/>
    </row>
    <row r="423" spans="27:27">
      <c r="AA423" s="2626"/>
    </row>
    <row r="424" spans="27:27">
      <c r="AA424" s="2626"/>
    </row>
    <row r="425" spans="27:27">
      <c r="AA425" s="2626"/>
    </row>
    <row r="426" spans="27:27">
      <c r="AA426" s="2626"/>
    </row>
    <row r="427" spans="27:27">
      <c r="AA427" s="2626"/>
    </row>
    <row r="428" spans="27:27">
      <c r="AA428" s="2626"/>
    </row>
    <row r="429" spans="27:27">
      <c r="AA429" s="2626"/>
    </row>
    <row r="430" spans="27:27">
      <c r="AA430" s="2626"/>
    </row>
    <row r="431" spans="27:27">
      <c r="AA431" s="2626"/>
    </row>
    <row r="432" spans="27:27">
      <c r="AA432" s="2626"/>
    </row>
    <row r="433" spans="27:27">
      <c r="AA433" s="2626"/>
    </row>
    <row r="434" spans="27:27">
      <c r="AA434" s="2626"/>
    </row>
    <row r="435" spans="27:27">
      <c r="AA435" s="2626"/>
    </row>
    <row r="436" spans="27:27">
      <c r="AA436" s="2626"/>
    </row>
    <row r="437" spans="27:27">
      <c r="AA437" s="2626"/>
    </row>
    <row r="438" spans="27:27">
      <c r="AA438" s="2626"/>
    </row>
    <row r="439" spans="27:27">
      <c r="AA439" s="2626"/>
    </row>
    <row r="440" spans="27:27">
      <c r="AA440" s="2626"/>
    </row>
    <row r="441" spans="27:27">
      <c r="AA441" s="2626"/>
    </row>
    <row r="442" spans="27:27">
      <c r="AA442" s="2626"/>
    </row>
    <row r="443" spans="27:27">
      <c r="AA443" s="2626"/>
    </row>
    <row r="444" spans="27:27">
      <c r="AA444" s="2626"/>
    </row>
    <row r="445" spans="27:27">
      <c r="AA445" s="2626"/>
    </row>
    <row r="446" spans="27:27">
      <c r="AA446" s="2626"/>
    </row>
    <row r="447" spans="27:27">
      <c r="AA447" s="2626"/>
    </row>
    <row r="448" spans="27:27">
      <c r="AA448" s="2626"/>
    </row>
    <row r="449" spans="27:27">
      <c r="AA449" s="2626"/>
    </row>
    <row r="450" spans="27:27">
      <c r="AA450" s="2626"/>
    </row>
    <row r="451" spans="27:27">
      <c r="AA451" s="2626"/>
    </row>
    <row r="452" spans="27:27">
      <c r="AA452" s="2626"/>
    </row>
    <row r="453" spans="27:27">
      <c r="AA453" s="2626"/>
    </row>
    <row r="454" spans="27:27">
      <c r="AA454" s="2626"/>
    </row>
    <row r="455" spans="27:27">
      <c r="AA455" s="2626"/>
    </row>
    <row r="456" spans="27:27">
      <c r="AA456" s="2626"/>
    </row>
    <row r="457" spans="27:27">
      <c r="AA457" s="2626"/>
    </row>
    <row r="458" spans="27:27">
      <c r="AA458" s="2626"/>
    </row>
    <row r="459" spans="27:27">
      <c r="AA459" s="2626"/>
    </row>
    <row r="460" spans="27:27">
      <c r="AA460" s="2626"/>
    </row>
    <row r="461" spans="27:27">
      <c r="AA461" s="2626"/>
    </row>
    <row r="462" spans="27:27">
      <c r="AA462" s="2626"/>
    </row>
    <row r="463" spans="27:27">
      <c r="AA463" s="2626"/>
    </row>
    <row r="464" spans="27:27">
      <c r="AA464" s="2626"/>
    </row>
    <row r="465" spans="27:27">
      <c r="AA465" s="2626"/>
    </row>
    <row r="466" spans="27:27">
      <c r="AA466" s="2626"/>
    </row>
    <row r="467" spans="27:27">
      <c r="AA467" s="2626"/>
    </row>
    <row r="468" spans="27:27">
      <c r="AA468" s="2626"/>
    </row>
    <row r="469" spans="27:27">
      <c r="AA469" s="2626"/>
    </row>
    <row r="470" spans="27:27">
      <c r="AA470" s="2626"/>
    </row>
    <row r="471" spans="27:27">
      <c r="AA471" s="2626"/>
    </row>
    <row r="472" spans="27:27">
      <c r="AA472" s="2626"/>
    </row>
    <row r="473" spans="27:27">
      <c r="AA473" s="2626"/>
    </row>
    <row r="474" spans="27:27">
      <c r="AA474" s="2626"/>
    </row>
    <row r="475" spans="27:27">
      <c r="AA475" s="2626"/>
    </row>
    <row r="476" spans="27:27">
      <c r="AA476" s="2626"/>
    </row>
    <row r="477" spans="27:27">
      <c r="AA477" s="2626"/>
    </row>
    <row r="478" spans="27:27">
      <c r="AA478" s="2626"/>
    </row>
    <row r="479" spans="27:27">
      <c r="AA479" s="2626"/>
    </row>
    <row r="480" spans="27:27">
      <c r="AA480" s="2626"/>
    </row>
    <row r="481" spans="27:27">
      <c r="AA481" s="2626"/>
    </row>
    <row r="482" spans="27:27">
      <c r="AA482" s="2626"/>
    </row>
    <row r="483" spans="27:27">
      <c r="AA483" s="2626"/>
    </row>
    <row r="484" spans="27:27">
      <c r="AA484" s="2626"/>
    </row>
    <row r="485" spans="27:27">
      <c r="AA485" s="2626"/>
    </row>
    <row r="486" spans="27:27">
      <c r="AA486" s="2626"/>
    </row>
    <row r="487" spans="27:27">
      <c r="AA487" s="2626"/>
    </row>
    <row r="488" spans="27:27">
      <c r="AA488" s="2626"/>
    </row>
    <row r="489" spans="27:27">
      <c r="AA489" s="2626"/>
    </row>
    <row r="490" spans="27:27">
      <c r="AA490" s="2626"/>
    </row>
    <row r="491" spans="27:27">
      <c r="AA491" s="2626"/>
    </row>
    <row r="492" spans="27:27">
      <c r="AA492" s="2626"/>
    </row>
    <row r="493" spans="27:27">
      <c r="AA493" s="2626"/>
    </row>
    <row r="494" spans="27:27">
      <c r="AA494" s="2626"/>
    </row>
    <row r="495" spans="27:27">
      <c r="AA495" s="2626"/>
    </row>
    <row r="496" spans="27:27">
      <c r="AA496" s="2626"/>
    </row>
    <row r="497" spans="27:27">
      <c r="AA497" s="2626"/>
    </row>
    <row r="498" spans="27:27">
      <c r="AA498" s="2626"/>
    </row>
    <row r="499" spans="27:27">
      <c r="AA499" s="2626"/>
    </row>
    <row r="500" spans="27:27">
      <c r="AA500" s="2626"/>
    </row>
    <row r="501" spans="27:27">
      <c r="AA501" s="2626"/>
    </row>
    <row r="502" spans="27:27">
      <c r="AA502" s="2626"/>
    </row>
    <row r="503" spans="27:27">
      <c r="AA503" s="2626"/>
    </row>
    <row r="504" spans="27:27">
      <c r="AA504" s="2626"/>
    </row>
    <row r="505" spans="27:27">
      <c r="AA505" s="2626"/>
    </row>
    <row r="506" spans="27:27">
      <c r="AA506" s="2626"/>
    </row>
    <row r="507" spans="27:27">
      <c r="AA507" s="2626"/>
    </row>
    <row r="508" spans="27:27">
      <c r="AA508" s="2626"/>
    </row>
    <row r="509" spans="27:27">
      <c r="AA509" s="2626"/>
    </row>
    <row r="510" spans="27:27">
      <c r="AA510" s="2626"/>
    </row>
    <row r="511" spans="27:27">
      <c r="AA511" s="2626"/>
    </row>
    <row r="512" spans="27:27">
      <c r="AA512" s="2626"/>
    </row>
    <row r="513" spans="27:27">
      <c r="AA513" s="2626"/>
    </row>
    <row r="514" spans="27:27">
      <c r="AA514" s="2626"/>
    </row>
    <row r="515" spans="27:27">
      <c r="AA515" s="2626"/>
    </row>
    <row r="516" spans="27:27">
      <c r="AA516" s="2626"/>
    </row>
    <row r="517" spans="27:27">
      <c r="AA517" s="2626"/>
    </row>
    <row r="518" spans="27:27">
      <c r="AA518" s="2626"/>
    </row>
    <row r="519" spans="27:27">
      <c r="AA519" s="2626"/>
    </row>
    <row r="520" spans="27:27">
      <c r="AA520" s="2626"/>
    </row>
    <row r="521" spans="27:27">
      <c r="AA521" s="2626"/>
    </row>
    <row r="522" spans="27:27">
      <c r="AA522" s="2626"/>
    </row>
    <row r="523" spans="27:27">
      <c r="AA523" s="2626"/>
    </row>
    <row r="524" spans="27:27">
      <c r="AA524" s="2626"/>
    </row>
    <row r="525" spans="27:27">
      <c r="AA525" s="2626"/>
    </row>
    <row r="526" spans="27:27">
      <c r="AA526" s="2626"/>
    </row>
    <row r="527" spans="27:27">
      <c r="AA527" s="2626"/>
    </row>
    <row r="528" spans="27:27">
      <c r="AA528" s="2626"/>
    </row>
    <row r="529" spans="27:27">
      <c r="AA529" s="2626"/>
    </row>
    <row r="530" spans="27:27">
      <c r="AA530" s="2626"/>
    </row>
    <row r="531" spans="27:27">
      <c r="AA531" s="2626"/>
    </row>
    <row r="532" spans="27:27">
      <c r="AA532" s="2626"/>
    </row>
    <row r="533" spans="27:27">
      <c r="AA533" s="2626"/>
    </row>
    <row r="534" spans="27:27">
      <c r="AA534" s="2626"/>
    </row>
    <row r="535" spans="27:27">
      <c r="AA535" s="2626"/>
    </row>
    <row r="536" spans="27:27">
      <c r="AA536" s="2626"/>
    </row>
    <row r="537" spans="27:27">
      <c r="AA537" s="2626"/>
    </row>
    <row r="538" spans="27:27">
      <c r="AA538" s="2626"/>
    </row>
    <row r="539" spans="27:27">
      <c r="AA539" s="2626"/>
    </row>
    <row r="540" spans="27:27">
      <c r="AA540" s="2626"/>
    </row>
    <row r="541" spans="27:27">
      <c r="AA541" s="2626"/>
    </row>
    <row r="542" spans="27:27">
      <c r="AA542" s="2626"/>
    </row>
    <row r="543" spans="27:27">
      <c r="AA543" s="2626"/>
    </row>
    <row r="544" spans="27:27">
      <c r="AA544" s="2626"/>
    </row>
    <row r="545" spans="27:27">
      <c r="AA545" s="2626"/>
    </row>
    <row r="546" spans="27:27">
      <c r="AA546" s="2626"/>
    </row>
    <row r="547" spans="27:27">
      <c r="AA547" s="2626"/>
    </row>
    <row r="548" spans="27:27">
      <c r="AA548" s="2626"/>
    </row>
    <row r="549" spans="27:27">
      <c r="AA549" s="2626"/>
    </row>
    <row r="550" spans="27:27">
      <c r="AA550" s="2626"/>
    </row>
    <row r="551" spans="27:27">
      <c r="AA551" s="2626"/>
    </row>
    <row r="552" spans="27:27">
      <c r="AA552" s="2626"/>
    </row>
    <row r="553" spans="27:27">
      <c r="AA553" s="2626"/>
    </row>
    <row r="554" spans="27:27">
      <c r="AA554" s="2626"/>
    </row>
    <row r="555" spans="27:27">
      <c r="AA555" s="2626"/>
    </row>
    <row r="556" spans="27:27">
      <c r="AA556" s="2626"/>
    </row>
    <row r="557" spans="27:27">
      <c r="AA557" s="2626"/>
    </row>
    <row r="558" spans="27:27">
      <c r="AA558" s="2626"/>
    </row>
    <row r="559" spans="27:27">
      <c r="AA559" s="2626"/>
    </row>
    <row r="560" spans="27:27">
      <c r="AA560" s="2626"/>
    </row>
    <row r="561" spans="27:27">
      <c r="AA561" s="2626"/>
    </row>
    <row r="562" spans="27:27">
      <c r="AA562" s="2626"/>
    </row>
    <row r="563" spans="27:27">
      <c r="AA563" s="2626"/>
    </row>
    <row r="564" spans="27:27">
      <c r="AA564" s="2626"/>
    </row>
    <row r="565" spans="27:27">
      <c r="AA565" s="2626"/>
    </row>
    <row r="566" spans="27:27">
      <c r="AA566" s="2626"/>
    </row>
    <row r="567" spans="27:27">
      <c r="AA567" s="2626"/>
    </row>
    <row r="568" spans="27:27">
      <c r="AA568" s="2626"/>
    </row>
    <row r="569" spans="27:27">
      <c r="AA569" s="2626"/>
    </row>
    <row r="570" spans="27:27">
      <c r="AA570" s="2626"/>
    </row>
    <row r="571" spans="27:27">
      <c r="AA571" s="2626"/>
    </row>
    <row r="572" spans="27:27">
      <c r="AA572" s="2626"/>
    </row>
    <row r="573" spans="27:27">
      <c r="AA573" s="2626"/>
    </row>
    <row r="574" spans="27:27">
      <c r="AA574" s="2626"/>
    </row>
    <row r="575" spans="27:27">
      <c r="AA575" s="2626"/>
    </row>
    <row r="576" spans="27:27">
      <c r="AA576" s="2626"/>
    </row>
    <row r="577" spans="27:27">
      <c r="AA577" s="2626"/>
    </row>
    <row r="578" spans="27:27">
      <c r="AA578" s="2626"/>
    </row>
    <row r="579" spans="27:27">
      <c r="AA579" s="2626"/>
    </row>
    <row r="580" spans="27:27">
      <c r="AA580" s="2626"/>
    </row>
    <row r="581" spans="27:27">
      <c r="AA581" s="2626"/>
    </row>
    <row r="582" spans="27:27">
      <c r="AA582" s="2626"/>
    </row>
    <row r="583" spans="27:27">
      <c r="AA583" s="2626"/>
    </row>
    <row r="584" spans="27:27">
      <c r="AA584" s="2626"/>
    </row>
    <row r="585" spans="27:27">
      <c r="AA585" s="2626"/>
    </row>
    <row r="586" spans="27:27">
      <c r="AA586" s="2626"/>
    </row>
    <row r="587" spans="27:27">
      <c r="AA587" s="2626"/>
    </row>
    <row r="588" spans="27:27">
      <c r="AA588" s="2626"/>
    </row>
    <row r="589" spans="27:27">
      <c r="AA589" s="2626"/>
    </row>
    <row r="590" spans="27:27">
      <c r="AA590" s="2626"/>
    </row>
    <row r="591" spans="27:27">
      <c r="AA591" s="2626"/>
    </row>
    <row r="592" spans="27:27">
      <c r="AA592" s="2626"/>
    </row>
    <row r="593" spans="27:27">
      <c r="AA593" s="2626"/>
    </row>
    <row r="594" spans="27:27">
      <c r="AA594" s="2626"/>
    </row>
    <row r="595" spans="27:27">
      <c r="AA595" s="2626"/>
    </row>
    <row r="596" spans="27:27">
      <c r="AA596" s="2626"/>
    </row>
    <row r="597" spans="27:27">
      <c r="AA597" s="2626"/>
    </row>
    <row r="598" spans="27:27">
      <c r="AA598" s="2626"/>
    </row>
    <row r="599" spans="27:27">
      <c r="AA599" s="2626"/>
    </row>
    <row r="600" spans="27:27">
      <c r="AA600" s="2626"/>
    </row>
    <row r="601" spans="27:27">
      <c r="AA601" s="2626"/>
    </row>
    <row r="602" spans="27:27">
      <c r="AA602" s="2626"/>
    </row>
    <row r="603" spans="27:27">
      <c r="AA603" s="2626"/>
    </row>
    <row r="604" spans="27:27">
      <c r="AA604" s="2626"/>
    </row>
    <row r="605" spans="27:27">
      <c r="AA605" s="2626"/>
    </row>
    <row r="606" spans="27:27">
      <c r="AA606" s="2626"/>
    </row>
    <row r="607" spans="27:27">
      <c r="AA607" s="2626"/>
    </row>
    <row r="608" spans="27:27">
      <c r="AA608" s="2626"/>
    </row>
    <row r="609" spans="27:27">
      <c r="AA609" s="2626"/>
    </row>
    <row r="610" spans="27:27">
      <c r="AA610" s="2626"/>
    </row>
    <row r="611" spans="27:27">
      <c r="AA611" s="2626"/>
    </row>
    <row r="612" spans="27:27">
      <c r="AA612" s="2626"/>
    </row>
    <row r="613" spans="27:27">
      <c r="AA613" s="2626"/>
    </row>
    <row r="614" spans="27:27">
      <c r="AA614" s="2626"/>
    </row>
    <row r="615" spans="27:27">
      <c r="AA615" s="2626"/>
    </row>
    <row r="616" spans="27:27">
      <c r="AA616" s="2626"/>
    </row>
    <row r="617" spans="27:27">
      <c r="AA617" s="2626"/>
    </row>
    <row r="618" spans="27:27">
      <c r="AA618" s="2626"/>
    </row>
    <row r="619" spans="27:27">
      <c r="AA619" s="2626"/>
    </row>
    <row r="620" spans="27:27">
      <c r="AA620" s="2626"/>
    </row>
    <row r="621" spans="27:27">
      <c r="AA621" s="2626"/>
    </row>
    <row r="622" spans="27:27">
      <c r="AA622" s="2626"/>
    </row>
    <row r="623" spans="27:27">
      <c r="AA623" s="2626"/>
    </row>
    <row r="624" spans="27:27">
      <c r="AA624" s="2626"/>
    </row>
    <row r="625" spans="27:27">
      <c r="AA625" s="2626"/>
    </row>
    <row r="626" spans="27:27">
      <c r="AA626" s="2626"/>
    </row>
    <row r="627" spans="27:27">
      <c r="AA627" s="2626"/>
    </row>
    <row r="628" spans="27:27">
      <c r="AA628" s="2626"/>
    </row>
    <row r="629" spans="27:27">
      <c r="AA629" s="2626"/>
    </row>
    <row r="630" spans="27:27">
      <c r="AA630" s="2626"/>
    </row>
    <row r="631" spans="27:27">
      <c r="AA631" s="2626"/>
    </row>
    <row r="632" spans="27:27">
      <c r="AA632" s="2626"/>
    </row>
    <row r="633" spans="27:27">
      <c r="AA633" s="2626"/>
    </row>
    <row r="634" spans="27:27">
      <c r="AA634" s="2626"/>
    </row>
    <row r="635" spans="27:27">
      <c r="AA635" s="2626"/>
    </row>
    <row r="636" spans="27:27">
      <c r="AA636" s="2626"/>
    </row>
    <row r="637" spans="27:27">
      <c r="AA637" s="2626"/>
    </row>
    <row r="638" spans="27:27">
      <c r="AA638" s="2626"/>
    </row>
    <row r="639" spans="27:27">
      <c r="AA639" s="2626"/>
    </row>
    <row r="640" spans="27:27">
      <c r="AA640" s="2626"/>
    </row>
    <row r="641" spans="27:27">
      <c r="AA641" s="2626"/>
    </row>
    <row r="642" spans="27:27">
      <c r="AA642" s="2626"/>
    </row>
    <row r="643" spans="27:27">
      <c r="AA643" s="2626"/>
    </row>
    <row r="644" spans="27:27">
      <c r="AA644" s="2626"/>
    </row>
    <row r="645" spans="27:27">
      <c r="AA645" s="2626"/>
    </row>
    <row r="646" spans="27:27">
      <c r="AA646" s="2626"/>
    </row>
    <row r="647" spans="27:27">
      <c r="AA647" s="2626"/>
    </row>
    <row r="648" spans="27:27">
      <c r="AA648" s="2626"/>
    </row>
    <row r="649" spans="27:27">
      <c r="AA649" s="2626"/>
    </row>
    <row r="650" spans="27:27">
      <c r="AA650" s="2626"/>
    </row>
    <row r="651" spans="27:27">
      <c r="AA651" s="2626"/>
    </row>
    <row r="652" spans="27:27">
      <c r="AA652" s="2626"/>
    </row>
    <row r="653" spans="27:27">
      <c r="AA653" s="2626"/>
    </row>
    <row r="654" spans="27:27">
      <c r="AA654" s="2626"/>
    </row>
    <row r="655" spans="27:27">
      <c r="AA655" s="2626"/>
    </row>
    <row r="656" spans="27:27">
      <c r="AA656" s="2626"/>
    </row>
    <row r="657" spans="27:27">
      <c r="AA657" s="2626"/>
    </row>
    <row r="658" spans="27:27">
      <c r="AA658" s="2626"/>
    </row>
    <row r="659" spans="27:27">
      <c r="AA659" s="2626"/>
    </row>
    <row r="660" spans="27:27">
      <c r="AA660" s="2626"/>
    </row>
    <row r="661" spans="27:27">
      <c r="AA661" s="2626"/>
    </row>
    <row r="662" spans="27:27">
      <c r="AA662" s="2626"/>
    </row>
    <row r="663" spans="27:27">
      <c r="AA663" s="2626"/>
    </row>
    <row r="664" spans="27:27">
      <c r="AA664" s="2626"/>
    </row>
    <row r="665" spans="27:27">
      <c r="AA665" s="2626"/>
    </row>
    <row r="666" spans="27:27">
      <c r="AA666" s="2626"/>
    </row>
    <row r="667" spans="27:27">
      <c r="AA667" s="2626"/>
    </row>
    <row r="668" spans="27:27">
      <c r="AA668" s="2626"/>
    </row>
    <row r="669" spans="27:27">
      <c r="AA669" s="2626"/>
    </row>
    <row r="670" spans="27:27">
      <c r="AA670" s="2626"/>
    </row>
    <row r="671" spans="27:27">
      <c r="AA671" s="2626"/>
    </row>
    <row r="672" spans="27:27">
      <c r="AA672" s="2626"/>
    </row>
    <row r="673" spans="27:27">
      <c r="AA673" s="2626"/>
    </row>
    <row r="674" spans="27:27">
      <c r="AA674" s="2626"/>
    </row>
    <row r="675" spans="27:27">
      <c r="AA675" s="2626"/>
    </row>
    <row r="676" spans="27:27">
      <c r="AA676" s="2626"/>
    </row>
    <row r="677" spans="27:27">
      <c r="AA677" s="2626"/>
    </row>
    <row r="678" spans="27:27">
      <c r="AA678" s="2626"/>
    </row>
    <row r="679" spans="27:27">
      <c r="AA679" s="2626"/>
    </row>
    <row r="680" spans="27:27">
      <c r="AA680" s="2626"/>
    </row>
    <row r="681" spans="27:27">
      <c r="AA681" s="2626"/>
    </row>
    <row r="682" spans="27:27">
      <c r="AA682" s="2626"/>
    </row>
    <row r="683" spans="27:27">
      <c r="AA683" s="2626"/>
    </row>
    <row r="684" spans="27:27">
      <c r="AA684" s="2626"/>
    </row>
    <row r="685" spans="27:27">
      <c r="AA685" s="2626"/>
    </row>
    <row r="686" spans="27:27">
      <c r="AA686" s="2626"/>
    </row>
    <row r="687" spans="27:27">
      <c r="AA687" s="2626"/>
    </row>
    <row r="688" spans="27:27">
      <c r="AA688" s="2626"/>
    </row>
    <row r="689" spans="27:27">
      <c r="AA689" s="2626"/>
    </row>
    <row r="690" spans="27:27">
      <c r="AA690" s="2626"/>
    </row>
    <row r="691" spans="27:27">
      <c r="AA691" s="2626"/>
    </row>
    <row r="692" spans="27:27">
      <c r="AA692" s="2626"/>
    </row>
    <row r="693" spans="27:27">
      <c r="AA693" s="2626"/>
    </row>
    <row r="694" spans="27:27">
      <c r="AA694" s="2626"/>
    </row>
    <row r="695" spans="27:27">
      <c r="AA695" s="2626"/>
    </row>
    <row r="696" spans="27:27">
      <c r="AA696" s="2626"/>
    </row>
    <row r="697" spans="27:27">
      <c r="AA697" s="2626"/>
    </row>
    <row r="698" spans="27:27">
      <c r="AA698" s="2626"/>
    </row>
    <row r="699" spans="27:27">
      <c r="AA699" s="2626"/>
    </row>
    <row r="700" spans="27:27">
      <c r="AA700" s="2626"/>
    </row>
    <row r="701" spans="27:27">
      <c r="AA701" s="2626"/>
    </row>
    <row r="702" spans="27:27">
      <c r="AA702" s="2626"/>
    </row>
    <row r="703" spans="27:27">
      <c r="AA703" s="2626"/>
    </row>
    <row r="704" spans="27:27">
      <c r="AA704" s="2626"/>
    </row>
    <row r="705" spans="27:27">
      <c r="AA705" s="2626"/>
    </row>
    <row r="706" spans="27:27">
      <c r="AA706" s="2626"/>
    </row>
    <row r="707" spans="27:27">
      <c r="AA707" s="2626"/>
    </row>
    <row r="708" spans="27:27">
      <c r="AA708" s="2626"/>
    </row>
    <row r="709" spans="27:27">
      <c r="AA709" s="2626"/>
    </row>
    <row r="710" spans="27:27">
      <c r="AA710" s="2626"/>
    </row>
    <row r="711" spans="27:27">
      <c r="AA711" s="2626"/>
    </row>
    <row r="712" spans="27:27">
      <c r="AA712" s="2626"/>
    </row>
    <row r="713" spans="27:27">
      <c r="AA713" s="2626"/>
    </row>
    <row r="714" spans="27:27">
      <c r="AA714" s="2626"/>
    </row>
    <row r="715" spans="27:27">
      <c r="AA715" s="2626"/>
    </row>
    <row r="716" spans="27:27">
      <c r="AA716" s="2626"/>
    </row>
    <row r="717" spans="27:27">
      <c r="AA717" s="2626"/>
    </row>
    <row r="718" spans="27:27">
      <c r="AA718" s="2626"/>
    </row>
    <row r="719" spans="27:27">
      <c r="AA719" s="2626"/>
    </row>
    <row r="720" spans="27:27">
      <c r="AA720" s="2626"/>
    </row>
    <row r="721" spans="27:27">
      <c r="AA721" s="2626"/>
    </row>
    <row r="722" spans="27:27">
      <c r="AA722" s="2626"/>
    </row>
    <row r="723" spans="27:27">
      <c r="AA723" s="2626"/>
    </row>
    <row r="724" spans="27:27">
      <c r="AA724" s="2626"/>
    </row>
    <row r="725" spans="27:27">
      <c r="AA725" s="2626"/>
    </row>
    <row r="726" spans="27:27">
      <c r="AA726" s="2626"/>
    </row>
    <row r="727" spans="27:27">
      <c r="AA727" s="2626"/>
    </row>
    <row r="728" spans="27:27">
      <c r="AA728" s="2626"/>
    </row>
    <row r="729" spans="27:27">
      <c r="AA729" s="2626"/>
    </row>
    <row r="730" spans="27:27">
      <c r="AA730" s="2626"/>
    </row>
    <row r="731" spans="27:27">
      <c r="AA731" s="2626"/>
    </row>
    <row r="732" spans="27:27">
      <c r="AA732" s="2626"/>
    </row>
    <row r="733" spans="27:27">
      <c r="AA733" s="2626"/>
    </row>
    <row r="734" spans="27:27">
      <c r="AA734" s="2626"/>
    </row>
    <row r="735" spans="27:27">
      <c r="AA735" s="2626"/>
    </row>
    <row r="736" spans="27:27">
      <c r="AA736" s="2626"/>
    </row>
    <row r="737" spans="27:27">
      <c r="AA737" s="2626"/>
    </row>
    <row r="738" spans="27:27">
      <c r="AA738" s="2626"/>
    </row>
    <row r="739" spans="27:27">
      <c r="AA739" s="2626"/>
    </row>
    <row r="740" spans="27:27">
      <c r="AA740" s="2626"/>
    </row>
    <row r="741" spans="27:27">
      <c r="AA741" s="2626"/>
    </row>
    <row r="742" spans="27:27">
      <c r="AA742" s="2626"/>
    </row>
    <row r="743" spans="27:27">
      <c r="AA743" s="2626"/>
    </row>
    <row r="744" spans="27:27">
      <c r="AA744" s="2626"/>
    </row>
    <row r="745" spans="27:27">
      <c r="AA745" s="2626"/>
    </row>
    <row r="746" spans="27:27">
      <c r="AA746" s="2626"/>
    </row>
    <row r="747" spans="27:27">
      <c r="AA747" s="2626"/>
    </row>
    <row r="748" spans="27:27">
      <c r="AA748" s="2626"/>
    </row>
    <row r="749" spans="27:27">
      <c r="AA749" s="2626"/>
    </row>
    <row r="750" spans="27:27">
      <c r="AA750" s="2626"/>
    </row>
    <row r="751" spans="27:27">
      <c r="AA751" s="2626"/>
    </row>
    <row r="752" spans="27:27">
      <c r="AA752" s="2626"/>
    </row>
    <row r="753" spans="27:27">
      <c r="AA753" s="2626"/>
    </row>
    <row r="754" spans="27:27">
      <c r="AA754" s="2626"/>
    </row>
    <row r="755" spans="27:27">
      <c r="AA755" s="2626"/>
    </row>
    <row r="756" spans="27:27">
      <c r="AA756" s="2626"/>
    </row>
    <row r="757" spans="27:27">
      <c r="AA757" s="2626"/>
    </row>
    <row r="758" spans="27:27">
      <c r="AA758" s="2626"/>
    </row>
    <row r="759" spans="27:27">
      <c r="AA759" s="2626"/>
    </row>
    <row r="760" spans="27:27">
      <c r="AA760" s="2626"/>
    </row>
    <row r="761" spans="27:27">
      <c r="AA761" s="2626"/>
    </row>
    <row r="762" spans="27:27">
      <c r="AA762" s="2626"/>
    </row>
    <row r="763" spans="27:27">
      <c r="AA763" s="2626"/>
    </row>
    <row r="764" spans="27:27">
      <c r="AA764" s="2626"/>
    </row>
    <row r="765" spans="27:27">
      <c r="AA765" s="2626"/>
    </row>
    <row r="766" spans="27:27">
      <c r="AA766" s="2626"/>
    </row>
    <row r="767" spans="27:27">
      <c r="AA767" s="2626"/>
    </row>
    <row r="768" spans="27:27">
      <c r="AA768" s="2626"/>
    </row>
    <row r="769" spans="27:27">
      <c r="AA769" s="2626"/>
    </row>
    <row r="770" spans="27:27">
      <c r="AA770" s="2626"/>
    </row>
    <row r="771" spans="27:27">
      <c r="AA771" s="2626"/>
    </row>
    <row r="772" spans="27:27">
      <c r="AA772" s="2626"/>
    </row>
    <row r="773" spans="27:27">
      <c r="AA773" s="2626"/>
    </row>
    <row r="774" spans="27:27">
      <c r="AA774" s="2626"/>
    </row>
    <row r="775" spans="27:27">
      <c r="AA775" s="2626"/>
    </row>
    <row r="776" spans="27:27">
      <c r="AA776" s="2626"/>
    </row>
    <row r="777" spans="27:27">
      <c r="AA777" s="2626"/>
    </row>
    <row r="778" spans="27:27">
      <c r="AA778" s="2626"/>
    </row>
    <row r="779" spans="27:27">
      <c r="AA779" s="2626"/>
    </row>
    <row r="780" spans="27:27">
      <c r="AA780" s="2626"/>
    </row>
    <row r="781" spans="27:27">
      <c r="AA781" s="2626"/>
    </row>
    <row r="782" spans="27:27">
      <c r="AA782" s="2626"/>
    </row>
    <row r="783" spans="27:27">
      <c r="AA783" s="2626"/>
    </row>
    <row r="784" spans="27:27">
      <c r="AA784" s="2626"/>
    </row>
    <row r="785" spans="27:27">
      <c r="AA785" s="2626"/>
    </row>
    <row r="786" spans="27:27">
      <c r="AA786" s="2626"/>
    </row>
    <row r="787" spans="27:27">
      <c r="AA787" s="2626"/>
    </row>
    <row r="788" spans="27:27">
      <c r="AA788" s="2626"/>
    </row>
    <row r="789" spans="27:27">
      <c r="AA789" s="2626"/>
    </row>
    <row r="790" spans="27:27">
      <c r="AA790" s="2626"/>
    </row>
    <row r="791" spans="27:27">
      <c r="AA791" s="2626"/>
    </row>
    <row r="792" spans="27:27">
      <c r="AA792" s="2626"/>
    </row>
    <row r="793" spans="27:27">
      <c r="AA793" s="2626"/>
    </row>
    <row r="794" spans="27:27">
      <c r="AA794" s="2626"/>
    </row>
    <row r="795" spans="27:27">
      <c r="AA795" s="2626"/>
    </row>
    <row r="796" spans="27:27">
      <c r="AA796" s="2626"/>
    </row>
    <row r="797" spans="27:27">
      <c r="AA797" s="2626"/>
    </row>
    <row r="798" spans="27:27">
      <c r="AA798" s="2626"/>
    </row>
    <row r="799" spans="27:27">
      <c r="AA799" s="2626"/>
    </row>
    <row r="800" spans="27:27">
      <c r="AA800" s="2626"/>
    </row>
    <row r="801" spans="27:27">
      <c r="AA801" s="2626"/>
    </row>
    <row r="802" spans="27:27">
      <c r="AA802" s="2626"/>
    </row>
    <row r="803" spans="27:27">
      <c r="AA803" s="2626"/>
    </row>
    <row r="804" spans="27:27">
      <c r="AA804" s="2626"/>
    </row>
    <row r="805" spans="27:27">
      <c r="AA805" s="2626"/>
    </row>
    <row r="806" spans="27:27">
      <c r="AA806" s="2626"/>
    </row>
    <row r="807" spans="27:27">
      <c r="AA807" s="2626"/>
    </row>
    <row r="808" spans="27:27">
      <c r="AA808" s="2626"/>
    </row>
    <row r="809" spans="27:27">
      <c r="AA809" s="2626"/>
    </row>
    <row r="810" spans="27:27">
      <c r="AA810" s="2626"/>
    </row>
    <row r="811" spans="27:27">
      <c r="AA811" s="2626"/>
    </row>
    <row r="812" spans="27:27">
      <c r="AA812" s="2626"/>
    </row>
    <row r="813" spans="27:27">
      <c r="AA813" s="2626"/>
    </row>
    <row r="814" spans="27:27">
      <c r="AA814" s="2626"/>
    </row>
    <row r="815" spans="27:27">
      <c r="AA815" s="2626"/>
    </row>
    <row r="816" spans="27:27">
      <c r="AA816" s="2626"/>
    </row>
    <row r="817" spans="27:27">
      <c r="AA817" s="2626"/>
    </row>
    <row r="818" spans="27:27">
      <c r="AA818" s="2626"/>
    </row>
    <row r="819" spans="27:27">
      <c r="AA819" s="2626"/>
    </row>
    <row r="820" spans="27:27">
      <c r="AA820" s="2626"/>
    </row>
    <row r="821" spans="27:27">
      <c r="AA821" s="2626"/>
    </row>
    <row r="822" spans="27:27">
      <c r="AA822" s="2626"/>
    </row>
    <row r="823" spans="27:27">
      <c r="AA823" s="2626"/>
    </row>
    <row r="824" spans="27:27">
      <c r="AA824" s="2626"/>
    </row>
    <row r="825" spans="27:27">
      <c r="AA825" s="2626"/>
    </row>
    <row r="826" spans="27:27">
      <c r="AA826" s="2626"/>
    </row>
    <row r="827" spans="27:27">
      <c r="AA827" s="2626"/>
    </row>
    <row r="828" spans="27:27">
      <c r="AA828" s="2626"/>
    </row>
    <row r="829" spans="27:27">
      <c r="AA829" s="2626"/>
    </row>
    <row r="830" spans="27:27">
      <c r="AA830" s="2626"/>
    </row>
    <row r="831" spans="27:27">
      <c r="AA831" s="2626"/>
    </row>
    <row r="832" spans="27:27">
      <c r="AA832" s="2626"/>
    </row>
    <row r="833" spans="27:27">
      <c r="AA833" s="2626"/>
    </row>
    <row r="834" spans="27:27">
      <c r="AA834" s="2626"/>
    </row>
    <row r="835" spans="27:27">
      <c r="AA835" s="2626"/>
    </row>
    <row r="836" spans="27:27">
      <c r="AA836" s="2626"/>
    </row>
    <row r="837" spans="27:27">
      <c r="AA837" s="2626"/>
    </row>
    <row r="838" spans="27:27">
      <c r="AA838" s="2626"/>
    </row>
    <row r="839" spans="27:27">
      <c r="AA839" s="2626"/>
    </row>
    <row r="840" spans="27:27">
      <c r="AA840" s="2626"/>
    </row>
    <row r="841" spans="27:27">
      <c r="AA841" s="2626"/>
    </row>
    <row r="842" spans="27:27">
      <c r="AA842" s="2626"/>
    </row>
    <row r="843" spans="27:27">
      <c r="AA843" s="2626"/>
    </row>
    <row r="844" spans="27:27">
      <c r="AA844" s="2626"/>
    </row>
    <row r="845" spans="27:27">
      <c r="AA845" s="2626"/>
    </row>
    <row r="846" spans="27:27">
      <c r="AA846" s="2626"/>
    </row>
    <row r="847" spans="27:27">
      <c r="AA847" s="2626"/>
    </row>
    <row r="848" spans="27:27">
      <c r="AA848" s="2626"/>
    </row>
    <row r="849" spans="27:27">
      <c r="AA849" s="2626"/>
    </row>
    <row r="850" spans="27:27">
      <c r="AA850" s="2626"/>
    </row>
    <row r="851" spans="27:27">
      <c r="AA851" s="2626"/>
    </row>
    <row r="852" spans="27:27">
      <c r="AA852" s="2626"/>
    </row>
    <row r="853" spans="27:27">
      <c r="AA853" s="2626"/>
    </row>
    <row r="854" spans="27:27">
      <c r="AA854" s="2626"/>
    </row>
    <row r="855" spans="27:27">
      <c r="AA855" s="2626"/>
    </row>
    <row r="856" spans="27:27">
      <c r="AA856" s="2626"/>
    </row>
    <row r="857" spans="27:27">
      <c r="AA857" s="2626"/>
    </row>
    <row r="858" spans="27:27">
      <c r="AA858" s="2626"/>
    </row>
    <row r="859" spans="27:27">
      <c r="AA859" s="2626"/>
    </row>
    <row r="860" spans="27:27">
      <c r="AA860" s="2626"/>
    </row>
    <row r="861" spans="27:27">
      <c r="AA861" s="2626"/>
    </row>
    <row r="862" spans="27:27">
      <c r="AA862" s="2626"/>
    </row>
    <row r="863" spans="27:27">
      <c r="AA863" s="2626"/>
    </row>
    <row r="864" spans="27:27">
      <c r="AA864" s="2626"/>
    </row>
    <row r="865" spans="27:27">
      <c r="AA865" s="2626"/>
    </row>
    <row r="866" spans="27:27">
      <c r="AA866" s="2626"/>
    </row>
    <row r="867" spans="27:27">
      <c r="AA867" s="2626"/>
    </row>
    <row r="868" spans="27:27">
      <c r="AA868" s="2626"/>
    </row>
    <row r="869" spans="27:27">
      <c r="AA869" s="2626"/>
    </row>
    <row r="870" spans="27:27">
      <c r="AA870" s="2626"/>
    </row>
    <row r="871" spans="27:27">
      <c r="AA871" s="2626"/>
    </row>
    <row r="872" spans="27:27">
      <c r="AA872" s="2626"/>
    </row>
    <row r="873" spans="27:27">
      <c r="AA873" s="2626"/>
    </row>
    <row r="874" spans="27:27">
      <c r="AA874" s="2626"/>
    </row>
    <row r="875" spans="27:27">
      <c r="AA875" s="2626"/>
    </row>
    <row r="876" spans="27:27">
      <c r="AA876" s="2626"/>
    </row>
    <row r="877" spans="27:27">
      <c r="AA877" s="2626"/>
    </row>
    <row r="878" spans="27:27">
      <c r="AA878" s="2626"/>
    </row>
    <row r="879" spans="27:27">
      <c r="AA879" s="2626"/>
    </row>
    <row r="880" spans="27:27">
      <c r="AA880" s="2626"/>
    </row>
    <row r="881" spans="27:27">
      <c r="AA881" s="2626"/>
    </row>
    <row r="882" spans="27:27">
      <c r="AA882" s="2626"/>
    </row>
    <row r="883" spans="27:27">
      <c r="AA883" s="2626"/>
    </row>
    <row r="884" spans="27:27">
      <c r="AA884" s="2626"/>
    </row>
    <row r="885" spans="27:27">
      <c r="AA885" s="2626"/>
    </row>
    <row r="886" spans="27:27">
      <c r="AA886" s="2626"/>
    </row>
    <row r="887" spans="27:27">
      <c r="AA887" s="2626"/>
    </row>
    <row r="888" spans="27:27">
      <c r="AA888" s="2626"/>
    </row>
    <row r="889" spans="27:27">
      <c r="AA889" s="2626"/>
    </row>
    <row r="890" spans="27:27">
      <c r="AA890" s="2626"/>
    </row>
    <row r="891" spans="27:27">
      <c r="AA891" s="2626"/>
    </row>
    <row r="892" spans="27:27">
      <c r="AA892" s="2626"/>
    </row>
    <row r="893" spans="27:27">
      <c r="AA893" s="2626"/>
    </row>
    <row r="894" spans="27:27">
      <c r="AA894" s="2626"/>
    </row>
    <row r="895" spans="27:27">
      <c r="AA895" s="2626"/>
    </row>
    <row r="896" spans="27:27">
      <c r="AA896" s="2626"/>
    </row>
    <row r="897" spans="27:27">
      <c r="AA897" s="2626"/>
    </row>
    <row r="898" spans="27:27">
      <c r="AA898" s="2626"/>
    </row>
    <row r="899" spans="27:27">
      <c r="AA899" s="2626"/>
    </row>
    <row r="900" spans="27:27">
      <c r="AA900" s="2626"/>
    </row>
    <row r="901" spans="27:27">
      <c r="AA901" s="2626"/>
    </row>
    <row r="902" spans="27:27">
      <c r="AA902" s="2626"/>
    </row>
    <row r="903" spans="27:27">
      <c r="AA903" s="2626"/>
    </row>
    <row r="904" spans="27:27">
      <c r="AA904" s="2626"/>
    </row>
    <row r="905" spans="27:27">
      <c r="AA905" s="2626"/>
    </row>
    <row r="906" spans="27:27">
      <c r="AA906" s="2626"/>
    </row>
    <row r="907" spans="27:27">
      <c r="AA907" s="2626"/>
    </row>
    <row r="908" spans="27:27">
      <c r="AA908" s="2626"/>
    </row>
    <row r="909" spans="27:27">
      <c r="AA909" s="2626"/>
    </row>
    <row r="910" spans="27:27">
      <c r="AA910" s="2626"/>
    </row>
    <row r="911" spans="27:27">
      <c r="AA911" s="2626"/>
    </row>
    <row r="912" spans="27:27">
      <c r="AA912" s="2626"/>
    </row>
    <row r="913" spans="27:27">
      <c r="AA913" s="2626"/>
    </row>
    <row r="914" spans="27:27">
      <c r="AA914" s="2626"/>
    </row>
    <row r="915" spans="27:27">
      <c r="AA915" s="2626"/>
    </row>
    <row r="916" spans="27:27">
      <c r="AA916" s="2626"/>
    </row>
    <row r="917" spans="27:27">
      <c r="AA917" s="2626"/>
    </row>
    <row r="918" spans="27:27">
      <c r="AA918" s="2626"/>
    </row>
    <row r="919" spans="27:27">
      <c r="AA919" s="2626"/>
    </row>
    <row r="920" spans="27:27">
      <c r="AA920" s="2626"/>
    </row>
    <row r="921" spans="27:27">
      <c r="AA921" s="2626"/>
    </row>
    <row r="922" spans="27:27">
      <c r="AA922" s="2626"/>
    </row>
    <row r="923" spans="27:27">
      <c r="AA923" s="2626"/>
    </row>
    <row r="924" spans="27:27">
      <c r="AA924" s="2626"/>
    </row>
    <row r="925" spans="27:27">
      <c r="AA925" s="2626"/>
    </row>
    <row r="926" spans="27:27">
      <c r="AA926" s="2626"/>
    </row>
    <row r="927" spans="27:27">
      <c r="AA927" s="2626"/>
    </row>
    <row r="928" spans="27:27">
      <c r="AA928" s="2626"/>
    </row>
    <row r="929" spans="27:27">
      <c r="AA929" s="2626"/>
    </row>
    <row r="930" spans="27:27">
      <c r="AA930" s="2626"/>
    </row>
    <row r="931" spans="27:27">
      <c r="AA931" s="2626"/>
    </row>
    <row r="932" spans="27:27">
      <c r="AA932" s="2626"/>
    </row>
    <row r="933" spans="27:27">
      <c r="AA933" s="2626"/>
    </row>
    <row r="934" spans="27:27">
      <c r="AA934" s="2626"/>
    </row>
    <row r="935" spans="27:27">
      <c r="AA935" s="2626"/>
    </row>
    <row r="936" spans="27:27">
      <c r="AA936" s="2626"/>
    </row>
    <row r="937" spans="27:27">
      <c r="AA937" s="2626"/>
    </row>
    <row r="938" spans="27:27">
      <c r="AA938" s="2626"/>
    </row>
    <row r="939" spans="27:27">
      <c r="AA939" s="2626"/>
    </row>
    <row r="940" spans="27:27">
      <c r="AA940" s="2626"/>
    </row>
    <row r="941" spans="27:27">
      <c r="AA941" s="2626"/>
    </row>
    <row r="942" spans="27:27">
      <c r="AA942" s="2626"/>
    </row>
    <row r="943" spans="27:27">
      <c r="AA943" s="2626"/>
    </row>
    <row r="944" spans="27:27">
      <c r="AA944" s="2626"/>
    </row>
    <row r="945" spans="27:27">
      <c r="AA945" s="2626"/>
    </row>
    <row r="946" spans="27:27">
      <c r="AA946" s="2626"/>
    </row>
    <row r="947" spans="27:27">
      <c r="AA947" s="2626"/>
    </row>
    <row r="948" spans="27:27">
      <c r="AA948" s="2626"/>
    </row>
    <row r="949" spans="27:27">
      <c r="AA949" s="2626"/>
    </row>
    <row r="950" spans="27:27">
      <c r="AA950" s="2626"/>
    </row>
    <row r="951" spans="27:27">
      <c r="AA951" s="2626"/>
    </row>
    <row r="952" spans="27:27">
      <c r="AA952" s="2626"/>
    </row>
    <row r="953" spans="27:27">
      <c r="AA953" s="2626"/>
    </row>
    <row r="954" spans="27:27">
      <c r="AA954" s="2626"/>
    </row>
    <row r="955" spans="27:27">
      <c r="AA955" s="2626"/>
    </row>
    <row r="956" spans="27:27">
      <c r="AA956" s="2626"/>
    </row>
    <row r="957" spans="27:27">
      <c r="AA957" s="2626"/>
    </row>
    <row r="958" spans="27:27">
      <c r="AA958" s="2626"/>
    </row>
    <row r="959" spans="27:27">
      <c r="AA959" s="2626"/>
    </row>
    <row r="960" spans="27:27">
      <c r="AA960" s="2626"/>
    </row>
    <row r="961" spans="27:27">
      <c r="AA961" s="2626"/>
    </row>
    <row r="962" spans="27:27">
      <c r="AA962" s="2626"/>
    </row>
    <row r="963" spans="27:27">
      <c r="AA963" s="2626"/>
    </row>
    <row r="964" spans="27:27">
      <c r="AA964" s="2626"/>
    </row>
    <row r="965" spans="27:27">
      <c r="AA965" s="2626"/>
    </row>
    <row r="966" spans="27:27">
      <c r="AA966" s="2626"/>
    </row>
    <row r="967" spans="27:27">
      <c r="AA967" s="2626"/>
    </row>
    <row r="968" spans="27:27">
      <c r="AA968" s="2626"/>
    </row>
    <row r="969" spans="27:27">
      <c r="AA969" s="2626"/>
    </row>
    <row r="970" spans="27:27">
      <c r="AA970" s="2626"/>
    </row>
    <row r="971" spans="27:27">
      <c r="AA971" s="2626"/>
    </row>
    <row r="972" spans="27:27">
      <c r="AA972" s="2626"/>
    </row>
    <row r="973" spans="27:27">
      <c r="AA973" s="2626"/>
    </row>
    <row r="974" spans="27:27">
      <c r="AA974" s="2626"/>
    </row>
    <row r="975" spans="27:27">
      <c r="AA975" s="2626"/>
    </row>
    <row r="976" spans="27:27">
      <c r="AA976" s="2626"/>
    </row>
    <row r="977" spans="27:27">
      <c r="AA977" s="2626"/>
    </row>
    <row r="978" spans="27:27">
      <c r="AA978" s="2626"/>
    </row>
    <row r="979" spans="27:27">
      <c r="AA979" s="2626"/>
    </row>
    <row r="980" spans="27:27">
      <c r="AA980" s="2626"/>
    </row>
    <row r="981" spans="27:27">
      <c r="AA981" s="2626"/>
    </row>
    <row r="982" spans="27:27">
      <c r="AA982" s="2626"/>
    </row>
    <row r="983" spans="27:27">
      <c r="AA983" s="2626"/>
    </row>
    <row r="984" spans="27:27">
      <c r="AA984" s="2626"/>
    </row>
    <row r="985" spans="27:27">
      <c r="AA985" s="2626"/>
    </row>
    <row r="986" spans="27:27">
      <c r="AA986" s="2626"/>
    </row>
    <row r="987" spans="27:27">
      <c r="AA987" s="2626"/>
    </row>
    <row r="988" spans="27:27">
      <c r="AA988" s="2626"/>
    </row>
    <row r="989" spans="27:27">
      <c r="AA989" s="2626"/>
    </row>
    <row r="990" spans="27:27">
      <c r="AA990" s="2626"/>
    </row>
    <row r="991" spans="27:27">
      <c r="AA991" s="2626"/>
    </row>
    <row r="992" spans="27:27">
      <c r="AA992" s="2626"/>
    </row>
    <row r="993" spans="27:27">
      <c r="AA993" s="2626"/>
    </row>
    <row r="994" spans="27:27">
      <c r="AA994" s="2626"/>
    </row>
    <row r="995" spans="27:27">
      <c r="AA995" s="2626"/>
    </row>
    <row r="996" spans="27:27">
      <c r="AA996" s="2626"/>
    </row>
    <row r="997" spans="27:27">
      <c r="AA997" s="2626"/>
    </row>
    <row r="998" spans="27:27">
      <c r="AA998" s="2626"/>
    </row>
    <row r="999" spans="27:27">
      <c r="AA999" s="2626"/>
    </row>
    <row r="1000" spans="27:27">
      <c r="AA1000" s="2626"/>
    </row>
    <row r="1001" spans="27:27">
      <c r="AA1001" s="2626"/>
    </row>
    <row r="1002" spans="27:27">
      <c r="AA1002" s="2626"/>
    </row>
    <row r="1003" spans="27:27">
      <c r="AA1003" s="2626"/>
    </row>
    <row r="1004" spans="27:27">
      <c r="AA1004" s="2626"/>
    </row>
    <row r="1005" spans="27:27">
      <c r="AA1005" s="2626"/>
    </row>
    <row r="1006" spans="27:27">
      <c r="AA1006" s="2626"/>
    </row>
    <row r="1007" spans="27:27">
      <c r="AA1007" s="2626"/>
    </row>
    <row r="1008" spans="27:27">
      <c r="AA1008" s="2626"/>
    </row>
    <row r="1009" spans="27:27">
      <c r="AA1009" s="2626"/>
    </row>
    <row r="1010" spans="27:27">
      <c r="AA1010" s="2626"/>
    </row>
    <row r="1011" spans="27:27">
      <c r="AA1011" s="2626"/>
    </row>
    <row r="1012" spans="27:27">
      <c r="AA1012" s="2626"/>
    </row>
    <row r="1013" spans="27:27">
      <c r="AA1013" s="2626"/>
    </row>
    <row r="1014" spans="27:27">
      <c r="AA1014" s="2626"/>
    </row>
    <row r="1015" spans="27:27">
      <c r="AA1015" s="2626"/>
    </row>
    <row r="1016" spans="27:27">
      <c r="AA1016" s="2626"/>
    </row>
    <row r="1017" spans="27:27">
      <c r="AA1017" s="2626"/>
    </row>
    <row r="1018" spans="27:27">
      <c r="AA1018" s="2626"/>
    </row>
    <row r="1019" spans="27:27">
      <c r="AA1019" s="2626"/>
    </row>
    <row r="1020" spans="27:27">
      <c r="AA1020" s="2626"/>
    </row>
    <row r="1021" spans="27:27">
      <c r="AA1021" s="2626"/>
    </row>
    <row r="1022" spans="27:27">
      <c r="AA1022" s="2626"/>
    </row>
    <row r="1023" spans="27:27">
      <c r="AA1023" s="2626"/>
    </row>
    <row r="1024" spans="27:27">
      <c r="AA1024" s="2626"/>
    </row>
    <row r="1025" spans="27:27">
      <c r="AA1025" s="2626"/>
    </row>
    <row r="1026" spans="27:27">
      <c r="AA1026" s="2626"/>
    </row>
    <row r="1027" spans="27:27">
      <c r="AA1027" s="2626"/>
    </row>
    <row r="1028" spans="27:27">
      <c r="AA1028" s="2626"/>
    </row>
    <row r="1029" spans="27:27">
      <c r="AA1029" s="2626"/>
    </row>
    <row r="1030" spans="27:27">
      <c r="AA1030" s="2626"/>
    </row>
    <row r="1031" spans="27:27">
      <c r="AA1031" s="2626"/>
    </row>
    <row r="1032" spans="27:27">
      <c r="AA1032" s="2626"/>
    </row>
    <row r="1033" spans="27:27">
      <c r="AA1033" s="2626"/>
    </row>
    <row r="1034" spans="27:27">
      <c r="AA1034" s="2626"/>
    </row>
    <row r="1035" spans="27:27">
      <c r="AA1035" s="2626"/>
    </row>
    <row r="1036" spans="27:27">
      <c r="AA1036" s="2626"/>
    </row>
    <row r="1037" spans="27:27">
      <c r="AA1037" s="2626"/>
    </row>
    <row r="1038" spans="27:27">
      <c r="AA1038" s="2626"/>
    </row>
    <row r="1039" spans="27:27">
      <c r="AA1039" s="2626"/>
    </row>
    <row r="1040" spans="27:27">
      <c r="AA1040" s="2626"/>
    </row>
    <row r="1041" spans="27:27">
      <c r="AA1041" s="2626"/>
    </row>
    <row r="1042" spans="27:27">
      <c r="AA1042" s="2626"/>
    </row>
    <row r="1043" spans="27:27">
      <c r="AA1043" s="2626"/>
    </row>
    <row r="1044" spans="27:27">
      <c r="AA1044" s="2626"/>
    </row>
    <row r="1045" spans="27:27">
      <c r="AA1045" s="2626"/>
    </row>
    <row r="1046" spans="27:27">
      <c r="AA1046" s="2626"/>
    </row>
    <row r="1047" spans="27:27">
      <c r="AA1047" s="2626"/>
    </row>
    <row r="1048" spans="27:27">
      <c r="AA1048" s="2626"/>
    </row>
    <row r="1049" spans="27:27">
      <c r="AA1049" s="2626"/>
    </row>
    <row r="1050" spans="27:27">
      <c r="AA1050" s="2626"/>
    </row>
    <row r="1051" spans="27:27">
      <c r="AA1051" s="2626"/>
    </row>
    <row r="1052" spans="27:27">
      <c r="AA1052" s="2626"/>
    </row>
    <row r="1053" spans="27:27">
      <c r="AA1053" s="2626"/>
    </row>
    <row r="1054" spans="27:27">
      <c r="AA1054" s="2626"/>
    </row>
    <row r="1055" spans="27:27">
      <c r="AA1055" s="2626"/>
    </row>
    <row r="1056" spans="27:27">
      <c r="AA1056" s="2626"/>
    </row>
    <row r="1057" spans="27:27">
      <c r="AA1057" s="2626"/>
    </row>
    <row r="1058" spans="27:27">
      <c r="AA1058" s="2626"/>
    </row>
    <row r="1059" spans="27:27">
      <c r="AA1059" s="2626"/>
    </row>
    <row r="1060" spans="27:27">
      <c r="AA1060" s="2626"/>
    </row>
    <row r="1061" spans="27:27">
      <c r="AA1061" s="2626"/>
    </row>
    <row r="1062" spans="27:27">
      <c r="AA1062" s="2626"/>
    </row>
    <row r="1063" spans="27:27">
      <c r="AA1063" s="2626"/>
    </row>
    <row r="1064" spans="27:27">
      <c r="AA1064" s="2626"/>
    </row>
    <row r="1065" spans="27:27">
      <c r="AA1065" s="2626"/>
    </row>
    <row r="1066" spans="27:27">
      <c r="AA1066" s="2626"/>
    </row>
    <row r="1067" spans="27:27">
      <c r="AA1067" s="2626"/>
    </row>
    <row r="1068" spans="27:27">
      <c r="AA1068" s="2626"/>
    </row>
    <row r="1069" spans="27:27">
      <c r="AA1069" s="2626"/>
    </row>
    <row r="1070" spans="27:27">
      <c r="AA1070" s="2626"/>
    </row>
    <row r="1071" spans="27:27">
      <c r="AA1071" s="2626"/>
    </row>
    <row r="1072" spans="27:27">
      <c r="AA1072" s="2626"/>
    </row>
    <row r="1073" spans="27:27">
      <c r="AA1073" s="2626"/>
    </row>
    <row r="1074" spans="27:27">
      <c r="AA1074" s="2626"/>
    </row>
    <row r="1075" spans="27:27">
      <c r="AA1075" s="2626"/>
    </row>
    <row r="1076" spans="27:27">
      <c r="AA1076" s="2626"/>
    </row>
    <row r="1077" spans="27:27">
      <c r="AA1077" s="2626"/>
    </row>
    <row r="1078" spans="27:27">
      <c r="AA1078" s="2626"/>
    </row>
    <row r="1079" spans="27:27">
      <c r="AA1079" s="2626"/>
    </row>
    <row r="1080" spans="27:27">
      <c r="AA1080" s="2626"/>
    </row>
    <row r="1081" spans="27:27">
      <c r="AA1081" s="2626"/>
    </row>
    <row r="1082" spans="27:27">
      <c r="AA1082" s="2626"/>
    </row>
    <row r="1083" spans="27:27">
      <c r="AA1083" s="2626"/>
    </row>
    <row r="1084" spans="27:27">
      <c r="AA1084" s="2626"/>
    </row>
    <row r="1085" spans="27:27">
      <c r="AA1085" s="2626"/>
    </row>
    <row r="1086" spans="27:27">
      <c r="AA1086" s="2626"/>
    </row>
    <row r="1087" spans="27:27">
      <c r="AA1087" s="2626"/>
    </row>
    <row r="1088" spans="27:27">
      <c r="AA1088" s="2626"/>
    </row>
    <row r="1089" spans="27:27">
      <c r="AA1089" s="2626"/>
    </row>
    <row r="1090" spans="27:27">
      <c r="AA1090" s="2626"/>
    </row>
    <row r="1091" spans="27:27">
      <c r="AA1091" s="2626"/>
    </row>
    <row r="1092" spans="27:27">
      <c r="AA1092" s="2626"/>
    </row>
    <row r="1093" spans="27:27">
      <c r="AA1093" s="2626"/>
    </row>
    <row r="1094" spans="27:27">
      <c r="AA1094" s="2626"/>
    </row>
    <row r="1095" spans="27:27">
      <c r="AA1095" s="2626"/>
    </row>
    <row r="1096" spans="27:27">
      <c r="AA1096" s="2626"/>
    </row>
    <row r="1097" spans="27:27">
      <c r="AA1097" s="2626"/>
    </row>
    <row r="1098" spans="27:27">
      <c r="AA1098" s="2626"/>
    </row>
    <row r="1099" spans="27:27">
      <c r="AA1099" s="2626"/>
    </row>
    <row r="1100" spans="27:27">
      <c r="AA1100" s="2626"/>
    </row>
    <row r="1101" spans="27:27">
      <c r="AA1101" s="2626"/>
    </row>
    <row r="1102" spans="27:27">
      <c r="AA1102" s="2626"/>
    </row>
    <row r="1103" spans="27:27">
      <c r="AA1103" s="2626"/>
    </row>
    <row r="1104" spans="27:27">
      <c r="AA1104" s="2626"/>
    </row>
    <row r="1105" spans="27:27">
      <c r="AA1105" s="2626"/>
    </row>
    <row r="1106" spans="27:27">
      <c r="AA1106" s="2626"/>
    </row>
    <row r="1107" spans="27:27">
      <c r="AA1107" s="2626"/>
    </row>
    <row r="1108" spans="27:27">
      <c r="AA1108" s="2626"/>
    </row>
    <row r="1109" spans="27:27">
      <c r="AA1109" s="2626"/>
    </row>
    <row r="1110" spans="27:27">
      <c r="AA1110" s="2626"/>
    </row>
    <row r="1111" spans="27:27">
      <c r="AA1111" s="2626"/>
    </row>
    <row r="1112" spans="27:27">
      <c r="AA1112" s="2626"/>
    </row>
    <row r="1113" spans="27:27">
      <c r="AA1113" s="2626"/>
    </row>
    <row r="1114" spans="27:27">
      <c r="AA1114" s="2626"/>
    </row>
    <row r="1115" spans="27:27">
      <c r="AA1115" s="2626"/>
    </row>
    <row r="1116" spans="27:27">
      <c r="AA1116" s="2626"/>
    </row>
    <row r="1117" spans="27:27">
      <c r="AA1117" s="2626"/>
    </row>
    <row r="1118" spans="27:27">
      <c r="AA1118" s="2626"/>
    </row>
    <row r="1119" spans="27:27">
      <c r="AA1119" s="2626"/>
    </row>
    <row r="1120" spans="27:27">
      <c r="AA1120" s="2626"/>
    </row>
    <row r="1121" spans="27:27">
      <c r="AA1121" s="2626"/>
    </row>
    <row r="1122" spans="27:27">
      <c r="AA1122" s="2626"/>
    </row>
    <row r="1123" spans="27:27">
      <c r="AA1123" s="2626"/>
    </row>
    <row r="1124" spans="27:27">
      <c r="AA1124" s="2626"/>
    </row>
    <row r="1125" spans="27:27">
      <c r="AA1125" s="2626"/>
    </row>
    <row r="1126" spans="27:27">
      <c r="AA1126" s="2626"/>
    </row>
    <row r="1127" spans="27:27">
      <c r="AA1127" s="2626"/>
    </row>
    <row r="1128" spans="27:27">
      <c r="AA1128" s="2626"/>
    </row>
    <row r="1129" spans="27:27">
      <c r="AA1129" s="2626"/>
    </row>
    <row r="1130" spans="27:27">
      <c r="AA1130" s="2626"/>
    </row>
    <row r="1131" spans="27:27">
      <c r="AA1131" s="2626"/>
    </row>
    <row r="1132" spans="27:27">
      <c r="AA1132" s="2626"/>
    </row>
    <row r="1133" spans="27:27">
      <c r="AA1133" s="2626"/>
    </row>
    <row r="1134" spans="27:27">
      <c r="AA1134" s="2626"/>
    </row>
    <row r="1135" spans="27:27">
      <c r="AA1135" s="2626"/>
    </row>
    <row r="1136" spans="27:27">
      <c r="AA1136" s="2626"/>
    </row>
    <row r="1137" spans="27:27">
      <c r="AA1137" s="2626"/>
    </row>
    <row r="1138" spans="27:27">
      <c r="AA1138" s="2626"/>
    </row>
    <row r="1139" spans="27:27">
      <c r="AA1139" s="2626"/>
    </row>
    <row r="1140" spans="27:27">
      <c r="AA1140" s="2626"/>
    </row>
    <row r="1141" spans="27:27">
      <c r="AA1141" s="2626"/>
    </row>
    <row r="1142" spans="27:27">
      <c r="AA1142" s="2626"/>
    </row>
    <row r="1143" spans="27:27">
      <c r="AA1143" s="2626"/>
    </row>
    <row r="1144" spans="27:27">
      <c r="AA1144" s="2626"/>
    </row>
    <row r="1145" spans="27:27">
      <c r="AA1145" s="2626"/>
    </row>
    <row r="1146" spans="27:27">
      <c r="AA1146" s="2626"/>
    </row>
    <row r="1147" spans="27:27">
      <c r="AA1147" s="2626"/>
    </row>
    <row r="1148" spans="27:27">
      <c r="AA1148" s="2626"/>
    </row>
    <row r="1149" spans="27:27">
      <c r="AA1149" s="2626"/>
    </row>
    <row r="1150" spans="27:27">
      <c r="AA1150" s="2626"/>
    </row>
    <row r="1151" spans="27:27">
      <c r="AA1151" s="2626"/>
    </row>
    <row r="1152" spans="27:27">
      <c r="AA1152" s="2626"/>
    </row>
    <row r="1153" spans="27:27">
      <c r="AA1153" s="2626"/>
    </row>
    <row r="1154" spans="27:27">
      <c r="AA1154" s="2626"/>
    </row>
    <row r="1155" spans="27:27">
      <c r="AA1155" s="2626"/>
    </row>
    <row r="1156" spans="27:27">
      <c r="AA1156" s="2626"/>
    </row>
    <row r="1157" spans="27:27">
      <c r="AA1157" s="2626"/>
    </row>
    <row r="1158" spans="27:27">
      <c r="AA1158" s="2626"/>
    </row>
    <row r="1159" spans="27:27">
      <c r="AA1159" s="2626"/>
    </row>
    <row r="1160" spans="27:27">
      <c r="AA1160" s="2626"/>
    </row>
    <row r="1161" spans="27:27">
      <c r="AA1161" s="2626"/>
    </row>
    <row r="1162" spans="27:27">
      <c r="AA1162" s="2626"/>
    </row>
    <row r="1163" spans="27:27">
      <c r="AA1163" s="2626"/>
    </row>
    <row r="1164" spans="27:27">
      <c r="AA1164" s="2626"/>
    </row>
    <row r="1165" spans="27:27">
      <c r="AA1165" s="2626"/>
    </row>
    <row r="1166" spans="27:27">
      <c r="AA1166" s="2626"/>
    </row>
    <row r="1167" spans="27:27">
      <c r="AA1167" s="2626"/>
    </row>
    <row r="1168" spans="27:27">
      <c r="AA1168" s="2626"/>
    </row>
    <row r="1169" spans="27:27">
      <c r="AA1169" s="2626"/>
    </row>
    <row r="1170" spans="27:27">
      <c r="AA1170" s="2626"/>
    </row>
    <row r="1171" spans="27:27">
      <c r="AA1171" s="2626"/>
    </row>
    <row r="1172" spans="27:27">
      <c r="AA1172" s="2626"/>
    </row>
    <row r="1173" spans="27:27">
      <c r="AA1173" s="2626"/>
    </row>
    <row r="1174" spans="27:27">
      <c r="AA1174" s="2626"/>
    </row>
    <row r="1175" spans="27:27">
      <c r="AA1175" s="2626"/>
    </row>
    <row r="1176" spans="27:27">
      <c r="AA1176" s="2626"/>
    </row>
    <row r="1177" spans="27:27">
      <c r="AA1177" s="2626"/>
    </row>
    <row r="1178" spans="27:27">
      <c r="AA1178" s="2626"/>
    </row>
    <row r="1179" spans="27:27">
      <c r="AA1179" s="2626"/>
    </row>
    <row r="1180" spans="27:27">
      <c r="AA1180" s="2626"/>
    </row>
    <row r="1181" spans="27:27">
      <c r="AA1181" s="2626"/>
    </row>
    <row r="1182" spans="27:27">
      <c r="AA1182" s="2626"/>
    </row>
    <row r="1183" spans="27:27">
      <c r="AA1183" s="2626"/>
    </row>
    <row r="1184" spans="27:27">
      <c r="AA1184" s="2626"/>
    </row>
    <row r="1185" spans="27:27">
      <c r="AA1185" s="2626"/>
    </row>
    <row r="1186" spans="27:27">
      <c r="AA1186" s="2626"/>
    </row>
    <row r="1187" spans="27:27">
      <c r="AA1187" s="2626"/>
    </row>
    <row r="1188" spans="27:27">
      <c r="AA1188" s="2626"/>
    </row>
    <row r="1189" spans="27:27">
      <c r="AA1189" s="2626"/>
    </row>
    <row r="1190" spans="27:27">
      <c r="AA1190" s="2626"/>
    </row>
    <row r="1191" spans="27:27">
      <c r="AA1191" s="2626"/>
    </row>
    <row r="1192" spans="27:27">
      <c r="AA1192" s="2626"/>
    </row>
    <row r="1193" spans="27:27">
      <c r="AA1193" s="2626"/>
    </row>
    <row r="1194" spans="27:27">
      <c r="AA1194" s="2626"/>
    </row>
    <row r="1195" spans="27:27">
      <c r="AA1195" s="2626"/>
    </row>
    <row r="1196" spans="27:27">
      <c r="AA1196" s="2626"/>
    </row>
    <row r="1197" spans="27:27">
      <c r="AA1197" s="2626"/>
    </row>
    <row r="1198" spans="27:27">
      <c r="AA1198" s="2626"/>
    </row>
    <row r="1199" spans="27:27">
      <c r="AA1199" s="2626"/>
    </row>
    <row r="1200" spans="27:27">
      <c r="AA1200" s="2626"/>
    </row>
    <row r="1201" spans="27:27">
      <c r="AA1201" s="2626"/>
    </row>
    <row r="1202" spans="27:27">
      <c r="AA1202" s="2626"/>
    </row>
    <row r="1203" spans="27:27">
      <c r="AA1203" s="2626"/>
    </row>
    <row r="1204" spans="27:27">
      <c r="AA1204" s="2626"/>
    </row>
    <row r="1205" spans="27:27">
      <c r="AA1205" s="2626"/>
    </row>
    <row r="1206" spans="27:27">
      <c r="AA1206" s="2626"/>
    </row>
    <row r="1207" spans="27:27">
      <c r="AA1207" s="2626"/>
    </row>
    <row r="1208" spans="27:27">
      <c r="AA1208" s="2626"/>
    </row>
    <row r="1209" spans="27:27">
      <c r="AA1209" s="2626"/>
    </row>
    <row r="1210" spans="27:27">
      <c r="AA1210" s="2626"/>
    </row>
    <row r="1211" spans="27:27">
      <c r="AA1211" s="2626"/>
    </row>
    <row r="1212" spans="27:27">
      <c r="AA1212" s="2626"/>
    </row>
    <row r="1213" spans="27:27">
      <c r="AA1213" s="2626"/>
    </row>
    <row r="1214" spans="27:27">
      <c r="AA1214" s="2626"/>
    </row>
    <row r="1215" spans="27:27">
      <c r="AA1215" s="2626"/>
    </row>
    <row r="1216" spans="27:27">
      <c r="AA1216" s="2626"/>
    </row>
    <row r="1217" spans="27:27">
      <c r="AA1217" s="2626"/>
    </row>
    <row r="1218" spans="27:27">
      <c r="AA1218" s="2626"/>
    </row>
    <row r="1219" spans="27:27">
      <c r="AA1219" s="2626"/>
    </row>
    <row r="1220" spans="27:27">
      <c r="AA1220" s="2626"/>
    </row>
    <row r="1221" spans="27:27">
      <c r="AA1221" s="2626"/>
    </row>
    <row r="1222" spans="27:27">
      <c r="AA1222" s="2626"/>
    </row>
    <row r="1223" spans="27:27">
      <c r="AA1223" s="2626"/>
    </row>
    <row r="1224" spans="27:27">
      <c r="AA1224" s="2626"/>
    </row>
    <row r="1225" spans="27:27">
      <c r="AA1225" s="2626"/>
    </row>
    <row r="1226" spans="27:27">
      <c r="AA1226" s="2626"/>
    </row>
    <row r="1227" spans="27:27">
      <c r="AA1227" s="2626"/>
    </row>
    <row r="1228" spans="27:27">
      <c r="AA1228" s="2626"/>
    </row>
    <row r="1229" spans="27:27">
      <c r="AA1229" s="2626"/>
    </row>
    <row r="1230" spans="27:27">
      <c r="AA1230" s="2626"/>
    </row>
    <row r="1231" spans="27:27">
      <c r="AA1231" s="2626"/>
    </row>
    <row r="1232" spans="27:27">
      <c r="AA1232" s="2626"/>
    </row>
    <row r="1233" spans="27:27">
      <c r="AA1233" s="2626"/>
    </row>
    <row r="1234" spans="27:27">
      <c r="AA1234" s="2626"/>
    </row>
    <row r="1235" spans="27:27">
      <c r="AA1235" s="2626"/>
    </row>
    <row r="1236" spans="27:27">
      <c r="AA1236" s="2626"/>
    </row>
    <row r="1237" spans="27:27">
      <c r="AA1237" s="2626"/>
    </row>
    <row r="1238" spans="27:27">
      <c r="AA1238" s="2626"/>
    </row>
    <row r="1239" spans="27:27">
      <c r="AA1239" s="2626"/>
    </row>
    <row r="1240" spans="27:27">
      <c r="AA1240" s="2626"/>
    </row>
    <row r="1241" spans="27:27">
      <c r="AA1241" s="2626"/>
    </row>
    <row r="1242" spans="27:27">
      <c r="AA1242" s="2626"/>
    </row>
    <row r="1243" spans="27:27">
      <c r="AA1243" s="2626"/>
    </row>
    <row r="1244" spans="27:27">
      <c r="AA1244" s="2626"/>
    </row>
    <row r="1245" spans="27:27">
      <c r="AA1245" s="2626"/>
    </row>
    <row r="1246" spans="27:27">
      <c r="AA1246" s="2626"/>
    </row>
    <row r="1247" spans="27:27">
      <c r="AA1247" s="2626"/>
    </row>
    <row r="1248" spans="27:27">
      <c r="AA1248" s="2626"/>
    </row>
    <row r="1249" spans="27:27">
      <c r="AA1249" s="2626"/>
    </row>
    <row r="1250" spans="27:27">
      <c r="AA1250" s="2626"/>
    </row>
    <row r="1251" spans="27:27">
      <c r="AA1251" s="2626"/>
    </row>
    <row r="1252" spans="27:27">
      <c r="AA1252" s="2626"/>
    </row>
    <row r="1253" spans="27:27">
      <c r="AA1253" s="2626"/>
    </row>
    <row r="1254" spans="27:27">
      <c r="AA1254" s="2626"/>
    </row>
    <row r="1255" spans="27:27">
      <c r="AA1255" s="2626"/>
    </row>
    <row r="1256" spans="27:27">
      <c r="AA1256" s="2626"/>
    </row>
    <row r="1257" spans="27:27">
      <c r="AA1257" s="2626"/>
    </row>
    <row r="1258" spans="27:27">
      <c r="AA1258" s="2626"/>
    </row>
    <row r="1259" spans="27:27">
      <c r="AA1259" s="2626"/>
    </row>
    <row r="1260" spans="27:27">
      <c r="AA1260" s="2626"/>
    </row>
    <row r="1261" spans="27:27">
      <c r="AA1261" s="2626"/>
    </row>
    <row r="1262" spans="27:27">
      <c r="AA1262" s="2626"/>
    </row>
    <row r="1263" spans="27:27">
      <c r="AA1263" s="2626"/>
    </row>
    <row r="1264" spans="27:27">
      <c r="AA1264" s="2626"/>
    </row>
    <row r="1265" spans="27:27">
      <c r="AA1265" s="2626"/>
    </row>
    <row r="1266" spans="27:27">
      <c r="AA1266" s="2626"/>
    </row>
    <row r="1267" spans="27:27">
      <c r="AA1267" s="2626"/>
    </row>
    <row r="1268" spans="27:27">
      <c r="AA1268" s="2626"/>
    </row>
    <row r="1269" spans="27:27">
      <c r="AA1269" s="2626"/>
    </row>
    <row r="1270" spans="27:27">
      <c r="AA1270" s="2626"/>
    </row>
    <row r="1271" spans="27:27">
      <c r="AA1271" s="2626"/>
    </row>
    <row r="1272" spans="27:27">
      <c r="AA1272" s="2626"/>
    </row>
    <row r="1273" spans="27:27">
      <c r="AA1273" s="2626"/>
    </row>
    <row r="1274" spans="27:27">
      <c r="AA1274" s="2626"/>
    </row>
    <row r="1275" spans="27:27">
      <c r="AA1275" s="2626"/>
    </row>
    <row r="1276" spans="27:27">
      <c r="AA1276" s="2626"/>
    </row>
    <row r="1277" spans="27:27">
      <c r="AA1277" s="2626"/>
    </row>
    <row r="1278" spans="27:27">
      <c r="AA1278" s="2626"/>
    </row>
    <row r="1279" spans="27:27">
      <c r="AA1279" s="2626"/>
    </row>
    <row r="1280" spans="27:27">
      <c r="AA1280" s="2626"/>
    </row>
    <row r="1281" spans="27:27">
      <c r="AA1281" s="2626"/>
    </row>
    <row r="1282" spans="27:27">
      <c r="AA1282" s="2626"/>
    </row>
    <row r="1283" spans="27:27">
      <c r="AA1283" s="2626"/>
    </row>
    <row r="1284" spans="27:27">
      <c r="AA1284" s="2626"/>
    </row>
    <row r="1285" spans="27:27">
      <c r="AA1285" s="2626"/>
    </row>
    <row r="1286" spans="27:27">
      <c r="AA1286" s="2626"/>
    </row>
    <row r="1287" spans="27:27">
      <c r="AA1287" s="2626"/>
    </row>
    <row r="1288" spans="27:27">
      <c r="AA1288" s="2626"/>
    </row>
    <row r="1289" spans="27:27">
      <c r="AA1289" s="2626"/>
    </row>
    <row r="1290" spans="27:27">
      <c r="AA1290" s="2626"/>
    </row>
    <row r="1291" spans="27:27">
      <c r="AA1291" s="2626"/>
    </row>
    <row r="1292" spans="27:27">
      <c r="AA1292" s="2626"/>
    </row>
    <row r="1293" spans="27:27">
      <c r="AA1293" s="2626"/>
    </row>
    <row r="1294" spans="27:27">
      <c r="AA1294" s="2626"/>
    </row>
    <row r="1295" spans="27:27">
      <c r="AA1295" s="2626"/>
    </row>
    <row r="1296" spans="27:27">
      <c r="AA1296" s="2626"/>
    </row>
    <row r="1297" spans="27:27">
      <c r="AA1297" s="2626"/>
    </row>
    <row r="1298" spans="27:27">
      <c r="AA1298" s="2626"/>
    </row>
    <row r="1299" spans="27:27">
      <c r="AA1299" s="2626"/>
    </row>
    <row r="1300" spans="27:27">
      <c r="AA1300" s="2626"/>
    </row>
    <row r="1301" spans="27:27">
      <c r="AA1301" s="2626"/>
    </row>
    <row r="1302" spans="27:27">
      <c r="AA1302" s="2626"/>
    </row>
    <row r="1303" spans="27:27">
      <c r="AA1303" s="2626"/>
    </row>
    <row r="1304" spans="27:27">
      <c r="AA1304" s="2626"/>
    </row>
    <row r="1305" spans="27:27">
      <c r="AA1305" s="2626"/>
    </row>
    <row r="1306" spans="27:27">
      <c r="AA1306" s="2626"/>
    </row>
    <row r="1307" spans="27:27">
      <c r="AA1307" s="2626"/>
    </row>
    <row r="1308" spans="27:27">
      <c r="AA1308" s="2626"/>
    </row>
    <row r="1309" spans="27:27">
      <c r="AA1309" s="2626"/>
    </row>
    <row r="1310" spans="27:27">
      <c r="AA1310" s="2626"/>
    </row>
    <row r="1311" spans="27:27">
      <c r="AA1311" s="2626"/>
    </row>
    <row r="1312" spans="27:27">
      <c r="AA1312" s="2626"/>
    </row>
    <row r="1313" spans="27:27">
      <c r="AA1313" s="2626"/>
    </row>
    <row r="1314" spans="27:27">
      <c r="AA1314" s="2626"/>
    </row>
    <row r="1315" spans="27:27">
      <c r="AA1315" s="2626"/>
    </row>
    <row r="1316" spans="27:27">
      <c r="AA1316" s="2626"/>
    </row>
    <row r="1317" spans="27:27">
      <c r="AA1317" s="2626"/>
    </row>
    <row r="1318" spans="27:27">
      <c r="AA1318" s="2626"/>
    </row>
    <row r="1319" spans="27:27">
      <c r="AA1319" s="2626"/>
    </row>
    <row r="1320" spans="27:27">
      <c r="AA1320" s="2626"/>
    </row>
    <row r="1321" spans="27:27">
      <c r="AA1321" s="2626"/>
    </row>
    <row r="1322" spans="27:27">
      <c r="AA1322" s="2626"/>
    </row>
    <row r="1323" spans="27:27">
      <c r="AA1323" s="2626"/>
    </row>
    <row r="1324" spans="27:27">
      <c r="AA1324" s="2626"/>
    </row>
    <row r="1325" spans="27:27">
      <c r="AA1325" s="2626"/>
    </row>
    <row r="1326" spans="27:27">
      <c r="AA1326" s="2626"/>
    </row>
    <row r="1327" spans="27:27">
      <c r="AA1327" s="2626"/>
    </row>
    <row r="1328" spans="27:27">
      <c r="AA1328" s="2626"/>
    </row>
    <row r="1329" spans="27:27">
      <c r="AA1329" s="2626"/>
    </row>
    <row r="1330" spans="27:27">
      <c r="AA1330" s="2626"/>
    </row>
    <row r="1331" spans="27:27">
      <c r="AA1331" s="2626"/>
    </row>
    <row r="1332" spans="27:27">
      <c r="AA1332" s="2626"/>
    </row>
    <row r="1333" spans="27:27">
      <c r="AA1333" s="2626"/>
    </row>
    <row r="1334" spans="27:27">
      <c r="AA1334" s="2626"/>
    </row>
    <row r="1335" spans="27:27">
      <c r="AA1335" s="2626"/>
    </row>
    <row r="1336" spans="27:27">
      <c r="AA1336" s="2626"/>
    </row>
    <row r="1337" spans="27:27">
      <c r="AA1337" s="2626"/>
    </row>
    <row r="1338" spans="27:27">
      <c r="AA1338" s="2626"/>
    </row>
    <row r="1339" spans="27:27">
      <c r="AA1339" s="2626"/>
    </row>
    <row r="1340" spans="27:27">
      <c r="AA1340" s="2626"/>
    </row>
    <row r="1341" spans="27:27">
      <c r="AA1341" s="2626"/>
    </row>
    <row r="1342" spans="27:27">
      <c r="AA1342" s="2626"/>
    </row>
    <row r="1343" spans="27:27">
      <c r="AA1343" s="2626"/>
    </row>
    <row r="1344" spans="27:27">
      <c r="AA1344" s="2626"/>
    </row>
    <row r="1345" spans="27:27">
      <c r="AA1345" s="2626"/>
    </row>
    <row r="1346" spans="27:27">
      <c r="AA1346" s="2626"/>
    </row>
    <row r="1347" spans="27:27">
      <c r="AA1347" s="2626"/>
    </row>
    <row r="1348" spans="27:27">
      <c r="AA1348" s="2626"/>
    </row>
    <row r="1349" spans="27:27">
      <c r="AA1349" s="2626"/>
    </row>
    <row r="1350" spans="27:27">
      <c r="AA1350" s="2626"/>
    </row>
    <row r="1351" spans="27:27">
      <c r="AA1351" s="2626"/>
    </row>
    <row r="1352" spans="27:27">
      <c r="AA1352" s="2626"/>
    </row>
    <row r="1353" spans="27:27">
      <c r="AA1353" s="2626"/>
    </row>
    <row r="1354" spans="27:27">
      <c r="AA1354" s="2626"/>
    </row>
    <row r="1355" spans="27:27">
      <c r="AA1355" s="2626"/>
    </row>
    <row r="1356" spans="27:27">
      <c r="AA1356" s="2626"/>
    </row>
    <row r="1357" spans="27:27">
      <c r="AA1357" s="2626"/>
    </row>
    <row r="1358" spans="27:27">
      <c r="AA1358" s="2626"/>
    </row>
    <row r="1359" spans="27:27">
      <c r="AA1359" s="2626"/>
    </row>
    <row r="1360" spans="27:27">
      <c r="AA1360" s="2626"/>
    </row>
    <row r="1361" spans="27:27">
      <c r="AA1361" s="2626"/>
    </row>
    <row r="1362" spans="27:27">
      <c r="AA1362" s="2626"/>
    </row>
    <row r="1363" spans="27:27">
      <c r="AA1363" s="2626"/>
    </row>
    <row r="1364" spans="27:27">
      <c r="AA1364" s="2626"/>
    </row>
    <row r="1365" spans="27:27">
      <c r="AA1365" s="2626"/>
    </row>
    <row r="1366" spans="27:27">
      <c r="AA1366" s="2626"/>
    </row>
    <row r="1367" spans="27:27">
      <c r="AA1367" s="2626"/>
    </row>
    <row r="1368" spans="27:27">
      <c r="AA1368" s="2626"/>
    </row>
    <row r="1369" spans="27:27">
      <c r="AA1369" s="2626"/>
    </row>
    <row r="1370" spans="27:27">
      <c r="AA1370" s="2626"/>
    </row>
    <row r="1371" spans="27:27">
      <c r="AA1371" s="2626"/>
    </row>
    <row r="1372" spans="27:27">
      <c r="AA1372" s="2626"/>
    </row>
    <row r="1373" spans="27:27">
      <c r="AA1373" s="2626"/>
    </row>
    <row r="1374" spans="27:27">
      <c r="AA1374" s="2626"/>
    </row>
    <row r="1375" spans="27:27">
      <c r="AA1375" s="2626"/>
    </row>
    <row r="1376" spans="27:27">
      <c r="AA1376" s="2626"/>
    </row>
    <row r="1377" spans="27:27">
      <c r="AA1377" s="2626"/>
    </row>
    <row r="1378" spans="27:27">
      <c r="AA1378" s="2626"/>
    </row>
    <row r="1379" spans="27:27">
      <c r="AA1379" s="2626"/>
    </row>
    <row r="1380" spans="27:27">
      <c r="AA1380" s="2626"/>
    </row>
    <row r="1381" spans="27:27">
      <c r="AA1381" s="2626"/>
    </row>
    <row r="1382" spans="27:27">
      <c r="AA1382" s="2626"/>
    </row>
    <row r="1383" spans="27:27">
      <c r="AA1383" s="2626"/>
    </row>
    <row r="1384" spans="27:27">
      <c r="AA1384" s="2626"/>
    </row>
    <row r="1385" spans="27:27">
      <c r="AA1385" s="2626"/>
    </row>
    <row r="1386" spans="27:27">
      <c r="AA1386" s="2626"/>
    </row>
    <row r="1387" spans="27:27">
      <c r="AA1387" s="2626"/>
    </row>
    <row r="1388" spans="27:27">
      <c r="AA1388" s="2626"/>
    </row>
    <row r="1389" spans="27:27">
      <c r="AA1389" s="2626"/>
    </row>
    <row r="1390" spans="27:27">
      <c r="AA1390" s="2626"/>
    </row>
    <row r="1391" spans="27:27">
      <c r="AA1391" s="2626"/>
    </row>
    <row r="1392" spans="27:27">
      <c r="AA1392" s="2626"/>
    </row>
    <row r="1393" spans="27:27">
      <c r="AA1393" s="2626"/>
    </row>
    <row r="1394" spans="27:27">
      <c r="AA1394" s="2626"/>
    </row>
    <row r="1395" spans="27:27">
      <c r="AA1395" s="2626"/>
    </row>
    <row r="1396" spans="27:27">
      <c r="AA1396" s="2626"/>
    </row>
    <row r="1397" spans="27:27">
      <c r="AA1397" s="2626"/>
    </row>
    <row r="1398" spans="27:27">
      <c r="AA1398" s="2626"/>
    </row>
    <row r="1399" spans="27:27">
      <c r="AA1399" s="2626"/>
    </row>
    <row r="1400" spans="27:27">
      <c r="AA1400" s="2626"/>
    </row>
    <row r="1401" spans="27:27">
      <c r="AA1401" s="2626"/>
    </row>
    <row r="1402" spans="27:27">
      <c r="AA1402" s="2626"/>
    </row>
    <row r="1403" spans="27:27">
      <c r="AA1403" s="2626"/>
    </row>
    <row r="1404" spans="27:27">
      <c r="AA1404" s="2626"/>
    </row>
    <row r="1405" spans="27:27">
      <c r="AA1405" s="2626"/>
    </row>
    <row r="1406" spans="27:27">
      <c r="AA1406" s="2626"/>
    </row>
    <row r="1407" spans="27:27">
      <c r="AA1407" s="2626"/>
    </row>
    <row r="1408" spans="27:27">
      <c r="AA1408" s="2626"/>
    </row>
    <row r="1409" spans="27:27">
      <c r="AA1409" s="2626"/>
    </row>
    <row r="1410" spans="27:27">
      <c r="AA1410" s="2626"/>
    </row>
    <row r="1411" spans="27:27">
      <c r="AA1411" s="2626"/>
    </row>
    <row r="1412" spans="27:27">
      <c r="AA1412" s="2626"/>
    </row>
    <row r="1413" spans="27:27">
      <c r="AA1413" s="2626"/>
    </row>
    <row r="1414" spans="27:27">
      <c r="AA1414" s="2626"/>
    </row>
    <row r="1415" spans="27:27">
      <c r="AA1415" s="2626"/>
    </row>
    <row r="1416" spans="27:27">
      <c r="AA1416" s="2626"/>
    </row>
    <row r="1417" spans="27:27">
      <c r="AA1417" s="2626"/>
    </row>
    <row r="1418" spans="27:27">
      <c r="AA1418" s="2626"/>
    </row>
    <row r="1419" spans="27:27">
      <c r="AA1419" s="2626"/>
    </row>
    <row r="1420" spans="27:27">
      <c r="AA1420" s="2626"/>
    </row>
    <row r="1421" spans="27:27">
      <c r="AA1421" s="2626"/>
    </row>
    <row r="1422" spans="27:27">
      <c r="AA1422" s="2626"/>
    </row>
    <row r="1423" spans="27:27">
      <c r="AA1423" s="2626"/>
    </row>
    <row r="1424" spans="27:27">
      <c r="AA1424" s="2626"/>
    </row>
    <row r="1425" spans="27:27">
      <c r="AA1425" s="2626"/>
    </row>
    <row r="1426" spans="27:27">
      <c r="AA1426" s="2626"/>
    </row>
    <row r="1427" spans="27:27">
      <c r="AA1427" s="2626"/>
    </row>
    <row r="1428" spans="27:27">
      <c r="AA1428" s="2626"/>
    </row>
    <row r="1429" spans="27:27">
      <c r="AA1429" s="2626"/>
    </row>
    <row r="1430" spans="27:27">
      <c r="AA1430" s="2626"/>
    </row>
    <row r="1431" spans="27:27">
      <c r="AA1431" s="2626"/>
    </row>
    <row r="1432" spans="27:27">
      <c r="AA1432" s="2626"/>
    </row>
    <row r="1433" spans="27:27">
      <c r="AA1433" s="2626"/>
    </row>
    <row r="1434" spans="27:27">
      <c r="AA1434" s="2626"/>
    </row>
    <row r="1435" spans="27:27">
      <c r="AA1435" s="2626"/>
    </row>
    <row r="1436" spans="27:27">
      <c r="AA1436" s="2626"/>
    </row>
    <row r="1437" spans="27:27">
      <c r="AA1437" s="2626"/>
    </row>
    <row r="1438" spans="27:27">
      <c r="AA1438" s="2626"/>
    </row>
    <row r="1439" spans="27:27">
      <c r="AA1439" s="2626"/>
    </row>
    <row r="1440" spans="27:27">
      <c r="AA1440" s="2626"/>
    </row>
    <row r="1441" spans="27:27">
      <c r="AA1441" s="2626"/>
    </row>
    <row r="1442" spans="27:27">
      <c r="AA1442" s="2626"/>
    </row>
    <row r="1443" spans="27:27">
      <c r="AA1443" s="2626"/>
    </row>
    <row r="1444" spans="27:27">
      <c r="AA1444" s="2626"/>
    </row>
    <row r="1445" spans="27:27">
      <c r="AA1445" s="2626"/>
    </row>
    <row r="1446" spans="27:27">
      <c r="AA1446" s="2626"/>
    </row>
    <row r="1447" spans="27:27">
      <c r="AA1447" s="2626"/>
    </row>
    <row r="1448" spans="27:27">
      <c r="AA1448" s="2626"/>
    </row>
    <row r="1449" spans="27:27">
      <c r="AA1449" s="2626"/>
    </row>
    <row r="1450" spans="27:27">
      <c r="AA1450" s="2626"/>
    </row>
    <row r="1451" spans="27:27">
      <c r="AA1451" s="2626"/>
    </row>
    <row r="1452" spans="27:27">
      <c r="AA1452" s="2626"/>
    </row>
    <row r="1453" spans="27:27">
      <c r="AA1453" s="2626"/>
    </row>
    <row r="1454" spans="27:27">
      <c r="AA1454" s="2626"/>
    </row>
    <row r="1455" spans="27:27">
      <c r="AA1455" s="2626"/>
    </row>
    <row r="1456" spans="27:27">
      <c r="AA1456" s="2626"/>
    </row>
    <row r="1457" spans="27:27">
      <c r="AA1457" s="2626"/>
    </row>
    <row r="1458" spans="27:27">
      <c r="AA1458" s="2626"/>
    </row>
    <row r="1459" spans="27:27">
      <c r="AA1459" s="2626"/>
    </row>
    <row r="1460" spans="27:27">
      <c r="AA1460" s="2626"/>
    </row>
    <row r="1461" spans="27:27">
      <c r="AA1461" s="2626"/>
    </row>
    <row r="1462" spans="27:27">
      <c r="AA1462" s="2626"/>
    </row>
    <row r="1463" spans="27:27">
      <c r="AA1463" s="2626"/>
    </row>
    <row r="1464" spans="27:27">
      <c r="AA1464" s="2626"/>
    </row>
    <row r="1465" spans="27:27">
      <c r="AA1465" s="2626"/>
    </row>
    <row r="1466" spans="27:27">
      <c r="AA1466" s="2626"/>
    </row>
    <row r="1467" spans="27:27">
      <c r="AA1467" s="2626"/>
    </row>
    <row r="1468" spans="27:27">
      <c r="AA1468" s="2626"/>
    </row>
    <row r="1469" spans="27:27">
      <c r="AA1469" s="2626"/>
    </row>
    <row r="1470" spans="27:27">
      <c r="AA1470" s="2626"/>
    </row>
    <row r="1471" spans="27:27">
      <c r="AA1471" s="2626"/>
    </row>
    <row r="1472" spans="27:27">
      <c r="AA1472" s="2626"/>
    </row>
    <row r="1473" spans="27:27">
      <c r="AA1473" s="2626"/>
    </row>
    <row r="1474" spans="27:27">
      <c r="AA1474" s="2626"/>
    </row>
    <row r="1475" spans="27:27">
      <c r="AA1475" s="2626"/>
    </row>
    <row r="1476" spans="27:27">
      <c r="AA1476" s="2626"/>
    </row>
    <row r="1477" spans="27:27">
      <c r="AA1477" s="2626"/>
    </row>
    <row r="1478" spans="27:27">
      <c r="AA1478" s="2626"/>
    </row>
    <row r="1479" spans="27:27">
      <c r="AA1479" s="2626"/>
    </row>
    <row r="1480" spans="27:27">
      <c r="AA1480" s="2626"/>
    </row>
    <row r="1481" spans="27:27">
      <c r="AA1481" s="2626"/>
    </row>
    <row r="1482" spans="27:27">
      <c r="AA1482" s="2626"/>
    </row>
    <row r="1483" spans="27:27">
      <c r="AA1483" s="2626"/>
    </row>
    <row r="1484" spans="27:27">
      <c r="AA1484" s="2626"/>
    </row>
    <row r="1485" spans="27:27">
      <c r="AA1485" s="2626"/>
    </row>
    <row r="1486" spans="27:27">
      <c r="AA1486" s="2626"/>
    </row>
    <row r="1487" spans="27:27">
      <c r="AA1487" s="2626"/>
    </row>
    <row r="1488" spans="27:27">
      <c r="AA1488" s="2626"/>
    </row>
    <row r="1489" spans="27:27">
      <c r="AA1489" s="2626"/>
    </row>
    <row r="1490" spans="27:27">
      <c r="AA1490" s="2626"/>
    </row>
    <row r="1491" spans="27:27">
      <c r="AA1491" s="2626"/>
    </row>
    <row r="1492" spans="27:27">
      <c r="AA1492" s="2626"/>
    </row>
    <row r="1493" spans="27:27">
      <c r="AA1493" s="2626"/>
    </row>
    <row r="1494" spans="27:27">
      <c r="AA1494" s="2626"/>
    </row>
    <row r="1495" spans="27:27">
      <c r="AA1495" s="2626"/>
    </row>
    <row r="1496" spans="27:27">
      <c r="AA1496" s="2626"/>
    </row>
    <row r="1497" spans="27:27">
      <c r="AA1497" s="2626"/>
    </row>
    <row r="1498" spans="27:27">
      <c r="AA1498" s="2626"/>
    </row>
    <row r="1499" spans="27:27">
      <c r="AA1499" s="2626"/>
    </row>
    <row r="1500" spans="27:27">
      <c r="AA1500" s="2626"/>
    </row>
    <row r="1501" spans="27:27">
      <c r="AA1501" s="2626"/>
    </row>
    <row r="1502" spans="27:27">
      <c r="AA1502" s="2626"/>
    </row>
    <row r="1503" spans="27:27">
      <c r="AA1503" s="2626"/>
    </row>
    <row r="1504" spans="27:27">
      <c r="AA1504" s="2626"/>
    </row>
    <row r="1505" spans="27:27">
      <c r="AA1505" s="2626"/>
    </row>
    <row r="1506" spans="27:27">
      <c r="AA1506" s="2626"/>
    </row>
  </sheetData>
  <mergeCells count="3">
    <mergeCell ref="X2:Y2"/>
    <mergeCell ref="B3:I3"/>
    <mergeCell ref="K3:W3"/>
  </mergeCells>
  <printOptions horizontalCentered="1"/>
  <pageMargins left="0" right="0" top="0.27559055118110198" bottom="0" header="0" footer="0"/>
  <pageSetup paperSize="9" scale="63"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62"/>
  <sheetViews>
    <sheetView showGridLines="0" zoomScaleNormal="100" workbookViewId="0">
      <selection activeCell="Y17" sqref="Y17"/>
    </sheetView>
  </sheetViews>
  <sheetFormatPr defaultRowHeight="15"/>
  <cols>
    <col min="1" max="1" width="4.28515625" style="1183" customWidth="1"/>
    <col min="2" max="2" width="29.85546875" style="1183" customWidth="1"/>
    <col min="3" max="3" width="11.85546875" style="1194" customWidth="1"/>
    <col min="4" max="5" width="11.85546875" style="1183" customWidth="1"/>
    <col min="6" max="6" width="11.85546875" style="1258" customWidth="1"/>
    <col min="7" max="7" width="11.140625" style="1194" customWidth="1"/>
    <col min="8" max="8" width="11.28515625" style="1183" customWidth="1"/>
    <col min="9" max="15" width="10.140625" style="1183" customWidth="1"/>
    <col min="16" max="16" width="11" style="1183" bestFit="1" customWidth="1"/>
    <col min="17" max="256" width="9.140625" style="1183"/>
    <col min="257" max="257" width="4.28515625" style="1183" customWidth="1"/>
    <col min="258" max="258" width="28.28515625" style="1183" customWidth="1"/>
    <col min="259" max="259" width="9.7109375" style="1183" customWidth="1"/>
    <col min="260" max="260" width="9.42578125" style="1183" customWidth="1"/>
    <col min="261" max="261" width="9.140625" style="1183" customWidth="1"/>
    <col min="262" max="262" width="9.5703125" style="1183" customWidth="1"/>
    <col min="263" max="263" width="9.42578125" style="1183" customWidth="1"/>
    <col min="264" max="264" width="8.7109375" style="1183" customWidth="1"/>
    <col min="265" max="265" width="8.140625" style="1183" customWidth="1"/>
    <col min="266" max="266" width="8.28515625" style="1183" customWidth="1"/>
    <col min="267" max="267" width="7.140625" style="1183" customWidth="1"/>
    <col min="268" max="270" width="7" style="1183" bestFit="1" customWidth="1"/>
    <col min="271" max="271" width="8" style="1183" customWidth="1"/>
    <col min="272" max="512" width="9.140625" style="1183"/>
    <col min="513" max="513" width="4.28515625" style="1183" customWidth="1"/>
    <col min="514" max="514" width="28.28515625" style="1183" customWidth="1"/>
    <col min="515" max="515" width="9.7109375" style="1183" customWidth="1"/>
    <col min="516" max="516" width="9.42578125" style="1183" customWidth="1"/>
    <col min="517" max="517" width="9.140625" style="1183" customWidth="1"/>
    <col min="518" max="518" width="9.5703125" style="1183" customWidth="1"/>
    <col min="519" max="519" width="9.42578125" style="1183" customWidth="1"/>
    <col min="520" max="520" width="8.7109375" style="1183" customWidth="1"/>
    <col min="521" max="521" width="8.140625" style="1183" customWidth="1"/>
    <col min="522" max="522" width="8.28515625" style="1183" customWidth="1"/>
    <col min="523" max="523" width="7.140625" style="1183" customWidth="1"/>
    <col min="524" max="526" width="7" style="1183" bestFit="1" customWidth="1"/>
    <col min="527" max="527" width="8" style="1183" customWidth="1"/>
    <col min="528" max="768" width="9.140625" style="1183"/>
    <col min="769" max="769" width="4.28515625" style="1183" customWidth="1"/>
    <col min="770" max="770" width="28.28515625" style="1183" customWidth="1"/>
    <col min="771" max="771" width="9.7109375" style="1183" customWidth="1"/>
    <col min="772" max="772" width="9.42578125" style="1183" customWidth="1"/>
    <col min="773" max="773" width="9.140625" style="1183" customWidth="1"/>
    <col min="774" max="774" width="9.5703125" style="1183" customWidth="1"/>
    <col min="775" max="775" width="9.42578125" style="1183" customWidth="1"/>
    <col min="776" max="776" width="8.7109375" style="1183" customWidth="1"/>
    <col min="777" max="777" width="8.140625" style="1183" customWidth="1"/>
    <col min="778" max="778" width="8.28515625" style="1183" customWidth="1"/>
    <col min="779" max="779" width="7.140625" style="1183" customWidth="1"/>
    <col min="780" max="782" width="7" style="1183" bestFit="1" customWidth="1"/>
    <col min="783" max="783" width="8" style="1183" customWidth="1"/>
    <col min="784" max="1024" width="9.140625" style="1183"/>
    <col min="1025" max="1025" width="4.28515625" style="1183" customWidth="1"/>
    <col min="1026" max="1026" width="28.28515625" style="1183" customWidth="1"/>
    <col min="1027" max="1027" width="9.7109375" style="1183" customWidth="1"/>
    <col min="1028" max="1028" width="9.42578125" style="1183" customWidth="1"/>
    <col min="1029" max="1029" width="9.140625" style="1183" customWidth="1"/>
    <col min="1030" max="1030" width="9.5703125" style="1183" customWidth="1"/>
    <col min="1031" max="1031" width="9.42578125" style="1183" customWidth="1"/>
    <col min="1032" max="1032" width="8.7109375" style="1183" customWidth="1"/>
    <col min="1033" max="1033" width="8.140625" style="1183" customWidth="1"/>
    <col min="1034" max="1034" width="8.28515625" style="1183" customWidth="1"/>
    <col min="1035" max="1035" width="7.140625" style="1183" customWidth="1"/>
    <col min="1036" max="1038" width="7" style="1183" bestFit="1" customWidth="1"/>
    <col min="1039" max="1039" width="8" style="1183" customWidth="1"/>
    <col min="1040" max="1280" width="9.140625" style="1183"/>
    <col min="1281" max="1281" width="4.28515625" style="1183" customWidth="1"/>
    <col min="1282" max="1282" width="28.28515625" style="1183" customWidth="1"/>
    <col min="1283" max="1283" width="9.7109375" style="1183" customWidth="1"/>
    <col min="1284" max="1284" width="9.42578125" style="1183" customWidth="1"/>
    <col min="1285" max="1285" width="9.140625" style="1183" customWidth="1"/>
    <col min="1286" max="1286" width="9.5703125" style="1183" customWidth="1"/>
    <col min="1287" max="1287" width="9.42578125" style="1183" customWidth="1"/>
    <col min="1288" max="1288" width="8.7109375" style="1183" customWidth="1"/>
    <col min="1289" max="1289" width="8.140625" style="1183" customWidth="1"/>
    <col min="1290" max="1290" width="8.28515625" style="1183" customWidth="1"/>
    <col min="1291" max="1291" width="7.140625" style="1183" customWidth="1"/>
    <col min="1292" max="1294" width="7" style="1183" bestFit="1" customWidth="1"/>
    <col min="1295" max="1295" width="8" style="1183" customWidth="1"/>
    <col min="1296" max="1536" width="9.140625" style="1183"/>
    <col min="1537" max="1537" width="4.28515625" style="1183" customWidth="1"/>
    <col min="1538" max="1538" width="28.28515625" style="1183" customWidth="1"/>
    <col min="1539" max="1539" width="9.7109375" style="1183" customWidth="1"/>
    <col min="1540" max="1540" width="9.42578125" style="1183" customWidth="1"/>
    <col min="1541" max="1541" width="9.140625" style="1183" customWidth="1"/>
    <col min="1542" max="1542" width="9.5703125" style="1183" customWidth="1"/>
    <col min="1543" max="1543" width="9.42578125" style="1183" customWidth="1"/>
    <col min="1544" max="1544" width="8.7109375" style="1183" customWidth="1"/>
    <col min="1545" max="1545" width="8.140625" style="1183" customWidth="1"/>
    <col min="1546" max="1546" width="8.28515625" style="1183" customWidth="1"/>
    <col min="1547" max="1547" width="7.140625" style="1183" customWidth="1"/>
    <col min="1548" max="1550" width="7" style="1183" bestFit="1" customWidth="1"/>
    <col min="1551" max="1551" width="8" style="1183" customWidth="1"/>
    <col min="1552" max="1792" width="9.140625" style="1183"/>
    <col min="1793" max="1793" width="4.28515625" style="1183" customWidth="1"/>
    <col min="1794" max="1794" width="28.28515625" style="1183" customWidth="1"/>
    <col min="1795" max="1795" width="9.7109375" style="1183" customWidth="1"/>
    <col min="1796" max="1796" width="9.42578125" style="1183" customWidth="1"/>
    <col min="1797" max="1797" width="9.140625" style="1183" customWidth="1"/>
    <col min="1798" max="1798" width="9.5703125" style="1183" customWidth="1"/>
    <col min="1799" max="1799" width="9.42578125" style="1183" customWidth="1"/>
    <col min="1800" max="1800" width="8.7109375" style="1183" customWidth="1"/>
    <col min="1801" max="1801" width="8.140625" style="1183" customWidth="1"/>
    <col min="1802" max="1802" width="8.28515625" style="1183" customWidth="1"/>
    <col min="1803" max="1803" width="7.140625" style="1183" customWidth="1"/>
    <col min="1804" max="1806" width="7" style="1183" bestFit="1" customWidth="1"/>
    <col min="1807" max="1807" width="8" style="1183" customWidth="1"/>
    <col min="1808" max="2048" width="9.140625" style="1183"/>
    <col min="2049" max="2049" width="4.28515625" style="1183" customWidth="1"/>
    <col min="2050" max="2050" width="28.28515625" style="1183" customWidth="1"/>
    <col min="2051" max="2051" width="9.7109375" style="1183" customWidth="1"/>
    <col min="2052" max="2052" width="9.42578125" style="1183" customWidth="1"/>
    <col min="2053" max="2053" width="9.140625" style="1183" customWidth="1"/>
    <col min="2054" max="2054" width="9.5703125" style="1183" customWidth="1"/>
    <col min="2055" max="2055" width="9.42578125" style="1183" customWidth="1"/>
    <col min="2056" max="2056" width="8.7109375" style="1183" customWidth="1"/>
    <col min="2057" max="2057" width="8.140625" style="1183" customWidth="1"/>
    <col min="2058" max="2058" width="8.28515625" style="1183" customWidth="1"/>
    <col min="2059" max="2059" width="7.140625" style="1183" customWidth="1"/>
    <col min="2060" max="2062" width="7" style="1183" bestFit="1" customWidth="1"/>
    <col min="2063" max="2063" width="8" style="1183" customWidth="1"/>
    <col min="2064" max="2304" width="9.140625" style="1183"/>
    <col min="2305" max="2305" width="4.28515625" style="1183" customWidth="1"/>
    <col min="2306" max="2306" width="28.28515625" style="1183" customWidth="1"/>
    <col min="2307" max="2307" width="9.7109375" style="1183" customWidth="1"/>
    <col min="2308" max="2308" width="9.42578125" style="1183" customWidth="1"/>
    <col min="2309" max="2309" width="9.140625" style="1183" customWidth="1"/>
    <col min="2310" max="2310" width="9.5703125" style="1183" customWidth="1"/>
    <col min="2311" max="2311" width="9.42578125" style="1183" customWidth="1"/>
    <col min="2312" max="2312" width="8.7109375" style="1183" customWidth="1"/>
    <col min="2313" max="2313" width="8.140625" style="1183" customWidth="1"/>
    <col min="2314" max="2314" width="8.28515625" style="1183" customWidth="1"/>
    <col min="2315" max="2315" width="7.140625" style="1183" customWidth="1"/>
    <col min="2316" max="2318" width="7" style="1183" bestFit="1" customWidth="1"/>
    <col min="2319" max="2319" width="8" style="1183" customWidth="1"/>
    <col min="2320" max="2560" width="9.140625" style="1183"/>
    <col min="2561" max="2561" width="4.28515625" style="1183" customWidth="1"/>
    <col min="2562" max="2562" width="28.28515625" style="1183" customWidth="1"/>
    <col min="2563" max="2563" width="9.7109375" style="1183" customWidth="1"/>
    <col min="2564" max="2564" width="9.42578125" style="1183" customWidth="1"/>
    <col min="2565" max="2565" width="9.140625" style="1183" customWidth="1"/>
    <col min="2566" max="2566" width="9.5703125" style="1183" customWidth="1"/>
    <col min="2567" max="2567" width="9.42578125" style="1183" customWidth="1"/>
    <col min="2568" max="2568" width="8.7109375" style="1183" customWidth="1"/>
    <col min="2569" max="2569" width="8.140625" style="1183" customWidth="1"/>
    <col min="2570" max="2570" width="8.28515625" style="1183" customWidth="1"/>
    <col min="2571" max="2571" width="7.140625" style="1183" customWidth="1"/>
    <col min="2572" max="2574" width="7" style="1183" bestFit="1" customWidth="1"/>
    <col min="2575" max="2575" width="8" style="1183" customWidth="1"/>
    <col min="2576" max="2816" width="9.140625" style="1183"/>
    <col min="2817" max="2817" width="4.28515625" style="1183" customWidth="1"/>
    <col min="2818" max="2818" width="28.28515625" style="1183" customWidth="1"/>
    <col min="2819" max="2819" width="9.7109375" style="1183" customWidth="1"/>
    <col min="2820" max="2820" width="9.42578125" style="1183" customWidth="1"/>
    <col min="2821" max="2821" width="9.140625" style="1183" customWidth="1"/>
    <col min="2822" max="2822" width="9.5703125" style="1183" customWidth="1"/>
    <col min="2823" max="2823" width="9.42578125" style="1183" customWidth="1"/>
    <col min="2824" max="2824" width="8.7109375" style="1183" customWidth="1"/>
    <col min="2825" max="2825" width="8.140625" style="1183" customWidth="1"/>
    <col min="2826" max="2826" width="8.28515625" style="1183" customWidth="1"/>
    <col min="2827" max="2827" width="7.140625" style="1183" customWidth="1"/>
    <col min="2828" max="2830" width="7" style="1183" bestFit="1" customWidth="1"/>
    <col min="2831" max="2831" width="8" style="1183" customWidth="1"/>
    <col min="2832" max="3072" width="9.140625" style="1183"/>
    <col min="3073" max="3073" width="4.28515625" style="1183" customWidth="1"/>
    <col min="3074" max="3074" width="28.28515625" style="1183" customWidth="1"/>
    <col min="3075" max="3075" width="9.7109375" style="1183" customWidth="1"/>
    <col min="3076" max="3076" width="9.42578125" style="1183" customWidth="1"/>
    <col min="3077" max="3077" width="9.140625" style="1183" customWidth="1"/>
    <col min="3078" max="3078" width="9.5703125" style="1183" customWidth="1"/>
    <col min="3079" max="3079" width="9.42578125" style="1183" customWidth="1"/>
    <col min="3080" max="3080" width="8.7109375" style="1183" customWidth="1"/>
    <col min="3081" max="3081" width="8.140625" style="1183" customWidth="1"/>
    <col min="3082" max="3082" width="8.28515625" style="1183" customWidth="1"/>
    <col min="3083" max="3083" width="7.140625" style="1183" customWidth="1"/>
    <col min="3084" max="3086" width="7" style="1183" bestFit="1" customWidth="1"/>
    <col min="3087" max="3087" width="8" style="1183" customWidth="1"/>
    <col min="3088" max="3328" width="9.140625" style="1183"/>
    <col min="3329" max="3329" width="4.28515625" style="1183" customWidth="1"/>
    <col min="3330" max="3330" width="28.28515625" style="1183" customWidth="1"/>
    <col min="3331" max="3331" width="9.7109375" style="1183" customWidth="1"/>
    <col min="3332" max="3332" width="9.42578125" style="1183" customWidth="1"/>
    <col min="3333" max="3333" width="9.140625" style="1183" customWidth="1"/>
    <col min="3334" max="3334" width="9.5703125" style="1183" customWidth="1"/>
    <col min="3335" max="3335" width="9.42578125" style="1183" customWidth="1"/>
    <col min="3336" max="3336" width="8.7109375" style="1183" customWidth="1"/>
    <col min="3337" max="3337" width="8.140625" style="1183" customWidth="1"/>
    <col min="3338" max="3338" width="8.28515625" style="1183" customWidth="1"/>
    <col min="3339" max="3339" width="7.140625" style="1183" customWidth="1"/>
    <col min="3340" max="3342" width="7" style="1183" bestFit="1" customWidth="1"/>
    <col min="3343" max="3343" width="8" style="1183" customWidth="1"/>
    <col min="3344" max="3584" width="9.140625" style="1183"/>
    <col min="3585" max="3585" width="4.28515625" style="1183" customWidth="1"/>
    <col min="3586" max="3586" width="28.28515625" style="1183" customWidth="1"/>
    <col min="3587" max="3587" width="9.7109375" style="1183" customWidth="1"/>
    <col min="3588" max="3588" width="9.42578125" style="1183" customWidth="1"/>
    <col min="3589" max="3589" width="9.140625" style="1183" customWidth="1"/>
    <col min="3590" max="3590" width="9.5703125" style="1183" customWidth="1"/>
    <col min="3591" max="3591" width="9.42578125" style="1183" customWidth="1"/>
    <col min="3592" max="3592" width="8.7109375" style="1183" customWidth="1"/>
    <col min="3593" max="3593" width="8.140625" style="1183" customWidth="1"/>
    <col min="3594" max="3594" width="8.28515625" style="1183" customWidth="1"/>
    <col min="3595" max="3595" width="7.140625" style="1183" customWidth="1"/>
    <col min="3596" max="3598" width="7" style="1183" bestFit="1" customWidth="1"/>
    <col min="3599" max="3599" width="8" style="1183" customWidth="1"/>
    <col min="3600" max="3840" width="9.140625" style="1183"/>
    <col min="3841" max="3841" width="4.28515625" style="1183" customWidth="1"/>
    <col min="3842" max="3842" width="28.28515625" style="1183" customWidth="1"/>
    <col min="3843" max="3843" width="9.7109375" style="1183" customWidth="1"/>
    <col min="3844" max="3844" width="9.42578125" style="1183" customWidth="1"/>
    <col min="3845" max="3845" width="9.140625" style="1183" customWidth="1"/>
    <col min="3846" max="3846" width="9.5703125" style="1183" customWidth="1"/>
    <col min="3847" max="3847" width="9.42578125" style="1183" customWidth="1"/>
    <col min="3848" max="3848" width="8.7109375" style="1183" customWidth="1"/>
    <col min="3849" max="3849" width="8.140625" style="1183" customWidth="1"/>
    <col min="3850" max="3850" width="8.28515625" style="1183" customWidth="1"/>
    <col min="3851" max="3851" width="7.140625" style="1183" customWidth="1"/>
    <col min="3852" max="3854" width="7" style="1183" bestFit="1" customWidth="1"/>
    <col min="3855" max="3855" width="8" style="1183" customWidth="1"/>
    <col min="3856" max="4096" width="9.140625" style="1183"/>
    <col min="4097" max="4097" width="4.28515625" style="1183" customWidth="1"/>
    <col min="4098" max="4098" width="28.28515625" style="1183" customWidth="1"/>
    <col min="4099" max="4099" width="9.7109375" style="1183" customWidth="1"/>
    <col min="4100" max="4100" width="9.42578125" style="1183" customWidth="1"/>
    <col min="4101" max="4101" width="9.140625" style="1183" customWidth="1"/>
    <col min="4102" max="4102" width="9.5703125" style="1183" customWidth="1"/>
    <col min="4103" max="4103" width="9.42578125" style="1183" customWidth="1"/>
    <col min="4104" max="4104" width="8.7109375" style="1183" customWidth="1"/>
    <col min="4105" max="4105" width="8.140625" style="1183" customWidth="1"/>
    <col min="4106" max="4106" width="8.28515625" style="1183" customWidth="1"/>
    <col min="4107" max="4107" width="7.140625" style="1183" customWidth="1"/>
    <col min="4108" max="4110" width="7" style="1183" bestFit="1" customWidth="1"/>
    <col min="4111" max="4111" width="8" style="1183" customWidth="1"/>
    <col min="4112" max="4352" width="9.140625" style="1183"/>
    <col min="4353" max="4353" width="4.28515625" style="1183" customWidth="1"/>
    <col min="4354" max="4354" width="28.28515625" style="1183" customWidth="1"/>
    <col min="4355" max="4355" width="9.7109375" style="1183" customWidth="1"/>
    <col min="4356" max="4356" width="9.42578125" style="1183" customWidth="1"/>
    <col min="4357" max="4357" width="9.140625" style="1183" customWidth="1"/>
    <col min="4358" max="4358" width="9.5703125" style="1183" customWidth="1"/>
    <col min="4359" max="4359" width="9.42578125" style="1183" customWidth="1"/>
    <col min="4360" max="4360" width="8.7109375" style="1183" customWidth="1"/>
    <col min="4361" max="4361" width="8.140625" style="1183" customWidth="1"/>
    <col min="4362" max="4362" width="8.28515625" style="1183" customWidth="1"/>
    <col min="4363" max="4363" width="7.140625" style="1183" customWidth="1"/>
    <col min="4364" max="4366" width="7" style="1183" bestFit="1" customWidth="1"/>
    <col min="4367" max="4367" width="8" style="1183" customWidth="1"/>
    <col min="4368" max="4608" width="9.140625" style="1183"/>
    <col min="4609" max="4609" width="4.28515625" style="1183" customWidth="1"/>
    <col min="4610" max="4610" width="28.28515625" style="1183" customWidth="1"/>
    <col min="4611" max="4611" width="9.7109375" style="1183" customWidth="1"/>
    <col min="4612" max="4612" width="9.42578125" style="1183" customWidth="1"/>
    <col min="4613" max="4613" width="9.140625" style="1183" customWidth="1"/>
    <col min="4614" max="4614" width="9.5703125" style="1183" customWidth="1"/>
    <col min="4615" max="4615" width="9.42578125" style="1183" customWidth="1"/>
    <col min="4616" max="4616" width="8.7109375" style="1183" customWidth="1"/>
    <col min="4617" max="4617" width="8.140625" style="1183" customWidth="1"/>
    <col min="4618" max="4618" width="8.28515625" style="1183" customWidth="1"/>
    <col min="4619" max="4619" width="7.140625" style="1183" customWidth="1"/>
    <col min="4620" max="4622" width="7" style="1183" bestFit="1" customWidth="1"/>
    <col min="4623" max="4623" width="8" style="1183" customWidth="1"/>
    <col min="4624" max="4864" width="9.140625" style="1183"/>
    <col min="4865" max="4865" width="4.28515625" style="1183" customWidth="1"/>
    <col min="4866" max="4866" width="28.28515625" style="1183" customWidth="1"/>
    <col min="4867" max="4867" width="9.7109375" style="1183" customWidth="1"/>
    <col min="4868" max="4868" width="9.42578125" style="1183" customWidth="1"/>
    <col min="4869" max="4869" width="9.140625" style="1183" customWidth="1"/>
    <col min="4870" max="4870" width="9.5703125" style="1183" customWidth="1"/>
    <col min="4871" max="4871" width="9.42578125" style="1183" customWidth="1"/>
    <col min="4872" max="4872" width="8.7109375" style="1183" customWidth="1"/>
    <col min="4873" max="4873" width="8.140625" style="1183" customWidth="1"/>
    <col min="4874" max="4874" width="8.28515625" style="1183" customWidth="1"/>
    <col min="4875" max="4875" width="7.140625" style="1183" customWidth="1"/>
    <col min="4876" max="4878" width="7" style="1183" bestFit="1" customWidth="1"/>
    <col min="4879" max="4879" width="8" style="1183" customWidth="1"/>
    <col min="4880" max="5120" width="9.140625" style="1183"/>
    <col min="5121" max="5121" width="4.28515625" style="1183" customWidth="1"/>
    <col min="5122" max="5122" width="28.28515625" style="1183" customWidth="1"/>
    <col min="5123" max="5123" width="9.7109375" style="1183" customWidth="1"/>
    <col min="5124" max="5124" width="9.42578125" style="1183" customWidth="1"/>
    <col min="5125" max="5125" width="9.140625" style="1183" customWidth="1"/>
    <col min="5126" max="5126" width="9.5703125" style="1183" customWidth="1"/>
    <col min="5127" max="5127" width="9.42578125" style="1183" customWidth="1"/>
    <col min="5128" max="5128" width="8.7109375" style="1183" customWidth="1"/>
    <col min="5129" max="5129" width="8.140625" style="1183" customWidth="1"/>
    <col min="5130" max="5130" width="8.28515625" style="1183" customWidth="1"/>
    <col min="5131" max="5131" width="7.140625" style="1183" customWidth="1"/>
    <col min="5132" max="5134" width="7" style="1183" bestFit="1" customWidth="1"/>
    <col min="5135" max="5135" width="8" style="1183" customWidth="1"/>
    <col min="5136" max="5376" width="9.140625" style="1183"/>
    <col min="5377" max="5377" width="4.28515625" style="1183" customWidth="1"/>
    <col min="5378" max="5378" width="28.28515625" style="1183" customWidth="1"/>
    <col min="5379" max="5379" width="9.7109375" style="1183" customWidth="1"/>
    <col min="5380" max="5380" width="9.42578125" style="1183" customWidth="1"/>
    <col min="5381" max="5381" width="9.140625" style="1183" customWidth="1"/>
    <col min="5382" max="5382" width="9.5703125" style="1183" customWidth="1"/>
    <col min="5383" max="5383" width="9.42578125" style="1183" customWidth="1"/>
    <col min="5384" max="5384" width="8.7109375" style="1183" customWidth="1"/>
    <col min="5385" max="5385" width="8.140625" style="1183" customWidth="1"/>
    <col min="5386" max="5386" width="8.28515625" style="1183" customWidth="1"/>
    <col min="5387" max="5387" width="7.140625" style="1183" customWidth="1"/>
    <col min="5388" max="5390" width="7" style="1183" bestFit="1" customWidth="1"/>
    <col min="5391" max="5391" width="8" style="1183" customWidth="1"/>
    <col min="5392" max="5632" width="9.140625" style="1183"/>
    <col min="5633" max="5633" width="4.28515625" style="1183" customWidth="1"/>
    <col min="5634" max="5634" width="28.28515625" style="1183" customWidth="1"/>
    <col min="5635" max="5635" width="9.7109375" style="1183" customWidth="1"/>
    <col min="5636" max="5636" width="9.42578125" style="1183" customWidth="1"/>
    <col min="5637" max="5637" width="9.140625" style="1183" customWidth="1"/>
    <col min="5638" max="5638" width="9.5703125" style="1183" customWidth="1"/>
    <col min="5639" max="5639" width="9.42578125" style="1183" customWidth="1"/>
    <col min="5640" max="5640" width="8.7109375" style="1183" customWidth="1"/>
    <col min="5641" max="5641" width="8.140625" style="1183" customWidth="1"/>
    <col min="5642" max="5642" width="8.28515625" style="1183" customWidth="1"/>
    <col min="5643" max="5643" width="7.140625" style="1183" customWidth="1"/>
    <col min="5644" max="5646" width="7" style="1183" bestFit="1" customWidth="1"/>
    <col min="5647" max="5647" width="8" style="1183" customWidth="1"/>
    <col min="5648" max="5888" width="9.140625" style="1183"/>
    <col min="5889" max="5889" width="4.28515625" style="1183" customWidth="1"/>
    <col min="5890" max="5890" width="28.28515625" style="1183" customWidth="1"/>
    <col min="5891" max="5891" width="9.7109375" style="1183" customWidth="1"/>
    <col min="5892" max="5892" width="9.42578125" style="1183" customWidth="1"/>
    <col min="5893" max="5893" width="9.140625" style="1183" customWidth="1"/>
    <col min="5894" max="5894" width="9.5703125" style="1183" customWidth="1"/>
    <col min="5895" max="5895" width="9.42578125" style="1183" customWidth="1"/>
    <col min="5896" max="5896" width="8.7109375" style="1183" customWidth="1"/>
    <col min="5897" max="5897" width="8.140625" style="1183" customWidth="1"/>
    <col min="5898" max="5898" width="8.28515625" style="1183" customWidth="1"/>
    <col min="5899" max="5899" width="7.140625" style="1183" customWidth="1"/>
    <col min="5900" max="5902" width="7" style="1183" bestFit="1" customWidth="1"/>
    <col min="5903" max="5903" width="8" style="1183" customWidth="1"/>
    <col min="5904" max="6144" width="9.140625" style="1183"/>
    <col min="6145" max="6145" width="4.28515625" style="1183" customWidth="1"/>
    <col min="6146" max="6146" width="28.28515625" style="1183" customWidth="1"/>
    <col min="6147" max="6147" width="9.7109375" style="1183" customWidth="1"/>
    <col min="6148" max="6148" width="9.42578125" style="1183" customWidth="1"/>
    <col min="6149" max="6149" width="9.140625" style="1183" customWidth="1"/>
    <col min="6150" max="6150" width="9.5703125" style="1183" customWidth="1"/>
    <col min="6151" max="6151" width="9.42578125" style="1183" customWidth="1"/>
    <col min="6152" max="6152" width="8.7109375" style="1183" customWidth="1"/>
    <col min="6153" max="6153" width="8.140625" style="1183" customWidth="1"/>
    <col min="6154" max="6154" width="8.28515625" style="1183" customWidth="1"/>
    <col min="6155" max="6155" width="7.140625" style="1183" customWidth="1"/>
    <col min="6156" max="6158" width="7" style="1183" bestFit="1" customWidth="1"/>
    <col min="6159" max="6159" width="8" style="1183" customWidth="1"/>
    <col min="6160" max="6400" width="9.140625" style="1183"/>
    <col min="6401" max="6401" width="4.28515625" style="1183" customWidth="1"/>
    <col min="6402" max="6402" width="28.28515625" style="1183" customWidth="1"/>
    <col min="6403" max="6403" width="9.7109375" style="1183" customWidth="1"/>
    <col min="6404" max="6404" width="9.42578125" style="1183" customWidth="1"/>
    <col min="6405" max="6405" width="9.140625" style="1183" customWidth="1"/>
    <col min="6406" max="6406" width="9.5703125" style="1183" customWidth="1"/>
    <col min="6407" max="6407" width="9.42578125" style="1183" customWidth="1"/>
    <col min="6408" max="6408" width="8.7109375" style="1183" customWidth="1"/>
    <col min="6409" max="6409" width="8.140625" style="1183" customWidth="1"/>
    <col min="6410" max="6410" width="8.28515625" style="1183" customWidth="1"/>
    <col min="6411" max="6411" width="7.140625" style="1183" customWidth="1"/>
    <col min="6412" max="6414" width="7" style="1183" bestFit="1" customWidth="1"/>
    <col min="6415" max="6415" width="8" style="1183" customWidth="1"/>
    <col min="6416" max="6656" width="9.140625" style="1183"/>
    <col min="6657" max="6657" width="4.28515625" style="1183" customWidth="1"/>
    <col min="6658" max="6658" width="28.28515625" style="1183" customWidth="1"/>
    <col min="6659" max="6659" width="9.7109375" style="1183" customWidth="1"/>
    <col min="6660" max="6660" width="9.42578125" style="1183" customWidth="1"/>
    <col min="6661" max="6661" width="9.140625" style="1183" customWidth="1"/>
    <col min="6662" max="6662" width="9.5703125" style="1183" customWidth="1"/>
    <col min="6663" max="6663" width="9.42578125" style="1183" customWidth="1"/>
    <col min="6664" max="6664" width="8.7109375" style="1183" customWidth="1"/>
    <col min="6665" max="6665" width="8.140625" style="1183" customWidth="1"/>
    <col min="6666" max="6666" width="8.28515625" style="1183" customWidth="1"/>
    <col min="6667" max="6667" width="7.140625" style="1183" customWidth="1"/>
    <col min="6668" max="6670" width="7" style="1183" bestFit="1" customWidth="1"/>
    <col min="6671" max="6671" width="8" style="1183" customWidth="1"/>
    <col min="6672" max="6912" width="9.140625" style="1183"/>
    <col min="6913" max="6913" width="4.28515625" style="1183" customWidth="1"/>
    <col min="6914" max="6914" width="28.28515625" style="1183" customWidth="1"/>
    <col min="6915" max="6915" width="9.7109375" style="1183" customWidth="1"/>
    <col min="6916" max="6916" width="9.42578125" style="1183" customWidth="1"/>
    <col min="6917" max="6917" width="9.140625" style="1183" customWidth="1"/>
    <col min="6918" max="6918" width="9.5703125" style="1183" customWidth="1"/>
    <col min="6919" max="6919" width="9.42578125" style="1183" customWidth="1"/>
    <col min="6920" max="6920" width="8.7109375" style="1183" customWidth="1"/>
    <col min="6921" max="6921" width="8.140625" style="1183" customWidth="1"/>
    <col min="6922" max="6922" width="8.28515625" style="1183" customWidth="1"/>
    <col min="6923" max="6923" width="7.140625" style="1183" customWidth="1"/>
    <col min="6924" max="6926" width="7" style="1183" bestFit="1" customWidth="1"/>
    <col min="6927" max="6927" width="8" style="1183" customWidth="1"/>
    <col min="6928" max="7168" width="9.140625" style="1183"/>
    <col min="7169" max="7169" width="4.28515625" style="1183" customWidth="1"/>
    <col min="7170" max="7170" width="28.28515625" style="1183" customWidth="1"/>
    <col min="7171" max="7171" width="9.7109375" style="1183" customWidth="1"/>
    <col min="7172" max="7172" width="9.42578125" style="1183" customWidth="1"/>
    <col min="7173" max="7173" width="9.140625" style="1183" customWidth="1"/>
    <col min="7174" max="7174" width="9.5703125" style="1183" customWidth="1"/>
    <col min="7175" max="7175" width="9.42578125" style="1183" customWidth="1"/>
    <col min="7176" max="7176" width="8.7109375" style="1183" customWidth="1"/>
    <col min="7177" max="7177" width="8.140625" style="1183" customWidth="1"/>
    <col min="7178" max="7178" width="8.28515625" style="1183" customWidth="1"/>
    <col min="7179" max="7179" width="7.140625" style="1183" customWidth="1"/>
    <col min="7180" max="7182" width="7" style="1183" bestFit="1" customWidth="1"/>
    <col min="7183" max="7183" width="8" style="1183" customWidth="1"/>
    <col min="7184" max="7424" width="9.140625" style="1183"/>
    <col min="7425" max="7425" width="4.28515625" style="1183" customWidth="1"/>
    <col min="7426" max="7426" width="28.28515625" style="1183" customWidth="1"/>
    <col min="7427" max="7427" width="9.7109375" style="1183" customWidth="1"/>
    <col min="7428" max="7428" width="9.42578125" style="1183" customWidth="1"/>
    <col min="7429" max="7429" width="9.140625" style="1183" customWidth="1"/>
    <col min="7430" max="7430" width="9.5703125" style="1183" customWidth="1"/>
    <col min="7431" max="7431" width="9.42578125" style="1183" customWidth="1"/>
    <col min="7432" max="7432" width="8.7109375" style="1183" customWidth="1"/>
    <col min="7433" max="7433" width="8.140625" style="1183" customWidth="1"/>
    <col min="7434" max="7434" width="8.28515625" style="1183" customWidth="1"/>
    <col min="7435" max="7435" width="7.140625" style="1183" customWidth="1"/>
    <col min="7436" max="7438" width="7" style="1183" bestFit="1" customWidth="1"/>
    <col min="7439" max="7439" width="8" style="1183" customWidth="1"/>
    <col min="7440" max="7680" width="9.140625" style="1183"/>
    <col min="7681" max="7681" width="4.28515625" style="1183" customWidth="1"/>
    <col min="7682" max="7682" width="28.28515625" style="1183" customWidth="1"/>
    <col min="7683" max="7683" width="9.7109375" style="1183" customWidth="1"/>
    <col min="7684" max="7684" width="9.42578125" style="1183" customWidth="1"/>
    <col min="7685" max="7685" width="9.140625" style="1183" customWidth="1"/>
    <col min="7686" max="7686" width="9.5703125" style="1183" customWidth="1"/>
    <col min="7687" max="7687" width="9.42578125" style="1183" customWidth="1"/>
    <col min="7688" max="7688" width="8.7109375" style="1183" customWidth="1"/>
    <col min="7689" max="7689" width="8.140625" style="1183" customWidth="1"/>
    <col min="7690" max="7690" width="8.28515625" style="1183" customWidth="1"/>
    <col min="7691" max="7691" width="7.140625" style="1183" customWidth="1"/>
    <col min="7692" max="7694" width="7" style="1183" bestFit="1" customWidth="1"/>
    <col min="7695" max="7695" width="8" style="1183" customWidth="1"/>
    <col min="7696" max="7936" width="9.140625" style="1183"/>
    <col min="7937" max="7937" width="4.28515625" style="1183" customWidth="1"/>
    <col min="7938" max="7938" width="28.28515625" style="1183" customWidth="1"/>
    <col min="7939" max="7939" width="9.7109375" style="1183" customWidth="1"/>
    <col min="7940" max="7940" width="9.42578125" style="1183" customWidth="1"/>
    <col min="7941" max="7941" width="9.140625" style="1183" customWidth="1"/>
    <col min="7942" max="7942" width="9.5703125" style="1183" customWidth="1"/>
    <col min="7943" max="7943" width="9.42578125" style="1183" customWidth="1"/>
    <col min="7944" max="7944" width="8.7109375" style="1183" customWidth="1"/>
    <col min="7945" max="7945" width="8.140625" style="1183" customWidth="1"/>
    <col min="7946" max="7946" width="8.28515625" style="1183" customWidth="1"/>
    <col min="7947" max="7947" width="7.140625" style="1183" customWidth="1"/>
    <col min="7948" max="7950" width="7" style="1183" bestFit="1" customWidth="1"/>
    <col min="7951" max="7951" width="8" style="1183" customWidth="1"/>
    <col min="7952" max="8192" width="9.140625" style="1183"/>
    <col min="8193" max="8193" width="4.28515625" style="1183" customWidth="1"/>
    <col min="8194" max="8194" width="28.28515625" style="1183" customWidth="1"/>
    <col min="8195" max="8195" width="9.7109375" style="1183" customWidth="1"/>
    <col min="8196" max="8196" width="9.42578125" style="1183" customWidth="1"/>
    <col min="8197" max="8197" width="9.140625" style="1183" customWidth="1"/>
    <col min="8198" max="8198" width="9.5703125" style="1183" customWidth="1"/>
    <col min="8199" max="8199" width="9.42578125" style="1183" customWidth="1"/>
    <col min="8200" max="8200" width="8.7109375" style="1183" customWidth="1"/>
    <col min="8201" max="8201" width="8.140625" style="1183" customWidth="1"/>
    <col min="8202" max="8202" width="8.28515625" style="1183" customWidth="1"/>
    <col min="8203" max="8203" width="7.140625" style="1183" customWidth="1"/>
    <col min="8204" max="8206" width="7" style="1183" bestFit="1" customWidth="1"/>
    <col min="8207" max="8207" width="8" style="1183" customWidth="1"/>
    <col min="8208" max="8448" width="9.140625" style="1183"/>
    <col min="8449" max="8449" width="4.28515625" style="1183" customWidth="1"/>
    <col min="8450" max="8450" width="28.28515625" style="1183" customWidth="1"/>
    <col min="8451" max="8451" width="9.7109375" style="1183" customWidth="1"/>
    <col min="8452" max="8452" width="9.42578125" style="1183" customWidth="1"/>
    <col min="8453" max="8453" width="9.140625" style="1183" customWidth="1"/>
    <col min="8454" max="8454" width="9.5703125" style="1183" customWidth="1"/>
    <col min="8455" max="8455" width="9.42578125" style="1183" customWidth="1"/>
    <col min="8456" max="8456" width="8.7109375" style="1183" customWidth="1"/>
    <col min="8457" max="8457" width="8.140625" style="1183" customWidth="1"/>
    <col min="8458" max="8458" width="8.28515625" style="1183" customWidth="1"/>
    <col min="8459" max="8459" width="7.140625" style="1183" customWidth="1"/>
    <col min="8460" max="8462" width="7" style="1183" bestFit="1" customWidth="1"/>
    <col min="8463" max="8463" width="8" style="1183" customWidth="1"/>
    <col min="8464" max="8704" width="9.140625" style="1183"/>
    <col min="8705" max="8705" width="4.28515625" style="1183" customWidth="1"/>
    <col min="8706" max="8706" width="28.28515625" style="1183" customWidth="1"/>
    <col min="8707" max="8707" width="9.7109375" style="1183" customWidth="1"/>
    <col min="8708" max="8708" width="9.42578125" style="1183" customWidth="1"/>
    <col min="8709" max="8709" width="9.140625" style="1183" customWidth="1"/>
    <col min="8710" max="8710" width="9.5703125" style="1183" customWidth="1"/>
    <col min="8711" max="8711" width="9.42578125" style="1183" customWidth="1"/>
    <col min="8712" max="8712" width="8.7109375" style="1183" customWidth="1"/>
    <col min="8713" max="8713" width="8.140625" style="1183" customWidth="1"/>
    <col min="8714" max="8714" width="8.28515625" style="1183" customWidth="1"/>
    <col min="8715" max="8715" width="7.140625" style="1183" customWidth="1"/>
    <col min="8716" max="8718" width="7" style="1183" bestFit="1" customWidth="1"/>
    <col min="8719" max="8719" width="8" style="1183" customWidth="1"/>
    <col min="8720" max="8960" width="9.140625" style="1183"/>
    <col min="8961" max="8961" width="4.28515625" style="1183" customWidth="1"/>
    <col min="8962" max="8962" width="28.28515625" style="1183" customWidth="1"/>
    <col min="8963" max="8963" width="9.7109375" style="1183" customWidth="1"/>
    <col min="8964" max="8964" width="9.42578125" style="1183" customWidth="1"/>
    <col min="8965" max="8965" width="9.140625" style="1183" customWidth="1"/>
    <col min="8966" max="8966" width="9.5703125" style="1183" customWidth="1"/>
    <col min="8967" max="8967" width="9.42578125" style="1183" customWidth="1"/>
    <col min="8968" max="8968" width="8.7109375" style="1183" customWidth="1"/>
    <col min="8969" max="8969" width="8.140625" style="1183" customWidth="1"/>
    <col min="8970" max="8970" width="8.28515625" style="1183" customWidth="1"/>
    <col min="8971" max="8971" width="7.140625" style="1183" customWidth="1"/>
    <col min="8972" max="8974" width="7" style="1183" bestFit="1" customWidth="1"/>
    <col min="8975" max="8975" width="8" style="1183" customWidth="1"/>
    <col min="8976" max="9216" width="9.140625" style="1183"/>
    <col min="9217" max="9217" width="4.28515625" style="1183" customWidth="1"/>
    <col min="9218" max="9218" width="28.28515625" style="1183" customWidth="1"/>
    <col min="9219" max="9219" width="9.7109375" style="1183" customWidth="1"/>
    <col min="9220" max="9220" width="9.42578125" style="1183" customWidth="1"/>
    <col min="9221" max="9221" width="9.140625" style="1183" customWidth="1"/>
    <col min="9222" max="9222" width="9.5703125" style="1183" customWidth="1"/>
    <col min="9223" max="9223" width="9.42578125" style="1183" customWidth="1"/>
    <col min="9224" max="9224" width="8.7109375" style="1183" customWidth="1"/>
    <col min="9225" max="9225" width="8.140625" style="1183" customWidth="1"/>
    <col min="9226" max="9226" width="8.28515625" style="1183" customWidth="1"/>
    <col min="9227" max="9227" width="7.140625" style="1183" customWidth="1"/>
    <col min="9228" max="9230" width="7" style="1183" bestFit="1" customWidth="1"/>
    <col min="9231" max="9231" width="8" style="1183" customWidth="1"/>
    <col min="9232" max="9472" width="9.140625" style="1183"/>
    <col min="9473" max="9473" width="4.28515625" style="1183" customWidth="1"/>
    <col min="9474" max="9474" width="28.28515625" style="1183" customWidth="1"/>
    <col min="9475" max="9475" width="9.7109375" style="1183" customWidth="1"/>
    <col min="9476" max="9476" width="9.42578125" style="1183" customWidth="1"/>
    <col min="9477" max="9477" width="9.140625" style="1183" customWidth="1"/>
    <col min="9478" max="9478" width="9.5703125" style="1183" customWidth="1"/>
    <col min="9479" max="9479" width="9.42578125" style="1183" customWidth="1"/>
    <col min="9480" max="9480" width="8.7109375" style="1183" customWidth="1"/>
    <col min="9481" max="9481" width="8.140625" style="1183" customWidth="1"/>
    <col min="9482" max="9482" width="8.28515625" style="1183" customWidth="1"/>
    <col min="9483" max="9483" width="7.140625" style="1183" customWidth="1"/>
    <col min="9484" max="9486" width="7" style="1183" bestFit="1" customWidth="1"/>
    <col min="9487" max="9487" width="8" style="1183" customWidth="1"/>
    <col min="9488" max="9728" width="9.140625" style="1183"/>
    <col min="9729" max="9729" width="4.28515625" style="1183" customWidth="1"/>
    <col min="9730" max="9730" width="28.28515625" style="1183" customWidth="1"/>
    <col min="9731" max="9731" width="9.7109375" style="1183" customWidth="1"/>
    <col min="9732" max="9732" width="9.42578125" style="1183" customWidth="1"/>
    <col min="9733" max="9733" width="9.140625" style="1183" customWidth="1"/>
    <col min="9734" max="9734" width="9.5703125" style="1183" customWidth="1"/>
    <col min="9735" max="9735" width="9.42578125" style="1183" customWidth="1"/>
    <col min="9736" max="9736" width="8.7109375" style="1183" customWidth="1"/>
    <col min="9737" max="9737" width="8.140625" style="1183" customWidth="1"/>
    <col min="9738" max="9738" width="8.28515625" style="1183" customWidth="1"/>
    <col min="9739" max="9739" width="7.140625" style="1183" customWidth="1"/>
    <col min="9740" max="9742" width="7" style="1183" bestFit="1" customWidth="1"/>
    <col min="9743" max="9743" width="8" style="1183" customWidth="1"/>
    <col min="9744" max="9984" width="9.140625" style="1183"/>
    <col min="9985" max="9985" width="4.28515625" style="1183" customWidth="1"/>
    <col min="9986" max="9986" width="28.28515625" style="1183" customWidth="1"/>
    <col min="9987" max="9987" width="9.7109375" style="1183" customWidth="1"/>
    <col min="9988" max="9988" width="9.42578125" style="1183" customWidth="1"/>
    <col min="9989" max="9989" width="9.140625" style="1183" customWidth="1"/>
    <col min="9990" max="9990" width="9.5703125" style="1183" customWidth="1"/>
    <col min="9991" max="9991" width="9.42578125" style="1183" customWidth="1"/>
    <col min="9992" max="9992" width="8.7109375" style="1183" customWidth="1"/>
    <col min="9993" max="9993" width="8.140625" style="1183" customWidth="1"/>
    <col min="9994" max="9994" width="8.28515625" style="1183" customWidth="1"/>
    <col min="9995" max="9995" width="7.140625" style="1183" customWidth="1"/>
    <col min="9996" max="9998" width="7" style="1183" bestFit="1" customWidth="1"/>
    <col min="9999" max="9999" width="8" style="1183" customWidth="1"/>
    <col min="10000" max="10240" width="9.140625" style="1183"/>
    <col min="10241" max="10241" width="4.28515625" style="1183" customWidth="1"/>
    <col min="10242" max="10242" width="28.28515625" style="1183" customWidth="1"/>
    <col min="10243" max="10243" width="9.7109375" style="1183" customWidth="1"/>
    <col min="10244" max="10244" width="9.42578125" style="1183" customWidth="1"/>
    <col min="10245" max="10245" width="9.140625" style="1183" customWidth="1"/>
    <col min="10246" max="10246" width="9.5703125" style="1183" customWidth="1"/>
    <col min="10247" max="10247" width="9.42578125" style="1183" customWidth="1"/>
    <col min="10248" max="10248" width="8.7109375" style="1183" customWidth="1"/>
    <col min="10249" max="10249" width="8.140625" style="1183" customWidth="1"/>
    <col min="10250" max="10250" width="8.28515625" style="1183" customWidth="1"/>
    <col min="10251" max="10251" width="7.140625" style="1183" customWidth="1"/>
    <col min="10252" max="10254" width="7" style="1183" bestFit="1" customWidth="1"/>
    <col min="10255" max="10255" width="8" style="1183" customWidth="1"/>
    <col min="10256" max="10496" width="9.140625" style="1183"/>
    <col min="10497" max="10497" width="4.28515625" style="1183" customWidth="1"/>
    <col min="10498" max="10498" width="28.28515625" style="1183" customWidth="1"/>
    <col min="10499" max="10499" width="9.7109375" style="1183" customWidth="1"/>
    <col min="10500" max="10500" width="9.42578125" style="1183" customWidth="1"/>
    <col min="10501" max="10501" width="9.140625" style="1183" customWidth="1"/>
    <col min="10502" max="10502" width="9.5703125" style="1183" customWidth="1"/>
    <col min="10503" max="10503" width="9.42578125" style="1183" customWidth="1"/>
    <col min="10504" max="10504" width="8.7109375" style="1183" customWidth="1"/>
    <col min="10505" max="10505" width="8.140625" style="1183" customWidth="1"/>
    <col min="10506" max="10506" width="8.28515625" style="1183" customWidth="1"/>
    <col min="10507" max="10507" width="7.140625" style="1183" customWidth="1"/>
    <col min="10508" max="10510" width="7" style="1183" bestFit="1" customWidth="1"/>
    <col min="10511" max="10511" width="8" style="1183" customWidth="1"/>
    <col min="10512" max="10752" width="9.140625" style="1183"/>
    <col min="10753" max="10753" width="4.28515625" style="1183" customWidth="1"/>
    <col min="10754" max="10754" width="28.28515625" style="1183" customWidth="1"/>
    <col min="10755" max="10755" width="9.7109375" style="1183" customWidth="1"/>
    <col min="10756" max="10756" width="9.42578125" style="1183" customWidth="1"/>
    <col min="10757" max="10757" width="9.140625" style="1183" customWidth="1"/>
    <col min="10758" max="10758" width="9.5703125" style="1183" customWidth="1"/>
    <col min="10759" max="10759" width="9.42578125" style="1183" customWidth="1"/>
    <col min="10760" max="10760" width="8.7109375" style="1183" customWidth="1"/>
    <col min="10761" max="10761" width="8.140625" style="1183" customWidth="1"/>
    <col min="10762" max="10762" width="8.28515625" style="1183" customWidth="1"/>
    <col min="10763" max="10763" width="7.140625" style="1183" customWidth="1"/>
    <col min="10764" max="10766" width="7" style="1183" bestFit="1" customWidth="1"/>
    <col min="10767" max="10767" width="8" style="1183" customWidth="1"/>
    <col min="10768" max="11008" width="9.140625" style="1183"/>
    <col min="11009" max="11009" width="4.28515625" style="1183" customWidth="1"/>
    <col min="11010" max="11010" width="28.28515625" style="1183" customWidth="1"/>
    <col min="11011" max="11011" width="9.7109375" style="1183" customWidth="1"/>
    <col min="11012" max="11012" width="9.42578125" style="1183" customWidth="1"/>
    <col min="11013" max="11013" width="9.140625" style="1183" customWidth="1"/>
    <col min="11014" max="11014" width="9.5703125" style="1183" customWidth="1"/>
    <col min="11015" max="11015" width="9.42578125" style="1183" customWidth="1"/>
    <col min="11016" max="11016" width="8.7109375" style="1183" customWidth="1"/>
    <col min="11017" max="11017" width="8.140625" style="1183" customWidth="1"/>
    <col min="11018" max="11018" width="8.28515625" style="1183" customWidth="1"/>
    <col min="11019" max="11019" width="7.140625" style="1183" customWidth="1"/>
    <col min="11020" max="11022" width="7" style="1183" bestFit="1" customWidth="1"/>
    <col min="11023" max="11023" width="8" style="1183" customWidth="1"/>
    <col min="11024" max="11264" width="9.140625" style="1183"/>
    <col min="11265" max="11265" width="4.28515625" style="1183" customWidth="1"/>
    <col min="11266" max="11266" width="28.28515625" style="1183" customWidth="1"/>
    <col min="11267" max="11267" width="9.7109375" style="1183" customWidth="1"/>
    <col min="11268" max="11268" width="9.42578125" style="1183" customWidth="1"/>
    <col min="11269" max="11269" width="9.140625" style="1183" customWidth="1"/>
    <col min="11270" max="11270" width="9.5703125" style="1183" customWidth="1"/>
    <col min="11271" max="11271" width="9.42578125" style="1183" customWidth="1"/>
    <col min="11272" max="11272" width="8.7109375" style="1183" customWidth="1"/>
    <col min="11273" max="11273" width="8.140625" style="1183" customWidth="1"/>
    <col min="11274" max="11274" width="8.28515625" style="1183" customWidth="1"/>
    <col min="11275" max="11275" width="7.140625" style="1183" customWidth="1"/>
    <col min="11276" max="11278" width="7" style="1183" bestFit="1" customWidth="1"/>
    <col min="11279" max="11279" width="8" style="1183" customWidth="1"/>
    <col min="11280" max="11520" width="9.140625" style="1183"/>
    <col min="11521" max="11521" width="4.28515625" style="1183" customWidth="1"/>
    <col min="11522" max="11522" width="28.28515625" style="1183" customWidth="1"/>
    <col min="11523" max="11523" width="9.7109375" style="1183" customWidth="1"/>
    <col min="11524" max="11524" width="9.42578125" style="1183" customWidth="1"/>
    <col min="11525" max="11525" width="9.140625" style="1183" customWidth="1"/>
    <col min="11526" max="11526" width="9.5703125" style="1183" customWidth="1"/>
    <col min="11527" max="11527" width="9.42578125" style="1183" customWidth="1"/>
    <col min="11528" max="11528" width="8.7109375" style="1183" customWidth="1"/>
    <col min="11529" max="11529" width="8.140625" style="1183" customWidth="1"/>
    <col min="11530" max="11530" width="8.28515625" style="1183" customWidth="1"/>
    <col min="11531" max="11531" width="7.140625" style="1183" customWidth="1"/>
    <col min="11532" max="11534" width="7" style="1183" bestFit="1" customWidth="1"/>
    <col min="11535" max="11535" width="8" style="1183" customWidth="1"/>
    <col min="11536" max="11776" width="9.140625" style="1183"/>
    <col min="11777" max="11777" width="4.28515625" style="1183" customWidth="1"/>
    <col min="11778" max="11778" width="28.28515625" style="1183" customWidth="1"/>
    <col min="11779" max="11779" width="9.7109375" style="1183" customWidth="1"/>
    <col min="11780" max="11780" width="9.42578125" style="1183" customWidth="1"/>
    <col min="11781" max="11781" width="9.140625" style="1183" customWidth="1"/>
    <col min="11782" max="11782" width="9.5703125" style="1183" customWidth="1"/>
    <col min="11783" max="11783" width="9.42578125" style="1183" customWidth="1"/>
    <col min="11784" max="11784" width="8.7109375" style="1183" customWidth="1"/>
    <col min="11785" max="11785" width="8.140625" style="1183" customWidth="1"/>
    <col min="11786" max="11786" width="8.28515625" style="1183" customWidth="1"/>
    <col min="11787" max="11787" width="7.140625" style="1183" customWidth="1"/>
    <col min="11788" max="11790" width="7" style="1183" bestFit="1" customWidth="1"/>
    <col min="11791" max="11791" width="8" style="1183" customWidth="1"/>
    <col min="11792" max="12032" width="9.140625" style="1183"/>
    <col min="12033" max="12033" width="4.28515625" style="1183" customWidth="1"/>
    <col min="12034" max="12034" width="28.28515625" style="1183" customWidth="1"/>
    <col min="12035" max="12035" width="9.7109375" style="1183" customWidth="1"/>
    <col min="12036" max="12036" width="9.42578125" style="1183" customWidth="1"/>
    <col min="12037" max="12037" width="9.140625" style="1183" customWidth="1"/>
    <col min="12038" max="12038" width="9.5703125" style="1183" customWidth="1"/>
    <col min="12039" max="12039" width="9.42578125" style="1183" customWidth="1"/>
    <col min="12040" max="12040" width="8.7109375" style="1183" customWidth="1"/>
    <col min="12041" max="12041" width="8.140625" style="1183" customWidth="1"/>
    <col min="12042" max="12042" width="8.28515625" style="1183" customWidth="1"/>
    <col min="12043" max="12043" width="7.140625" style="1183" customWidth="1"/>
    <col min="12044" max="12046" width="7" style="1183" bestFit="1" customWidth="1"/>
    <col min="12047" max="12047" width="8" style="1183" customWidth="1"/>
    <col min="12048" max="12288" width="9.140625" style="1183"/>
    <col min="12289" max="12289" width="4.28515625" style="1183" customWidth="1"/>
    <col min="12290" max="12290" width="28.28515625" style="1183" customWidth="1"/>
    <col min="12291" max="12291" width="9.7109375" style="1183" customWidth="1"/>
    <col min="12292" max="12292" width="9.42578125" style="1183" customWidth="1"/>
    <col min="12293" max="12293" width="9.140625" style="1183" customWidth="1"/>
    <col min="12294" max="12294" width="9.5703125" style="1183" customWidth="1"/>
    <col min="12295" max="12295" width="9.42578125" style="1183" customWidth="1"/>
    <col min="12296" max="12296" width="8.7109375" style="1183" customWidth="1"/>
    <col min="12297" max="12297" width="8.140625" style="1183" customWidth="1"/>
    <col min="12298" max="12298" width="8.28515625" style="1183" customWidth="1"/>
    <col min="12299" max="12299" width="7.140625" style="1183" customWidth="1"/>
    <col min="12300" max="12302" width="7" style="1183" bestFit="1" customWidth="1"/>
    <col min="12303" max="12303" width="8" style="1183" customWidth="1"/>
    <col min="12304" max="12544" width="9.140625" style="1183"/>
    <col min="12545" max="12545" width="4.28515625" style="1183" customWidth="1"/>
    <col min="12546" max="12546" width="28.28515625" style="1183" customWidth="1"/>
    <col min="12547" max="12547" width="9.7109375" style="1183" customWidth="1"/>
    <col min="12548" max="12548" width="9.42578125" style="1183" customWidth="1"/>
    <col min="12549" max="12549" width="9.140625" style="1183" customWidth="1"/>
    <col min="12550" max="12550" width="9.5703125" style="1183" customWidth="1"/>
    <col min="12551" max="12551" width="9.42578125" style="1183" customWidth="1"/>
    <col min="12552" max="12552" width="8.7109375" style="1183" customWidth="1"/>
    <col min="12553" max="12553" width="8.140625" style="1183" customWidth="1"/>
    <col min="12554" max="12554" width="8.28515625" style="1183" customWidth="1"/>
    <col min="12555" max="12555" width="7.140625" style="1183" customWidth="1"/>
    <col min="12556" max="12558" width="7" style="1183" bestFit="1" customWidth="1"/>
    <col min="12559" max="12559" width="8" style="1183" customWidth="1"/>
    <col min="12560" max="12800" width="9.140625" style="1183"/>
    <col min="12801" max="12801" width="4.28515625" style="1183" customWidth="1"/>
    <col min="12802" max="12802" width="28.28515625" style="1183" customWidth="1"/>
    <col min="12803" max="12803" width="9.7109375" style="1183" customWidth="1"/>
    <col min="12804" max="12804" width="9.42578125" style="1183" customWidth="1"/>
    <col min="12805" max="12805" width="9.140625" style="1183" customWidth="1"/>
    <col min="12806" max="12806" width="9.5703125" style="1183" customWidth="1"/>
    <col min="12807" max="12807" width="9.42578125" style="1183" customWidth="1"/>
    <col min="12808" max="12808" width="8.7109375" style="1183" customWidth="1"/>
    <col min="12809" max="12809" width="8.140625" style="1183" customWidth="1"/>
    <col min="12810" max="12810" width="8.28515625" style="1183" customWidth="1"/>
    <col min="12811" max="12811" width="7.140625" style="1183" customWidth="1"/>
    <col min="12812" max="12814" width="7" style="1183" bestFit="1" customWidth="1"/>
    <col min="12815" max="12815" width="8" style="1183" customWidth="1"/>
    <col min="12816" max="13056" width="9.140625" style="1183"/>
    <col min="13057" max="13057" width="4.28515625" style="1183" customWidth="1"/>
    <col min="13058" max="13058" width="28.28515625" style="1183" customWidth="1"/>
    <col min="13059" max="13059" width="9.7109375" style="1183" customWidth="1"/>
    <col min="13060" max="13060" width="9.42578125" style="1183" customWidth="1"/>
    <col min="13061" max="13061" width="9.140625" style="1183" customWidth="1"/>
    <col min="13062" max="13062" width="9.5703125" style="1183" customWidth="1"/>
    <col min="13063" max="13063" width="9.42578125" style="1183" customWidth="1"/>
    <col min="13064" max="13064" width="8.7109375" style="1183" customWidth="1"/>
    <col min="13065" max="13065" width="8.140625" style="1183" customWidth="1"/>
    <col min="13066" max="13066" width="8.28515625" style="1183" customWidth="1"/>
    <col min="13067" max="13067" width="7.140625" style="1183" customWidth="1"/>
    <col min="13068" max="13070" width="7" style="1183" bestFit="1" customWidth="1"/>
    <col min="13071" max="13071" width="8" style="1183" customWidth="1"/>
    <col min="13072" max="13312" width="9.140625" style="1183"/>
    <col min="13313" max="13313" width="4.28515625" style="1183" customWidth="1"/>
    <col min="13314" max="13314" width="28.28515625" style="1183" customWidth="1"/>
    <col min="13315" max="13315" width="9.7109375" style="1183" customWidth="1"/>
    <col min="13316" max="13316" width="9.42578125" style="1183" customWidth="1"/>
    <col min="13317" max="13317" width="9.140625" style="1183" customWidth="1"/>
    <col min="13318" max="13318" width="9.5703125" style="1183" customWidth="1"/>
    <col min="13319" max="13319" width="9.42578125" style="1183" customWidth="1"/>
    <col min="13320" max="13320" width="8.7109375" style="1183" customWidth="1"/>
    <col min="13321" max="13321" width="8.140625" style="1183" customWidth="1"/>
    <col min="13322" max="13322" width="8.28515625" style="1183" customWidth="1"/>
    <col min="13323" max="13323" width="7.140625" style="1183" customWidth="1"/>
    <col min="13324" max="13326" width="7" style="1183" bestFit="1" customWidth="1"/>
    <col min="13327" max="13327" width="8" style="1183" customWidth="1"/>
    <col min="13328" max="13568" width="9.140625" style="1183"/>
    <col min="13569" max="13569" width="4.28515625" style="1183" customWidth="1"/>
    <col min="13570" max="13570" width="28.28515625" style="1183" customWidth="1"/>
    <col min="13571" max="13571" width="9.7109375" style="1183" customWidth="1"/>
    <col min="13572" max="13572" width="9.42578125" style="1183" customWidth="1"/>
    <col min="13573" max="13573" width="9.140625" style="1183" customWidth="1"/>
    <col min="13574" max="13574" width="9.5703125" style="1183" customWidth="1"/>
    <col min="13575" max="13575" width="9.42578125" style="1183" customWidth="1"/>
    <col min="13576" max="13576" width="8.7109375" style="1183" customWidth="1"/>
    <col min="13577" max="13577" width="8.140625" style="1183" customWidth="1"/>
    <col min="13578" max="13578" width="8.28515625" style="1183" customWidth="1"/>
    <col min="13579" max="13579" width="7.140625" style="1183" customWidth="1"/>
    <col min="13580" max="13582" width="7" style="1183" bestFit="1" customWidth="1"/>
    <col min="13583" max="13583" width="8" style="1183" customWidth="1"/>
    <col min="13584" max="13824" width="9.140625" style="1183"/>
    <col min="13825" max="13825" width="4.28515625" style="1183" customWidth="1"/>
    <col min="13826" max="13826" width="28.28515625" style="1183" customWidth="1"/>
    <col min="13827" max="13827" width="9.7109375" style="1183" customWidth="1"/>
    <col min="13828" max="13828" width="9.42578125" style="1183" customWidth="1"/>
    <col min="13829" max="13829" width="9.140625" style="1183" customWidth="1"/>
    <col min="13830" max="13830" width="9.5703125" style="1183" customWidth="1"/>
    <col min="13831" max="13831" width="9.42578125" style="1183" customWidth="1"/>
    <col min="13832" max="13832" width="8.7109375" style="1183" customWidth="1"/>
    <col min="13833" max="13833" width="8.140625" style="1183" customWidth="1"/>
    <col min="13834" max="13834" width="8.28515625" style="1183" customWidth="1"/>
    <col min="13835" max="13835" width="7.140625" style="1183" customWidth="1"/>
    <col min="13836" max="13838" width="7" style="1183" bestFit="1" customWidth="1"/>
    <col min="13839" max="13839" width="8" style="1183" customWidth="1"/>
    <col min="13840" max="14080" width="9.140625" style="1183"/>
    <col min="14081" max="14081" width="4.28515625" style="1183" customWidth="1"/>
    <col min="14082" max="14082" width="28.28515625" style="1183" customWidth="1"/>
    <col min="14083" max="14083" width="9.7109375" style="1183" customWidth="1"/>
    <col min="14084" max="14084" width="9.42578125" style="1183" customWidth="1"/>
    <col min="14085" max="14085" width="9.140625" style="1183" customWidth="1"/>
    <col min="14086" max="14086" width="9.5703125" style="1183" customWidth="1"/>
    <col min="14087" max="14087" width="9.42578125" style="1183" customWidth="1"/>
    <col min="14088" max="14088" width="8.7109375" style="1183" customWidth="1"/>
    <col min="14089" max="14089" width="8.140625" style="1183" customWidth="1"/>
    <col min="14090" max="14090" width="8.28515625" style="1183" customWidth="1"/>
    <col min="14091" max="14091" width="7.140625" style="1183" customWidth="1"/>
    <col min="14092" max="14094" width="7" style="1183" bestFit="1" customWidth="1"/>
    <col min="14095" max="14095" width="8" style="1183" customWidth="1"/>
    <col min="14096" max="14336" width="9.140625" style="1183"/>
    <col min="14337" max="14337" width="4.28515625" style="1183" customWidth="1"/>
    <col min="14338" max="14338" width="28.28515625" style="1183" customWidth="1"/>
    <col min="14339" max="14339" width="9.7109375" style="1183" customWidth="1"/>
    <col min="14340" max="14340" width="9.42578125" style="1183" customWidth="1"/>
    <col min="14341" max="14341" width="9.140625" style="1183" customWidth="1"/>
    <col min="14342" max="14342" width="9.5703125" style="1183" customWidth="1"/>
    <col min="14343" max="14343" width="9.42578125" style="1183" customWidth="1"/>
    <col min="14344" max="14344" width="8.7109375" style="1183" customWidth="1"/>
    <col min="14345" max="14345" width="8.140625" style="1183" customWidth="1"/>
    <col min="14346" max="14346" width="8.28515625" style="1183" customWidth="1"/>
    <col min="14347" max="14347" width="7.140625" style="1183" customWidth="1"/>
    <col min="14348" max="14350" width="7" style="1183" bestFit="1" customWidth="1"/>
    <col min="14351" max="14351" width="8" style="1183" customWidth="1"/>
    <col min="14352" max="14592" width="9.140625" style="1183"/>
    <col min="14593" max="14593" width="4.28515625" style="1183" customWidth="1"/>
    <col min="14594" max="14594" width="28.28515625" style="1183" customWidth="1"/>
    <col min="14595" max="14595" width="9.7109375" style="1183" customWidth="1"/>
    <col min="14596" max="14596" width="9.42578125" style="1183" customWidth="1"/>
    <col min="14597" max="14597" width="9.140625" style="1183" customWidth="1"/>
    <col min="14598" max="14598" width="9.5703125" style="1183" customWidth="1"/>
    <col min="14599" max="14599" width="9.42578125" style="1183" customWidth="1"/>
    <col min="14600" max="14600" width="8.7109375" style="1183" customWidth="1"/>
    <col min="14601" max="14601" width="8.140625" style="1183" customWidth="1"/>
    <col min="14602" max="14602" width="8.28515625" style="1183" customWidth="1"/>
    <col min="14603" max="14603" width="7.140625" style="1183" customWidth="1"/>
    <col min="14604" max="14606" width="7" style="1183" bestFit="1" customWidth="1"/>
    <col min="14607" max="14607" width="8" style="1183" customWidth="1"/>
    <col min="14608" max="14848" width="9.140625" style="1183"/>
    <col min="14849" max="14849" width="4.28515625" style="1183" customWidth="1"/>
    <col min="14850" max="14850" width="28.28515625" style="1183" customWidth="1"/>
    <col min="14851" max="14851" width="9.7109375" style="1183" customWidth="1"/>
    <col min="14852" max="14852" width="9.42578125" style="1183" customWidth="1"/>
    <col min="14853" max="14853" width="9.140625" style="1183" customWidth="1"/>
    <col min="14854" max="14854" width="9.5703125" style="1183" customWidth="1"/>
    <col min="14855" max="14855" width="9.42578125" style="1183" customWidth="1"/>
    <col min="14856" max="14856" width="8.7109375" style="1183" customWidth="1"/>
    <col min="14857" max="14857" width="8.140625" style="1183" customWidth="1"/>
    <col min="14858" max="14858" width="8.28515625" style="1183" customWidth="1"/>
    <col min="14859" max="14859" width="7.140625" style="1183" customWidth="1"/>
    <col min="14860" max="14862" width="7" style="1183" bestFit="1" customWidth="1"/>
    <col min="14863" max="14863" width="8" style="1183" customWidth="1"/>
    <col min="14864" max="15104" width="9.140625" style="1183"/>
    <col min="15105" max="15105" width="4.28515625" style="1183" customWidth="1"/>
    <col min="15106" max="15106" width="28.28515625" style="1183" customWidth="1"/>
    <col min="15107" max="15107" width="9.7109375" style="1183" customWidth="1"/>
    <col min="15108" max="15108" width="9.42578125" style="1183" customWidth="1"/>
    <col min="15109" max="15109" width="9.140625" style="1183" customWidth="1"/>
    <col min="15110" max="15110" width="9.5703125" style="1183" customWidth="1"/>
    <col min="15111" max="15111" width="9.42578125" style="1183" customWidth="1"/>
    <col min="15112" max="15112" width="8.7109375" style="1183" customWidth="1"/>
    <col min="15113" max="15113" width="8.140625" style="1183" customWidth="1"/>
    <col min="15114" max="15114" width="8.28515625" style="1183" customWidth="1"/>
    <col min="15115" max="15115" width="7.140625" style="1183" customWidth="1"/>
    <col min="15116" max="15118" width="7" style="1183" bestFit="1" customWidth="1"/>
    <col min="15119" max="15119" width="8" style="1183" customWidth="1"/>
    <col min="15120" max="15360" width="9.140625" style="1183"/>
    <col min="15361" max="15361" width="4.28515625" style="1183" customWidth="1"/>
    <col min="15362" max="15362" width="28.28515625" style="1183" customWidth="1"/>
    <col min="15363" max="15363" width="9.7109375" style="1183" customWidth="1"/>
    <col min="15364" max="15364" width="9.42578125" style="1183" customWidth="1"/>
    <col min="15365" max="15365" width="9.140625" style="1183" customWidth="1"/>
    <col min="15366" max="15366" width="9.5703125" style="1183" customWidth="1"/>
    <col min="15367" max="15367" width="9.42578125" style="1183" customWidth="1"/>
    <col min="15368" max="15368" width="8.7109375" style="1183" customWidth="1"/>
    <col min="15369" max="15369" width="8.140625" style="1183" customWidth="1"/>
    <col min="15370" max="15370" width="8.28515625" style="1183" customWidth="1"/>
    <col min="15371" max="15371" width="7.140625" style="1183" customWidth="1"/>
    <col min="15372" max="15374" width="7" style="1183" bestFit="1" customWidth="1"/>
    <col min="15375" max="15375" width="8" style="1183" customWidth="1"/>
    <col min="15376" max="15616" width="9.140625" style="1183"/>
    <col min="15617" max="15617" width="4.28515625" style="1183" customWidth="1"/>
    <col min="15618" max="15618" width="28.28515625" style="1183" customWidth="1"/>
    <col min="15619" max="15619" width="9.7109375" style="1183" customWidth="1"/>
    <col min="15620" max="15620" width="9.42578125" style="1183" customWidth="1"/>
    <col min="15621" max="15621" width="9.140625" style="1183" customWidth="1"/>
    <col min="15622" max="15622" width="9.5703125" style="1183" customWidth="1"/>
    <col min="15623" max="15623" width="9.42578125" style="1183" customWidth="1"/>
    <col min="15624" max="15624" width="8.7109375" style="1183" customWidth="1"/>
    <col min="15625" max="15625" width="8.140625" style="1183" customWidth="1"/>
    <col min="15626" max="15626" width="8.28515625" style="1183" customWidth="1"/>
    <col min="15627" max="15627" width="7.140625" style="1183" customWidth="1"/>
    <col min="15628" max="15630" width="7" style="1183" bestFit="1" customWidth="1"/>
    <col min="15631" max="15631" width="8" style="1183" customWidth="1"/>
    <col min="15632" max="15872" width="9.140625" style="1183"/>
    <col min="15873" max="15873" width="4.28515625" style="1183" customWidth="1"/>
    <col min="15874" max="15874" width="28.28515625" style="1183" customWidth="1"/>
    <col min="15875" max="15875" width="9.7109375" style="1183" customWidth="1"/>
    <col min="15876" max="15876" width="9.42578125" style="1183" customWidth="1"/>
    <col min="15877" max="15877" width="9.140625" style="1183" customWidth="1"/>
    <col min="15878" max="15878" width="9.5703125" style="1183" customWidth="1"/>
    <col min="15879" max="15879" width="9.42578125" style="1183" customWidth="1"/>
    <col min="15880" max="15880" width="8.7109375" style="1183" customWidth="1"/>
    <col min="15881" max="15881" width="8.140625" style="1183" customWidth="1"/>
    <col min="15882" max="15882" width="8.28515625" style="1183" customWidth="1"/>
    <col min="15883" max="15883" width="7.140625" style="1183" customWidth="1"/>
    <col min="15884" max="15886" width="7" style="1183" bestFit="1" customWidth="1"/>
    <col min="15887" max="15887" width="8" style="1183" customWidth="1"/>
    <col min="15888" max="16128" width="9.140625" style="1183"/>
    <col min="16129" max="16129" width="4.28515625" style="1183" customWidth="1"/>
    <col min="16130" max="16130" width="28.28515625" style="1183" customWidth="1"/>
    <col min="16131" max="16131" width="9.7109375" style="1183" customWidth="1"/>
    <col min="16132" max="16132" width="9.42578125" style="1183" customWidth="1"/>
    <col min="16133" max="16133" width="9.140625" style="1183" customWidth="1"/>
    <col min="16134" max="16134" width="9.5703125" style="1183" customWidth="1"/>
    <col min="16135" max="16135" width="9.42578125" style="1183" customWidth="1"/>
    <col min="16136" max="16136" width="8.7109375" style="1183" customWidth="1"/>
    <col min="16137" max="16137" width="8.140625" style="1183" customWidth="1"/>
    <col min="16138" max="16138" width="8.28515625" style="1183" customWidth="1"/>
    <col min="16139" max="16139" width="7.140625" style="1183" customWidth="1"/>
    <col min="16140" max="16142" width="7" style="1183" bestFit="1" customWidth="1"/>
    <col min="16143" max="16143" width="8" style="1183" customWidth="1"/>
    <col min="16144" max="16384" width="9.140625" style="1183"/>
  </cols>
  <sheetData>
    <row r="1" spans="1:41" ht="18.75">
      <c r="A1" s="1178" t="s">
        <v>2668</v>
      </c>
      <c r="B1" s="1179"/>
      <c r="C1" s="1180"/>
      <c r="D1" s="1179"/>
      <c r="E1" s="1179"/>
      <c r="F1" s="1181"/>
      <c r="G1" s="1180"/>
      <c r="H1" s="1179"/>
      <c r="I1" s="1179"/>
      <c r="J1" s="1179"/>
      <c r="K1" s="1182"/>
    </row>
    <row r="2" spans="1:41" ht="15.75" customHeight="1" thickBot="1">
      <c r="A2" s="1179"/>
      <c r="B2" s="1179"/>
      <c r="C2" s="3173" t="s">
        <v>2669</v>
      </c>
      <c r="D2" s="3173"/>
      <c r="E2" s="3173"/>
      <c r="F2" s="3173"/>
      <c r="G2" s="3173"/>
      <c r="H2" s="3173"/>
      <c r="I2" s="3173"/>
      <c r="J2" s="1184"/>
      <c r="L2" s="1185"/>
      <c r="M2" s="1186"/>
      <c r="N2" s="1182"/>
      <c r="O2" s="1182"/>
    </row>
    <row r="3" spans="1:41" ht="15" customHeight="1" thickBot="1">
      <c r="A3" s="3174"/>
      <c r="B3" s="3175"/>
      <c r="C3" s="3176" t="s">
        <v>2670</v>
      </c>
      <c r="D3" s="3177"/>
      <c r="E3" s="3177"/>
      <c r="F3" s="3177"/>
      <c r="G3" s="3178"/>
      <c r="H3" s="1187" t="s">
        <v>81</v>
      </c>
      <c r="I3" s="1188" t="s">
        <v>81</v>
      </c>
      <c r="L3" s="1189"/>
      <c r="M3" s="1189"/>
    </row>
    <row r="4" spans="1:41" ht="26.25" customHeight="1" thickBot="1">
      <c r="A4" s="1190"/>
      <c r="B4" s="1191"/>
      <c r="C4" s="1192" t="s">
        <v>2671</v>
      </c>
      <c r="D4" s="1192" t="s">
        <v>2672</v>
      </c>
      <c r="E4" s="1192" t="s">
        <v>2673</v>
      </c>
      <c r="F4" s="1192" t="s">
        <v>2674</v>
      </c>
      <c r="G4" s="1192" t="s">
        <v>2675</v>
      </c>
      <c r="H4" s="1193">
        <v>42156</v>
      </c>
      <c r="I4" s="1193">
        <v>42186</v>
      </c>
      <c r="L4" s="1189"/>
      <c r="M4" s="1189"/>
      <c r="N4" s="1194"/>
      <c r="O4" s="1194"/>
      <c r="P4" s="1194"/>
      <c r="Q4" s="1194"/>
      <c r="R4" s="1194"/>
      <c r="S4" s="1194"/>
      <c r="T4" s="1194"/>
      <c r="U4" s="1194"/>
      <c r="V4" s="1194"/>
      <c r="W4" s="1194"/>
      <c r="X4" s="1194"/>
      <c r="Y4" s="1194"/>
      <c r="Z4" s="1194"/>
      <c r="AA4" s="1194"/>
      <c r="AB4" s="1194"/>
      <c r="AC4" s="1194"/>
    </row>
    <row r="5" spans="1:41" ht="7.5" customHeight="1">
      <c r="A5" s="1195"/>
      <c r="B5" s="1196"/>
      <c r="C5" s="1197" t="s">
        <v>42</v>
      </c>
      <c r="D5" s="1197"/>
      <c r="E5" s="1198"/>
      <c r="F5" s="1199"/>
      <c r="G5" s="1199"/>
      <c r="H5" s="1200"/>
      <c r="I5" s="1201"/>
      <c r="L5" s="1189"/>
      <c r="M5" s="1189"/>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row>
    <row r="6" spans="1:41" ht="16.5" customHeight="1">
      <c r="A6" s="1202">
        <v>1</v>
      </c>
      <c r="B6" s="1203" t="s">
        <v>2676</v>
      </c>
      <c r="C6" s="1204">
        <v>800</v>
      </c>
      <c r="D6" s="1205">
        <v>700</v>
      </c>
      <c r="E6" s="1204">
        <v>700</v>
      </c>
      <c r="F6" s="1204">
        <v>700</v>
      </c>
      <c r="G6" s="1204">
        <v>700</v>
      </c>
      <c r="H6" s="1204">
        <v>3600</v>
      </c>
      <c r="I6" s="1206">
        <f>SUM(C6:G6)</f>
        <v>3600</v>
      </c>
      <c r="L6" s="1189"/>
      <c r="M6" s="1189"/>
      <c r="N6" s="1207"/>
      <c r="O6" s="1207"/>
    </row>
    <row r="7" spans="1:41" ht="16.5" customHeight="1">
      <c r="A7" s="1202">
        <v>2</v>
      </c>
      <c r="B7" s="1203" t="s">
        <v>2677</v>
      </c>
      <c r="C7" s="1204">
        <v>2755</v>
      </c>
      <c r="D7" s="1205">
        <v>2550</v>
      </c>
      <c r="E7" s="1204">
        <v>2515</v>
      </c>
      <c r="F7" s="1204">
        <v>2890</v>
      </c>
      <c r="G7" s="1204">
        <v>2480</v>
      </c>
      <c r="H7" s="1204">
        <v>11565</v>
      </c>
      <c r="I7" s="1206">
        <f t="shared" ref="I7:I10" si="0">SUM(C7:G7)</f>
        <v>13190</v>
      </c>
      <c r="L7" s="1189"/>
      <c r="M7" s="1189"/>
      <c r="N7" s="1207"/>
      <c r="O7" s="1207"/>
    </row>
    <row r="8" spans="1:41" ht="16.5" customHeight="1">
      <c r="A8" s="1202">
        <v>3</v>
      </c>
      <c r="B8" s="1208" t="s">
        <v>2678</v>
      </c>
      <c r="C8" s="1204">
        <v>800</v>
      </c>
      <c r="D8" s="1205">
        <v>700</v>
      </c>
      <c r="E8" s="1204">
        <v>700</v>
      </c>
      <c r="F8" s="1204">
        <v>700</v>
      </c>
      <c r="G8" s="1204">
        <v>700</v>
      </c>
      <c r="H8" s="1204">
        <v>3600</v>
      </c>
      <c r="I8" s="1206">
        <f t="shared" si="0"/>
        <v>3600</v>
      </c>
      <c r="L8" s="1189"/>
      <c r="M8" s="1209"/>
    </row>
    <row r="9" spans="1:41" ht="16.5" customHeight="1">
      <c r="A9" s="1202">
        <v>4</v>
      </c>
      <c r="B9" s="1203" t="s">
        <v>2679</v>
      </c>
      <c r="C9" s="1204">
        <v>500</v>
      </c>
      <c r="D9" s="1205">
        <v>1640</v>
      </c>
      <c r="E9" s="1204">
        <v>500</v>
      </c>
      <c r="F9" s="1205" t="s">
        <v>60</v>
      </c>
      <c r="G9" s="1205" t="s">
        <v>60</v>
      </c>
      <c r="H9" s="1204">
        <v>2500</v>
      </c>
      <c r="I9" s="1210">
        <f t="shared" si="0"/>
        <v>2640</v>
      </c>
      <c r="L9" s="1189"/>
      <c r="M9" s="1207"/>
      <c r="N9" s="1207"/>
      <c r="O9" s="1207"/>
    </row>
    <row r="10" spans="1:41" ht="16.5" customHeight="1">
      <c r="A10" s="1202">
        <v>5</v>
      </c>
      <c r="B10" s="1203" t="s">
        <v>2680</v>
      </c>
      <c r="C10" s="1211">
        <f>C8-C9</f>
        <v>300</v>
      </c>
      <c r="D10" s="1211">
        <f t="shared" ref="D10:E10" si="1">D8-D9</f>
        <v>-940</v>
      </c>
      <c r="E10" s="1211">
        <f t="shared" si="1"/>
        <v>200</v>
      </c>
      <c r="F10" s="1211">
        <v>700</v>
      </c>
      <c r="G10" s="1211">
        <v>700</v>
      </c>
      <c r="H10" s="1211">
        <v>1100</v>
      </c>
      <c r="I10" s="1206">
        <f t="shared" si="0"/>
        <v>960</v>
      </c>
      <c r="L10" s="1189"/>
      <c r="M10" s="1189"/>
      <c r="N10" s="1207"/>
      <c r="O10" s="1207"/>
    </row>
    <row r="11" spans="1:41" ht="5.25" customHeight="1" thickBot="1">
      <c r="A11" s="1212"/>
      <c r="B11" s="1213"/>
      <c r="C11" s="1214"/>
      <c r="D11" s="1214"/>
      <c r="E11" s="1214"/>
      <c r="F11" s="1215"/>
      <c r="G11" s="1215"/>
      <c r="H11" s="1215"/>
      <c r="I11" s="1216"/>
      <c r="L11" s="1217"/>
    </row>
    <row r="12" spans="1:41" ht="14.25" customHeight="1">
      <c r="A12" s="1218" t="s">
        <v>2346</v>
      </c>
      <c r="C12" s="1219"/>
      <c r="D12" s="1189"/>
      <c r="E12" s="1189"/>
      <c r="F12" s="1219"/>
      <c r="G12" s="1189"/>
      <c r="H12" s="1189"/>
      <c r="J12" s="1189"/>
      <c r="K12" s="1189"/>
      <c r="L12" s="1183" t="s">
        <v>42</v>
      </c>
      <c r="M12" s="1220"/>
    </row>
    <row r="13" spans="1:41">
      <c r="A13" s="1218" t="s">
        <v>2681</v>
      </c>
      <c r="B13" s="1218"/>
      <c r="C13" s="1221"/>
      <c r="D13" s="1221"/>
      <c r="E13" s="1221"/>
      <c r="F13" s="1221"/>
      <c r="G13" s="1221"/>
      <c r="H13" s="1221"/>
    </row>
    <row r="14" spans="1:41" ht="8.25" customHeight="1">
      <c r="A14" s="1218"/>
      <c r="D14" s="1194"/>
      <c r="E14" s="1194"/>
      <c r="F14" s="1194"/>
      <c r="H14" s="1194"/>
      <c r="I14" s="1194"/>
      <c r="J14" s="1194"/>
    </row>
    <row r="15" spans="1:41" ht="18.75" customHeight="1">
      <c r="A15" s="1178" t="s">
        <v>2682</v>
      </c>
      <c r="B15" s="1179"/>
      <c r="C15" s="1180"/>
      <c r="D15" s="1179"/>
      <c r="E15" s="1179"/>
      <c r="F15" s="1181"/>
      <c r="G15" s="1180"/>
      <c r="H15" s="1179"/>
      <c r="I15" s="1179"/>
      <c r="J15" s="1179"/>
      <c r="K15" s="1182"/>
    </row>
    <row r="16" spans="1:41" ht="4.5" customHeight="1" thickBot="1">
      <c r="F16" s="1194"/>
      <c r="H16" s="1194"/>
    </row>
    <row r="17" spans="1:15" ht="25.5" customHeight="1" thickBot="1">
      <c r="A17" s="1222"/>
      <c r="B17" s="1223"/>
      <c r="C17" s="1224">
        <v>41821</v>
      </c>
      <c r="D17" s="1224">
        <v>41852</v>
      </c>
      <c r="E17" s="1224">
        <v>41883</v>
      </c>
      <c r="F17" s="1224">
        <v>41913</v>
      </c>
      <c r="G17" s="1224">
        <v>41944</v>
      </c>
      <c r="H17" s="1224">
        <v>41974</v>
      </c>
      <c r="I17" s="1224">
        <v>42005</v>
      </c>
      <c r="J17" s="1224">
        <v>42036</v>
      </c>
      <c r="K17" s="1224">
        <v>42064</v>
      </c>
      <c r="L17" s="1224">
        <v>42095</v>
      </c>
      <c r="M17" s="1224">
        <v>42125</v>
      </c>
      <c r="N17" s="1224">
        <v>42156</v>
      </c>
      <c r="O17" s="1224">
        <v>42186</v>
      </c>
    </row>
    <row r="18" spans="1:15" s="1218" customFormat="1" ht="18.75" customHeight="1" thickBot="1">
      <c r="A18" s="1225"/>
      <c r="B18" s="1226"/>
      <c r="C18" s="3179" t="s">
        <v>2683</v>
      </c>
      <c r="D18" s="3179"/>
      <c r="E18" s="3179"/>
      <c r="F18" s="3179"/>
      <c r="G18" s="3179"/>
      <c r="H18" s="3179"/>
      <c r="I18" s="3179"/>
      <c r="J18" s="3179"/>
      <c r="K18" s="3179"/>
      <c r="L18" s="3179"/>
      <c r="M18" s="3179"/>
      <c r="N18" s="3179"/>
      <c r="O18" s="3180"/>
    </row>
    <row r="19" spans="1:15" ht="6" customHeight="1" thickTop="1">
      <c r="A19" s="1227"/>
      <c r="B19" s="1228"/>
      <c r="C19" s="1229"/>
      <c r="D19" s="1229"/>
      <c r="E19" s="1229"/>
      <c r="F19" s="1229"/>
      <c r="G19" s="1229"/>
      <c r="H19" s="1229"/>
      <c r="I19" s="1229"/>
      <c r="J19" s="1229"/>
      <c r="K19" s="1229"/>
      <c r="L19" s="1229"/>
      <c r="M19" s="1229"/>
      <c r="N19" s="1229"/>
      <c r="O19" s="1229"/>
    </row>
    <row r="20" spans="1:15" ht="15.75">
      <c r="A20" s="1230">
        <v>1</v>
      </c>
      <c r="B20" s="1231" t="s">
        <v>2684</v>
      </c>
      <c r="C20" s="1232">
        <v>2000</v>
      </c>
      <c r="D20" s="1232">
        <v>3000</v>
      </c>
      <c r="E20" s="1232">
        <v>4000</v>
      </c>
      <c r="F20" s="1232">
        <v>5000</v>
      </c>
      <c r="G20" s="1232">
        <v>2900</v>
      </c>
      <c r="H20" s="1232">
        <v>2600</v>
      </c>
      <c r="I20" s="1232">
        <v>2500</v>
      </c>
      <c r="J20" s="1232">
        <v>2000</v>
      </c>
      <c r="K20" s="1232">
        <v>2000</v>
      </c>
      <c r="L20" s="1232">
        <v>2400</v>
      </c>
      <c r="M20" s="1232">
        <v>4100</v>
      </c>
      <c r="N20" s="1232">
        <v>3600</v>
      </c>
      <c r="O20" s="1232">
        <v>3600</v>
      </c>
    </row>
    <row r="21" spans="1:15" ht="5.25" customHeight="1">
      <c r="A21" s="1233"/>
      <c r="B21" s="1231"/>
      <c r="C21" s="1234"/>
      <c r="D21" s="1234"/>
      <c r="E21" s="1234"/>
      <c r="F21" s="1234"/>
      <c r="G21" s="1234"/>
      <c r="H21" s="1234"/>
      <c r="I21" s="1234"/>
      <c r="J21" s="1234"/>
      <c r="K21" s="1234"/>
      <c r="L21" s="1234"/>
      <c r="M21" s="1234"/>
      <c r="N21" s="1234"/>
      <c r="O21" s="1234"/>
    </row>
    <row r="22" spans="1:15" ht="16.5" customHeight="1">
      <c r="A22" s="1230">
        <v>2</v>
      </c>
      <c r="B22" s="1231" t="s">
        <v>2685</v>
      </c>
      <c r="C22" s="1235">
        <v>8885</v>
      </c>
      <c r="D22" s="1235">
        <v>11590</v>
      </c>
      <c r="E22" s="1235">
        <v>10430</v>
      </c>
      <c r="F22" s="1235">
        <v>17431</v>
      </c>
      <c r="G22" s="1235">
        <v>10451</v>
      </c>
      <c r="H22" s="1235">
        <v>5631</v>
      </c>
      <c r="I22" s="1235">
        <v>8970</v>
      </c>
      <c r="J22" s="1235">
        <v>6571.1</v>
      </c>
      <c r="K22" s="1235">
        <v>7920</v>
      </c>
      <c r="L22" s="1235">
        <v>8855</v>
      </c>
      <c r="M22" s="1235">
        <v>12960</v>
      </c>
      <c r="N22" s="1235">
        <v>11565</v>
      </c>
      <c r="O22" s="1235">
        <f>SUM(O23:O26)</f>
        <v>13190</v>
      </c>
    </row>
    <row r="23" spans="1:15" ht="16.5" customHeight="1">
      <c r="A23" s="1233"/>
      <c r="B23" s="1236" t="s">
        <v>2686</v>
      </c>
      <c r="C23" s="1205" t="s">
        <v>60</v>
      </c>
      <c r="D23" s="1205">
        <v>2035</v>
      </c>
      <c r="E23" s="1205" t="s">
        <v>60</v>
      </c>
      <c r="F23" s="1205">
        <v>3455</v>
      </c>
      <c r="G23" s="1205" t="s">
        <v>60</v>
      </c>
      <c r="H23" s="1205">
        <v>1465</v>
      </c>
      <c r="I23" s="1205">
        <v>580</v>
      </c>
      <c r="J23" s="1205">
        <v>1760</v>
      </c>
      <c r="K23" s="1205">
        <v>2285</v>
      </c>
      <c r="L23" s="1205" t="s">
        <v>60</v>
      </c>
      <c r="M23" s="1205">
        <v>3110</v>
      </c>
      <c r="N23" s="1205">
        <v>3685</v>
      </c>
      <c r="O23" s="1205">
        <v>5235</v>
      </c>
    </row>
    <row r="24" spans="1:15" ht="16.5" customHeight="1">
      <c r="A24" s="1233"/>
      <c r="B24" s="1231" t="s">
        <v>2687</v>
      </c>
      <c r="C24" s="1205">
        <v>2345</v>
      </c>
      <c r="D24" s="1205">
        <v>1910</v>
      </c>
      <c r="E24" s="1205">
        <v>3330</v>
      </c>
      <c r="F24" s="1205">
        <v>3635</v>
      </c>
      <c r="G24" s="1205">
        <v>2220</v>
      </c>
      <c r="H24" s="1205">
        <v>1600</v>
      </c>
      <c r="I24" s="1205">
        <v>2235</v>
      </c>
      <c r="J24" s="1205">
        <v>1610</v>
      </c>
      <c r="K24" s="1205">
        <v>2070</v>
      </c>
      <c r="L24" s="1205">
        <v>2175</v>
      </c>
      <c r="M24" s="1205">
        <v>2440</v>
      </c>
      <c r="N24" s="1205">
        <v>5280</v>
      </c>
      <c r="O24" s="1205">
        <v>2515</v>
      </c>
    </row>
    <row r="25" spans="1:15" ht="16.5" customHeight="1">
      <c r="A25" s="1233"/>
      <c r="B25" s="1231" t="s">
        <v>2688</v>
      </c>
      <c r="C25" s="1205">
        <v>2175</v>
      </c>
      <c r="D25" s="1205">
        <v>5875</v>
      </c>
      <c r="E25" s="1205">
        <v>2420</v>
      </c>
      <c r="F25" s="1205">
        <v>2765</v>
      </c>
      <c r="G25" s="1205">
        <v>3305</v>
      </c>
      <c r="H25" s="1205">
        <v>1216</v>
      </c>
      <c r="I25" s="1205">
        <v>1965</v>
      </c>
      <c r="J25" s="1205">
        <v>1170</v>
      </c>
      <c r="K25" s="1205">
        <v>1750</v>
      </c>
      <c r="L25" s="1205">
        <v>4395</v>
      </c>
      <c r="M25" s="1205">
        <v>1920</v>
      </c>
      <c r="N25" s="1205" t="s">
        <v>60</v>
      </c>
      <c r="O25" s="1237" t="s">
        <v>60</v>
      </c>
    </row>
    <row r="26" spans="1:15" ht="16.5" customHeight="1">
      <c r="A26" s="1233"/>
      <c r="B26" s="1231" t="s">
        <v>2689</v>
      </c>
      <c r="C26" s="1205">
        <v>4365</v>
      </c>
      <c r="D26" s="1205">
        <v>1770</v>
      </c>
      <c r="E26" s="1205">
        <v>4680</v>
      </c>
      <c r="F26" s="1205">
        <v>7576</v>
      </c>
      <c r="G26" s="1205">
        <v>4926</v>
      </c>
      <c r="H26" s="1205">
        <v>1350</v>
      </c>
      <c r="I26" s="1205">
        <v>4190</v>
      </c>
      <c r="J26" s="1205">
        <v>2031.1</v>
      </c>
      <c r="K26" s="1205">
        <v>1815</v>
      </c>
      <c r="L26" s="1205">
        <v>2285</v>
      </c>
      <c r="M26" s="1205">
        <v>5490</v>
      </c>
      <c r="N26" s="1205">
        <v>2600</v>
      </c>
      <c r="O26" s="1205">
        <v>5440</v>
      </c>
    </row>
    <row r="27" spans="1:15" ht="16.5" customHeight="1">
      <c r="A27" s="1230">
        <v>3</v>
      </c>
      <c r="B27" s="1236" t="s">
        <v>2690</v>
      </c>
      <c r="C27" s="1238">
        <v>2000</v>
      </c>
      <c r="D27" s="1238">
        <v>3000</v>
      </c>
      <c r="E27" s="1238">
        <v>4070</v>
      </c>
      <c r="F27" s="1238">
        <v>5505</v>
      </c>
      <c r="G27" s="1238">
        <v>3269</v>
      </c>
      <c r="H27" s="1238">
        <v>2600</v>
      </c>
      <c r="I27" s="1238">
        <v>2180</v>
      </c>
      <c r="J27" s="1238">
        <v>2000</v>
      </c>
      <c r="K27" s="1238">
        <v>2000</v>
      </c>
      <c r="L27" s="1238">
        <v>2400</v>
      </c>
      <c r="M27" s="1238">
        <v>4100</v>
      </c>
      <c r="N27" s="1238">
        <v>3600</v>
      </c>
      <c r="O27" s="1238">
        <f>SUM(O28:O31)</f>
        <v>3600</v>
      </c>
    </row>
    <row r="28" spans="1:15" ht="16.5" customHeight="1">
      <c r="A28" s="1233"/>
      <c r="B28" s="1236" t="s">
        <v>2686</v>
      </c>
      <c r="C28" s="1205" t="s">
        <v>60</v>
      </c>
      <c r="D28" s="1205">
        <v>500</v>
      </c>
      <c r="E28" s="1205" t="s">
        <v>60</v>
      </c>
      <c r="F28" s="1205">
        <v>1300</v>
      </c>
      <c r="G28" s="1205" t="s">
        <v>60</v>
      </c>
      <c r="H28" s="1205">
        <v>800</v>
      </c>
      <c r="I28" s="1205">
        <v>180</v>
      </c>
      <c r="J28" s="1205">
        <v>500</v>
      </c>
      <c r="K28" s="1205">
        <v>500</v>
      </c>
      <c r="L28" s="1205" t="s">
        <v>60</v>
      </c>
      <c r="M28" s="1205">
        <v>700</v>
      </c>
      <c r="N28" s="1205">
        <v>800</v>
      </c>
      <c r="O28" s="1205">
        <v>1500</v>
      </c>
    </row>
    <row r="29" spans="1:15" ht="16.5" customHeight="1">
      <c r="A29" s="1233"/>
      <c r="B29" s="1231" t="s">
        <v>2687</v>
      </c>
      <c r="C29" s="1205">
        <v>500</v>
      </c>
      <c r="D29" s="1205">
        <v>500</v>
      </c>
      <c r="E29" s="1205">
        <v>1000</v>
      </c>
      <c r="F29" s="1205">
        <v>900</v>
      </c>
      <c r="G29" s="1205">
        <v>990</v>
      </c>
      <c r="H29" s="1205">
        <v>500</v>
      </c>
      <c r="I29" s="1205">
        <v>500</v>
      </c>
      <c r="J29" s="1205">
        <v>500</v>
      </c>
      <c r="K29" s="1205">
        <v>500</v>
      </c>
      <c r="L29" s="1205">
        <v>500</v>
      </c>
      <c r="M29" s="1205">
        <v>900</v>
      </c>
      <c r="N29" s="1205">
        <v>1800</v>
      </c>
      <c r="O29" s="1205">
        <v>700</v>
      </c>
    </row>
    <row r="30" spans="1:15" ht="16.5" customHeight="1">
      <c r="A30" s="1233"/>
      <c r="B30" s="1231" t="s">
        <v>2688</v>
      </c>
      <c r="C30" s="1205">
        <v>500</v>
      </c>
      <c r="D30" s="1205">
        <v>1500</v>
      </c>
      <c r="E30" s="1205">
        <v>1000</v>
      </c>
      <c r="F30" s="1205">
        <v>1140</v>
      </c>
      <c r="G30" s="1205">
        <v>700</v>
      </c>
      <c r="H30" s="1205">
        <v>800</v>
      </c>
      <c r="I30" s="1205">
        <v>500</v>
      </c>
      <c r="J30" s="1205">
        <v>500</v>
      </c>
      <c r="K30" s="1205">
        <v>500</v>
      </c>
      <c r="L30" s="1205">
        <v>1200</v>
      </c>
      <c r="M30" s="1205">
        <v>800</v>
      </c>
      <c r="N30" s="1205" t="s">
        <v>60</v>
      </c>
      <c r="O30" s="1205" t="s">
        <v>60</v>
      </c>
    </row>
    <row r="31" spans="1:15" ht="16.5" customHeight="1">
      <c r="A31" s="1233"/>
      <c r="B31" s="1231" t="s">
        <v>2689</v>
      </c>
      <c r="C31" s="1205">
        <v>1000</v>
      </c>
      <c r="D31" s="1205">
        <v>500</v>
      </c>
      <c r="E31" s="1205">
        <v>2070</v>
      </c>
      <c r="F31" s="1205">
        <v>2165</v>
      </c>
      <c r="G31" s="1205">
        <v>1579</v>
      </c>
      <c r="H31" s="1205">
        <v>500</v>
      </c>
      <c r="I31" s="1205">
        <v>1000</v>
      </c>
      <c r="J31" s="1205">
        <v>500</v>
      </c>
      <c r="K31" s="1205">
        <v>500</v>
      </c>
      <c r="L31" s="1205">
        <v>700</v>
      </c>
      <c r="M31" s="1205">
        <v>1700</v>
      </c>
      <c r="N31" s="1205">
        <v>1000</v>
      </c>
      <c r="O31" s="1205">
        <v>1400</v>
      </c>
    </row>
    <row r="32" spans="1:15" hidden="1">
      <c r="A32" s="1233"/>
      <c r="B32" s="1239" t="s">
        <v>2691</v>
      </c>
      <c r="C32" s="1240"/>
      <c r="D32" s="1240"/>
      <c r="E32" s="1240"/>
      <c r="F32" s="1240"/>
      <c r="G32" s="1240"/>
      <c r="H32" s="1240"/>
      <c r="I32" s="1240"/>
      <c r="J32" s="1240"/>
      <c r="K32" s="1240"/>
      <c r="L32" s="1240"/>
      <c r="M32" s="1240"/>
      <c r="N32" s="1240"/>
      <c r="O32" s="1240"/>
    </row>
    <row r="33" spans="1:15" ht="6.75" customHeight="1" thickBot="1">
      <c r="A33" s="1233"/>
      <c r="B33" s="1241"/>
      <c r="C33" s="1240"/>
      <c r="D33" s="1240"/>
      <c r="E33" s="1240"/>
      <c r="F33" s="1240"/>
      <c r="G33" s="1240"/>
      <c r="H33" s="1240"/>
      <c r="I33" s="1240"/>
      <c r="J33" s="1240"/>
      <c r="K33" s="1240"/>
      <c r="L33" s="1240"/>
      <c r="M33" s="1240"/>
      <c r="N33" s="1240"/>
      <c r="O33" s="1240"/>
    </row>
    <row r="34" spans="1:15" s="1218" customFormat="1" ht="16.5" thickBot="1">
      <c r="A34" s="1242"/>
      <c r="B34" s="3181" t="s">
        <v>2692</v>
      </c>
      <c r="C34" s="3181"/>
      <c r="D34" s="3181"/>
      <c r="E34" s="3181"/>
      <c r="F34" s="3181"/>
      <c r="G34" s="3181"/>
      <c r="H34" s="3181"/>
      <c r="I34" s="3181"/>
      <c r="J34" s="3181"/>
      <c r="K34" s="3181"/>
      <c r="L34" s="3181"/>
      <c r="M34" s="3181"/>
      <c r="N34" s="3181"/>
      <c r="O34" s="3182"/>
    </row>
    <row r="35" spans="1:15" ht="16.5" customHeight="1">
      <c r="A35" s="1230">
        <v>4</v>
      </c>
      <c r="B35" s="1243" t="s">
        <v>2693</v>
      </c>
      <c r="C35" s="1244"/>
      <c r="D35" s="1244"/>
      <c r="E35" s="1244"/>
      <c r="F35" s="1244"/>
      <c r="G35" s="1244"/>
      <c r="H35" s="1244"/>
      <c r="I35" s="1244"/>
      <c r="J35" s="1244"/>
      <c r="K35" s="1244"/>
      <c r="L35" s="1244"/>
      <c r="M35" s="1244"/>
      <c r="N35" s="1244"/>
      <c r="O35" s="1244"/>
    </row>
    <row r="36" spans="1:15" ht="16.5" customHeight="1">
      <c r="A36" s="1233"/>
      <c r="B36" s="1245" t="s">
        <v>2686</v>
      </c>
      <c r="C36" s="1246" t="s">
        <v>60</v>
      </c>
      <c r="D36" s="1246">
        <v>1.43</v>
      </c>
      <c r="E36" s="1246" t="s">
        <v>60</v>
      </c>
      <c r="F36" s="1246">
        <v>1.07</v>
      </c>
      <c r="G36" s="1246" t="s">
        <v>60</v>
      </c>
      <c r="H36" s="1246">
        <v>2.21</v>
      </c>
      <c r="I36" s="1246">
        <v>3.04</v>
      </c>
      <c r="J36" s="1246">
        <v>2.17</v>
      </c>
      <c r="K36" s="1246">
        <v>1.49</v>
      </c>
      <c r="L36" s="1246" t="s">
        <v>60</v>
      </c>
      <c r="M36" s="1246">
        <v>0.93</v>
      </c>
      <c r="N36" s="1246">
        <v>1.34</v>
      </c>
      <c r="O36" s="1246">
        <v>1.31</v>
      </c>
    </row>
    <row r="37" spans="1:15" ht="16.5" customHeight="1">
      <c r="A37" s="1233"/>
      <c r="B37" s="1247" t="s">
        <v>2687</v>
      </c>
      <c r="C37" s="1248">
        <v>1.75</v>
      </c>
      <c r="D37" s="1248">
        <v>0.92</v>
      </c>
      <c r="E37" s="1248">
        <v>1.31</v>
      </c>
      <c r="F37" s="1248">
        <v>1.1499999999999999</v>
      </c>
      <c r="G37" s="1248">
        <v>1.33</v>
      </c>
      <c r="H37" s="1248">
        <v>2.88</v>
      </c>
      <c r="I37" s="1248">
        <v>3</v>
      </c>
      <c r="J37" s="1248">
        <v>2.4300000000000002</v>
      </c>
      <c r="K37" s="1248">
        <v>2.0299999999999998</v>
      </c>
      <c r="L37" s="1248">
        <v>1.41</v>
      </c>
      <c r="M37" s="1248">
        <v>1.1399999999999999</v>
      </c>
      <c r="N37" s="1248">
        <v>1.74</v>
      </c>
      <c r="O37" s="1248">
        <v>1.65</v>
      </c>
    </row>
    <row r="38" spans="1:15" ht="16.5" customHeight="1">
      <c r="A38" s="1233"/>
      <c r="B38" s="1247" t="s">
        <v>2688</v>
      </c>
      <c r="C38" s="1248">
        <v>2.19</v>
      </c>
      <c r="D38" s="1248">
        <v>1.1200000000000001</v>
      </c>
      <c r="E38" s="1248">
        <v>1.6</v>
      </c>
      <c r="F38" s="1248">
        <v>1.52</v>
      </c>
      <c r="G38" s="1248">
        <v>1.21</v>
      </c>
      <c r="H38" s="1248">
        <v>1.96</v>
      </c>
      <c r="I38" s="1248">
        <v>2.64</v>
      </c>
      <c r="J38" s="1248">
        <v>2.39</v>
      </c>
      <c r="K38" s="1248">
        <v>2.0299999999999998</v>
      </c>
      <c r="L38" s="1248">
        <v>1.43</v>
      </c>
      <c r="M38" s="1248">
        <v>1.67</v>
      </c>
      <c r="N38" s="1246" t="s">
        <v>60</v>
      </c>
      <c r="O38" s="1246" t="s">
        <v>60</v>
      </c>
    </row>
    <row r="39" spans="1:15" ht="16.5" customHeight="1">
      <c r="A39" s="1233"/>
      <c r="B39" s="1247" t="s">
        <v>2689</v>
      </c>
      <c r="C39" s="1248">
        <v>2.23</v>
      </c>
      <c r="D39" s="1248">
        <v>1.3</v>
      </c>
      <c r="E39" s="1248">
        <v>1.95</v>
      </c>
      <c r="F39" s="1248">
        <v>1.82</v>
      </c>
      <c r="G39" s="1248">
        <v>1.61</v>
      </c>
      <c r="H39" s="1248">
        <v>3.15</v>
      </c>
      <c r="I39" s="1248">
        <v>2.79</v>
      </c>
      <c r="J39" s="1248">
        <v>2.4300000000000002</v>
      </c>
      <c r="K39" s="1248">
        <v>1.95</v>
      </c>
      <c r="L39" s="1248">
        <v>1.57</v>
      </c>
      <c r="M39" s="1248">
        <v>1.7</v>
      </c>
      <c r="N39" s="1248">
        <v>2.21</v>
      </c>
      <c r="O39" s="1248">
        <v>2.38</v>
      </c>
    </row>
    <row r="40" spans="1:15" ht="16.5" customHeight="1">
      <c r="A40" s="1230">
        <v>5</v>
      </c>
      <c r="B40" s="1247" t="s">
        <v>2694</v>
      </c>
      <c r="C40" s="1248">
        <v>2.1</v>
      </c>
      <c r="D40" s="1248">
        <v>1.17</v>
      </c>
      <c r="E40" s="1248">
        <v>1.71</v>
      </c>
      <c r="F40" s="1248">
        <v>1.47</v>
      </c>
      <c r="G40" s="1248">
        <v>1.44</v>
      </c>
      <c r="H40" s="1248">
        <v>2.44</v>
      </c>
      <c r="I40" s="1248">
        <v>2.82</v>
      </c>
      <c r="J40" s="1248">
        <v>2.36</v>
      </c>
      <c r="K40" s="1248">
        <v>1.88</v>
      </c>
      <c r="L40" s="1248">
        <v>1.47</v>
      </c>
      <c r="M40" s="1248">
        <v>1.44</v>
      </c>
      <c r="N40" s="1248">
        <v>1.78</v>
      </c>
      <c r="O40" s="1248">
        <v>1.79</v>
      </c>
    </row>
    <row r="41" spans="1:15" ht="6.75" customHeight="1" thickBot="1">
      <c r="A41" s="1249"/>
      <c r="B41" s="1250"/>
      <c r="C41" s="1251"/>
      <c r="D41" s="1252"/>
      <c r="E41" s="1252"/>
      <c r="F41" s="1252"/>
      <c r="G41" s="1252"/>
      <c r="H41" s="1252"/>
      <c r="I41" s="1252"/>
      <c r="J41" s="1252"/>
      <c r="K41" s="1252"/>
      <c r="L41" s="1252"/>
      <c r="M41" s="1252"/>
      <c r="N41" s="1252"/>
      <c r="O41" s="1252"/>
    </row>
    <row r="42" spans="1:15" ht="17.25" customHeight="1">
      <c r="A42" s="1253" t="s">
        <v>2346</v>
      </c>
      <c r="B42" s="1254"/>
      <c r="C42" s="1255"/>
      <c r="D42" s="1254"/>
      <c r="E42" s="1254"/>
      <c r="F42" s="1256"/>
      <c r="G42" s="1255"/>
    </row>
    <row r="43" spans="1:15" ht="15.75">
      <c r="A43" s="1253" t="s">
        <v>2681</v>
      </c>
      <c r="B43" s="1253"/>
      <c r="C43" s="1257"/>
      <c r="D43" s="1257"/>
      <c r="E43" s="1257"/>
      <c r="F43" s="1257"/>
      <c r="G43" s="1257"/>
      <c r="H43" s="1221"/>
    </row>
    <row r="44" spans="1:15" ht="15.75">
      <c r="A44" s="1254"/>
      <c r="B44" s="1254"/>
      <c r="C44" s="1255"/>
      <c r="D44" s="1255"/>
      <c r="E44" s="1255"/>
      <c r="F44" s="1255"/>
      <c r="G44" s="1255"/>
      <c r="H44" s="1194"/>
    </row>
    <row r="45" spans="1:15">
      <c r="D45" s="1194"/>
      <c r="E45" s="1194"/>
      <c r="F45" s="1194"/>
      <c r="H45" s="1194"/>
    </row>
    <row r="46" spans="1:15">
      <c r="D46" s="1194"/>
      <c r="E46" s="1194"/>
      <c r="F46" s="1194"/>
      <c r="H46" s="1194"/>
      <c r="I46" s="1194"/>
      <c r="J46" s="1194"/>
    </row>
    <row r="47" spans="1:15">
      <c r="D47" s="1194"/>
      <c r="E47" s="1194"/>
      <c r="F47" s="1194"/>
      <c r="H47" s="1194"/>
      <c r="I47" s="1194"/>
      <c r="J47" s="1194"/>
    </row>
    <row r="48" spans="1:15">
      <c r="D48" s="1194"/>
      <c r="E48" s="1194"/>
      <c r="F48" s="1194"/>
      <c r="H48" s="1194"/>
      <c r="I48" s="1194"/>
      <c r="J48" s="1194" t="s">
        <v>2695</v>
      </c>
    </row>
    <row r="49" spans="4:10">
      <c r="D49" s="1194"/>
      <c r="E49" s="1194"/>
      <c r="F49" s="1194"/>
      <c r="H49" s="1194"/>
      <c r="I49" s="1194"/>
      <c r="J49" s="1194"/>
    </row>
    <row r="50" spans="4:10">
      <c r="D50" s="1194"/>
      <c r="E50" s="1194"/>
      <c r="F50" s="1194"/>
      <c r="H50" s="1194"/>
      <c r="I50" s="1194"/>
      <c r="J50" s="1194"/>
    </row>
    <row r="51" spans="4:10">
      <c r="D51" s="1194"/>
      <c r="E51" s="1194"/>
      <c r="F51" s="1194"/>
      <c r="H51" s="1194"/>
      <c r="I51" s="1194"/>
      <c r="J51" s="1194"/>
    </row>
    <row r="52" spans="4:10">
      <c r="D52" s="1194"/>
      <c r="E52" s="1194"/>
      <c r="F52" s="1194"/>
      <c r="H52" s="1194"/>
      <c r="I52" s="1194"/>
      <c r="J52" s="1194"/>
    </row>
    <row r="53" spans="4:10">
      <c r="F53" s="1194"/>
    </row>
    <row r="54" spans="4:10">
      <c r="F54" s="1194"/>
    </row>
    <row r="55" spans="4:10">
      <c r="F55" s="1194"/>
    </row>
    <row r="56" spans="4:10">
      <c r="F56" s="1194"/>
    </row>
    <row r="57" spans="4:10">
      <c r="F57" s="1194"/>
    </row>
    <row r="58" spans="4:10">
      <c r="F58" s="1194"/>
    </row>
    <row r="59" spans="4:10">
      <c r="F59" s="1194"/>
    </row>
    <row r="60" spans="4:10">
      <c r="F60" s="1194"/>
    </row>
    <row r="61" spans="4:10">
      <c r="F61" s="1194"/>
    </row>
    <row r="62" spans="4:10">
      <c r="F62" s="1194"/>
    </row>
  </sheetData>
  <mergeCells count="5">
    <mergeCell ref="C2:I2"/>
    <mergeCell ref="A3:B3"/>
    <mergeCell ref="C3:G3"/>
    <mergeCell ref="C18:O18"/>
    <mergeCell ref="B34:O34"/>
  </mergeCells>
  <printOptions horizontalCentered="1" verticalCentered="1"/>
  <pageMargins left="0.19685039370078741" right="0.19685039370078741" top="0.31496062992125984" bottom="0.19685039370078741" header="0.51181102362204722" footer="0.19685039370078741"/>
  <pageSetup paperSize="9" scale="84"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zoomScaleNormal="100" workbookViewId="0">
      <pane xSplit="1" ySplit="6" topLeftCell="B28" activePane="bottomRight" state="frozen"/>
      <selection pane="topRight" activeCell="B1" sqref="B1"/>
      <selection pane="bottomLeft" activeCell="A6" sqref="A6"/>
      <selection pane="bottomRight" activeCell="C43" sqref="C43"/>
    </sheetView>
  </sheetViews>
  <sheetFormatPr defaultRowHeight="12.75"/>
  <cols>
    <col min="1" max="1" width="34.42578125" customWidth="1"/>
    <col min="2" max="2" width="4.7109375" customWidth="1"/>
    <col min="3" max="3" width="16" customWidth="1"/>
    <col min="4" max="4" width="6.140625" customWidth="1"/>
    <col min="5" max="5" width="15.42578125" customWidth="1"/>
    <col min="6" max="6" width="7" customWidth="1"/>
    <col min="7" max="7" width="4.42578125" customWidth="1"/>
    <col min="8" max="8" width="14.42578125" bestFit="1" customWidth="1"/>
    <col min="257" max="257" width="34.42578125" customWidth="1"/>
    <col min="258" max="258" width="4.7109375" customWidth="1"/>
    <col min="259" max="259" width="16" customWidth="1"/>
    <col min="260" max="260" width="6.140625" customWidth="1"/>
    <col min="261" max="261" width="15.42578125" customWidth="1"/>
    <col min="262" max="262" width="7" customWidth="1"/>
    <col min="263" max="263" width="4.42578125" customWidth="1"/>
    <col min="264" max="264" width="14.42578125" bestFit="1" customWidth="1"/>
    <col min="513" max="513" width="34.42578125" customWidth="1"/>
    <col min="514" max="514" width="4.7109375" customWidth="1"/>
    <col min="515" max="515" width="16" customWidth="1"/>
    <col min="516" max="516" width="6.140625" customWidth="1"/>
    <col min="517" max="517" width="15.42578125" customWidth="1"/>
    <col min="518" max="518" width="7" customWidth="1"/>
    <col min="519" max="519" width="4.42578125" customWidth="1"/>
    <col min="520" max="520" width="14.42578125" bestFit="1" customWidth="1"/>
    <col min="769" max="769" width="34.42578125" customWidth="1"/>
    <col min="770" max="770" width="4.7109375" customWidth="1"/>
    <col min="771" max="771" width="16" customWidth="1"/>
    <col min="772" max="772" width="6.140625" customWidth="1"/>
    <col min="773" max="773" width="15.42578125" customWidth="1"/>
    <col min="774" max="774" width="7" customWidth="1"/>
    <col min="775" max="775" width="4.42578125" customWidth="1"/>
    <col min="776" max="776" width="14.42578125" bestFit="1" customWidth="1"/>
    <col min="1025" max="1025" width="34.42578125" customWidth="1"/>
    <col min="1026" max="1026" width="4.7109375" customWidth="1"/>
    <col min="1027" max="1027" width="16" customWidth="1"/>
    <col min="1028" max="1028" width="6.140625" customWidth="1"/>
    <col min="1029" max="1029" width="15.42578125" customWidth="1"/>
    <col min="1030" max="1030" width="7" customWidth="1"/>
    <col min="1031" max="1031" width="4.42578125" customWidth="1"/>
    <col min="1032" max="1032" width="14.42578125" bestFit="1" customWidth="1"/>
    <col min="1281" max="1281" width="34.42578125" customWidth="1"/>
    <col min="1282" max="1282" width="4.7109375" customWidth="1"/>
    <col min="1283" max="1283" width="16" customWidth="1"/>
    <col min="1284" max="1284" width="6.140625" customWidth="1"/>
    <col min="1285" max="1285" width="15.42578125" customWidth="1"/>
    <col min="1286" max="1286" width="7" customWidth="1"/>
    <col min="1287" max="1287" width="4.42578125" customWidth="1"/>
    <col min="1288" max="1288" width="14.42578125" bestFit="1" customWidth="1"/>
    <col min="1537" max="1537" width="34.42578125" customWidth="1"/>
    <col min="1538" max="1538" width="4.7109375" customWidth="1"/>
    <col min="1539" max="1539" width="16" customWidth="1"/>
    <col min="1540" max="1540" width="6.140625" customWidth="1"/>
    <col min="1541" max="1541" width="15.42578125" customWidth="1"/>
    <col min="1542" max="1542" width="7" customWidth="1"/>
    <col min="1543" max="1543" width="4.42578125" customWidth="1"/>
    <col min="1544" max="1544" width="14.42578125" bestFit="1" customWidth="1"/>
    <col min="1793" max="1793" width="34.42578125" customWidth="1"/>
    <col min="1794" max="1794" width="4.7109375" customWidth="1"/>
    <col min="1795" max="1795" width="16" customWidth="1"/>
    <col min="1796" max="1796" width="6.140625" customWidth="1"/>
    <col min="1797" max="1797" width="15.42578125" customWidth="1"/>
    <col min="1798" max="1798" width="7" customWidth="1"/>
    <col min="1799" max="1799" width="4.42578125" customWidth="1"/>
    <col min="1800" max="1800" width="14.42578125" bestFit="1" customWidth="1"/>
    <col min="2049" max="2049" width="34.42578125" customWidth="1"/>
    <col min="2050" max="2050" width="4.7109375" customWidth="1"/>
    <col min="2051" max="2051" width="16" customWidth="1"/>
    <col min="2052" max="2052" width="6.140625" customWidth="1"/>
    <col min="2053" max="2053" width="15.42578125" customWidth="1"/>
    <col min="2054" max="2054" width="7" customWidth="1"/>
    <col min="2055" max="2055" width="4.42578125" customWidth="1"/>
    <col min="2056" max="2056" width="14.42578125" bestFit="1" customWidth="1"/>
    <col min="2305" max="2305" width="34.42578125" customWidth="1"/>
    <col min="2306" max="2306" width="4.7109375" customWidth="1"/>
    <col min="2307" max="2307" width="16" customWidth="1"/>
    <col min="2308" max="2308" width="6.140625" customWidth="1"/>
    <col min="2309" max="2309" width="15.42578125" customWidth="1"/>
    <col min="2310" max="2310" width="7" customWidth="1"/>
    <col min="2311" max="2311" width="4.42578125" customWidth="1"/>
    <col min="2312" max="2312" width="14.42578125" bestFit="1" customWidth="1"/>
    <col min="2561" max="2561" width="34.42578125" customWidth="1"/>
    <col min="2562" max="2562" width="4.7109375" customWidth="1"/>
    <col min="2563" max="2563" width="16" customWidth="1"/>
    <col min="2564" max="2564" width="6.140625" customWidth="1"/>
    <col min="2565" max="2565" width="15.42578125" customWidth="1"/>
    <col min="2566" max="2566" width="7" customWidth="1"/>
    <col min="2567" max="2567" width="4.42578125" customWidth="1"/>
    <col min="2568" max="2568" width="14.42578125" bestFit="1" customWidth="1"/>
    <col min="2817" max="2817" width="34.42578125" customWidth="1"/>
    <col min="2818" max="2818" width="4.7109375" customWidth="1"/>
    <col min="2819" max="2819" width="16" customWidth="1"/>
    <col min="2820" max="2820" width="6.140625" customWidth="1"/>
    <col min="2821" max="2821" width="15.42578125" customWidth="1"/>
    <col min="2822" max="2822" width="7" customWidth="1"/>
    <col min="2823" max="2823" width="4.42578125" customWidth="1"/>
    <col min="2824" max="2824" width="14.42578125" bestFit="1" customWidth="1"/>
    <col min="3073" max="3073" width="34.42578125" customWidth="1"/>
    <col min="3074" max="3074" width="4.7109375" customWidth="1"/>
    <col min="3075" max="3075" width="16" customWidth="1"/>
    <col min="3076" max="3076" width="6.140625" customWidth="1"/>
    <col min="3077" max="3077" width="15.42578125" customWidth="1"/>
    <col min="3078" max="3078" width="7" customWidth="1"/>
    <col min="3079" max="3079" width="4.42578125" customWidth="1"/>
    <col min="3080" max="3080" width="14.42578125" bestFit="1" customWidth="1"/>
    <col min="3329" max="3329" width="34.42578125" customWidth="1"/>
    <col min="3330" max="3330" width="4.7109375" customWidth="1"/>
    <col min="3331" max="3331" width="16" customWidth="1"/>
    <col min="3332" max="3332" width="6.140625" customWidth="1"/>
    <col min="3333" max="3333" width="15.42578125" customWidth="1"/>
    <col min="3334" max="3334" width="7" customWidth="1"/>
    <col min="3335" max="3335" width="4.42578125" customWidth="1"/>
    <col min="3336" max="3336" width="14.42578125" bestFit="1" customWidth="1"/>
    <col min="3585" max="3585" width="34.42578125" customWidth="1"/>
    <col min="3586" max="3586" width="4.7109375" customWidth="1"/>
    <col min="3587" max="3587" width="16" customWidth="1"/>
    <col min="3588" max="3588" width="6.140625" customWidth="1"/>
    <col min="3589" max="3589" width="15.42578125" customWidth="1"/>
    <col min="3590" max="3590" width="7" customWidth="1"/>
    <col min="3591" max="3591" width="4.42578125" customWidth="1"/>
    <col min="3592" max="3592" width="14.42578125" bestFit="1" customWidth="1"/>
    <col min="3841" max="3841" width="34.42578125" customWidth="1"/>
    <col min="3842" max="3842" width="4.7109375" customWidth="1"/>
    <col min="3843" max="3843" width="16" customWidth="1"/>
    <col min="3844" max="3844" width="6.140625" customWidth="1"/>
    <col min="3845" max="3845" width="15.42578125" customWidth="1"/>
    <col min="3846" max="3846" width="7" customWidth="1"/>
    <col min="3847" max="3847" width="4.42578125" customWidth="1"/>
    <col min="3848" max="3848" width="14.42578125" bestFit="1" customWidth="1"/>
    <col min="4097" max="4097" width="34.42578125" customWidth="1"/>
    <col min="4098" max="4098" width="4.7109375" customWidth="1"/>
    <col min="4099" max="4099" width="16" customWidth="1"/>
    <col min="4100" max="4100" width="6.140625" customWidth="1"/>
    <col min="4101" max="4101" width="15.42578125" customWidth="1"/>
    <col min="4102" max="4102" width="7" customWidth="1"/>
    <col min="4103" max="4103" width="4.42578125" customWidth="1"/>
    <col min="4104" max="4104" width="14.42578125" bestFit="1" customWidth="1"/>
    <col min="4353" max="4353" width="34.42578125" customWidth="1"/>
    <col min="4354" max="4354" width="4.7109375" customWidth="1"/>
    <col min="4355" max="4355" width="16" customWidth="1"/>
    <col min="4356" max="4356" width="6.140625" customWidth="1"/>
    <col min="4357" max="4357" width="15.42578125" customWidth="1"/>
    <col min="4358" max="4358" width="7" customWidth="1"/>
    <col min="4359" max="4359" width="4.42578125" customWidth="1"/>
    <col min="4360" max="4360" width="14.42578125" bestFit="1" customWidth="1"/>
    <col min="4609" max="4609" width="34.42578125" customWidth="1"/>
    <col min="4610" max="4610" width="4.7109375" customWidth="1"/>
    <col min="4611" max="4611" width="16" customWidth="1"/>
    <col min="4612" max="4612" width="6.140625" customWidth="1"/>
    <col min="4613" max="4613" width="15.42578125" customWidth="1"/>
    <col min="4614" max="4614" width="7" customWidth="1"/>
    <col min="4615" max="4615" width="4.42578125" customWidth="1"/>
    <col min="4616" max="4616" width="14.42578125" bestFit="1" customWidth="1"/>
    <col min="4865" max="4865" width="34.42578125" customWidth="1"/>
    <col min="4866" max="4866" width="4.7109375" customWidth="1"/>
    <col min="4867" max="4867" width="16" customWidth="1"/>
    <col min="4868" max="4868" width="6.140625" customWidth="1"/>
    <col min="4869" max="4869" width="15.42578125" customWidth="1"/>
    <col min="4870" max="4870" width="7" customWidth="1"/>
    <col min="4871" max="4871" width="4.42578125" customWidth="1"/>
    <col min="4872" max="4872" width="14.42578125" bestFit="1" customWidth="1"/>
    <col min="5121" max="5121" width="34.42578125" customWidth="1"/>
    <col min="5122" max="5122" width="4.7109375" customWidth="1"/>
    <col min="5123" max="5123" width="16" customWidth="1"/>
    <col min="5124" max="5124" width="6.140625" customWidth="1"/>
    <col min="5125" max="5125" width="15.42578125" customWidth="1"/>
    <col min="5126" max="5126" width="7" customWidth="1"/>
    <col min="5127" max="5127" width="4.42578125" customWidth="1"/>
    <col min="5128" max="5128" width="14.42578125" bestFit="1" customWidth="1"/>
    <col min="5377" max="5377" width="34.42578125" customWidth="1"/>
    <col min="5378" max="5378" width="4.7109375" customWidth="1"/>
    <col min="5379" max="5379" width="16" customWidth="1"/>
    <col min="5380" max="5380" width="6.140625" customWidth="1"/>
    <col min="5381" max="5381" width="15.42578125" customWidth="1"/>
    <col min="5382" max="5382" width="7" customWidth="1"/>
    <col min="5383" max="5383" width="4.42578125" customWidth="1"/>
    <col min="5384" max="5384" width="14.42578125" bestFit="1" customWidth="1"/>
    <col min="5633" max="5633" width="34.42578125" customWidth="1"/>
    <col min="5634" max="5634" width="4.7109375" customWidth="1"/>
    <col min="5635" max="5635" width="16" customWidth="1"/>
    <col min="5636" max="5636" width="6.140625" customWidth="1"/>
    <col min="5637" max="5637" width="15.42578125" customWidth="1"/>
    <col min="5638" max="5638" width="7" customWidth="1"/>
    <col min="5639" max="5639" width="4.42578125" customWidth="1"/>
    <col min="5640" max="5640" width="14.42578125" bestFit="1" customWidth="1"/>
    <col min="5889" max="5889" width="34.42578125" customWidth="1"/>
    <col min="5890" max="5890" width="4.7109375" customWidth="1"/>
    <col min="5891" max="5891" width="16" customWidth="1"/>
    <col min="5892" max="5892" width="6.140625" customWidth="1"/>
    <col min="5893" max="5893" width="15.42578125" customWidth="1"/>
    <col min="5894" max="5894" width="7" customWidth="1"/>
    <col min="5895" max="5895" width="4.42578125" customWidth="1"/>
    <col min="5896" max="5896" width="14.42578125" bestFit="1" customWidth="1"/>
    <col min="6145" max="6145" width="34.42578125" customWidth="1"/>
    <col min="6146" max="6146" width="4.7109375" customWidth="1"/>
    <col min="6147" max="6147" width="16" customWidth="1"/>
    <col min="6148" max="6148" width="6.140625" customWidth="1"/>
    <col min="6149" max="6149" width="15.42578125" customWidth="1"/>
    <col min="6150" max="6150" width="7" customWidth="1"/>
    <col min="6151" max="6151" width="4.42578125" customWidth="1"/>
    <col min="6152" max="6152" width="14.42578125" bestFit="1" customWidth="1"/>
    <col min="6401" max="6401" width="34.42578125" customWidth="1"/>
    <col min="6402" max="6402" width="4.7109375" customWidth="1"/>
    <col min="6403" max="6403" width="16" customWidth="1"/>
    <col min="6404" max="6404" width="6.140625" customWidth="1"/>
    <col min="6405" max="6405" width="15.42578125" customWidth="1"/>
    <col min="6406" max="6406" width="7" customWidth="1"/>
    <col min="6407" max="6407" width="4.42578125" customWidth="1"/>
    <col min="6408" max="6408" width="14.42578125" bestFit="1" customWidth="1"/>
    <col min="6657" max="6657" width="34.42578125" customWidth="1"/>
    <col min="6658" max="6658" width="4.7109375" customWidth="1"/>
    <col min="6659" max="6659" width="16" customWidth="1"/>
    <col min="6660" max="6660" width="6.140625" customWidth="1"/>
    <col min="6661" max="6661" width="15.42578125" customWidth="1"/>
    <col min="6662" max="6662" width="7" customWidth="1"/>
    <col min="6663" max="6663" width="4.42578125" customWidth="1"/>
    <col min="6664" max="6664" width="14.42578125" bestFit="1" customWidth="1"/>
    <col min="6913" max="6913" width="34.42578125" customWidth="1"/>
    <col min="6914" max="6914" width="4.7109375" customWidth="1"/>
    <col min="6915" max="6915" width="16" customWidth="1"/>
    <col min="6916" max="6916" width="6.140625" customWidth="1"/>
    <col min="6917" max="6917" width="15.42578125" customWidth="1"/>
    <col min="6918" max="6918" width="7" customWidth="1"/>
    <col min="6919" max="6919" width="4.42578125" customWidth="1"/>
    <col min="6920" max="6920" width="14.42578125" bestFit="1" customWidth="1"/>
    <col min="7169" max="7169" width="34.42578125" customWidth="1"/>
    <col min="7170" max="7170" width="4.7109375" customWidth="1"/>
    <col min="7171" max="7171" width="16" customWidth="1"/>
    <col min="7172" max="7172" width="6.140625" customWidth="1"/>
    <col min="7173" max="7173" width="15.42578125" customWidth="1"/>
    <col min="7174" max="7174" width="7" customWidth="1"/>
    <col min="7175" max="7175" width="4.42578125" customWidth="1"/>
    <col min="7176" max="7176" width="14.42578125" bestFit="1" customWidth="1"/>
    <col min="7425" max="7425" width="34.42578125" customWidth="1"/>
    <col min="7426" max="7426" width="4.7109375" customWidth="1"/>
    <col min="7427" max="7427" width="16" customWidth="1"/>
    <col min="7428" max="7428" width="6.140625" customWidth="1"/>
    <col min="7429" max="7429" width="15.42578125" customWidth="1"/>
    <col min="7430" max="7430" width="7" customWidth="1"/>
    <col min="7431" max="7431" width="4.42578125" customWidth="1"/>
    <col min="7432" max="7432" width="14.42578125" bestFit="1" customWidth="1"/>
    <col min="7681" max="7681" width="34.42578125" customWidth="1"/>
    <col min="7682" max="7682" width="4.7109375" customWidth="1"/>
    <col min="7683" max="7683" width="16" customWidth="1"/>
    <col min="7684" max="7684" width="6.140625" customWidth="1"/>
    <col min="7685" max="7685" width="15.42578125" customWidth="1"/>
    <col min="7686" max="7686" width="7" customWidth="1"/>
    <col min="7687" max="7687" width="4.42578125" customWidth="1"/>
    <col min="7688" max="7688" width="14.42578125" bestFit="1" customWidth="1"/>
    <col min="7937" max="7937" width="34.42578125" customWidth="1"/>
    <col min="7938" max="7938" width="4.7109375" customWidth="1"/>
    <col min="7939" max="7939" width="16" customWidth="1"/>
    <col min="7940" max="7940" width="6.140625" customWidth="1"/>
    <col min="7941" max="7941" width="15.42578125" customWidth="1"/>
    <col min="7942" max="7942" width="7" customWidth="1"/>
    <col min="7943" max="7943" width="4.42578125" customWidth="1"/>
    <col min="7944" max="7944" width="14.42578125" bestFit="1" customWidth="1"/>
    <col min="8193" max="8193" width="34.42578125" customWidth="1"/>
    <col min="8194" max="8194" width="4.7109375" customWidth="1"/>
    <col min="8195" max="8195" width="16" customWidth="1"/>
    <col min="8196" max="8196" width="6.140625" customWidth="1"/>
    <col min="8197" max="8197" width="15.42578125" customWidth="1"/>
    <col min="8198" max="8198" width="7" customWidth="1"/>
    <col min="8199" max="8199" width="4.42578125" customWidth="1"/>
    <col min="8200" max="8200" width="14.42578125" bestFit="1" customWidth="1"/>
    <col min="8449" max="8449" width="34.42578125" customWidth="1"/>
    <col min="8450" max="8450" width="4.7109375" customWidth="1"/>
    <col min="8451" max="8451" width="16" customWidth="1"/>
    <col min="8452" max="8452" width="6.140625" customWidth="1"/>
    <col min="8453" max="8453" width="15.42578125" customWidth="1"/>
    <col min="8454" max="8454" width="7" customWidth="1"/>
    <col min="8455" max="8455" width="4.42578125" customWidth="1"/>
    <col min="8456" max="8456" width="14.42578125" bestFit="1" customWidth="1"/>
    <col min="8705" max="8705" width="34.42578125" customWidth="1"/>
    <col min="8706" max="8706" width="4.7109375" customWidth="1"/>
    <col min="8707" max="8707" width="16" customWidth="1"/>
    <col min="8708" max="8708" width="6.140625" customWidth="1"/>
    <col min="8709" max="8709" width="15.42578125" customWidth="1"/>
    <col min="8710" max="8710" width="7" customWidth="1"/>
    <col min="8711" max="8711" width="4.42578125" customWidth="1"/>
    <col min="8712" max="8712" width="14.42578125" bestFit="1" customWidth="1"/>
    <col min="8961" max="8961" width="34.42578125" customWidth="1"/>
    <col min="8962" max="8962" width="4.7109375" customWidth="1"/>
    <col min="8963" max="8963" width="16" customWidth="1"/>
    <col min="8964" max="8964" width="6.140625" customWidth="1"/>
    <col min="8965" max="8965" width="15.42578125" customWidth="1"/>
    <col min="8966" max="8966" width="7" customWidth="1"/>
    <col min="8967" max="8967" width="4.42578125" customWidth="1"/>
    <col min="8968" max="8968" width="14.42578125" bestFit="1" customWidth="1"/>
    <col min="9217" max="9217" width="34.42578125" customWidth="1"/>
    <col min="9218" max="9218" width="4.7109375" customWidth="1"/>
    <col min="9219" max="9219" width="16" customWidth="1"/>
    <col min="9220" max="9220" width="6.140625" customWidth="1"/>
    <col min="9221" max="9221" width="15.42578125" customWidth="1"/>
    <col min="9222" max="9222" width="7" customWidth="1"/>
    <col min="9223" max="9223" width="4.42578125" customWidth="1"/>
    <col min="9224" max="9224" width="14.42578125" bestFit="1" customWidth="1"/>
    <col min="9473" max="9473" width="34.42578125" customWidth="1"/>
    <col min="9474" max="9474" width="4.7109375" customWidth="1"/>
    <col min="9475" max="9475" width="16" customWidth="1"/>
    <col min="9476" max="9476" width="6.140625" customWidth="1"/>
    <col min="9477" max="9477" width="15.42578125" customWidth="1"/>
    <col min="9478" max="9478" width="7" customWidth="1"/>
    <col min="9479" max="9479" width="4.42578125" customWidth="1"/>
    <col min="9480" max="9480" width="14.42578125" bestFit="1" customWidth="1"/>
    <col min="9729" max="9729" width="34.42578125" customWidth="1"/>
    <col min="9730" max="9730" width="4.7109375" customWidth="1"/>
    <col min="9731" max="9731" width="16" customWidth="1"/>
    <col min="9732" max="9732" width="6.140625" customWidth="1"/>
    <col min="9733" max="9733" width="15.42578125" customWidth="1"/>
    <col min="9734" max="9734" width="7" customWidth="1"/>
    <col min="9735" max="9735" width="4.42578125" customWidth="1"/>
    <col min="9736" max="9736" width="14.42578125" bestFit="1" customWidth="1"/>
    <col min="9985" max="9985" width="34.42578125" customWidth="1"/>
    <col min="9986" max="9986" width="4.7109375" customWidth="1"/>
    <col min="9987" max="9987" width="16" customWidth="1"/>
    <col min="9988" max="9988" width="6.140625" customWidth="1"/>
    <col min="9989" max="9989" width="15.42578125" customWidth="1"/>
    <col min="9990" max="9990" width="7" customWidth="1"/>
    <col min="9991" max="9991" width="4.42578125" customWidth="1"/>
    <col min="9992" max="9992" width="14.42578125" bestFit="1" customWidth="1"/>
    <col min="10241" max="10241" width="34.42578125" customWidth="1"/>
    <col min="10242" max="10242" width="4.7109375" customWidth="1"/>
    <col min="10243" max="10243" width="16" customWidth="1"/>
    <col min="10244" max="10244" width="6.140625" customWidth="1"/>
    <col min="10245" max="10245" width="15.42578125" customWidth="1"/>
    <col min="10246" max="10246" width="7" customWidth="1"/>
    <col min="10247" max="10247" width="4.42578125" customWidth="1"/>
    <col min="10248" max="10248" width="14.42578125" bestFit="1" customWidth="1"/>
    <col min="10497" max="10497" width="34.42578125" customWidth="1"/>
    <col min="10498" max="10498" width="4.7109375" customWidth="1"/>
    <col min="10499" max="10499" width="16" customWidth="1"/>
    <col min="10500" max="10500" width="6.140625" customWidth="1"/>
    <col min="10501" max="10501" width="15.42578125" customWidth="1"/>
    <col min="10502" max="10502" width="7" customWidth="1"/>
    <col min="10503" max="10503" width="4.42578125" customWidth="1"/>
    <col min="10504" max="10504" width="14.42578125" bestFit="1" customWidth="1"/>
    <col min="10753" max="10753" width="34.42578125" customWidth="1"/>
    <col min="10754" max="10754" width="4.7109375" customWidth="1"/>
    <col min="10755" max="10755" width="16" customWidth="1"/>
    <col min="10756" max="10756" width="6.140625" customWidth="1"/>
    <col min="10757" max="10757" width="15.42578125" customWidth="1"/>
    <col min="10758" max="10758" width="7" customWidth="1"/>
    <col min="10759" max="10759" width="4.42578125" customWidth="1"/>
    <col min="10760" max="10760" width="14.42578125" bestFit="1" customWidth="1"/>
    <col min="11009" max="11009" width="34.42578125" customWidth="1"/>
    <col min="11010" max="11010" width="4.7109375" customWidth="1"/>
    <col min="11011" max="11011" width="16" customWidth="1"/>
    <col min="11012" max="11012" width="6.140625" customWidth="1"/>
    <col min="11013" max="11013" width="15.42578125" customWidth="1"/>
    <col min="11014" max="11014" width="7" customWidth="1"/>
    <col min="11015" max="11015" width="4.42578125" customWidth="1"/>
    <col min="11016" max="11016" width="14.42578125" bestFit="1" customWidth="1"/>
    <col min="11265" max="11265" width="34.42578125" customWidth="1"/>
    <col min="11266" max="11266" width="4.7109375" customWidth="1"/>
    <col min="11267" max="11267" width="16" customWidth="1"/>
    <col min="11268" max="11268" width="6.140625" customWidth="1"/>
    <col min="11269" max="11269" width="15.42578125" customWidth="1"/>
    <col min="11270" max="11270" width="7" customWidth="1"/>
    <col min="11271" max="11271" width="4.42578125" customWidth="1"/>
    <col min="11272" max="11272" width="14.42578125" bestFit="1" customWidth="1"/>
    <col min="11521" max="11521" width="34.42578125" customWidth="1"/>
    <col min="11522" max="11522" width="4.7109375" customWidth="1"/>
    <col min="11523" max="11523" width="16" customWidth="1"/>
    <col min="11524" max="11524" width="6.140625" customWidth="1"/>
    <col min="11525" max="11525" width="15.42578125" customWidth="1"/>
    <col min="11526" max="11526" width="7" customWidth="1"/>
    <col min="11527" max="11527" width="4.42578125" customWidth="1"/>
    <col min="11528" max="11528" width="14.42578125" bestFit="1" customWidth="1"/>
    <col min="11777" max="11777" width="34.42578125" customWidth="1"/>
    <col min="11778" max="11778" width="4.7109375" customWidth="1"/>
    <col min="11779" max="11779" width="16" customWidth="1"/>
    <col min="11780" max="11780" width="6.140625" customWidth="1"/>
    <col min="11781" max="11781" width="15.42578125" customWidth="1"/>
    <col min="11782" max="11782" width="7" customWidth="1"/>
    <col min="11783" max="11783" width="4.42578125" customWidth="1"/>
    <col min="11784" max="11784" width="14.42578125" bestFit="1" customWidth="1"/>
    <col min="12033" max="12033" width="34.42578125" customWidth="1"/>
    <col min="12034" max="12034" width="4.7109375" customWidth="1"/>
    <col min="12035" max="12035" width="16" customWidth="1"/>
    <col min="12036" max="12036" width="6.140625" customWidth="1"/>
    <col min="12037" max="12037" width="15.42578125" customWidth="1"/>
    <col min="12038" max="12038" width="7" customWidth="1"/>
    <col min="12039" max="12039" width="4.42578125" customWidth="1"/>
    <col min="12040" max="12040" width="14.42578125" bestFit="1" customWidth="1"/>
    <col min="12289" max="12289" width="34.42578125" customWidth="1"/>
    <col min="12290" max="12290" width="4.7109375" customWidth="1"/>
    <col min="12291" max="12291" width="16" customWidth="1"/>
    <col min="12292" max="12292" width="6.140625" customWidth="1"/>
    <col min="12293" max="12293" width="15.42578125" customWidth="1"/>
    <col min="12294" max="12294" width="7" customWidth="1"/>
    <col min="12295" max="12295" width="4.42578125" customWidth="1"/>
    <col min="12296" max="12296" width="14.42578125" bestFit="1" customWidth="1"/>
    <col min="12545" max="12545" width="34.42578125" customWidth="1"/>
    <col min="12546" max="12546" width="4.7109375" customWidth="1"/>
    <col min="12547" max="12547" width="16" customWidth="1"/>
    <col min="12548" max="12548" width="6.140625" customWidth="1"/>
    <col min="12549" max="12549" width="15.42578125" customWidth="1"/>
    <col min="12550" max="12550" width="7" customWidth="1"/>
    <col min="12551" max="12551" width="4.42578125" customWidth="1"/>
    <col min="12552" max="12552" width="14.42578125" bestFit="1" customWidth="1"/>
    <col min="12801" max="12801" width="34.42578125" customWidth="1"/>
    <col min="12802" max="12802" width="4.7109375" customWidth="1"/>
    <col min="12803" max="12803" width="16" customWidth="1"/>
    <col min="12804" max="12804" width="6.140625" customWidth="1"/>
    <col min="12805" max="12805" width="15.42578125" customWidth="1"/>
    <col min="12806" max="12806" width="7" customWidth="1"/>
    <col min="12807" max="12807" width="4.42578125" customWidth="1"/>
    <col min="12808" max="12808" width="14.42578125" bestFit="1" customWidth="1"/>
    <col min="13057" max="13057" width="34.42578125" customWidth="1"/>
    <col min="13058" max="13058" width="4.7109375" customWidth="1"/>
    <col min="13059" max="13059" width="16" customWidth="1"/>
    <col min="13060" max="13060" width="6.140625" customWidth="1"/>
    <col min="13061" max="13061" width="15.42578125" customWidth="1"/>
    <col min="13062" max="13062" width="7" customWidth="1"/>
    <col min="13063" max="13063" width="4.42578125" customWidth="1"/>
    <col min="13064" max="13064" width="14.42578125" bestFit="1" customWidth="1"/>
    <col min="13313" max="13313" width="34.42578125" customWidth="1"/>
    <col min="13314" max="13314" width="4.7109375" customWidth="1"/>
    <col min="13315" max="13315" width="16" customWidth="1"/>
    <col min="13316" max="13316" width="6.140625" customWidth="1"/>
    <col min="13317" max="13317" width="15.42578125" customWidth="1"/>
    <col min="13318" max="13318" width="7" customWidth="1"/>
    <col min="13319" max="13319" width="4.42578125" customWidth="1"/>
    <col min="13320" max="13320" width="14.42578125" bestFit="1" customWidth="1"/>
    <col min="13569" max="13569" width="34.42578125" customWidth="1"/>
    <col min="13570" max="13570" width="4.7109375" customWidth="1"/>
    <col min="13571" max="13571" width="16" customWidth="1"/>
    <col min="13572" max="13572" width="6.140625" customWidth="1"/>
    <col min="13573" max="13573" width="15.42578125" customWidth="1"/>
    <col min="13574" max="13574" width="7" customWidth="1"/>
    <col min="13575" max="13575" width="4.42578125" customWidth="1"/>
    <col min="13576" max="13576" width="14.42578125" bestFit="1" customWidth="1"/>
    <col min="13825" max="13825" width="34.42578125" customWidth="1"/>
    <col min="13826" max="13826" width="4.7109375" customWidth="1"/>
    <col min="13827" max="13827" width="16" customWidth="1"/>
    <col min="13828" max="13828" width="6.140625" customWidth="1"/>
    <col min="13829" max="13829" width="15.42578125" customWidth="1"/>
    <col min="13830" max="13830" width="7" customWidth="1"/>
    <col min="13831" max="13831" width="4.42578125" customWidth="1"/>
    <col min="13832" max="13832" width="14.42578125" bestFit="1" customWidth="1"/>
    <col min="14081" max="14081" width="34.42578125" customWidth="1"/>
    <col min="14082" max="14082" width="4.7109375" customWidth="1"/>
    <col min="14083" max="14083" width="16" customWidth="1"/>
    <col min="14084" max="14084" width="6.140625" customWidth="1"/>
    <col min="14085" max="14085" width="15.42578125" customWidth="1"/>
    <col min="14086" max="14086" width="7" customWidth="1"/>
    <col min="14087" max="14087" width="4.42578125" customWidth="1"/>
    <col min="14088" max="14088" width="14.42578125" bestFit="1" customWidth="1"/>
    <col min="14337" max="14337" width="34.42578125" customWidth="1"/>
    <col min="14338" max="14338" width="4.7109375" customWidth="1"/>
    <col min="14339" max="14339" width="16" customWidth="1"/>
    <col min="14340" max="14340" width="6.140625" customWidth="1"/>
    <col min="14341" max="14341" width="15.42578125" customWidth="1"/>
    <col min="14342" max="14342" width="7" customWidth="1"/>
    <col min="14343" max="14343" width="4.42578125" customWidth="1"/>
    <col min="14344" max="14344" width="14.42578125" bestFit="1" customWidth="1"/>
    <col min="14593" max="14593" width="34.42578125" customWidth="1"/>
    <col min="14594" max="14594" width="4.7109375" customWidth="1"/>
    <col min="14595" max="14595" width="16" customWidth="1"/>
    <col min="14596" max="14596" width="6.140625" customWidth="1"/>
    <col min="14597" max="14597" width="15.42578125" customWidth="1"/>
    <col min="14598" max="14598" width="7" customWidth="1"/>
    <col min="14599" max="14599" width="4.42578125" customWidth="1"/>
    <col min="14600" max="14600" width="14.42578125" bestFit="1" customWidth="1"/>
    <col min="14849" max="14849" width="34.42578125" customWidth="1"/>
    <col min="14850" max="14850" width="4.7109375" customWidth="1"/>
    <col min="14851" max="14851" width="16" customWidth="1"/>
    <col min="14852" max="14852" width="6.140625" customWidth="1"/>
    <col min="14853" max="14853" width="15.42578125" customWidth="1"/>
    <col min="14854" max="14854" width="7" customWidth="1"/>
    <col min="14855" max="14855" width="4.42578125" customWidth="1"/>
    <col min="14856" max="14856" width="14.42578125" bestFit="1" customWidth="1"/>
    <col min="15105" max="15105" width="34.42578125" customWidth="1"/>
    <col min="15106" max="15106" width="4.7109375" customWidth="1"/>
    <col min="15107" max="15107" width="16" customWidth="1"/>
    <col min="15108" max="15108" width="6.140625" customWidth="1"/>
    <col min="15109" max="15109" width="15.42578125" customWidth="1"/>
    <col min="15110" max="15110" width="7" customWidth="1"/>
    <col min="15111" max="15111" width="4.42578125" customWidth="1"/>
    <col min="15112" max="15112" width="14.42578125" bestFit="1" customWidth="1"/>
    <col min="15361" max="15361" width="34.42578125" customWidth="1"/>
    <col min="15362" max="15362" width="4.7109375" customWidth="1"/>
    <col min="15363" max="15363" width="16" customWidth="1"/>
    <col min="15364" max="15364" width="6.140625" customWidth="1"/>
    <col min="15365" max="15365" width="15.42578125" customWidth="1"/>
    <col min="15366" max="15366" width="7" customWidth="1"/>
    <col min="15367" max="15367" width="4.42578125" customWidth="1"/>
    <col min="15368" max="15368" width="14.42578125" bestFit="1" customWidth="1"/>
    <col min="15617" max="15617" width="34.42578125" customWidth="1"/>
    <col min="15618" max="15618" width="4.7109375" customWidth="1"/>
    <col min="15619" max="15619" width="16" customWidth="1"/>
    <col min="15620" max="15620" width="6.140625" customWidth="1"/>
    <col min="15621" max="15621" width="15.42578125" customWidth="1"/>
    <col min="15622" max="15622" width="7" customWidth="1"/>
    <col min="15623" max="15623" width="4.42578125" customWidth="1"/>
    <col min="15624" max="15624" width="14.42578125" bestFit="1" customWidth="1"/>
    <col min="15873" max="15873" width="34.42578125" customWidth="1"/>
    <col min="15874" max="15874" width="4.7109375" customWidth="1"/>
    <col min="15875" max="15875" width="16" customWidth="1"/>
    <col min="15876" max="15876" width="6.140625" customWidth="1"/>
    <col min="15877" max="15877" width="15.42578125" customWidth="1"/>
    <col min="15878" max="15878" width="7" customWidth="1"/>
    <col min="15879" max="15879" width="4.42578125" customWidth="1"/>
    <col min="15880" max="15880" width="14.42578125" bestFit="1" customWidth="1"/>
    <col min="16129" max="16129" width="34.42578125" customWidth="1"/>
    <col min="16130" max="16130" width="4.7109375" customWidth="1"/>
    <col min="16131" max="16131" width="16" customWidth="1"/>
    <col min="16132" max="16132" width="6.140625" customWidth="1"/>
    <col min="16133" max="16133" width="15.42578125" customWidth="1"/>
    <col min="16134" max="16134" width="7" customWidth="1"/>
    <col min="16135" max="16135" width="4.42578125" customWidth="1"/>
    <col min="16136" max="16136" width="14.42578125" bestFit="1" customWidth="1"/>
  </cols>
  <sheetData>
    <row r="1" spans="1:7" ht="15">
      <c r="A1" s="3100" t="s">
        <v>4589</v>
      </c>
      <c r="B1" s="3101"/>
      <c r="C1" s="3102"/>
      <c r="D1" s="3103"/>
      <c r="E1" s="3102"/>
      <c r="F1" s="3104"/>
      <c r="G1" s="3105"/>
    </row>
    <row r="2" spans="1:7" ht="14.25">
      <c r="B2" s="3102"/>
      <c r="C2" s="3102"/>
      <c r="D2" s="3102"/>
      <c r="E2" s="3102"/>
      <c r="F2" s="3106"/>
      <c r="G2" s="3105"/>
    </row>
    <row r="3" spans="1:7" ht="15" thickBot="1">
      <c r="A3" s="3107"/>
      <c r="B3" s="3102"/>
      <c r="C3" s="3102"/>
      <c r="D3" s="3102"/>
      <c r="E3" s="3108"/>
      <c r="F3" s="3106"/>
      <c r="G3" s="3105"/>
    </row>
    <row r="4" spans="1:7" ht="14.25">
      <c r="A4" s="3109"/>
      <c r="B4" s="3110"/>
      <c r="C4" s="3111">
        <v>42186</v>
      </c>
      <c r="D4" s="3112"/>
      <c r="E4" s="3111">
        <v>42156</v>
      </c>
      <c r="F4" s="3113"/>
      <c r="G4" s="3114"/>
    </row>
    <row r="5" spans="1:7" ht="14.25">
      <c r="A5" s="3115"/>
      <c r="B5" s="3116"/>
      <c r="C5" s="3117"/>
      <c r="D5" s="3118"/>
      <c r="E5" s="3119"/>
      <c r="F5" s="3120"/>
      <c r="G5" s="3114"/>
    </row>
    <row r="6" spans="1:7" ht="14.25">
      <c r="A6" s="3115"/>
      <c r="B6" s="3121"/>
      <c r="C6" s="3122" t="s">
        <v>4590</v>
      </c>
      <c r="D6" s="3121"/>
      <c r="E6" s="3122" t="s">
        <v>4590</v>
      </c>
      <c r="F6" s="3120"/>
      <c r="G6" s="3114"/>
    </row>
    <row r="7" spans="1:7" ht="14.25">
      <c r="A7" s="3115" t="s">
        <v>4591</v>
      </c>
      <c r="B7" s="3103"/>
      <c r="C7" s="3123"/>
      <c r="D7" s="3103"/>
      <c r="E7" s="3123"/>
      <c r="F7" s="3124"/>
      <c r="G7" s="3114"/>
    </row>
    <row r="8" spans="1:7" ht="9" customHeight="1">
      <c r="A8" s="3115"/>
      <c r="B8" s="3103"/>
      <c r="C8" s="3123"/>
      <c r="D8" s="3103"/>
      <c r="E8" s="3123"/>
      <c r="F8" s="3124"/>
      <c r="G8" s="3125"/>
    </row>
    <row r="9" spans="1:7" ht="14.25">
      <c r="A9" s="3126" t="s">
        <v>4592</v>
      </c>
      <c r="B9" s="3103"/>
      <c r="C9" s="3127">
        <v>2000000000</v>
      </c>
      <c r="D9" s="3103"/>
      <c r="E9" s="3127">
        <v>2000000000</v>
      </c>
      <c r="F9" s="3124"/>
      <c r="G9" s="3114"/>
    </row>
    <row r="10" spans="1:7" ht="14.25">
      <c r="A10" s="3126" t="s">
        <v>2361</v>
      </c>
      <c r="B10" s="3128"/>
      <c r="C10" s="3129">
        <v>21963973810.02</v>
      </c>
      <c r="D10" s="3103"/>
      <c r="E10" s="3129">
        <v>21963973810.02</v>
      </c>
      <c r="F10" s="3124"/>
      <c r="G10" s="3114"/>
    </row>
    <row r="11" spans="1:7" ht="14.25">
      <c r="A11" s="3126"/>
      <c r="B11" s="3103"/>
      <c r="C11" s="3127">
        <v>23963973810.02</v>
      </c>
      <c r="D11" s="3103"/>
      <c r="E11" s="3127">
        <v>23963973810.02</v>
      </c>
      <c r="F11" s="3124"/>
      <c r="G11" s="3125"/>
    </row>
    <row r="12" spans="1:7" ht="14.25" customHeight="1">
      <c r="A12" s="3126" t="s">
        <v>4593</v>
      </c>
      <c r="B12" s="3130"/>
      <c r="C12" s="3131">
        <v>-719065661</v>
      </c>
      <c r="D12" s="3103"/>
      <c r="E12" s="3131" t="s">
        <v>4594</v>
      </c>
      <c r="F12" s="3124"/>
      <c r="G12" s="3114"/>
    </row>
    <row r="13" spans="1:7" ht="14.25" customHeight="1" thickBot="1">
      <c r="A13" s="3132"/>
      <c r="B13" s="3130"/>
      <c r="C13" s="3133">
        <v>23244908149.02</v>
      </c>
      <c r="D13" s="3103"/>
      <c r="E13" s="3133">
        <v>23963973810.02</v>
      </c>
      <c r="F13" s="3124"/>
      <c r="G13" s="3125"/>
    </row>
    <row r="14" spans="1:7" ht="15" thickTop="1">
      <c r="A14" s="3134" t="s">
        <v>1</v>
      </c>
      <c r="B14" s="3135"/>
      <c r="C14" s="3136"/>
      <c r="D14" s="3103"/>
      <c r="E14" s="3136"/>
      <c r="F14" s="3124"/>
      <c r="G14" s="3114"/>
    </row>
    <row r="15" spans="1:7" ht="3.75" customHeight="1">
      <c r="A15" s="3126"/>
      <c r="B15" s="3135"/>
      <c r="C15" s="3136"/>
      <c r="D15" s="3103"/>
      <c r="E15" s="3136"/>
      <c r="F15" s="3124"/>
      <c r="G15" s="3125"/>
    </row>
    <row r="16" spans="1:7" ht="14.25">
      <c r="A16" s="3126" t="s">
        <v>4595</v>
      </c>
      <c r="B16" s="3135"/>
      <c r="C16" s="3136"/>
      <c r="D16" s="3137"/>
      <c r="E16" s="3136"/>
      <c r="F16" s="3124"/>
      <c r="G16" s="3138"/>
    </row>
    <row r="17" spans="1:8" ht="14.25">
      <c r="A17" s="3126" t="s">
        <v>4596</v>
      </c>
      <c r="B17" s="3135"/>
      <c r="C17" s="3139">
        <v>53248471662</v>
      </c>
      <c r="D17" s="3137"/>
      <c r="E17" s="3139">
        <v>50012171796</v>
      </c>
      <c r="F17" s="3124"/>
      <c r="G17" s="3125"/>
    </row>
    <row r="18" spans="1:8" ht="14.25">
      <c r="A18" s="3126" t="s">
        <v>4597</v>
      </c>
      <c r="B18" s="3135"/>
      <c r="C18" s="3140">
        <v>4936193682</v>
      </c>
      <c r="D18" s="3137"/>
      <c r="E18" s="3140">
        <v>4933758461</v>
      </c>
      <c r="F18" s="3124"/>
      <c r="G18" s="3125"/>
    </row>
    <row r="19" spans="1:8" ht="14.25">
      <c r="A19" s="3126" t="s">
        <v>4598</v>
      </c>
      <c r="B19" s="3135"/>
      <c r="C19" s="3140">
        <v>83590889915</v>
      </c>
      <c r="D19" s="3137"/>
      <c r="E19" s="3140">
        <v>83475684209</v>
      </c>
      <c r="F19" s="3124"/>
      <c r="G19" s="3125"/>
    </row>
    <row r="20" spans="1:8" ht="14.25" customHeight="1">
      <c r="A20" s="3126" t="s">
        <v>4599</v>
      </c>
      <c r="B20" s="3135"/>
      <c r="C20" s="3141">
        <v>390855748</v>
      </c>
      <c r="D20" s="3137"/>
      <c r="E20" s="3141">
        <v>304128180</v>
      </c>
      <c r="F20" s="3124"/>
      <c r="G20" s="3125"/>
      <c r="H20" s="3142"/>
    </row>
    <row r="21" spans="1:8" ht="14.25">
      <c r="A21" s="3126"/>
      <c r="B21" s="3135"/>
      <c r="C21" s="3143">
        <v>142166411007</v>
      </c>
      <c r="D21" s="3137"/>
      <c r="E21" s="3143">
        <v>138725742646</v>
      </c>
      <c r="F21" s="3124"/>
      <c r="G21" s="3125"/>
      <c r="H21" s="3142"/>
    </row>
    <row r="22" spans="1:8" ht="14.25">
      <c r="A22" s="3126" t="s">
        <v>4600</v>
      </c>
      <c r="B22" s="3135"/>
      <c r="C22" s="3144">
        <v>5100532057</v>
      </c>
      <c r="D22" s="3137"/>
      <c r="E22" s="3144">
        <v>5420026158</v>
      </c>
      <c r="F22" s="3124"/>
      <c r="G22" s="3125"/>
    </row>
    <row r="23" spans="1:8" ht="14.25">
      <c r="A23" s="3126" t="s">
        <v>4601</v>
      </c>
      <c r="B23" s="3135"/>
      <c r="C23" s="3144">
        <v>3358267462</v>
      </c>
      <c r="D23" s="3137"/>
      <c r="E23" s="3144">
        <v>3456734753</v>
      </c>
      <c r="F23" s="3124"/>
      <c r="G23" s="3125"/>
    </row>
    <row r="24" spans="1:8" ht="14.25">
      <c r="A24" s="3126" t="s">
        <v>4602</v>
      </c>
      <c r="B24" s="3135"/>
      <c r="C24" s="3144">
        <v>1594420882</v>
      </c>
      <c r="D24" s="3137"/>
      <c r="E24" s="3144">
        <v>1587715396</v>
      </c>
      <c r="F24" s="3124"/>
      <c r="G24" s="3125"/>
    </row>
    <row r="25" spans="1:8" ht="14.25">
      <c r="A25" s="3126" t="s">
        <v>16</v>
      </c>
      <c r="B25" s="3135"/>
      <c r="C25" s="3145">
        <v>452925698</v>
      </c>
      <c r="D25" s="3137"/>
      <c r="E25" s="3145">
        <v>584520581</v>
      </c>
      <c r="F25" s="3124"/>
      <c r="G25" s="3125"/>
      <c r="H25" s="3142"/>
    </row>
    <row r="26" spans="1:8" ht="14.25">
      <c r="A26" s="3126"/>
      <c r="B26" s="3135"/>
      <c r="C26" s="3144">
        <v>152672557106</v>
      </c>
      <c r="D26" s="3137"/>
      <c r="E26" s="3144">
        <v>149774739534</v>
      </c>
      <c r="F26" s="3124"/>
      <c r="G26" s="3125"/>
    </row>
    <row r="27" spans="1:8" ht="15" customHeight="1">
      <c r="A27" s="3126" t="s">
        <v>4603</v>
      </c>
      <c r="B27" s="3135"/>
      <c r="C27" s="3136"/>
      <c r="D27" s="3137"/>
      <c r="E27" s="3136"/>
      <c r="F27" s="3124"/>
      <c r="G27" s="3125"/>
    </row>
    <row r="28" spans="1:8" ht="12" customHeight="1">
      <c r="A28" s="3126"/>
      <c r="B28" s="3135"/>
      <c r="C28" s="3136"/>
      <c r="D28" s="3137"/>
      <c r="E28" s="3136"/>
      <c r="F28" s="3124"/>
      <c r="G28" s="3125"/>
    </row>
    <row r="29" spans="1:8" ht="18" customHeight="1">
      <c r="A29" s="3134" t="s">
        <v>0</v>
      </c>
      <c r="B29" s="3135"/>
      <c r="C29" s="3136"/>
      <c r="D29" s="3137"/>
      <c r="E29" s="3136"/>
      <c r="F29" s="3124"/>
      <c r="G29" s="3125"/>
    </row>
    <row r="30" spans="1:8" ht="6" customHeight="1">
      <c r="A30" s="3146"/>
      <c r="B30" s="3135"/>
      <c r="C30" s="3136"/>
      <c r="D30" s="3137"/>
      <c r="E30" s="3136"/>
      <c r="F30" s="3124"/>
      <c r="G30" s="3125"/>
    </row>
    <row r="31" spans="1:8" ht="18" customHeight="1">
      <c r="A31" s="3126" t="s">
        <v>4604</v>
      </c>
      <c r="B31" s="3135"/>
      <c r="C31" s="3139">
        <v>28430335895</v>
      </c>
      <c r="D31" s="3103"/>
      <c r="E31" s="3139">
        <v>27750588370</v>
      </c>
      <c r="F31" s="3124"/>
      <c r="G31" s="3125"/>
    </row>
    <row r="32" spans="1:8" ht="15" customHeight="1">
      <c r="A32" s="3126" t="s">
        <v>4605</v>
      </c>
      <c r="B32" s="3135"/>
      <c r="C32" s="3141">
        <v>892262509</v>
      </c>
      <c r="D32" s="3103"/>
      <c r="E32" s="3141">
        <v>888609474</v>
      </c>
      <c r="F32" s="3124"/>
      <c r="G32" s="3125"/>
    </row>
    <row r="33" spans="1:8" ht="15" customHeight="1">
      <c r="A33" s="3126"/>
      <c r="B33" s="3135"/>
      <c r="C33" s="3144">
        <v>29322598404</v>
      </c>
      <c r="D33" s="3103"/>
      <c r="E33" s="3144">
        <v>28639197844</v>
      </c>
      <c r="F33" s="3124"/>
      <c r="G33" s="3125"/>
      <c r="H33" s="3142"/>
    </row>
    <row r="34" spans="1:8" ht="15" customHeight="1">
      <c r="A34" s="3126" t="s">
        <v>4606</v>
      </c>
      <c r="B34" s="3135"/>
      <c r="C34" s="3136"/>
      <c r="D34" s="3103"/>
      <c r="E34" s="3136"/>
      <c r="F34" s="3124"/>
      <c r="G34" s="3125"/>
    </row>
    <row r="35" spans="1:8" ht="15" customHeight="1">
      <c r="A35" s="3126" t="s">
        <v>4607</v>
      </c>
      <c r="B35" s="3135"/>
      <c r="C35" s="3139">
        <v>19498316741</v>
      </c>
      <c r="D35" s="3103"/>
      <c r="E35" s="3139">
        <v>15339826479</v>
      </c>
      <c r="F35" s="3124"/>
      <c r="G35" s="3125"/>
    </row>
    <row r="36" spans="1:8" ht="15" customHeight="1">
      <c r="A36" s="3126" t="s">
        <v>3791</v>
      </c>
      <c r="B36" s="3135"/>
      <c r="C36" s="3140">
        <v>39385219823</v>
      </c>
      <c r="D36" s="3103"/>
      <c r="E36" s="3140">
        <v>42987276963</v>
      </c>
      <c r="F36" s="3124"/>
      <c r="G36" s="3125"/>
    </row>
    <row r="37" spans="1:8" ht="15" customHeight="1">
      <c r="A37" s="3126" t="s">
        <v>4608</v>
      </c>
      <c r="B37" s="3135"/>
      <c r="C37" s="3140">
        <v>359004905</v>
      </c>
      <c r="D37" s="3103"/>
      <c r="E37" s="3140">
        <v>311390585</v>
      </c>
      <c r="F37" s="3124"/>
      <c r="G37" s="3125"/>
    </row>
    <row r="38" spans="1:8" ht="15" customHeight="1">
      <c r="A38" s="3126" t="s">
        <v>4609</v>
      </c>
      <c r="B38" s="3135"/>
      <c r="C38" s="3141">
        <v>257164755</v>
      </c>
      <c r="D38" s="3103"/>
      <c r="E38" s="3141">
        <v>356658153</v>
      </c>
      <c r="F38" s="3124"/>
      <c r="G38" s="3125"/>
    </row>
    <row r="39" spans="1:8" ht="14.25">
      <c r="A39" s="3126"/>
      <c r="B39" s="3135"/>
      <c r="C39" s="3144">
        <v>59499706224</v>
      </c>
      <c r="D39" s="3103"/>
      <c r="E39" s="3144">
        <v>58995152180</v>
      </c>
      <c r="F39" s="3124"/>
      <c r="G39" s="3125"/>
      <c r="H39" s="3142"/>
    </row>
    <row r="40" spans="1:8" ht="14.25">
      <c r="A40" s="3126" t="s">
        <v>4610</v>
      </c>
      <c r="B40" s="3135"/>
      <c r="C40" s="3144">
        <v>28761211203</v>
      </c>
      <c r="D40" s="3103"/>
      <c r="E40" s="3144">
        <v>26756149406</v>
      </c>
      <c r="F40" s="3124"/>
      <c r="G40" s="3125"/>
    </row>
    <row r="41" spans="1:8" ht="14.25">
      <c r="A41" s="3126" t="s">
        <v>4611</v>
      </c>
      <c r="B41" s="3135"/>
      <c r="C41" s="3145">
        <v>11844133126</v>
      </c>
      <c r="D41" s="3103"/>
      <c r="E41" s="3145">
        <v>11420266294</v>
      </c>
      <c r="F41" s="3124"/>
      <c r="G41" s="3114"/>
    </row>
    <row r="42" spans="1:8" ht="20.25" customHeight="1">
      <c r="A42" s="3126"/>
      <c r="B42" s="3103"/>
      <c r="C42" s="3145">
        <v>129427648957</v>
      </c>
      <c r="D42" s="3144"/>
      <c r="E42" s="3145">
        <v>125810765724</v>
      </c>
      <c r="F42" s="3124"/>
      <c r="G42" s="3125"/>
      <c r="H42" s="3142"/>
    </row>
    <row r="43" spans="1:8" ht="25.5" customHeight="1" thickBot="1">
      <c r="A43" s="3146"/>
      <c r="B43" s="3103"/>
      <c r="C43" s="3147">
        <v>23244908149</v>
      </c>
      <c r="D43" s="3137"/>
      <c r="E43" s="3147">
        <v>23963973810</v>
      </c>
      <c r="F43" s="3124"/>
      <c r="G43" s="3125"/>
      <c r="H43" s="3142"/>
    </row>
    <row r="44" spans="1:8" ht="9.75" customHeight="1" thickTop="1" thickBot="1">
      <c r="A44" s="3148"/>
      <c r="B44" s="3149"/>
      <c r="C44" s="3149" t="s">
        <v>42</v>
      </c>
      <c r="D44" s="3150"/>
      <c r="E44" s="3149"/>
      <c r="F44" s="3151"/>
      <c r="G44" s="3125"/>
    </row>
    <row r="45" spans="1:8" ht="5.25" customHeight="1">
      <c r="A45" s="3103"/>
      <c r="B45" s="3103"/>
      <c r="C45" s="3103"/>
      <c r="D45" s="3137"/>
      <c r="E45" s="3103"/>
      <c r="F45" s="3152"/>
      <c r="G45" s="3153"/>
    </row>
    <row r="46" spans="1:8" ht="9.75" customHeight="1">
      <c r="A46" s="3103"/>
      <c r="B46" s="3103"/>
      <c r="C46" s="3144"/>
      <c r="D46" s="3137"/>
      <c r="E46" s="3103"/>
      <c r="F46" s="3152"/>
      <c r="G46" s="3153"/>
    </row>
    <row r="47" spans="1:8" ht="18.75" customHeight="1">
      <c r="A47" t="s">
        <v>4612</v>
      </c>
      <c r="B47" s="3103"/>
      <c r="C47" s="3144"/>
      <c r="D47" s="3137"/>
      <c r="E47" s="3144"/>
      <c r="F47" s="3152"/>
      <c r="G47" s="3153"/>
    </row>
    <row r="48" spans="1:8" s="3158" customFormat="1">
      <c r="A48" s="3154" t="s">
        <v>43</v>
      </c>
      <c r="B48" s="3155"/>
      <c r="C48" s="3156"/>
      <c r="D48" s="3157"/>
      <c r="E48" s="3156"/>
      <c r="F48" s="3155"/>
      <c r="G48" s="3153"/>
    </row>
    <row r="49" spans="1:7" s="3158" customFormat="1">
      <c r="A49" s="3155"/>
      <c r="B49" s="3155"/>
      <c r="C49" s="3156"/>
      <c r="D49" s="3156"/>
      <c r="E49" s="3156"/>
      <c r="F49" s="3155"/>
      <c r="G49" s="3153"/>
    </row>
    <row r="50" spans="1:7">
      <c r="A50" s="3155"/>
      <c r="B50" s="3155"/>
      <c r="C50" s="3159"/>
      <c r="D50" s="3156"/>
      <c r="E50" s="3156"/>
      <c r="F50" s="3155"/>
      <c r="G50" s="3153"/>
    </row>
    <row r="51" spans="1:7">
      <c r="A51" s="3155"/>
      <c r="B51" s="3155"/>
      <c r="C51" s="3156"/>
      <c r="D51" s="3156"/>
      <c r="E51" s="3156"/>
      <c r="F51" s="3155"/>
    </row>
    <row r="53" spans="1:7" ht="20.25" customHeight="1">
      <c r="C53" s="3105"/>
      <c r="E53" s="3105"/>
    </row>
    <row r="54" spans="1:7">
      <c r="C54" s="3105"/>
      <c r="E54" s="3105"/>
    </row>
    <row r="55" spans="1:7">
      <c r="C55" s="3105"/>
      <c r="E55" s="3105"/>
    </row>
    <row r="56" spans="1:7">
      <c r="C56" s="3105"/>
      <c r="E56" s="3105"/>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showGridLines="0" zoomScaleNormal="100" workbookViewId="0">
      <pane xSplit="1" topLeftCell="B1" activePane="topRight" state="frozen"/>
      <selection activeCell="A13" sqref="A13"/>
      <selection pane="topRight" activeCell="AP16" sqref="AP16"/>
    </sheetView>
  </sheetViews>
  <sheetFormatPr defaultRowHeight="15"/>
  <cols>
    <col min="1" max="1" width="3.140625" style="1262" customWidth="1"/>
    <col min="2" max="2" width="49" style="1262" customWidth="1"/>
    <col min="3" max="3" width="15.85546875" style="1262" customWidth="1"/>
    <col min="4" max="4" width="13.28515625" style="1262" customWidth="1"/>
    <col min="5" max="5" width="14.140625" style="1262" customWidth="1"/>
    <col min="6" max="7" width="13.85546875" style="1262" customWidth="1"/>
    <col min="8" max="8" width="12.7109375" style="1262" customWidth="1"/>
    <col min="9" max="10" width="9.85546875" style="1262" customWidth="1"/>
    <col min="11" max="11" width="9.85546875" style="1262" bestFit="1" customWidth="1"/>
    <col min="12" max="12" width="9.140625" style="1262"/>
    <col min="13" max="13" width="9.42578125" style="1262" bestFit="1" customWidth="1"/>
    <col min="14" max="15" width="9.28515625" style="1262" bestFit="1" customWidth="1"/>
    <col min="16" max="18" width="9.28515625" style="1262" customWidth="1"/>
    <col min="19" max="19" width="9.28515625" style="1262" bestFit="1" customWidth="1"/>
    <col min="20" max="255" width="9.140625" style="1262"/>
    <col min="256" max="256" width="3.140625" style="1262" customWidth="1"/>
    <col min="257" max="257" width="47.7109375" style="1262" customWidth="1"/>
    <col min="258" max="258" width="12.28515625" style="1262" customWidth="1"/>
    <col min="259" max="259" width="13.140625" style="1262" customWidth="1"/>
    <col min="260" max="260" width="11.7109375" style="1262" customWidth="1"/>
    <col min="261" max="261" width="12.85546875" style="1262" customWidth="1"/>
    <col min="262" max="262" width="11.5703125" style="1262" customWidth="1"/>
    <col min="263" max="263" width="10.5703125" style="1262" customWidth="1"/>
    <col min="264" max="264" width="11.28515625" style="1262" customWidth="1"/>
    <col min="265" max="266" width="9.85546875" style="1262" customWidth="1"/>
    <col min="267" max="267" width="9.85546875" style="1262" bestFit="1" customWidth="1"/>
    <col min="268" max="268" width="9.140625" style="1262"/>
    <col min="269" max="269" width="9.42578125" style="1262" bestFit="1" customWidth="1"/>
    <col min="270" max="271" width="9.28515625" style="1262" bestFit="1" customWidth="1"/>
    <col min="272" max="274" width="9.28515625" style="1262" customWidth="1"/>
    <col min="275" max="275" width="9.28515625" style="1262" bestFit="1" customWidth="1"/>
    <col min="276" max="511" width="9.140625" style="1262"/>
    <col min="512" max="512" width="3.140625" style="1262" customWidth="1"/>
    <col min="513" max="513" width="47.7109375" style="1262" customWidth="1"/>
    <col min="514" max="514" width="12.28515625" style="1262" customWidth="1"/>
    <col min="515" max="515" width="13.140625" style="1262" customWidth="1"/>
    <col min="516" max="516" width="11.7109375" style="1262" customWidth="1"/>
    <col min="517" max="517" width="12.85546875" style="1262" customWidth="1"/>
    <col min="518" max="518" width="11.5703125" style="1262" customWidth="1"/>
    <col min="519" max="519" width="10.5703125" style="1262" customWidth="1"/>
    <col min="520" max="520" width="11.28515625" style="1262" customWidth="1"/>
    <col min="521" max="522" width="9.85546875" style="1262" customWidth="1"/>
    <col min="523" max="523" width="9.85546875" style="1262" bestFit="1" customWidth="1"/>
    <col min="524" max="524" width="9.140625" style="1262"/>
    <col min="525" max="525" width="9.42578125" style="1262" bestFit="1" customWidth="1"/>
    <col min="526" max="527" width="9.28515625" style="1262" bestFit="1" customWidth="1"/>
    <col min="528" max="530" width="9.28515625" style="1262" customWidth="1"/>
    <col min="531" max="531" width="9.28515625" style="1262" bestFit="1" customWidth="1"/>
    <col min="532" max="767" width="9.140625" style="1262"/>
    <col min="768" max="768" width="3.140625" style="1262" customWidth="1"/>
    <col min="769" max="769" width="47.7109375" style="1262" customWidth="1"/>
    <col min="770" max="770" width="12.28515625" style="1262" customWidth="1"/>
    <col min="771" max="771" width="13.140625" style="1262" customWidth="1"/>
    <col min="772" max="772" width="11.7109375" style="1262" customWidth="1"/>
    <col min="773" max="773" width="12.85546875" style="1262" customWidth="1"/>
    <col min="774" max="774" width="11.5703125" style="1262" customWidth="1"/>
    <col min="775" max="775" width="10.5703125" style="1262" customWidth="1"/>
    <col min="776" max="776" width="11.28515625" style="1262" customWidth="1"/>
    <col min="777" max="778" width="9.85546875" style="1262" customWidth="1"/>
    <col min="779" max="779" width="9.85546875" style="1262" bestFit="1" customWidth="1"/>
    <col min="780" max="780" width="9.140625" style="1262"/>
    <col min="781" max="781" width="9.42578125" style="1262" bestFit="1" customWidth="1"/>
    <col min="782" max="783" width="9.28515625" style="1262" bestFit="1" customWidth="1"/>
    <col min="784" max="786" width="9.28515625" style="1262" customWidth="1"/>
    <col min="787" max="787" width="9.28515625" style="1262" bestFit="1" customWidth="1"/>
    <col min="788" max="1023" width="9.140625" style="1262"/>
    <col min="1024" max="1024" width="3.140625" style="1262" customWidth="1"/>
    <col min="1025" max="1025" width="47.7109375" style="1262" customWidth="1"/>
    <col min="1026" max="1026" width="12.28515625" style="1262" customWidth="1"/>
    <col min="1027" max="1027" width="13.140625" style="1262" customWidth="1"/>
    <col min="1028" max="1028" width="11.7109375" style="1262" customWidth="1"/>
    <col min="1029" max="1029" width="12.85546875" style="1262" customWidth="1"/>
    <col min="1030" max="1030" width="11.5703125" style="1262" customWidth="1"/>
    <col min="1031" max="1031" width="10.5703125" style="1262" customWidth="1"/>
    <col min="1032" max="1032" width="11.28515625" style="1262" customWidth="1"/>
    <col min="1033" max="1034" width="9.85546875" style="1262" customWidth="1"/>
    <col min="1035" max="1035" width="9.85546875" style="1262" bestFit="1" customWidth="1"/>
    <col min="1036" max="1036" width="9.140625" style="1262"/>
    <col min="1037" max="1037" width="9.42578125" style="1262" bestFit="1" customWidth="1"/>
    <col min="1038" max="1039" width="9.28515625" style="1262" bestFit="1" customWidth="1"/>
    <col min="1040" max="1042" width="9.28515625" style="1262" customWidth="1"/>
    <col min="1043" max="1043" width="9.28515625" style="1262" bestFit="1" customWidth="1"/>
    <col min="1044" max="1279" width="9.140625" style="1262"/>
    <col min="1280" max="1280" width="3.140625" style="1262" customWidth="1"/>
    <col min="1281" max="1281" width="47.7109375" style="1262" customWidth="1"/>
    <col min="1282" max="1282" width="12.28515625" style="1262" customWidth="1"/>
    <col min="1283" max="1283" width="13.140625" style="1262" customWidth="1"/>
    <col min="1284" max="1284" width="11.7109375" style="1262" customWidth="1"/>
    <col min="1285" max="1285" width="12.85546875" style="1262" customWidth="1"/>
    <col min="1286" max="1286" width="11.5703125" style="1262" customWidth="1"/>
    <col min="1287" max="1287" width="10.5703125" style="1262" customWidth="1"/>
    <col min="1288" max="1288" width="11.28515625" style="1262" customWidth="1"/>
    <col min="1289" max="1290" width="9.85546875" style="1262" customWidth="1"/>
    <col min="1291" max="1291" width="9.85546875" style="1262" bestFit="1" customWidth="1"/>
    <col min="1292" max="1292" width="9.140625" style="1262"/>
    <col min="1293" max="1293" width="9.42578125" style="1262" bestFit="1" customWidth="1"/>
    <col min="1294" max="1295" width="9.28515625" style="1262" bestFit="1" customWidth="1"/>
    <col min="1296" max="1298" width="9.28515625" style="1262" customWidth="1"/>
    <col min="1299" max="1299" width="9.28515625" style="1262" bestFit="1" customWidth="1"/>
    <col min="1300" max="1535" width="9.140625" style="1262"/>
    <col min="1536" max="1536" width="3.140625" style="1262" customWidth="1"/>
    <col min="1537" max="1537" width="47.7109375" style="1262" customWidth="1"/>
    <col min="1538" max="1538" width="12.28515625" style="1262" customWidth="1"/>
    <col min="1539" max="1539" width="13.140625" style="1262" customWidth="1"/>
    <col min="1540" max="1540" width="11.7109375" style="1262" customWidth="1"/>
    <col min="1541" max="1541" width="12.85546875" style="1262" customWidth="1"/>
    <col min="1542" max="1542" width="11.5703125" style="1262" customWidth="1"/>
    <col min="1543" max="1543" width="10.5703125" style="1262" customWidth="1"/>
    <col min="1544" max="1544" width="11.28515625" style="1262" customWidth="1"/>
    <col min="1545" max="1546" width="9.85546875" style="1262" customWidth="1"/>
    <col min="1547" max="1547" width="9.85546875" style="1262" bestFit="1" customWidth="1"/>
    <col min="1548" max="1548" width="9.140625" style="1262"/>
    <col min="1549" max="1549" width="9.42578125" style="1262" bestFit="1" customWidth="1"/>
    <col min="1550" max="1551" width="9.28515625" style="1262" bestFit="1" customWidth="1"/>
    <col min="1552" max="1554" width="9.28515625" style="1262" customWidth="1"/>
    <col min="1555" max="1555" width="9.28515625" style="1262" bestFit="1" customWidth="1"/>
    <col min="1556" max="1791" width="9.140625" style="1262"/>
    <col min="1792" max="1792" width="3.140625" style="1262" customWidth="1"/>
    <col min="1793" max="1793" width="47.7109375" style="1262" customWidth="1"/>
    <col min="1794" max="1794" width="12.28515625" style="1262" customWidth="1"/>
    <col min="1795" max="1795" width="13.140625" style="1262" customWidth="1"/>
    <col min="1796" max="1796" width="11.7109375" style="1262" customWidth="1"/>
    <col min="1797" max="1797" width="12.85546875" style="1262" customWidth="1"/>
    <col min="1798" max="1798" width="11.5703125" style="1262" customWidth="1"/>
    <col min="1799" max="1799" width="10.5703125" style="1262" customWidth="1"/>
    <col min="1800" max="1800" width="11.28515625" style="1262" customWidth="1"/>
    <col min="1801" max="1802" width="9.85546875" style="1262" customWidth="1"/>
    <col min="1803" max="1803" width="9.85546875" style="1262" bestFit="1" customWidth="1"/>
    <col min="1804" max="1804" width="9.140625" style="1262"/>
    <col min="1805" max="1805" width="9.42578125" style="1262" bestFit="1" customWidth="1"/>
    <col min="1806" max="1807" width="9.28515625" style="1262" bestFit="1" customWidth="1"/>
    <col min="1808" max="1810" width="9.28515625" style="1262" customWidth="1"/>
    <col min="1811" max="1811" width="9.28515625" style="1262" bestFit="1" customWidth="1"/>
    <col min="1812" max="2047" width="9.140625" style="1262"/>
    <col min="2048" max="2048" width="3.140625" style="1262" customWidth="1"/>
    <col min="2049" max="2049" width="47.7109375" style="1262" customWidth="1"/>
    <col min="2050" max="2050" width="12.28515625" style="1262" customWidth="1"/>
    <col min="2051" max="2051" width="13.140625" style="1262" customWidth="1"/>
    <col min="2052" max="2052" width="11.7109375" style="1262" customWidth="1"/>
    <col min="2053" max="2053" width="12.85546875" style="1262" customWidth="1"/>
    <col min="2054" max="2054" width="11.5703125" style="1262" customWidth="1"/>
    <col min="2055" max="2055" width="10.5703125" style="1262" customWidth="1"/>
    <col min="2056" max="2056" width="11.28515625" style="1262" customWidth="1"/>
    <col min="2057" max="2058" width="9.85546875" style="1262" customWidth="1"/>
    <col min="2059" max="2059" width="9.85546875" style="1262" bestFit="1" customWidth="1"/>
    <col min="2060" max="2060" width="9.140625" style="1262"/>
    <col min="2061" max="2061" width="9.42578125" style="1262" bestFit="1" customWidth="1"/>
    <col min="2062" max="2063" width="9.28515625" style="1262" bestFit="1" customWidth="1"/>
    <col min="2064" max="2066" width="9.28515625" style="1262" customWidth="1"/>
    <col min="2067" max="2067" width="9.28515625" style="1262" bestFit="1" customWidth="1"/>
    <col min="2068" max="2303" width="9.140625" style="1262"/>
    <col min="2304" max="2304" width="3.140625" style="1262" customWidth="1"/>
    <col min="2305" max="2305" width="47.7109375" style="1262" customWidth="1"/>
    <col min="2306" max="2306" width="12.28515625" style="1262" customWidth="1"/>
    <col min="2307" max="2307" width="13.140625" style="1262" customWidth="1"/>
    <col min="2308" max="2308" width="11.7109375" style="1262" customWidth="1"/>
    <col min="2309" max="2309" width="12.85546875" style="1262" customWidth="1"/>
    <col min="2310" max="2310" width="11.5703125" style="1262" customWidth="1"/>
    <col min="2311" max="2311" width="10.5703125" style="1262" customWidth="1"/>
    <col min="2312" max="2312" width="11.28515625" style="1262" customWidth="1"/>
    <col min="2313" max="2314" width="9.85546875" style="1262" customWidth="1"/>
    <col min="2315" max="2315" width="9.85546875" style="1262" bestFit="1" customWidth="1"/>
    <col min="2316" max="2316" width="9.140625" style="1262"/>
    <col min="2317" max="2317" width="9.42578125" style="1262" bestFit="1" customWidth="1"/>
    <col min="2318" max="2319" width="9.28515625" style="1262" bestFit="1" customWidth="1"/>
    <col min="2320" max="2322" width="9.28515625" style="1262" customWidth="1"/>
    <col min="2323" max="2323" width="9.28515625" style="1262" bestFit="1" customWidth="1"/>
    <col min="2324" max="2559" width="9.140625" style="1262"/>
    <col min="2560" max="2560" width="3.140625" style="1262" customWidth="1"/>
    <col min="2561" max="2561" width="47.7109375" style="1262" customWidth="1"/>
    <col min="2562" max="2562" width="12.28515625" style="1262" customWidth="1"/>
    <col min="2563" max="2563" width="13.140625" style="1262" customWidth="1"/>
    <col min="2564" max="2564" width="11.7109375" style="1262" customWidth="1"/>
    <col min="2565" max="2565" width="12.85546875" style="1262" customWidth="1"/>
    <col min="2566" max="2566" width="11.5703125" style="1262" customWidth="1"/>
    <col min="2567" max="2567" width="10.5703125" style="1262" customWidth="1"/>
    <col min="2568" max="2568" width="11.28515625" style="1262" customWidth="1"/>
    <col min="2569" max="2570" width="9.85546875" style="1262" customWidth="1"/>
    <col min="2571" max="2571" width="9.85546875" style="1262" bestFit="1" customWidth="1"/>
    <col min="2572" max="2572" width="9.140625" style="1262"/>
    <col min="2573" max="2573" width="9.42578125" style="1262" bestFit="1" customWidth="1"/>
    <col min="2574" max="2575" width="9.28515625" style="1262" bestFit="1" customWidth="1"/>
    <col min="2576" max="2578" width="9.28515625" style="1262" customWidth="1"/>
    <col min="2579" max="2579" width="9.28515625" style="1262" bestFit="1" customWidth="1"/>
    <col min="2580" max="2815" width="9.140625" style="1262"/>
    <col min="2816" max="2816" width="3.140625" style="1262" customWidth="1"/>
    <col min="2817" max="2817" width="47.7109375" style="1262" customWidth="1"/>
    <col min="2818" max="2818" width="12.28515625" style="1262" customWidth="1"/>
    <col min="2819" max="2819" width="13.140625" style="1262" customWidth="1"/>
    <col min="2820" max="2820" width="11.7109375" style="1262" customWidth="1"/>
    <col min="2821" max="2821" width="12.85546875" style="1262" customWidth="1"/>
    <col min="2822" max="2822" width="11.5703125" style="1262" customWidth="1"/>
    <col min="2823" max="2823" width="10.5703125" style="1262" customWidth="1"/>
    <col min="2824" max="2824" width="11.28515625" style="1262" customWidth="1"/>
    <col min="2825" max="2826" width="9.85546875" style="1262" customWidth="1"/>
    <col min="2827" max="2827" width="9.85546875" style="1262" bestFit="1" customWidth="1"/>
    <col min="2828" max="2828" width="9.140625" style="1262"/>
    <col min="2829" max="2829" width="9.42578125" style="1262" bestFit="1" customWidth="1"/>
    <col min="2830" max="2831" width="9.28515625" style="1262" bestFit="1" customWidth="1"/>
    <col min="2832" max="2834" width="9.28515625" style="1262" customWidth="1"/>
    <col min="2835" max="2835" width="9.28515625" style="1262" bestFit="1" customWidth="1"/>
    <col min="2836" max="3071" width="9.140625" style="1262"/>
    <col min="3072" max="3072" width="3.140625" style="1262" customWidth="1"/>
    <col min="3073" max="3073" width="47.7109375" style="1262" customWidth="1"/>
    <col min="3074" max="3074" width="12.28515625" style="1262" customWidth="1"/>
    <col min="3075" max="3075" width="13.140625" style="1262" customWidth="1"/>
    <col min="3076" max="3076" width="11.7109375" style="1262" customWidth="1"/>
    <col min="3077" max="3077" width="12.85546875" style="1262" customWidth="1"/>
    <col min="3078" max="3078" width="11.5703125" style="1262" customWidth="1"/>
    <col min="3079" max="3079" width="10.5703125" style="1262" customWidth="1"/>
    <col min="3080" max="3080" width="11.28515625" style="1262" customWidth="1"/>
    <col min="3081" max="3082" width="9.85546875" style="1262" customWidth="1"/>
    <col min="3083" max="3083" width="9.85546875" style="1262" bestFit="1" customWidth="1"/>
    <col min="3084" max="3084" width="9.140625" style="1262"/>
    <col min="3085" max="3085" width="9.42578125" style="1262" bestFit="1" customWidth="1"/>
    <col min="3086" max="3087" width="9.28515625" style="1262" bestFit="1" customWidth="1"/>
    <col min="3088" max="3090" width="9.28515625" style="1262" customWidth="1"/>
    <col min="3091" max="3091" width="9.28515625" style="1262" bestFit="1" customWidth="1"/>
    <col min="3092" max="3327" width="9.140625" style="1262"/>
    <col min="3328" max="3328" width="3.140625" style="1262" customWidth="1"/>
    <col min="3329" max="3329" width="47.7109375" style="1262" customWidth="1"/>
    <col min="3330" max="3330" width="12.28515625" style="1262" customWidth="1"/>
    <col min="3331" max="3331" width="13.140625" style="1262" customWidth="1"/>
    <col min="3332" max="3332" width="11.7109375" style="1262" customWidth="1"/>
    <col min="3333" max="3333" width="12.85546875" style="1262" customWidth="1"/>
    <col min="3334" max="3334" width="11.5703125" style="1262" customWidth="1"/>
    <col min="3335" max="3335" width="10.5703125" style="1262" customWidth="1"/>
    <col min="3336" max="3336" width="11.28515625" style="1262" customWidth="1"/>
    <col min="3337" max="3338" width="9.85546875" style="1262" customWidth="1"/>
    <col min="3339" max="3339" width="9.85546875" style="1262" bestFit="1" customWidth="1"/>
    <col min="3340" max="3340" width="9.140625" style="1262"/>
    <col min="3341" max="3341" width="9.42578125" style="1262" bestFit="1" customWidth="1"/>
    <col min="3342" max="3343" width="9.28515625" style="1262" bestFit="1" customWidth="1"/>
    <col min="3344" max="3346" width="9.28515625" style="1262" customWidth="1"/>
    <col min="3347" max="3347" width="9.28515625" style="1262" bestFit="1" customWidth="1"/>
    <col min="3348" max="3583" width="9.140625" style="1262"/>
    <col min="3584" max="3584" width="3.140625" style="1262" customWidth="1"/>
    <col min="3585" max="3585" width="47.7109375" style="1262" customWidth="1"/>
    <col min="3586" max="3586" width="12.28515625" style="1262" customWidth="1"/>
    <col min="3587" max="3587" width="13.140625" style="1262" customWidth="1"/>
    <col min="3588" max="3588" width="11.7109375" style="1262" customWidth="1"/>
    <col min="3589" max="3589" width="12.85546875" style="1262" customWidth="1"/>
    <col min="3590" max="3590" width="11.5703125" style="1262" customWidth="1"/>
    <col min="3591" max="3591" width="10.5703125" style="1262" customWidth="1"/>
    <col min="3592" max="3592" width="11.28515625" style="1262" customWidth="1"/>
    <col min="3593" max="3594" width="9.85546875" style="1262" customWidth="1"/>
    <col min="3595" max="3595" width="9.85546875" style="1262" bestFit="1" customWidth="1"/>
    <col min="3596" max="3596" width="9.140625" style="1262"/>
    <col min="3597" max="3597" width="9.42578125" style="1262" bestFit="1" customWidth="1"/>
    <col min="3598" max="3599" width="9.28515625" style="1262" bestFit="1" customWidth="1"/>
    <col min="3600" max="3602" width="9.28515625" style="1262" customWidth="1"/>
    <col min="3603" max="3603" width="9.28515625" style="1262" bestFit="1" customWidth="1"/>
    <col min="3604" max="3839" width="9.140625" style="1262"/>
    <col min="3840" max="3840" width="3.140625" style="1262" customWidth="1"/>
    <col min="3841" max="3841" width="47.7109375" style="1262" customWidth="1"/>
    <col min="3842" max="3842" width="12.28515625" style="1262" customWidth="1"/>
    <col min="3843" max="3843" width="13.140625" style="1262" customWidth="1"/>
    <col min="3844" max="3844" width="11.7109375" style="1262" customWidth="1"/>
    <col min="3845" max="3845" width="12.85546875" style="1262" customWidth="1"/>
    <col min="3846" max="3846" width="11.5703125" style="1262" customWidth="1"/>
    <col min="3847" max="3847" width="10.5703125" style="1262" customWidth="1"/>
    <col min="3848" max="3848" width="11.28515625" style="1262" customWidth="1"/>
    <col min="3849" max="3850" width="9.85546875" style="1262" customWidth="1"/>
    <col min="3851" max="3851" width="9.85546875" style="1262" bestFit="1" customWidth="1"/>
    <col min="3852" max="3852" width="9.140625" style="1262"/>
    <col min="3853" max="3853" width="9.42578125" style="1262" bestFit="1" customWidth="1"/>
    <col min="3854" max="3855" width="9.28515625" style="1262" bestFit="1" customWidth="1"/>
    <col min="3856" max="3858" width="9.28515625" style="1262" customWidth="1"/>
    <col min="3859" max="3859" width="9.28515625" style="1262" bestFit="1" customWidth="1"/>
    <col min="3860" max="4095" width="9.140625" style="1262"/>
    <col min="4096" max="4096" width="3.140625" style="1262" customWidth="1"/>
    <col min="4097" max="4097" width="47.7109375" style="1262" customWidth="1"/>
    <col min="4098" max="4098" width="12.28515625" style="1262" customWidth="1"/>
    <col min="4099" max="4099" width="13.140625" style="1262" customWidth="1"/>
    <col min="4100" max="4100" width="11.7109375" style="1262" customWidth="1"/>
    <col min="4101" max="4101" width="12.85546875" style="1262" customWidth="1"/>
    <col min="4102" max="4102" width="11.5703125" style="1262" customWidth="1"/>
    <col min="4103" max="4103" width="10.5703125" style="1262" customWidth="1"/>
    <col min="4104" max="4104" width="11.28515625" style="1262" customWidth="1"/>
    <col min="4105" max="4106" width="9.85546875" style="1262" customWidth="1"/>
    <col min="4107" max="4107" width="9.85546875" style="1262" bestFit="1" customWidth="1"/>
    <col min="4108" max="4108" width="9.140625" style="1262"/>
    <col min="4109" max="4109" width="9.42578125" style="1262" bestFit="1" customWidth="1"/>
    <col min="4110" max="4111" width="9.28515625" style="1262" bestFit="1" customWidth="1"/>
    <col min="4112" max="4114" width="9.28515625" style="1262" customWidth="1"/>
    <col min="4115" max="4115" width="9.28515625" style="1262" bestFit="1" customWidth="1"/>
    <col min="4116" max="4351" width="9.140625" style="1262"/>
    <col min="4352" max="4352" width="3.140625" style="1262" customWidth="1"/>
    <col min="4353" max="4353" width="47.7109375" style="1262" customWidth="1"/>
    <col min="4354" max="4354" width="12.28515625" style="1262" customWidth="1"/>
    <col min="4355" max="4355" width="13.140625" style="1262" customWidth="1"/>
    <col min="4356" max="4356" width="11.7109375" style="1262" customWidth="1"/>
    <col min="4357" max="4357" width="12.85546875" style="1262" customWidth="1"/>
    <col min="4358" max="4358" width="11.5703125" style="1262" customWidth="1"/>
    <col min="4359" max="4359" width="10.5703125" style="1262" customWidth="1"/>
    <col min="4360" max="4360" width="11.28515625" style="1262" customWidth="1"/>
    <col min="4361" max="4362" width="9.85546875" style="1262" customWidth="1"/>
    <col min="4363" max="4363" width="9.85546875" style="1262" bestFit="1" customWidth="1"/>
    <col min="4364" max="4364" width="9.140625" style="1262"/>
    <col min="4365" max="4365" width="9.42578125" style="1262" bestFit="1" customWidth="1"/>
    <col min="4366" max="4367" width="9.28515625" style="1262" bestFit="1" customWidth="1"/>
    <col min="4368" max="4370" width="9.28515625" style="1262" customWidth="1"/>
    <col min="4371" max="4371" width="9.28515625" style="1262" bestFit="1" customWidth="1"/>
    <col min="4372" max="4607" width="9.140625" style="1262"/>
    <col min="4608" max="4608" width="3.140625" style="1262" customWidth="1"/>
    <col min="4609" max="4609" width="47.7109375" style="1262" customWidth="1"/>
    <col min="4610" max="4610" width="12.28515625" style="1262" customWidth="1"/>
    <col min="4611" max="4611" width="13.140625" style="1262" customWidth="1"/>
    <col min="4612" max="4612" width="11.7109375" style="1262" customWidth="1"/>
    <col min="4613" max="4613" width="12.85546875" style="1262" customWidth="1"/>
    <col min="4614" max="4614" width="11.5703125" style="1262" customWidth="1"/>
    <col min="4615" max="4615" width="10.5703125" style="1262" customWidth="1"/>
    <col min="4616" max="4616" width="11.28515625" style="1262" customWidth="1"/>
    <col min="4617" max="4618" width="9.85546875" style="1262" customWidth="1"/>
    <col min="4619" max="4619" width="9.85546875" style="1262" bestFit="1" customWidth="1"/>
    <col min="4620" max="4620" width="9.140625" style="1262"/>
    <col min="4621" max="4621" width="9.42578125" style="1262" bestFit="1" customWidth="1"/>
    <col min="4622" max="4623" width="9.28515625" style="1262" bestFit="1" customWidth="1"/>
    <col min="4624" max="4626" width="9.28515625" style="1262" customWidth="1"/>
    <col min="4627" max="4627" width="9.28515625" style="1262" bestFit="1" customWidth="1"/>
    <col min="4628" max="4863" width="9.140625" style="1262"/>
    <col min="4864" max="4864" width="3.140625" style="1262" customWidth="1"/>
    <col min="4865" max="4865" width="47.7109375" style="1262" customWidth="1"/>
    <col min="4866" max="4866" width="12.28515625" style="1262" customWidth="1"/>
    <col min="4867" max="4867" width="13.140625" style="1262" customWidth="1"/>
    <col min="4868" max="4868" width="11.7109375" style="1262" customWidth="1"/>
    <col min="4869" max="4869" width="12.85546875" style="1262" customWidth="1"/>
    <col min="4870" max="4870" width="11.5703125" style="1262" customWidth="1"/>
    <col min="4871" max="4871" width="10.5703125" style="1262" customWidth="1"/>
    <col min="4872" max="4872" width="11.28515625" style="1262" customWidth="1"/>
    <col min="4873" max="4874" width="9.85546875" style="1262" customWidth="1"/>
    <col min="4875" max="4875" width="9.85546875" style="1262" bestFit="1" customWidth="1"/>
    <col min="4876" max="4876" width="9.140625" style="1262"/>
    <col min="4877" max="4877" width="9.42578125" style="1262" bestFit="1" customWidth="1"/>
    <col min="4878" max="4879" width="9.28515625" style="1262" bestFit="1" customWidth="1"/>
    <col min="4880" max="4882" width="9.28515625" style="1262" customWidth="1"/>
    <col min="4883" max="4883" width="9.28515625" style="1262" bestFit="1" customWidth="1"/>
    <col min="4884" max="5119" width="9.140625" style="1262"/>
    <col min="5120" max="5120" width="3.140625" style="1262" customWidth="1"/>
    <col min="5121" max="5121" width="47.7109375" style="1262" customWidth="1"/>
    <col min="5122" max="5122" width="12.28515625" style="1262" customWidth="1"/>
    <col min="5123" max="5123" width="13.140625" style="1262" customWidth="1"/>
    <col min="5124" max="5124" width="11.7109375" style="1262" customWidth="1"/>
    <col min="5125" max="5125" width="12.85546875" style="1262" customWidth="1"/>
    <col min="5126" max="5126" width="11.5703125" style="1262" customWidth="1"/>
    <col min="5127" max="5127" width="10.5703125" style="1262" customWidth="1"/>
    <col min="5128" max="5128" width="11.28515625" style="1262" customWidth="1"/>
    <col min="5129" max="5130" width="9.85546875" style="1262" customWidth="1"/>
    <col min="5131" max="5131" width="9.85546875" style="1262" bestFit="1" customWidth="1"/>
    <col min="5132" max="5132" width="9.140625" style="1262"/>
    <col min="5133" max="5133" width="9.42578125" style="1262" bestFit="1" customWidth="1"/>
    <col min="5134" max="5135" width="9.28515625" style="1262" bestFit="1" customWidth="1"/>
    <col min="5136" max="5138" width="9.28515625" style="1262" customWidth="1"/>
    <col min="5139" max="5139" width="9.28515625" style="1262" bestFit="1" customWidth="1"/>
    <col min="5140" max="5375" width="9.140625" style="1262"/>
    <col min="5376" max="5376" width="3.140625" style="1262" customWidth="1"/>
    <col min="5377" max="5377" width="47.7109375" style="1262" customWidth="1"/>
    <col min="5378" max="5378" width="12.28515625" style="1262" customWidth="1"/>
    <col min="5379" max="5379" width="13.140625" style="1262" customWidth="1"/>
    <col min="5380" max="5380" width="11.7109375" style="1262" customWidth="1"/>
    <col min="5381" max="5381" width="12.85546875" style="1262" customWidth="1"/>
    <col min="5382" max="5382" width="11.5703125" style="1262" customWidth="1"/>
    <col min="5383" max="5383" width="10.5703125" style="1262" customWidth="1"/>
    <col min="5384" max="5384" width="11.28515625" style="1262" customWidth="1"/>
    <col min="5385" max="5386" width="9.85546875" style="1262" customWidth="1"/>
    <col min="5387" max="5387" width="9.85546875" style="1262" bestFit="1" customWidth="1"/>
    <col min="5388" max="5388" width="9.140625" style="1262"/>
    <col min="5389" max="5389" width="9.42578125" style="1262" bestFit="1" customWidth="1"/>
    <col min="5390" max="5391" width="9.28515625" style="1262" bestFit="1" customWidth="1"/>
    <col min="5392" max="5394" width="9.28515625" style="1262" customWidth="1"/>
    <col min="5395" max="5395" width="9.28515625" style="1262" bestFit="1" customWidth="1"/>
    <col min="5396" max="5631" width="9.140625" style="1262"/>
    <col min="5632" max="5632" width="3.140625" style="1262" customWidth="1"/>
    <col min="5633" max="5633" width="47.7109375" style="1262" customWidth="1"/>
    <col min="5634" max="5634" width="12.28515625" style="1262" customWidth="1"/>
    <col min="5635" max="5635" width="13.140625" style="1262" customWidth="1"/>
    <col min="5636" max="5636" width="11.7109375" style="1262" customWidth="1"/>
    <col min="5637" max="5637" width="12.85546875" style="1262" customWidth="1"/>
    <col min="5638" max="5638" width="11.5703125" style="1262" customWidth="1"/>
    <col min="5639" max="5639" width="10.5703125" style="1262" customWidth="1"/>
    <col min="5640" max="5640" width="11.28515625" style="1262" customWidth="1"/>
    <col min="5641" max="5642" width="9.85546875" style="1262" customWidth="1"/>
    <col min="5643" max="5643" width="9.85546875" style="1262" bestFit="1" customWidth="1"/>
    <col min="5644" max="5644" width="9.140625" style="1262"/>
    <col min="5645" max="5645" width="9.42578125" style="1262" bestFit="1" customWidth="1"/>
    <col min="5646" max="5647" width="9.28515625" style="1262" bestFit="1" customWidth="1"/>
    <col min="5648" max="5650" width="9.28515625" style="1262" customWidth="1"/>
    <col min="5651" max="5651" width="9.28515625" style="1262" bestFit="1" customWidth="1"/>
    <col min="5652" max="5887" width="9.140625" style="1262"/>
    <col min="5888" max="5888" width="3.140625" style="1262" customWidth="1"/>
    <col min="5889" max="5889" width="47.7109375" style="1262" customWidth="1"/>
    <col min="5890" max="5890" width="12.28515625" style="1262" customWidth="1"/>
    <col min="5891" max="5891" width="13.140625" style="1262" customWidth="1"/>
    <col min="5892" max="5892" width="11.7109375" style="1262" customWidth="1"/>
    <col min="5893" max="5893" width="12.85546875" style="1262" customWidth="1"/>
    <col min="5894" max="5894" width="11.5703125" style="1262" customWidth="1"/>
    <col min="5895" max="5895" width="10.5703125" style="1262" customWidth="1"/>
    <col min="5896" max="5896" width="11.28515625" style="1262" customWidth="1"/>
    <col min="5897" max="5898" width="9.85546875" style="1262" customWidth="1"/>
    <col min="5899" max="5899" width="9.85546875" style="1262" bestFit="1" customWidth="1"/>
    <col min="5900" max="5900" width="9.140625" style="1262"/>
    <col min="5901" max="5901" width="9.42578125" style="1262" bestFit="1" customWidth="1"/>
    <col min="5902" max="5903" width="9.28515625" style="1262" bestFit="1" customWidth="1"/>
    <col min="5904" max="5906" width="9.28515625" style="1262" customWidth="1"/>
    <col min="5907" max="5907" width="9.28515625" style="1262" bestFit="1" customWidth="1"/>
    <col min="5908" max="6143" width="9.140625" style="1262"/>
    <col min="6144" max="6144" width="3.140625" style="1262" customWidth="1"/>
    <col min="6145" max="6145" width="47.7109375" style="1262" customWidth="1"/>
    <col min="6146" max="6146" width="12.28515625" style="1262" customWidth="1"/>
    <col min="6147" max="6147" width="13.140625" style="1262" customWidth="1"/>
    <col min="6148" max="6148" width="11.7109375" style="1262" customWidth="1"/>
    <col min="6149" max="6149" width="12.85546875" style="1262" customWidth="1"/>
    <col min="6150" max="6150" width="11.5703125" style="1262" customWidth="1"/>
    <col min="6151" max="6151" width="10.5703125" style="1262" customWidth="1"/>
    <col min="6152" max="6152" width="11.28515625" style="1262" customWidth="1"/>
    <col min="6153" max="6154" width="9.85546875" style="1262" customWidth="1"/>
    <col min="6155" max="6155" width="9.85546875" style="1262" bestFit="1" customWidth="1"/>
    <col min="6156" max="6156" width="9.140625" style="1262"/>
    <col min="6157" max="6157" width="9.42578125" style="1262" bestFit="1" customWidth="1"/>
    <col min="6158" max="6159" width="9.28515625" style="1262" bestFit="1" customWidth="1"/>
    <col min="6160" max="6162" width="9.28515625" style="1262" customWidth="1"/>
    <col min="6163" max="6163" width="9.28515625" style="1262" bestFit="1" customWidth="1"/>
    <col min="6164" max="6399" width="9.140625" style="1262"/>
    <col min="6400" max="6400" width="3.140625" style="1262" customWidth="1"/>
    <col min="6401" max="6401" width="47.7109375" style="1262" customWidth="1"/>
    <col min="6402" max="6402" width="12.28515625" style="1262" customWidth="1"/>
    <col min="6403" max="6403" width="13.140625" style="1262" customWidth="1"/>
    <col min="6404" max="6404" width="11.7109375" style="1262" customWidth="1"/>
    <col min="6405" max="6405" width="12.85546875" style="1262" customWidth="1"/>
    <col min="6406" max="6406" width="11.5703125" style="1262" customWidth="1"/>
    <col min="6407" max="6407" width="10.5703125" style="1262" customWidth="1"/>
    <col min="6408" max="6408" width="11.28515625" style="1262" customWidth="1"/>
    <col min="6409" max="6410" width="9.85546875" style="1262" customWidth="1"/>
    <col min="6411" max="6411" width="9.85546875" style="1262" bestFit="1" customWidth="1"/>
    <col min="6412" max="6412" width="9.140625" style="1262"/>
    <col min="6413" max="6413" width="9.42578125" style="1262" bestFit="1" customWidth="1"/>
    <col min="6414" max="6415" width="9.28515625" style="1262" bestFit="1" customWidth="1"/>
    <col min="6416" max="6418" width="9.28515625" style="1262" customWidth="1"/>
    <col min="6419" max="6419" width="9.28515625" style="1262" bestFit="1" customWidth="1"/>
    <col min="6420" max="6655" width="9.140625" style="1262"/>
    <col min="6656" max="6656" width="3.140625" style="1262" customWidth="1"/>
    <col min="6657" max="6657" width="47.7109375" style="1262" customWidth="1"/>
    <col min="6658" max="6658" width="12.28515625" style="1262" customWidth="1"/>
    <col min="6659" max="6659" width="13.140625" style="1262" customWidth="1"/>
    <col min="6660" max="6660" width="11.7109375" style="1262" customWidth="1"/>
    <col min="6661" max="6661" width="12.85546875" style="1262" customWidth="1"/>
    <col min="6662" max="6662" width="11.5703125" style="1262" customWidth="1"/>
    <col min="6663" max="6663" width="10.5703125" style="1262" customWidth="1"/>
    <col min="6664" max="6664" width="11.28515625" style="1262" customWidth="1"/>
    <col min="6665" max="6666" width="9.85546875" style="1262" customWidth="1"/>
    <col min="6667" max="6667" width="9.85546875" style="1262" bestFit="1" customWidth="1"/>
    <col min="6668" max="6668" width="9.140625" style="1262"/>
    <col min="6669" max="6669" width="9.42578125" style="1262" bestFit="1" customWidth="1"/>
    <col min="6670" max="6671" width="9.28515625" style="1262" bestFit="1" customWidth="1"/>
    <col min="6672" max="6674" width="9.28515625" style="1262" customWidth="1"/>
    <col min="6675" max="6675" width="9.28515625" style="1262" bestFit="1" customWidth="1"/>
    <col min="6676" max="6911" width="9.140625" style="1262"/>
    <col min="6912" max="6912" width="3.140625" style="1262" customWidth="1"/>
    <col min="6913" max="6913" width="47.7109375" style="1262" customWidth="1"/>
    <col min="6914" max="6914" width="12.28515625" style="1262" customWidth="1"/>
    <col min="6915" max="6915" width="13.140625" style="1262" customWidth="1"/>
    <col min="6916" max="6916" width="11.7109375" style="1262" customWidth="1"/>
    <col min="6917" max="6917" width="12.85546875" style="1262" customWidth="1"/>
    <col min="6918" max="6918" width="11.5703125" style="1262" customWidth="1"/>
    <col min="6919" max="6919" width="10.5703125" style="1262" customWidth="1"/>
    <col min="6920" max="6920" width="11.28515625" style="1262" customWidth="1"/>
    <col min="6921" max="6922" width="9.85546875" style="1262" customWidth="1"/>
    <col min="6923" max="6923" width="9.85546875" style="1262" bestFit="1" customWidth="1"/>
    <col min="6924" max="6924" width="9.140625" style="1262"/>
    <col min="6925" max="6925" width="9.42578125" style="1262" bestFit="1" customWidth="1"/>
    <col min="6926" max="6927" width="9.28515625" style="1262" bestFit="1" customWidth="1"/>
    <col min="6928" max="6930" width="9.28515625" style="1262" customWidth="1"/>
    <col min="6931" max="6931" width="9.28515625" style="1262" bestFit="1" customWidth="1"/>
    <col min="6932" max="7167" width="9.140625" style="1262"/>
    <col min="7168" max="7168" width="3.140625" style="1262" customWidth="1"/>
    <col min="7169" max="7169" width="47.7109375" style="1262" customWidth="1"/>
    <col min="7170" max="7170" width="12.28515625" style="1262" customWidth="1"/>
    <col min="7171" max="7171" width="13.140625" style="1262" customWidth="1"/>
    <col min="7172" max="7172" width="11.7109375" style="1262" customWidth="1"/>
    <col min="7173" max="7173" width="12.85546875" style="1262" customWidth="1"/>
    <col min="7174" max="7174" width="11.5703125" style="1262" customWidth="1"/>
    <col min="7175" max="7175" width="10.5703125" style="1262" customWidth="1"/>
    <col min="7176" max="7176" width="11.28515625" style="1262" customWidth="1"/>
    <col min="7177" max="7178" width="9.85546875" style="1262" customWidth="1"/>
    <col min="7179" max="7179" width="9.85546875" style="1262" bestFit="1" customWidth="1"/>
    <col min="7180" max="7180" width="9.140625" style="1262"/>
    <col min="7181" max="7181" width="9.42578125" style="1262" bestFit="1" customWidth="1"/>
    <col min="7182" max="7183" width="9.28515625" style="1262" bestFit="1" customWidth="1"/>
    <col min="7184" max="7186" width="9.28515625" style="1262" customWidth="1"/>
    <col min="7187" max="7187" width="9.28515625" style="1262" bestFit="1" customWidth="1"/>
    <col min="7188" max="7423" width="9.140625" style="1262"/>
    <col min="7424" max="7424" width="3.140625" style="1262" customWidth="1"/>
    <col min="7425" max="7425" width="47.7109375" style="1262" customWidth="1"/>
    <col min="7426" max="7426" width="12.28515625" style="1262" customWidth="1"/>
    <col min="7427" max="7427" width="13.140625" style="1262" customWidth="1"/>
    <col min="7428" max="7428" width="11.7109375" style="1262" customWidth="1"/>
    <col min="7429" max="7429" width="12.85546875" style="1262" customWidth="1"/>
    <col min="7430" max="7430" width="11.5703125" style="1262" customWidth="1"/>
    <col min="7431" max="7431" width="10.5703125" style="1262" customWidth="1"/>
    <col min="7432" max="7432" width="11.28515625" style="1262" customWidth="1"/>
    <col min="7433" max="7434" width="9.85546875" style="1262" customWidth="1"/>
    <col min="7435" max="7435" width="9.85546875" style="1262" bestFit="1" customWidth="1"/>
    <col min="7436" max="7436" width="9.140625" style="1262"/>
    <col min="7437" max="7437" width="9.42578125" style="1262" bestFit="1" customWidth="1"/>
    <col min="7438" max="7439" width="9.28515625" style="1262" bestFit="1" customWidth="1"/>
    <col min="7440" max="7442" width="9.28515625" style="1262" customWidth="1"/>
    <col min="7443" max="7443" width="9.28515625" style="1262" bestFit="1" customWidth="1"/>
    <col min="7444" max="7679" width="9.140625" style="1262"/>
    <col min="7680" max="7680" width="3.140625" style="1262" customWidth="1"/>
    <col min="7681" max="7681" width="47.7109375" style="1262" customWidth="1"/>
    <col min="7682" max="7682" width="12.28515625" style="1262" customWidth="1"/>
    <col min="7683" max="7683" width="13.140625" style="1262" customWidth="1"/>
    <col min="7684" max="7684" width="11.7109375" style="1262" customWidth="1"/>
    <col min="7685" max="7685" width="12.85546875" style="1262" customWidth="1"/>
    <col min="7686" max="7686" width="11.5703125" style="1262" customWidth="1"/>
    <col min="7687" max="7687" width="10.5703125" style="1262" customWidth="1"/>
    <col min="7688" max="7688" width="11.28515625" style="1262" customWidth="1"/>
    <col min="7689" max="7690" width="9.85546875" style="1262" customWidth="1"/>
    <col min="7691" max="7691" width="9.85546875" style="1262" bestFit="1" customWidth="1"/>
    <col min="7692" max="7692" width="9.140625" style="1262"/>
    <col min="7693" max="7693" width="9.42578125" style="1262" bestFit="1" customWidth="1"/>
    <col min="7694" max="7695" width="9.28515625" style="1262" bestFit="1" customWidth="1"/>
    <col min="7696" max="7698" width="9.28515625" style="1262" customWidth="1"/>
    <col min="7699" max="7699" width="9.28515625" style="1262" bestFit="1" customWidth="1"/>
    <col min="7700" max="7935" width="9.140625" style="1262"/>
    <col min="7936" max="7936" width="3.140625" style="1262" customWidth="1"/>
    <col min="7937" max="7937" width="47.7109375" style="1262" customWidth="1"/>
    <col min="7938" max="7938" width="12.28515625" style="1262" customWidth="1"/>
    <col min="7939" max="7939" width="13.140625" style="1262" customWidth="1"/>
    <col min="7940" max="7940" width="11.7109375" style="1262" customWidth="1"/>
    <col min="7941" max="7941" width="12.85546875" style="1262" customWidth="1"/>
    <col min="7942" max="7942" width="11.5703125" style="1262" customWidth="1"/>
    <col min="7943" max="7943" width="10.5703125" style="1262" customWidth="1"/>
    <col min="7944" max="7944" width="11.28515625" style="1262" customWidth="1"/>
    <col min="7945" max="7946" width="9.85546875" style="1262" customWidth="1"/>
    <col min="7947" max="7947" width="9.85546875" style="1262" bestFit="1" customWidth="1"/>
    <col min="7948" max="7948" width="9.140625" style="1262"/>
    <col min="7949" max="7949" width="9.42578125" style="1262" bestFit="1" customWidth="1"/>
    <col min="7950" max="7951" width="9.28515625" style="1262" bestFit="1" customWidth="1"/>
    <col min="7952" max="7954" width="9.28515625" style="1262" customWidth="1"/>
    <col min="7955" max="7955" width="9.28515625" style="1262" bestFit="1" customWidth="1"/>
    <col min="7956" max="8191" width="9.140625" style="1262"/>
    <col min="8192" max="8192" width="3.140625" style="1262" customWidth="1"/>
    <col min="8193" max="8193" width="47.7109375" style="1262" customWidth="1"/>
    <col min="8194" max="8194" width="12.28515625" style="1262" customWidth="1"/>
    <col min="8195" max="8195" width="13.140625" style="1262" customWidth="1"/>
    <col min="8196" max="8196" width="11.7109375" style="1262" customWidth="1"/>
    <col min="8197" max="8197" width="12.85546875" style="1262" customWidth="1"/>
    <col min="8198" max="8198" width="11.5703125" style="1262" customWidth="1"/>
    <col min="8199" max="8199" width="10.5703125" style="1262" customWidth="1"/>
    <col min="8200" max="8200" width="11.28515625" style="1262" customWidth="1"/>
    <col min="8201" max="8202" width="9.85546875" style="1262" customWidth="1"/>
    <col min="8203" max="8203" width="9.85546875" style="1262" bestFit="1" customWidth="1"/>
    <col min="8204" max="8204" width="9.140625" style="1262"/>
    <col min="8205" max="8205" width="9.42578125" style="1262" bestFit="1" customWidth="1"/>
    <col min="8206" max="8207" width="9.28515625" style="1262" bestFit="1" customWidth="1"/>
    <col min="8208" max="8210" width="9.28515625" style="1262" customWidth="1"/>
    <col min="8211" max="8211" width="9.28515625" style="1262" bestFit="1" customWidth="1"/>
    <col min="8212" max="8447" width="9.140625" style="1262"/>
    <col min="8448" max="8448" width="3.140625" style="1262" customWidth="1"/>
    <col min="8449" max="8449" width="47.7109375" style="1262" customWidth="1"/>
    <col min="8450" max="8450" width="12.28515625" style="1262" customWidth="1"/>
    <col min="8451" max="8451" width="13.140625" style="1262" customWidth="1"/>
    <col min="8452" max="8452" width="11.7109375" style="1262" customWidth="1"/>
    <col min="8453" max="8453" width="12.85546875" style="1262" customWidth="1"/>
    <col min="8454" max="8454" width="11.5703125" style="1262" customWidth="1"/>
    <col min="8455" max="8455" width="10.5703125" style="1262" customWidth="1"/>
    <col min="8456" max="8456" width="11.28515625" style="1262" customWidth="1"/>
    <col min="8457" max="8458" width="9.85546875" style="1262" customWidth="1"/>
    <col min="8459" max="8459" width="9.85546875" style="1262" bestFit="1" customWidth="1"/>
    <col min="8460" max="8460" width="9.140625" style="1262"/>
    <col min="8461" max="8461" width="9.42578125" style="1262" bestFit="1" customWidth="1"/>
    <col min="8462" max="8463" width="9.28515625" style="1262" bestFit="1" customWidth="1"/>
    <col min="8464" max="8466" width="9.28515625" style="1262" customWidth="1"/>
    <col min="8467" max="8467" width="9.28515625" style="1262" bestFit="1" customWidth="1"/>
    <col min="8468" max="8703" width="9.140625" style="1262"/>
    <col min="8704" max="8704" width="3.140625" style="1262" customWidth="1"/>
    <col min="8705" max="8705" width="47.7109375" style="1262" customWidth="1"/>
    <col min="8706" max="8706" width="12.28515625" style="1262" customWidth="1"/>
    <col min="8707" max="8707" width="13.140625" style="1262" customWidth="1"/>
    <col min="8708" max="8708" width="11.7109375" style="1262" customWidth="1"/>
    <col min="8709" max="8709" width="12.85546875" style="1262" customWidth="1"/>
    <col min="8710" max="8710" width="11.5703125" style="1262" customWidth="1"/>
    <col min="8711" max="8711" width="10.5703125" style="1262" customWidth="1"/>
    <col min="8712" max="8712" width="11.28515625" style="1262" customWidth="1"/>
    <col min="8713" max="8714" width="9.85546875" style="1262" customWidth="1"/>
    <col min="8715" max="8715" width="9.85546875" style="1262" bestFit="1" customWidth="1"/>
    <col min="8716" max="8716" width="9.140625" style="1262"/>
    <col min="8717" max="8717" width="9.42578125" style="1262" bestFit="1" customWidth="1"/>
    <col min="8718" max="8719" width="9.28515625" style="1262" bestFit="1" customWidth="1"/>
    <col min="8720" max="8722" width="9.28515625" style="1262" customWidth="1"/>
    <col min="8723" max="8723" width="9.28515625" style="1262" bestFit="1" customWidth="1"/>
    <col min="8724" max="8959" width="9.140625" style="1262"/>
    <col min="8960" max="8960" width="3.140625" style="1262" customWidth="1"/>
    <col min="8961" max="8961" width="47.7109375" style="1262" customWidth="1"/>
    <col min="8962" max="8962" width="12.28515625" style="1262" customWidth="1"/>
    <col min="8963" max="8963" width="13.140625" style="1262" customWidth="1"/>
    <col min="8964" max="8964" width="11.7109375" style="1262" customWidth="1"/>
    <col min="8965" max="8965" width="12.85546875" style="1262" customWidth="1"/>
    <col min="8966" max="8966" width="11.5703125" style="1262" customWidth="1"/>
    <col min="8967" max="8967" width="10.5703125" style="1262" customWidth="1"/>
    <col min="8968" max="8968" width="11.28515625" style="1262" customWidth="1"/>
    <col min="8969" max="8970" width="9.85546875" style="1262" customWidth="1"/>
    <col min="8971" max="8971" width="9.85546875" style="1262" bestFit="1" customWidth="1"/>
    <col min="8972" max="8972" width="9.140625" style="1262"/>
    <col min="8973" max="8973" width="9.42578125" style="1262" bestFit="1" customWidth="1"/>
    <col min="8974" max="8975" width="9.28515625" style="1262" bestFit="1" customWidth="1"/>
    <col min="8976" max="8978" width="9.28515625" style="1262" customWidth="1"/>
    <col min="8979" max="8979" width="9.28515625" style="1262" bestFit="1" customWidth="1"/>
    <col min="8980" max="9215" width="9.140625" style="1262"/>
    <col min="9216" max="9216" width="3.140625" style="1262" customWidth="1"/>
    <col min="9217" max="9217" width="47.7109375" style="1262" customWidth="1"/>
    <col min="9218" max="9218" width="12.28515625" style="1262" customWidth="1"/>
    <col min="9219" max="9219" width="13.140625" style="1262" customWidth="1"/>
    <col min="9220" max="9220" width="11.7109375" style="1262" customWidth="1"/>
    <col min="9221" max="9221" width="12.85546875" style="1262" customWidth="1"/>
    <col min="9222" max="9222" width="11.5703125" style="1262" customWidth="1"/>
    <col min="9223" max="9223" width="10.5703125" style="1262" customWidth="1"/>
    <col min="9224" max="9224" width="11.28515625" style="1262" customWidth="1"/>
    <col min="9225" max="9226" width="9.85546875" style="1262" customWidth="1"/>
    <col min="9227" max="9227" width="9.85546875" style="1262" bestFit="1" customWidth="1"/>
    <col min="9228" max="9228" width="9.140625" style="1262"/>
    <col min="9229" max="9229" width="9.42578125" style="1262" bestFit="1" customWidth="1"/>
    <col min="9230" max="9231" width="9.28515625" style="1262" bestFit="1" customWidth="1"/>
    <col min="9232" max="9234" width="9.28515625" style="1262" customWidth="1"/>
    <col min="9235" max="9235" width="9.28515625" style="1262" bestFit="1" customWidth="1"/>
    <col min="9236" max="9471" width="9.140625" style="1262"/>
    <col min="9472" max="9472" width="3.140625" style="1262" customWidth="1"/>
    <col min="9473" max="9473" width="47.7109375" style="1262" customWidth="1"/>
    <col min="9474" max="9474" width="12.28515625" style="1262" customWidth="1"/>
    <col min="9475" max="9475" width="13.140625" style="1262" customWidth="1"/>
    <col min="9476" max="9476" width="11.7109375" style="1262" customWidth="1"/>
    <col min="9477" max="9477" width="12.85546875" style="1262" customWidth="1"/>
    <col min="9478" max="9478" width="11.5703125" style="1262" customWidth="1"/>
    <col min="9479" max="9479" width="10.5703125" style="1262" customWidth="1"/>
    <col min="9480" max="9480" width="11.28515625" style="1262" customWidth="1"/>
    <col min="9481" max="9482" width="9.85546875" style="1262" customWidth="1"/>
    <col min="9483" max="9483" width="9.85546875" style="1262" bestFit="1" customWidth="1"/>
    <col min="9484" max="9484" width="9.140625" style="1262"/>
    <col min="9485" max="9485" width="9.42578125" style="1262" bestFit="1" customWidth="1"/>
    <col min="9486" max="9487" width="9.28515625" style="1262" bestFit="1" customWidth="1"/>
    <col min="9488" max="9490" width="9.28515625" style="1262" customWidth="1"/>
    <col min="9491" max="9491" width="9.28515625" style="1262" bestFit="1" customWidth="1"/>
    <col min="9492" max="9727" width="9.140625" style="1262"/>
    <col min="9728" max="9728" width="3.140625" style="1262" customWidth="1"/>
    <col min="9729" max="9729" width="47.7109375" style="1262" customWidth="1"/>
    <col min="9730" max="9730" width="12.28515625" style="1262" customWidth="1"/>
    <col min="9731" max="9731" width="13.140625" style="1262" customWidth="1"/>
    <col min="9732" max="9732" width="11.7109375" style="1262" customWidth="1"/>
    <col min="9733" max="9733" width="12.85546875" style="1262" customWidth="1"/>
    <col min="9734" max="9734" width="11.5703125" style="1262" customWidth="1"/>
    <col min="9735" max="9735" width="10.5703125" style="1262" customWidth="1"/>
    <col min="9736" max="9736" width="11.28515625" style="1262" customWidth="1"/>
    <col min="9737" max="9738" width="9.85546875" style="1262" customWidth="1"/>
    <col min="9739" max="9739" width="9.85546875" style="1262" bestFit="1" customWidth="1"/>
    <col min="9740" max="9740" width="9.140625" style="1262"/>
    <col min="9741" max="9741" width="9.42578125" style="1262" bestFit="1" customWidth="1"/>
    <col min="9742" max="9743" width="9.28515625" style="1262" bestFit="1" customWidth="1"/>
    <col min="9744" max="9746" width="9.28515625" style="1262" customWidth="1"/>
    <col min="9747" max="9747" width="9.28515625" style="1262" bestFit="1" customWidth="1"/>
    <col min="9748" max="9983" width="9.140625" style="1262"/>
    <col min="9984" max="9984" width="3.140625" style="1262" customWidth="1"/>
    <col min="9985" max="9985" width="47.7109375" style="1262" customWidth="1"/>
    <col min="9986" max="9986" width="12.28515625" style="1262" customWidth="1"/>
    <col min="9987" max="9987" width="13.140625" style="1262" customWidth="1"/>
    <col min="9988" max="9988" width="11.7109375" style="1262" customWidth="1"/>
    <col min="9989" max="9989" width="12.85546875" style="1262" customWidth="1"/>
    <col min="9990" max="9990" width="11.5703125" style="1262" customWidth="1"/>
    <col min="9991" max="9991" width="10.5703125" style="1262" customWidth="1"/>
    <col min="9992" max="9992" width="11.28515625" style="1262" customWidth="1"/>
    <col min="9993" max="9994" width="9.85546875" style="1262" customWidth="1"/>
    <col min="9995" max="9995" width="9.85546875" style="1262" bestFit="1" customWidth="1"/>
    <col min="9996" max="9996" width="9.140625" style="1262"/>
    <col min="9997" max="9997" width="9.42578125" style="1262" bestFit="1" customWidth="1"/>
    <col min="9998" max="9999" width="9.28515625" style="1262" bestFit="1" customWidth="1"/>
    <col min="10000" max="10002" width="9.28515625" style="1262" customWidth="1"/>
    <col min="10003" max="10003" width="9.28515625" style="1262" bestFit="1" customWidth="1"/>
    <col min="10004" max="10239" width="9.140625" style="1262"/>
    <col min="10240" max="10240" width="3.140625" style="1262" customWidth="1"/>
    <col min="10241" max="10241" width="47.7109375" style="1262" customWidth="1"/>
    <col min="10242" max="10242" width="12.28515625" style="1262" customWidth="1"/>
    <col min="10243" max="10243" width="13.140625" style="1262" customWidth="1"/>
    <col min="10244" max="10244" width="11.7109375" style="1262" customWidth="1"/>
    <col min="10245" max="10245" width="12.85546875" style="1262" customWidth="1"/>
    <col min="10246" max="10246" width="11.5703125" style="1262" customWidth="1"/>
    <col min="10247" max="10247" width="10.5703125" style="1262" customWidth="1"/>
    <col min="10248" max="10248" width="11.28515625" style="1262" customWidth="1"/>
    <col min="10249" max="10250" width="9.85546875" style="1262" customWidth="1"/>
    <col min="10251" max="10251" width="9.85546875" style="1262" bestFit="1" customWidth="1"/>
    <col min="10252" max="10252" width="9.140625" style="1262"/>
    <col min="10253" max="10253" width="9.42578125" style="1262" bestFit="1" customWidth="1"/>
    <col min="10254" max="10255" width="9.28515625" style="1262" bestFit="1" customWidth="1"/>
    <col min="10256" max="10258" width="9.28515625" style="1262" customWidth="1"/>
    <col min="10259" max="10259" width="9.28515625" style="1262" bestFit="1" customWidth="1"/>
    <col min="10260" max="10495" width="9.140625" style="1262"/>
    <col min="10496" max="10496" width="3.140625" style="1262" customWidth="1"/>
    <col min="10497" max="10497" width="47.7109375" style="1262" customWidth="1"/>
    <col min="10498" max="10498" width="12.28515625" style="1262" customWidth="1"/>
    <col min="10499" max="10499" width="13.140625" style="1262" customWidth="1"/>
    <col min="10500" max="10500" width="11.7109375" style="1262" customWidth="1"/>
    <col min="10501" max="10501" width="12.85546875" style="1262" customWidth="1"/>
    <col min="10502" max="10502" width="11.5703125" style="1262" customWidth="1"/>
    <col min="10503" max="10503" width="10.5703125" style="1262" customWidth="1"/>
    <col min="10504" max="10504" width="11.28515625" style="1262" customWidth="1"/>
    <col min="10505" max="10506" width="9.85546875" style="1262" customWidth="1"/>
    <col min="10507" max="10507" width="9.85546875" style="1262" bestFit="1" customWidth="1"/>
    <col min="10508" max="10508" width="9.140625" style="1262"/>
    <col min="10509" max="10509" width="9.42578125" style="1262" bestFit="1" customWidth="1"/>
    <col min="10510" max="10511" width="9.28515625" style="1262" bestFit="1" customWidth="1"/>
    <col min="10512" max="10514" width="9.28515625" style="1262" customWidth="1"/>
    <col min="10515" max="10515" width="9.28515625" style="1262" bestFit="1" customWidth="1"/>
    <col min="10516" max="10751" width="9.140625" style="1262"/>
    <col min="10752" max="10752" width="3.140625" style="1262" customWidth="1"/>
    <col min="10753" max="10753" width="47.7109375" style="1262" customWidth="1"/>
    <col min="10754" max="10754" width="12.28515625" style="1262" customWidth="1"/>
    <col min="10755" max="10755" width="13.140625" style="1262" customWidth="1"/>
    <col min="10756" max="10756" width="11.7109375" style="1262" customWidth="1"/>
    <col min="10757" max="10757" width="12.85546875" style="1262" customWidth="1"/>
    <col min="10758" max="10758" width="11.5703125" style="1262" customWidth="1"/>
    <col min="10759" max="10759" width="10.5703125" style="1262" customWidth="1"/>
    <col min="10760" max="10760" width="11.28515625" style="1262" customWidth="1"/>
    <col min="10761" max="10762" width="9.85546875" style="1262" customWidth="1"/>
    <col min="10763" max="10763" width="9.85546875" style="1262" bestFit="1" customWidth="1"/>
    <col min="10764" max="10764" width="9.140625" style="1262"/>
    <col min="10765" max="10765" width="9.42578125" style="1262" bestFit="1" customWidth="1"/>
    <col min="10766" max="10767" width="9.28515625" style="1262" bestFit="1" customWidth="1"/>
    <col min="10768" max="10770" width="9.28515625" style="1262" customWidth="1"/>
    <col min="10771" max="10771" width="9.28515625" style="1262" bestFit="1" customWidth="1"/>
    <col min="10772" max="11007" width="9.140625" style="1262"/>
    <col min="11008" max="11008" width="3.140625" style="1262" customWidth="1"/>
    <col min="11009" max="11009" width="47.7109375" style="1262" customWidth="1"/>
    <col min="11010" max="11010" width="12.28515625" style="1262" customWidth="1"/>
    <col min="11011" max="11011" width="13.140625" style="1262" customWidth="1"/>
    <col min="11012" max="11012" width="11.7109375" style="1262" customWidth="1"/>
    <col min="11013" max="11013" width="12.85546875" style="1262" customWidth="1"/>
    <col min="11014" max="11014" width="11.5703125" style="1262" customWidth="1"/>
    <col min="11015" max="11015" width="10.5703125" style="1262" customWidth="1"/>
    <col min="11016" max="11016" width="11.28515625" style="1262" customWidth="1"/>
    <col min="11017" max="11018" width="9.85546875" style="1262" customWidth="1"/>
    <col min="11019" max="11019" width="9.85546875" style="1262" bestFit="1" customWidth="1"/>
    <col min="11020" max="11020" width="9.140625" style="1262"/>
    <col min="11021" max="11021" width="9.42578125" style="1262" bestFit="1" customWidth="1"/>
    <col min="11022" max="11023" width="9.28515625" style="1262" bestFit="1" customWidth="1"/>
    <col min="11024" max="11026" width="9.28515625" style="1262" customWidth="1"/>
    <col min="11027" max="11027" width="9.28515625" style="1262" bestFit="1" customWidth="1"/>
    <col min="11028" max="11263" width="9.140625" style="1262"/>
    <col min="11264" max="11264" width="3.140625" style="1262" customWidth="1"/>
    <col min="11265" max="11265" width="47.7109375" style="1262" customWidth="1"/>
    <col min="11266" max="11266" width="12.28515625" style="1262" customWidth="1"/>
    <col min="11267" max="11267" width="13.140625" style="1262" customWidth="1"/>
    <col min="11268" max="11268" width="11.7109375" style="1262" customWidth="1"/>
    <col min="11269" max="11269" width="12.85546875" style="1262" customWidth="1"/>
    <col min="11270" max="11270" width="11.5703125" style="1262" customWidth="1"/>
    <col min="11271" max="11271" width="10.5703125" style="1262" customWidth="1"/>
    <col min="11272" max="11272" width="11.28515625" style="1262" customWidth="1"/>
    <col min="11273" max="11274" width="9.85546875" style="1262" customWidth="1"/>
    <col min="11275" max="11275" width="9.85546875" style="1262" bestFit="1" customWidth="1"/>
    <col min="11276" max="11276" width="9.140625" style="1262"/>
    <col min="11277" max="11277" width="9.42578125" style="1262" bestFit="1" customWidth="1"/>
    <col min="11278" max="11279" width="9.28515625" style="1262" bestFit="1" customWidth="1"/>
    <col min="11280" max="11282" width="9.28515625" style="1262" customWidth="1"/>
    <col min="11283" max="11283" width="9.28515625" style="1262" bestFit="1" customWidth="1"/>
    <col min="11284" max="11519" width="9.140625" style="1262"/>
    <col min="11520" max="11520" width="3.140625" style="1262" customWidth="1"/>
    <col min="11521" max="11521" width="47.7109375" style="1262" customWidth="1"/>
    <col min="11522" max="11522" width="12.28515625" style="1262" customWidth="1"/>
    <col min="11523" max="11523" width="13.140625" style="1262" customWidth="1"/>
    <col min="11524" max="11524" width="11.7109375" style="1262" customWidth="1"/>
    <col min="11525" max="11525" width="12.85546875" style="1262" customWidth="1"/>
    <col min="11526" max="11526" width="11.5703125" style="1262" customWidth="1"/>
    <col min="11527" max="11527" width="10.5703125" style="1262" customWidth="1"/>
    <col min="11528" max="11528" width="11.28515625" style="1262" customWidth="1"/>
    <col min="11529" max="11530" width="9.85546875" style="1262" customWidth="1"/>
    <col min="11531" max="11531" width="9.85546875" style="1262" bestFit="1" customWidth="1"/>
    <col min="11532" max="11532" width="9.140625" style="1262"/>
    <col min="11533" max="11533" width="9.42578125" style="1262" bestFit="1" customWidth="1"/>
    <col min="11534" max="11535" width="9.28515625" style="1262" bestFit="1" customWidth="1"/>
    <col min="11536" max="11538" width="9.28515625" style="1262" customWidth="1"/>
    <col min="11539" max="11539" width="9.28515625" style="1262" bestFit="1" customWidth="1"/>
    <col min="11540" max="11775" width="9.140625" style="1262"/>
    <col min="11776" max="11776" width="3.140625" style="1262" customWidth="1"/>
    <col min="11777" max="11777" width="47.7109375" style="1262" customWidth="1"/>
    <col min="11778" max="11778" width="12.28515625" style="1262" customWidth="1"/>
    <col min="11779" max="11779" width="13.140625" style="1262" customWidth="1"/>
    <col min="11780" max="11780" width="11.7109375" style="1262" customWidth="1"/>
    <col min="11781" max="11781" width="12.85546875" style="1262" customWidth="1"/>
    <col min="11782" max="11782" width="11.5703125" style="1262" customWidth="1"/>
    <col min="11783" max="11783" width="10.5703125" style="1262" customWidth="1"/>
    <col min="11784" max="11784" width="11.28515625" style="1262" customWidth="1"/>
    <col min="11785" max="11786" width="9.85546875" style="1262" customWidth="1"/>
    <col min="11787" max="11787" width="9.85546875" style="1262" bestFit="1" customWidth="1"/>
    <col min="11788" max="11788" width="9.140625" style="1262"/>
    <col min="11789" max="11789" width="9.42578125" style="1262" bestFit="1" customWidth="1"/>
    <col min="11790" max="11791" width="9.28515625" style="1262" bestFit="1" customWidth="1"/>
    <col min="11792" max="11794" width="9.28515625" style="1262" customWidth="1"/>
    <col min="11795" max="11795" width="9.28515625" style="1262" bestFit="1" customWidth="1"/>
    <col min="11796" max="12031" width="9.140625" style="1262"/>
    <col min="12032" max="12032" width="3.140625" style="1262" customWidth="1"/>
    <col min="12033" max="12033" width="47.7109375" style="1262" customWidth="1"/>
    <col min="12034" max="12034" width="12.28515625" style="1262" customWidth="1"/>
    <col min="12035" max="12035" width="13.140625" style="1262" customWidth="1"/>
    <col min="12036" max="12036" width="11.7109375" style="1262" customWidth="1"/>
    <col min="12037" max="12037" width="12.85546875" style="1262" customWidth="1"/>
    <col min="12038" max="12038" width="11.5703125" style="1262" customWidth="1"/>
    <col min="12039" max="12039" width="10.5703125" style="1262" customWidth="1"/>
    <col min="12040" max="12040" width="11.28515625" style="1262" customWidth="1"/>
    <col min="12041" max="12042" width="9.85546875" style="1262" customWidth="1"/>
    <col min="12043" max="12043" width="9.85546875" style="1262" bestFit="1" customWidth="1"/>
    <col min="12044" max="12044" width="9.140625" style="1262"/>
    <col min="12045" max="12045" width="9.42578125" style="1262" bestFit="1" customWidth="1"/>
    <col min="12046" max="12047" width="9.28515625" style="1262" bestFit="1" customWidth="1"/>
    <col min="12048" max="12050" width="9.28515625" style="1262" customWidth="1"/>
    <col min="12051" max="12051" width="9.28515625" style="1262" bestFit="1" customWidth="1"/>
    <col min="12052" max="12287" width="9.140625" style="1262"/>
    <col min="12288" max="12288" width="3.140625" style="1262" customWidth="1"/>
    <col min="12289" max="12289" width="47.7109375" style="1262" customWidth="1"/>
    <col min="12290" max="12290" width="12.28515625" style="1262" customWidth="1"/>
    <col min="12291" max="12291" width="13.140625" style="1262" customWidth="1"/>
    <col min="12292" max="12292" width="11.7109375" style="1262" customWidth="1"/>
    <col min="12293" max="12293" width="12.85546875" style="1262" customWidth="1"/>
    <col min="12294" max="12294" width="11.5703125" style="1262" customWidth="1"/>
    <col min="12295" max="12295" width="10.5703125" style="1262" customWidth="1"/>
    <col min="12296" max="12296" width="11.28515625" style="1262" customWidth="1"/>
    <col min="12297" max="12298" width="9.85546875" style="1262" customWidth="1"/>
    <col min="12299" max="12299" width="9.85546875" style="1262" bestFit="1" customWidth="1"/>
    <col min="12300" max="12300" width="9.140625" style="1262"/>
    <col min="12301" max="12301" width="9.42578125" style="1262" bestFit="1" customWidth="1"/>
    <col min="12302" max="12303" width="9.28515625" style="1262" bestFit="1" customWidth="1"/>
    <col min="12304" max="12306" width="9.28515625" style="1262" customWidth="1"/>
    <col min="12307" max="12307" width="9.28515625" style="1262" bestFit="1" customWidth="1"/>
    <col min="12308" max="12543" width="9.140625" style="1262"/>
    <col min="12544" max="12544" width="3.140625" style="1262" customWidth="1"/>
    <col min="12545" max="12545" width="47.7109375" style="1262" customWidth="1"/>
    <col min="12546" max="12546" width="12.28515625" style="1262" customWidth="1"/>
    <col min="12547" max="12547" width="13.140625" style="1262" customWidth="1"/>
    <col min="12548" max="12548" width="11.7109375" style="1262" customWidth="1"/>
    <col min="12549" max="12549" width="12.85546875" style="1262" customWidth="1"/>
    <col min="12550" max="12550" width="11.5703125" style="1262" customWidth="1"/>
    <col min="12551" max="12551" width="10.5703125" style="1262" customWidth="1"/>
    <col min="12552" max="12552" width="11.28515625" style="1262" customWidth="1"/>
    <col min="12553" max="12554" width="9.85546875" style="1262" customWidth="1"/>
    <col min="12555" max="12555" width="9.85546875" style="1262" bestFit="1" customWidth="1"/>
    <col min="12556" max="12556" width="9.140625" style="1262"/>
    <col min="12557" max="12557" width="9.42578125" style="1262" bestFit="1" customWidth="1"/>
    <col min="12558" max="12559" width="9.28515625" style="1262" bestFit="1" customWidth="1"/>
    <col min="12560" max="12562" width="9.28515625" style="1262" customWidth="1"/>
    <col min="12563" max="12563" width="9.28515625" style="1262" bestFit="1" customWidth="1"/>
    <col min="12564" max="12799" width="9.140625" style="1262"/>
    <col min="12800" max="12800" width="3.140625" style="1262" customWidth="1"/>
    <col min="12801" max="12801" width="47.7109375" style="1262" customWidth="1"/>
    <col min="12802" max="12802" width="12.28515625" style="1262" customWidth="1"/>
    <col min="12803" max="12803" width="13.140625" style="1262" customWidth="1"/>
    <col min="12804" max="12804" width="11.7109375" style="1262" customWidth="1"/>
    <col min="12805" max="12805" width="12.85546875" style="1262" customWidth="1"/>
    <col min="12806" max="12806" width="11.5703125" style="1262" customWidth="1"/>
    <col min="12807" max="12807" width="10.5703125" style="1262" customWidth="1"/>
    <col min="12808" max="12808" width="11.28515625" style="1262" customWidth="1"/>
    <col min="12809" max="12810" width="9.85546875" style="1262" customWidth="1"/>
    <col min="12811" max="12811" width="9.85546875" style="1262" bestFit="1" customWidth="1"/>
    <col min="12812" max="12812" width="9.140625" style="1262"/>
    <col min="12813" max="12813" width="9.42578125" style="1262" bestFit="1" customWidth="1"/>
    <col min="12814" max="12815" width="9.28515625" style="1262" bestFit="1" customWidth="1"/>
    <col min="12816" max="12818" width="9.28515625" style="1262" customWidth="1"/>
    <col min="12819" max="12819" width="9.28515625" style="1262" bestFit="1" customWidth="1"/>
    <col min="12820" max="13055" width="9.140625" style="1262"/>
    <col min="13056" max="13056" width="3.140625" style="1262" customWidth="1"/>
    <col min="13057" max="13057" width="47.7109375" style="1262" customWidth="1"/>
    <col min="13058" max="13058" width="12.28515625" style="1262" customWidth="1"/>
    <col min="13059" max="13059" width="13.140625" style="1262" customWidth="1"/>
    <col min="13060" max="13060" width="11.7109375" style="1262" customWidth="1"/>
    <col min="13061" max="13061" width="12.85546875" style="1262" customWidth="1"/>
    <col min="13062" max="13062" width="11.5703125" style="1262" customWidth="1"/>
    <col min="13063" max="13063" width="10.5703125" style="1262" customWidth="1"/>
    <col min="13064" max="13064" width="11.28515625" style="1262" customWidth="1"/>
    <col min="13065" max="13066" width="9.85546875" style="1262" customWidth="1"/>
    <col min="13067" max="13067" width="9.85546875" style="1262" bestFit="1" customWidth="1"/>
    <col min="13068" max="13068" width="9.140625" style="1262"/>
    <col min="13069" max="13069" width="9.42578125" style="1262" bestFit="1" customWidth="1"/>
    <col min="13070" max="13071" width="9.28515625" style="1262" bestFit="1" customWidth="1"/>
    <col min="13072" max="13074" width="9.28515625" style="1262" customWidth="1"/>
    <col min="13075" max="13075" width="9.28515625" style="1262" bestFit="1" customWidth="1"/>
    <col min="13076" max="13311" width="9.140625" style="1262"/>
    <col min="13312" max="13312" width="3.140625" style="1262" customWidth="1"/>
    <col min="13313" max="13313" width="47.7109375" style="1262" customWidth="1"/>
    <col min="13314" max="13314" width="12.28515625" style="1262" customWidth="1"/>
    <col min="13315" max="13315" width="13.140625" style="1262" customWidth="1"/>
    <col min="13316" max="13316" width="11.7109375" style="1262" customWidth="1"/>
    <col min="13317" max="13317" width="12.85546875" style="1262" customWidth="1"/>
    <col min="13318" max="13318" width="11.5703125" style="1262" customWidth="1"/>
    <col min="13319" max="13319" width="10.5703125" style="1262" customWidth="1"/>
    <col min="13320" max="13320" width="11.28515625" style="1262" customWidth="1"/>
    <col min="13321" max="13322" width="9.85546875" style="1262" customWidth="1"/>
    <col min="13323" max="13323" width="9.85546875" style="1262" bestFit="1" customWidth="1"/>
    <col min="13324" max="13324" width="9.140625" style="1262"/>
    <col min="13325" max="13325" width="9.42578125" style="1262" bestFit="1" customWidth="1"/>
    <col min="13326" max="13327" width="9.28515625" style="1262" bestFit="1" customWidth="1"/>
    <col min="13328" max="13330" width="9.28515625" style="1262" customWidth="1"/>
    <col min="13331" max="13331" width="9.28515625" style="1262" bestFit="1" customWidth="1"/>
    <col min="13332" max="13567" width="9.140625" style="1262"/>
    <col min="13568" max="13568" width="3.140625" style="1262" customWidth="1"/>
    <col min="13569" max="13569" width="47.7109375" style="1262" customWidth="1"/>
    <col min="13570" max="13570" width="12.28515625" style="1262" customWidth="1"/>
    <col min="13571" max="13571" width="13.140625" style="1262" customWidth="1"/>
    <col min="13572" max="13572" width="11.7109375" style="1262" customWidth="1"/>
    <col min="13573" max="13573" width="12.85546875" style="1262" customWidth="1"/>
    <col min="13574" max="13574" width="11.5703125" style="1262" customWidth="1"/>
    <col min="13575" max="13575" width="10.5703125" style="1262" customWidth="1"/>
    <col min="13576" max="13576" width="11.28515625" style="1262" customWidth="1"/>
    <col min="13577" max="13578" width="9.85546875" style="1262" customWidth="1"/>
    <col min="13579" max="13579" width="9.85546875" style="1262" bestFit="1" customWidth="1"/>
    <col min="13580" max="13580" width="9.140625" style="1262"/>
    <col min="13581" max="13581" width="9.42578125" style="1262" bestFit="1" customWidth="1"/>
    <col min="13582" max="13583" width="9.28515625" style="1262" bestFit="1" customWidth="1"/>
    <col min="13584" max="13586" width="9.28515625" style="1262" customWidth="1"/>
    <col min="13587" max="13587" width="9.28515625" style="1262" bestFit="1" customWidth="1"/>
    <col min="13588" max="13823" width="9.140625" style="1262"/>
    <col min="13824" max="13824" width="3.140625" style="1262" customWidth="1"/>
    <col min="13825" max="13825" width="47.7109375" style="1262" customWidth="1"/>
    <col min="13826" max="13826" width="12.28515625" style="1262" customWidth="1"/>
    <col min="13827" max="13827" width="13.140625" style="1262" customWidth="1"/>
    <col min="13828" max="13828" width="11.7109375" style="1262" customWidth="1"/>
    <col min="13829" max="13829" width="12.85546875" style="1262" customWidth="1"/>
    <col min="13830" max="13830" width="11.5703125" style="1262" customWidth="1"/>
    <col min="13831" max="13831" width="10.5703125" style="1262" customWidth="1"/>
    <col min="13832" max="13832" width="11.28515625" style="1262" customWidth="1"/>
    <col min="13833" max="13834" width="9.85546875" style="1262" customWidth="1"/>
    <col min="13835" max="13835" width="9.85546875" style="1262" bestFit="1" customWidth="1"/>
    <col min="13836" max="13836" width="9.140625" style="1262"/>
    <col min="13837" max="13837" width="9.42578125" style="1262" bestFit="1" customWidth="1"/>
    <col min="13838" max="13839" width="9.28515625" style="1262" bestFit="1" customWidth="1"/>
    <col min="13840" max="13842" width="9.28515625" style="1262" customWidth="1"/>
    <col min="13843" max="13843" width="9.28515625" style="1262" bestFit="1" customWidth="1"/>
    <col min="13844" max="14079" width="9.140625" style="1262"/>
    <col min="14080" max="14080" width="3.140625" style="1262" customWidth="1"/>
    <col min="14081" max="14081" width="47.7109375" style="1262" customWidth="1"/>
    <col min="14082" max="14082" width="12.28515625" style="1262" customWidth="1"/>
    <col min="14083" max="14083" width="13.140625" style="1262" customWidth="1"/>
    <col min="14084" max="14084" width="11.7109375" style="1262" customWidth="1"/>
    <col min="14085" max="14085" width="12.85546875" style="1262" customWidth="1"/>
    <col min="14086" max="14086" width="11.5703125" style="1262" customWidth="1"/>
    <col min="14087" max="14087" width="10.5703125" style="1262" customWidth="1"/>
    <col min="14088" max="14088" width="11.28515625" style="1262" customWidth="1"/>
    <col min="14089" max="14090" width="9.85546875" style="1262" customWidth="1"/>
    <col min="14091" max="14091" width="9.85546875" style="1262" bestFit="1" customWidth="1"/>
    <col min="14092" max="14092" width="9.140625" style="1262"/>
    <col min="14093" max="14093" width="9.42578125" style="1262" bestFit="1" customWidth="1"/>
    <col min="14094" max="14095" width="9.28515625" style="1262" bestFit="1" customWidth="1"/>
    <col min="14096" max="14098" width="9.28515625" style="1262" customWidth="1"/>
    <col min="14099" max="14099" width="9.28515625" style="1262" bestFit="1" customWidth="1"/>
    <col min="14100" max="14335" width="9.140625" style="1262"/>
    <col min="14336" max="14336" width="3.140625" style="1262" customWidth="1"/>
    <col min="14337" max="14337" width="47.7109375" style="1262" customWidth="1"/>
    <col min="14338" max="14338" width="12.28515625" style="1262" customWidth="1"/>
    <col min="14339" max="14339" width="13.140625" style="1262" customWidth="1"/>
    <col min="14340" max="14340" width="11.7109375" style="1262" customWidth="1"/>
    <col min="14341" max="14341" width="12.85546875" style="1262" customWidth="1"/>
    <col min="14342" max="14342" width="11.5703125" style="1262" customWidth="1"/>
    <col min="14343" max="14343" width="10.5703125" style="1262" customWidth="1"/>
    <col min="14344" max="14344" width="11.28515625" style="1262" customWidth="1"/>
    <col min="14345" max="14346" width="9.85546875" style="1262" customWidth="1"/>
    <col min="14347" max="14347" width="9.85546875" style="1262" bestFit="1" customWidth="1"/>
    <col min="14348" max="14348" width="9.140625" style="1262"/>
    <col min="14349" max="14349" width="9.42578125" style="1262" bestFit="1" customWidth="1"/>
    <col min="14350" max="14351" width="9.28515625" style="1262" bestFit="1" customWidth="1"/>
    <col min="14352" max="14354" width="9.28515625" style="1262" customWidth="1"/>
    <col min="14355" max="14355" width="9.28515625" style="1262" bestFit="1" customWidth="1"/>
    <col min="14356" max="14591" width="9.140625" style="1262"/>
    <col min="14592" max="14592" width="3.140625" style="1262" customWidth="1"/>
    <col min="14593" max="14593" width="47.7109375" style="1262" customWidth="1"/>
    <col min="14594" max="14594" width="12.28515625" style="1262" customWidth="1"/>
    <col min="14595" max="14595" width="13.140625" style="1262" customWidth="1"/>
    <col min="14596" max="14596" width="11.7109375" style="1262" customWidth="1"/>
    <col min="14597" max="14597" width="12.85546875" style="1262" customWidth="1"/>
    <col min="14598" max="14598" width="11.5703125" style="1262" customWidth="1"/>
    <col min="14599" max="14599" width="10.5703125" style="1262" customWidth="1"/>
    <col min="14600" max="14600" width="11.28515625" style="1262" customWidth="1"/>
    <col min="14601" max="14602" width="9.85546875" style="1262" customWidth="1"/>
    <col min="14603" max="14603" width="9.85546875" style="1262" bestFit="1" customWidth="1"/>
    <col min="14604" max="14604" width="9.140625" style="1262"/>
    <col min="14605" max="14605" width="9.42578125" style="1262" bestFit="1" customWidth="1"/>
    <col min="14606" max="14607" width="9.28515625" style="1262" bestFit="1" customWidth="1"/>
    <col min="14608" max="14610" width="9.28515625" style="1262" customWidth="1"/>
    <col min="14611" max="14611" width="9.28515625" style="1262" bestFit="1" customWidth="1"/>
    <col min="14612" max="14847" width="9.140625" style="1262"/>
    <col min="14848" max="14848" width="3.140625" style="1262" customWidth="1"/>
    <col min="14849" max="14849" width="47.7109375" style="1262" customWidth="1"/>
    <col min="14850" max="14850" width="12.28515625" style="1262" customWidth="1"/>
    <col min="14851" max="14851" width="13.140625" style="1262" customWidth="1"/>
    <col min="14852" max="14852" width="11.7109375" style="1262" customWidth="1"/>
    <col min="14853" max="14853" width="12.85546875" style="1262" customWidth="1"/>
    <col min="14854" max="14854" width="11.5703125" style="1262" customWidth="1"/>
    <col min="14855" max="14855" width="10.5703125" style="1262" customWidth="1"/>
    <col min="14856" max="14856" width="11.28515625" style="1262" customWidth="1"/>
    <col min="14857" max="14858" width="9.85546875" style="1262" customWidth="1"/>
    <col min="14859" max="14859" width="9.85546875" style="1262" bestFit="1" customWidth="1"/>
    <col min="14860" max="14860" width="9.140625" style="1262"/>
    <col min="14861" max="14861" width="9.42578125" style="1262" bestFit="1" customWidth="1"/>
    <col min="14862" max="14863" width="9.28515625" style="1262" bestFit="1" customWidth="1"/>
    <col min="14864" max="14866" width="9.28515625" style="1262" customWidth="1"/>
    <col min="14867" max="14867" width="9.28515625" style="1262" bestFit="1" customWidth="1"/>
    <col min="14868" max="15103" width="9.140625" style="1262"/>
    <col min="15104" max="15104" width="3.140625" style="1262" customWidth="1"/>
    <col min="15105" max="15105" width="47.7109375" style="1262" customWidth="1"/>
    <col min="15106" max="15106" width="12.28515625" style="1262" customWidth="1"/>
    <col min="15107" max="15107" width="13.140625" style="1262" customWidth="1"/>
    <col min="15108" max="15108" width="11.7109375" style="1262" customWidth="1"/>
    <col min="15109" max="15109" width="12.85546875" style="1262" customWidth="1"/>
    <col min="15110" max="15110" width="11.5703125" style="1262" customWidth="1"/>
    <col min="15111" max="15111" width="10.5703125" style="1262" customWidth="1"/>
    <col min="15112" max="15112" width="11.28515625" style="1262" customWidth="1"/>
    <col min="15113" max="15114" width="9.85546875" style="1262" customWidth="1"/>
    <col min="15115" max="15115" width="9.85546875" style="1262" bestFit="1" customWidth="1"/>
    <col min="15116" max="15116" width="9.140625" style="1262"/>
    <col min="15117" max="15117" width="9.42578125" style="1262" bestFit="1" customWidth="1"/>
    <col min="15118" max="15119" width="9.28515625" style="1262" bestFit="1" customWidth="1"/>
    <col min="15120" max="15122" width="9.28515625" style="1262" customWidth="1"/>
    <col min="15123" max="15123" width="9.28515625" style="1262" bestFit="1" customWidth="1"/>
    <col min="15124" max="15359" width="9.140625" style="1262"/>
    <col min="15360" max="15360" width="3.140625" style="1262" customWidth="1"/>
    <col min="15361" max="15361" width="47.7109375" style="1262" customWidth="1"/>
    <col min="15362" max="15362" width="12.28515625" style="1262" customWidth="1"/>
    <col min="15363" max="15363" width="13.140625" style="1262" customWidth="1"/>
    <col min="15364" max="15364" width="11.7109375" style="1262" customWidth="1"/>
    <col min="15365" max="15365" width="12.85546875" style="1262" customWidth="1"/>
    <col min="15366" max="15366" width="11.5703125" style="1262" customWidth="1"/>
    <col min="15367" max="15367" width="10.5703125" style="1262" customWidth="1"/>
    <col min="15368" max="15368" width="11.28515625" style="1262" customWidth="1"/>
    <col min="15369" max="15370" width="9.85546875" style="1262" customWidth="1"/>
    <col min="15371" max="15371" width="9.85546875" style="1262" bestFit="1" customWidth="1"/>
    <col min="15372" max="15372" width="9.140625" style="1262"/>
    <col min="15373" max="15373" width="9.42578125" style="1262" bestFit="1" customWidth="1"/>
    <col min="15374" max="15375" width="9.28515625" style="1262" bestFit="1" customWidth="1"/>
    <col min="15376" max="15378" width="9.28515625" style="1262" customWidth="1"/>
    <col min="15379" max="15379" width="9.28515625" style="1262" bestFit="1" customWidth="1"/>
    <col min="15380" max="15615" width="9.140625" style="1262"/>
    <col min="15616" max="15616" width="3.140625" style="1262" customWidth="1"/>
    <col min="15617" max="15617" width="47.7109375" style="1262" customWidth="1"/>
    <col min="15618" max="15618" width="12.28515625" style="1262" customWidth="1"/>
    <col min="15619" max="15619" width="13.140625" style="1262" customWidth="1"/>
    <col min="15620" max="15620" width="11.7109375" style="1262" customWidth="1"/>
    <col min="15621" max="15621" width="12.85546875" style="1262" customWidth="1"/>
    <col min="15622" max="15622" width="11.5703125" style="1262" customWidth="1"/>
    <col min="15623" max="15623" width="10.5703125" style="1262" customWidth="1"/>
    <col min="15624" max="15624" width="11.28515625" style="1262" customWidth="1"/>
    <col min="15625" max="15626" width="9.85546875" style="1262" customWidth="1"/>
    <col min="15627" max="15627" width="9.85546875" style="1262" bestFit="1" customWidth="1"/>
    <col min="15628" max="15628" width="9.140625" style="1262"/>
    <col min="15629" max="15629" width="9.42578125" style="1262" bestFit="1" customWidth="1"/>
    <col min="15630" max="15631" width="9.28515625" style="1262" bestFit="1" customWidth="1"/>
    <col min="15632" max="15634" width="9.28515625" style="1262" customWidth="1"/>
    <col min="15635" max="15635" width="9.28515625" style="1262" bestFit="1" customWidth="1"/>
    <col min="15636" max="15871" width="9.140625" style="1262"/>
    <col min="15872" max="15872" width="3.140625" style="1262" customWidth="1"/>
    <col min="15873" max="15873" width="47.7109375" style="1262" customWidth="1"/>
    <col min="15874" max="15874" width="12.28515625" style="1262" customWidth="1"/>
    <col min="15875" max="15875" width="13.140625" style="1262" customWidth="1"/>
    <col min="15876" max="15876" width="11.7109375" style="1262" customWidth="1"/>
    <col min="15877" max="15877" width="12.85546875" style="1262" customWidth="1"/>
    <col min="15878" max="15878" width="11.5703125" style="1262" customWidth="1"/>
    <col min="15879" max="15879" width="10.5703125" style="1262" customWidth="1"/>
    <col min="15880" max="15880" width="11.28515625" style="1262" customWidth="1"/>
    <col min="15881" max="15882" width="9.85546875" style="1262" customWidth="1"/>
    <col min="15883" max="15883" width="9.85546875" style="1262" bestFit="1" customWidth="1"/>
    <col min="15884" max="15884" width="9.140625" style="1262"/>
    <col min="15885" max="15885" width="9.42578125" style="1262" bestFit="1" customWidth="1"/>
    <col min="15886" max="15887" width="9.28515625" style="1262" bestFit="1" customWidth="1"/>
    <col min="15888" max="15890" width="9.28515625" style="1262" customWidth="1"/>
    <col min="15891" max="15891" width="9.28515625" style="1262" bestFit="1" customWidth="1"/>
    <col min="15892" max="16127" width="9.140625" style="1262"/>
    <col min="16128" max="16128" width="3.140625" style="1262" customWidth="1"/>
    <col min="16129" max="16129" width="47.7109375" style="1262" customWidth="1"/>
    <col min="16130" max="16130" width="12.28515625" style="1262" customWidth="1"/>
    <col min="16131" max="16131" width="13.140625" style="1262" customWidth="1"/>
    <col min="16132" max="16132" width="11.7109375" style="1262" customWidth="1"/>
    <col min="16133" max="16133" width="12.85546875" style="1262" customWidth="1"/>
    <col min="16134" max="16134" width="11.5703125" style="1262" customWidth="1"/>
    <col min="16135" max="16135" width="10.5703125" style="1262" customWidth="1"/>
    <col min="16136" max="16136" width="11.28515625" style="1262" customWidth="1"/>
    <col min="16137" max="16138" width="9.85546875" style="1262" customWidth="1"/>
    <col min="16139" max="16139" width="9.85546875" style="1262" bestFit="1" customWidth="1"/>
    <col min="16140" max="16140" width="9.140625" style="1262"/>
    <col min="16141" max="16141" width="9.42578125" style="1262" bestFit="1" customWidth="1"/>
    <col min="16142" max="16143" width="9.28515625" style="1262" bestFit="1" customWidth="1"/>
    <col min="16144" max="16146" width="9.28515625" style="1262" customWidth="1"/>
    <col min="16147" max="16147" width="9.28515625" style="1262" bestFit="1" customWidth="1"/>
    <col min="16148" max="16384" width="9.140625" style="1262"/>
  </cols>
  <sheetData>
    <row r="1" spans="1:8" s="1259" customFormat="1" ht="18.75">
      <c r="A1" s="1259" t="s">
        <v>2696</v>
      </c>
    </row>
    <row r="2" spans="1:8" ht="19.5" customHeight="1" thickBot="1">
      <c r="A2" s="1260"/>
      <c r="B2" s="1261"/>
      <c r="C2" s="3201" t="s">
        <v>2697</v>
      </c>
      <c r="D2" s="3201"/>
      <c r="E2" s="3201"/>
      <c r="F2" s="3201"/>
    </row>
    <row r="3" spans="1:8" ht="16.5" thickBot="1">
      <c r="A3" s="1263"/>
      <c r="B3" s="1264"/>
      <c r="C3" s="3202" t="s">
        <v>2698</v>
      </c>
      <c r="D3" s="3203"/>
      <c r="E3" s="3203"/>
      <c r="F3" s="3203"/>
      <c r="G3" s="3204"/>
    </row>
    <row r="4" spans="1:8" ht="21" customHeight="1" thickBot="1">
      <c r="A4" s="1265"/>
      <c r="B4" s="1266"/>
      <c r="C4" s="1192">
        <v>42188</v>
      </c>
      <c r="D4" s="1192">
        <v>42195</v>
      </c>
      <c r="E4" s="1192">
        <v>42202</v>
      </c>
      <c r="F4" s="1267">
        <v>42209</v>
      </c>
      <c r="G4" s="1267">
        <v>42216</v>
      </c>
    </row>
    <row r="5" spans="1:8" ht="2.25" hidden="1" customHeight="1">
      <c r="A5" s="1268"/>
      <c r="B5" s="1269"/>
      <c r="C5" s="1270"/>
      <c r="D5" s="1271"/>
      <c r="E5" s="1271"/>
      <c r="F5" s="1271"/>
      <c r="G5" s="1271"/>
    </row>
    <row r="6" spans="1:8" ht="18.75" customHeight="1">
      <c r="A6" s="1272"/>
      <c r="B6" s="1273" t="s">
        <v>2699</v>
      </c>
      <c r="C6" s="1274"/>
      <c r="D6" s="1275"/>
      <c r="E6" s="1275"/>
      <c r="F6" s="1275"/>
      <c r="G6" s="1275"/>
    </row>
    <row r="7" spans="1:8" ht="18.75" customHeight="1">
      <c r="A7" s="1276"/>
      <c r="B7" s="1277" t="s">
        <v>2700</v>
      </c>
      <c r="C7" s="1278">
        <v>1.41</v>
      </c>
      <c r="D7" s="1279" t="s">
        <v>60</v>
      </c>
      <c r="E7" s="1279" t="s">
        <v>60</v>
      </c>
      <c r="F7" s="1279" t="s">
        <v>60</v>
      </c>
      <c r="G7" s="1279">
        <v>1.2</v>
      </c>
    </row>
    <row r="8" spans="1:8" ht="18.75" customHeight="1">
      <c r="A8" s="1276"/>
      <c r="B8" s="1277" t="s">
        <v>2701</v>
      </c>
      <c r="C8" s="1278" t="s">
        <v>60</v>
      </c>
      <c r="D8" s="1279" t="s">
        <v>60</v>
      </c>
      <c r="E8" s="1279">
        <v>1.65</v>
      </c>
      <c r="F8" s="1279" t="s">
        <v>60</v>
      </c>
      <c r="G8" s="1279" t="s">
        <v>60</v>
      </c>
    </row>
    <row r="9" spans="1:8" ht="18.75" customHeight="1">
      <c r="A9" s="1276"/>
      <c r="B9" s="1277" t="s">
        <v>2702</v>
      </c>
      <c r="C9" s="1278" t="s">
        <v>60</v>
      </c>
      <c r="D9" s="1279" t="s">
        <v>60</v>
      </c>
      <c r="E9" s="1279" t="s">
        <v>60</v>
      </c>
      <c r="F9" s="1279" t="s">
        <v>60</v>
      </c>
      <c r="G9" s="1279" t="s">
        <v>60</v>
      </c>
    </row>
    <row r="10" spans="1:8" ht="18.75" customHeight="1">
      <c r="A10" s="1276"/>
      <c r="B10" s="1277" t="s">
        <v>2703</v>
      </c>
      <c r="C10" s="1278" t="s">
        <v>60</v>
      </c>
      <c r="D10" s="1279">
        <v>2.44</v>
      </c>
      <c r="E10" s="1279" t="s">
        <v>60</v>
      </c>
      <c r="F10" s="1279">
        <v>2.31</v>
      </c>
      <c r="G10" s="1279" t="s">
        <v>60</v>
      </c>
    </row>
    <row r="11" spans="1:8" ht="8.25" customHeight="1" thickBot="1">
      <c r="A11" s="1280"/>
      <c r="B11" s="1281"/>
      <c r="C11" s="1282"/>
      <c r="D11" s="1283"/>
      <c r="E11" s="1283"/>
      <c r="F11" s="1283"/>
      <c r="G11" s="1283"/>
    </row>
    <row r="12" spans="1:8" s="1284" customFormat="1" ht="21.75" customHeight="1">
      <c r="A12" s="1284" t="s">
        <v>2704</v>
      </c>
      <c r="G12" s="1186"/>
    </row>
    <row r="13" spans="1:8" ht="12" customHeight="1"/>
    <row r="14" spans="1:8" ht="15" customHeight="1">
      <c r="A14" s="3183" t="s">
        <v>2705</v>
      </c>
      <c r="B14" s="3183"/>
      <c r="C14" s="3183"/>
      <c r="D14" s="3183"/>
      <c r="E14" s="3183"/>
      <c r="F14" s="3183"/>
    </row>
    <row r="15" spans="1:8" ht="19.5" customHeight="1" thickBot="1">
      <c r="A15" s="1285"/>
      <c r="B15" s="1285"/>
      <c r="C15" s="1285"/>
      <c r="D15" s="1285"/>
      <c r="E15" s="1285"/>
      <c r="F15" s="1260"/>
    </row>
    <row r="16" spans="1:8" ht="18.75" customHeight="1" thickBot="1">
      <c r="A16" s="1263" t="s">
        <v>2706</v>
      </c>
      <c r="B16" s="1264"/>
      <c r="C16" s="3205" t="s">
        <v>2707</v>
      </c>
      <c r="D16" s="3206"/>
      <c r="E16" s="3205" t="s">
        <v>2708</v>
      </c>
      <c r="F16" s="3206"/>
      <c r="G16" s="3205" t="s">
        <v>2709</v>
      </c>
      <c r="H16" s="3206"/>
    </row>
    <row r="17" spans="1:8" ht="20.25" customHeight="1" thickBot="1">
      <c r="A17" s="1265"/>
      <c r="B17" s="1266"/>
      <c r="C17" s="3197" t="s">
        <v>2710</v>
      </c>
      <c r="D17" s="3198"/>
      <c r="E17" s="3197" t="s">
        <v>2710</v>
      </c>
      <c r="F17" s="3198"/>
      <c r="G17" s="3197" t="s">
        <v>2710</v>
      </c>
      <c r="H17" s="3198"/>
    </row>
    <row r="18" spans="1:8" ht="20.25" customHeight="1">
      <c r="A18" s="1272">
        <v>1</v>
      </c>
      <c r="B18" s="1286" t="s">
        <v>2711</v>
      </c>
      <c r="C18" s="3199">
        <v>2820</v>
      </c>
      <c r="D18" s="3200"/>
      <c r="E18" s="3199">
        <v>2895</v>
      </c>
      <c r="F18" s="3200"/>
      <c r="G18" s="3199">
        <v>3240</v>
      </c>
      <c r="H18" s="3200"/>
    </row>
    <row r="19" spans="1:8" ht="20.25" customHeight="1">
      <c r="A19" s="1272">
        <v>2</v>
      </c>
      <c r="B19" s="1286" t="s">
        <v>2712</v>
      </c>
      <c r="C19" s="3195">
        <v>1400</v>
      </c>
      <c r="D19" s="3196"/>
      <c r="E19" s="3195">
        <v>1500</v>
      </c>
      <c r="F19" s="3196"/>
      <c r="G19" s="3195">
        <v>1300</v>
      </c>
      <c r="H19" s="3196"/>
    </row>
    <row r="20" spans="1:8" ht="20.25" customHeight="1">
      <c r="A20" s="1272">
        <v>3</v>
      </c>
      <c r="B20" s="1287" t="s">
        <v>2713</v>
      </c>
      <c r="C20" s="3191">
        <v>2.46</v>
      </c>
      <c r="D20" s="3192"/>
      <c r="E20" s="3191">
        <v>2.46</v>
      </c>
      <c r="F20" s="3192"/>
      <c r="G20" s="3191">
        <v>2.46</v>
      </c>
      <c r="H20" s="3192"/>
    </row>
    <row r="21" spans="1:8" ht="20.25" customHeight="1">
      <c r="A21" s="1272">
        <v>4</v>
      </c>
      <c r="B21" s="1286" t="s">
        <v>2714</v>
      </c>
      <c r="C21" s="3191">
        <v>3.99</v>
      </c>
      <c r="D21" s="3192"/>
      <c r="E21" s="3191">
        <v>4.04</v>
      </c>
      <c r="F21" s="3192"/>
      <c r="G21" s="3191">
        <v>4.04</v>
      </c>
      <c r="H21" s="3192"/>
    </row>
    <row r="22" spans="1:8" ht="20.25" customHeight="1">
      <c r="A22" s="1272">
        <v>5</v>
      </c>
      <c r="B22" s="1286" t="s">
        <v>2715</v>
      </c>
      <c r="C22" s="3193">
        <v>3.55</v>
      </c>
      <c r="D22" s="3194"/>
      <c r="E22" s="3193">
        <v>3.91</v>
      </c>
      <c r="F22" s="3194"/>
      <c r="G22" s="3193">
        <v>3.94</v>
      </c>
      <c r="H22" s="3194"/>
    </row>
    <row r="23" spans="1:8" ht="20.25" customHeight="1">
      <c r="A23" s="1272">
        <v>6</v>
      </c>
      <c r="B23" s="1286" t="s">
        <v>2716</v>
      </c>
      <c r="C23" s="3186" t="s">
        <v>2717</v>
      </c>
      <c r="D23" s="3187"/>
      <c r="E23" s="3186" t="s">
        <v>2718</v>
      </c>
      <c r="F23" s="3187"/>
      <c r="G23" s="3186" t="s">
        <v>2719</v>
      </c>
      <c r="H23" s="3187"/>
    </row>
    <row r="24" spans="1:8" ht="11.25" customHeight="1" thickBot="1">
      <c r="A24" s="1288"/>
      <c r="B24" s="1266"/>
      <c r="C24" s="3188"/>
      <c r="D24" s="3189"/>
      <c r="E24" s="3188"/>
      <c r="F24" s="3189"/>
      <c r="G24" s="3188"/>
      <c r="H24" s="3190"/>
    </row>
    <row r="25" spans="1:8" ht="17.25" customHeight="1">
      <c r="A25" s="1284"/>
      <c r="B25" s="1289" t="s">
        <v>2720</v>
      </c>
      <c r="C25" s="1290"/>
      <c r="D25" s="1291"/>
      <c r="E25" s="1290"/>
      <c r="F25" s="1292"/>
      <c r="G25" s="1292"/>
    </row>
    <row r="26" spans="1:8" ht="17.25" customHeight="1">
      <c r="A26" s="1284"/>
      <c r="B26" s="1293" t="s">
        <v>2721</v>
      </c>
      <c r="C26" s="1293" t="s">
        <v>2722</v>
      </c>
      <c r="E26" s="1290"/>
      <c r="F26" s="1292"/>
      <c r="G26" s="1292"/>
    </row>
    <row r="27" spans="1:8" ht="17.25" customHeight="1">
      <c r="A27" s="1284"/>
      <c r="B27" s="1293" t="s">
        <v>2723</v>
      </c>
      <c r="C27" s="1290"/>
      <c r="D27" s="1290"/>
      <c r="E27" s="1290"/>
      <c r="F27" s="1292"/>
      <c r="G27" s="1292"/>
    </row>
    <row r="28" spans="1:8" s="1284" customFormat="1" ht="15.75">
      <c r="A28" s="1284" t="s">
        <v>2704</v>
      </c>
      <c r="B28" s="1290"/>
      <c r="D28" s="1290"/>
      <c r="E28" s="1290"/>
      <c r="F28" s="1290"/>
    </row>
    <row r="29" spans="1:8" ht="17.25" customHeight="1"/>
    <row r="30" spans="1:8" ht="18.75">
      <c r="A30" s="3183" t="s">
        <v>2724</v>
      </c>
      <c r="B30" s="3183"/>
      <c r="C30" s="3183"/>
      <c r="D30" s="3183"/>
      <c r="E30" s="3183"/>
      <c r="F30" s="3183"/>
      <c r="G30" s="3183"/>
    </row>
    <row r="31" spans="1:8" ht="6.75" customHeight="1" thickBot="1"/>
    <row r="32" spans="1:8" ht="18" customHeight="1" thickBot="1">
      <c r="A32" s="1294"/>
      <c r="B32" s="1295"/>
      <c r="C32" s="3184" t="s">
        <v>2725</v>
      </c>
      <c r="D32" s="3185"/>
      <c r="E32" s="3185"/>
      <c r="F32" s="3185"/>
      <c r="G32" s="3185"/>
      <c r="H32" s="1296"/>
    </row>
    <row r="33" spans="1:8" ht="24" customHeight="1" thickBot="1">
      <c r="A33" s="1297"/>
      <c r="B33" s="1298"/>
      <c r="C33" s="1299" t="s">
        <v>2726</v>
      </c>
      <c r="D33" s="1299" t="s">
        <v>2727</v>
      </c>
      <c r="E33" s="1299" t="s">
        <v>2728</v>
      </c>
      <c r="F33" s="1299" t="s">
        <v>2729</v>
      </c>
      <c r="G33" s="1299" t="s">
        <v>2730</v>
      </c>
      <c r="H33" s="1299" t="s">
        <v>2731</v>
      </c>
    </row>
    <row r="34" spans="1:8" ht="20.25" customHeight="1">
      <c r="A34" s="1300">
        <v>1</v>
      </c>
      <c r="B34" s="1301" t="s">
        <v>2732</v>
      </c>
      <c r="C34" s="1302">
        <v>1000</v>
      </c>
      <c r="D34" s="1302">
        <v>1300</v>
      </c>
      <c r="E34" s="1302">
        <v>1300</v>
      </c>
      <c r="F34" s="1302">
        <v>1500</v>
      </c>
      <c r="G34" s="1302">
        <v>2000</v>
      </c>
      <c r="H34" s="1302">
        <v>2000</v>
      </c>
    </row>
    <row r="35" spans="1:8" ht="20.25" customHeight="1">
      <c r="A35" s="1300">
        <v>2</v>
      </c>
      <c r="B35" s="1301" t="s">
        <v>2733</v>
      </c>
      <c r="C35" s="1302">
        <v>4555</v>
      </c>
      <c r="D35" s="1302">
        <v>4650</v>
      </c>
      <c r="E35" s="1302">
        <v>2655</v>
      </c>
      <c r="F35" s="1302">
        <v>4355</v>
      </c>
      <c r="G35" s="1302">
        <v>5160</v>
      </c>
      <c r="H35" s="1302">
        <v>5040</v>
      </c>
    </row>
    <row r="36" spans="1:8" ht="20.25" customHeight="1">
      <c r="A36" s="1300">
        <v>3</v>
      </c>
      <c r="B36" s="1301" t="s">
        <v>2734</v>
      </c>
      <c r="C36" s="1302">
        <v>1120</v>
      </c>
      <c r="D36" s="1302">
        <v>1600</v>
      </c>
      <c r="E36" s="1302">
        <v>1300</v>
      </c>
      <c r="F36" s="1302">
        <v>1500</v>
      </c>
      <c r="G36" s="1302">
        <v>2000</v>
      </c>
      <c r="H36" s="1302">
        <v>2000</v>
      </c>
    </row>
    <row r="37" spans="1:8" ht="20.25" customHeight="1">
      <c r="A37" s="1300">
        <v>4</v>
      </c>
      <c r="B37" s="1301" t="s">
        <v>2735</v>
      </c>
      <c r="C37" s="1303">
        <v>5.2</v>
      </c>
      <c r="D37" s="1303">
        <v>3.95</v>
      </c>
      <c r="E37" s="1303">
        <v>3.95</v>
      </c>
      <c r="F37" s="1303">
        <v>3.95</v>
      </c>
      <c r="G37" s="1303">
        <v>3.95</v>
      </c>
      <c r="H37" s="1303">
        <v>4.45</v>
      </c>
    </row>
    <row r="38" spans="1:8" ht="20.25" customHeight="1">
      <c r="A38" s="1300">
        <v>5</v>
      </c>
      <c r="B38" s="1304" t="s">
        <v>2736</v>
      </c>
      <c r="C38" s="1305">
        <v>4.32</v>
      </c>
      <c r="D38" s="1305">
        <v>4.0999999999999996</v>
      </c>
      <c r="E38" s="1305">
        <v>5.42</v>
      </c>
      <c r="F38" s="1305">
        <v>4.2</v>
      </c>
      <c r="G38" s="1305">
        <v>4</v>
      </c>
      <c r="H38" s="1305">
        <v>4.8499999999999996</v>
      </c>
    </row>
    <row r="39" spans="1:8" ht="20.25" customHeight="1">
      <c r="A39" s="1300">
        <v>6</v>
      </c>
      <c r="B39" s="1304" t="s">
        <v>2737</v>
      </c>
      <c r="C39" s="1305">
        <v>4.3</v>
      </c>
      <c r="D39" s="1305">
        <v>4.01</v>
      </c>
      <c r="E39" s="1305">
        <v>4.68</v>
      </c>
      <c r="F39" s="1305">
        <v>4.1100000000000003</v>
      </c>
      <c r="G39" s="1305">
        <v>3.91</v>
      </c>
      <c r="H39" s="1305">
        <v>4.7300000000000004</v>
      </c>
    </row>
    <row r="40" spans="1:8" ht="20.25" customHeight="1">
      <c r="A40" s="1300">
        <v>7</v>
      </c>
      <c r="B40" s="1304" t="s">
        <v>2738</v>
      </c>
      <c r="C40" s="1306">
        <v>103.79600000000001</v>
      </c>
      <c r="D40" s="1306">
        <v>99.730999999999995</v>
      </c>
      <c r="E40" s="1306">
        <v>96.831000000000003</v>
      </c>
      <c r="F40" s="1306">
        <v>99.313999999999993</v>
      </c>
      <c r="G40" s="1306">
        <v>100.164</v>
      </c>
      <c r="H40" s="1306">
        <v>98.766000000000005</v>
      </c>
    </row>
    <row r="41" spans="1:8" ht="10.5" customHeight="1" thickBot="1">
      <c r="A41" s="1307"/>
      <c r="B41" s="1308"/>
      <c r="C41" s="1309"/>
      <c r="D41" s="1309"/>
      <c r="E41" s="1309"/>
      <c r="F41" s="1309"/>
      <c r="G41" s="1309"/>
      <c r="H41" s="1309"/>
    </row>
    <row r="42" spans="1:8" ht="8.25" customHeight="1"/>
    <row r="43" spans="1:8" ht="18.75">
      <c r="A43" s="1290"/>
      <c r="B43" s="1310" t="s">
        <v>2739</v>
      </c>
      <c r="C43" s="1310" t="s">
        <v>2740</v>
      </c>
      <c r="D43" s="1290"/>
      <c r="E43" s="1290"/>
      <c r="F43" s="1310"/>
      <c r="G43" s="1311"/>
    </row>
    <row r="44" spans="1:8" ht="18.75">
      <c r="A44" s="1290"/>
      <c r="B44" s="1310" t="s">
        <v>2741</v>
      </c>
      <c r="C44" s="1310" t="s">
        <v>2742</v>
      </c>
      <c r="D44" s="1312"/>
      <c r="E44" s="1290"/>
      <c r="F44" s="1310"/>
      <c r="G44" s="1311"/>
    </row>
    <row r="45" spans="1:8" s="1284" customFormat="1" ht="18.75">
      <c r="A45" s="1290"/>
      <c r="B45" s="1310" t="s">
        <v>2743</v>
      </c>
      <c r="C45" s="1310" t="s">
        <v>2744</v>
      </c>
      <c r="E45" s="1312"/>
      <c r="F45" s="1290"/>
    </row>
    <row r="46" spans="1:8" ht="15.75">
      <c r="A46" s="1290" t="s">
        <v>2704</v>
      </c>
      <c r="B46" s="1290"/>
      <c r="F46" s="1290"/>
    </row>
    <row r="47" spans="1:8" ht="15.75">
      <c r="A47" s="1290"/>
      <c r="B47" s="1290"/>
      <c r="C47" s="1290"/>
      <c r="D47" s="1290"/>
      <c r="E47" s="1290"/>
      <c r="F47" s="1290"/>
    </row>
    <row r="51" spans="2:3" ht="18">
      <c r="B51" s="1313"/>
      <c r="C51" s="1313"/>
    </row>
    <row r="52" spans="2:3" ht="18">
      <c r="B52" s="1313"/>
      <c r="C52" s="1313"/>
    </row>
    <row r="53" spans="2:3" ht="18">
      <c r="B53" s="1313"/>
      <c r="C53" s="1313"/>
    </row>
  </sheetData>
  <mergeCells count="32">
    <mergeCell ref="C2:F2"/>
    <mergeCell ref="C3:G3"/>
    <mergeCell ref="A14:F14"/>
    <mergeCell ref="C16:D16"/>
    <mergeCell ref="E16:F16"/>
    <mergeCell ref="G16:H16"/>
    <mergeCell ref="C17:D17"/>
    <mergeCell ref="E17:F17"/>
    <mergeCell ref="G17:H17"/>
    <mergeCell ref="C18:D18"/>
    <mergeCell ref="E18:F18"/>
    <mergeCell ref="G18:H18"/>
    <mergeCell ref="C19:D19"/>
    <mergeCell ref="E19:F19"/>
    <mergeCell ref="G19:H19"/>
    <mergeCell ref="C20:D20"/>
    <mergeCell ref="E20:F20"/>
    <mergeCell ref="G20:H20"/>
    <mergeCell ref="C21:D21"/>
    <mergeCell ref="E21:F21"/>
    <mergeCell ref="G21:H21"/>
    <mergeCell ref="C22:D22"/>
    <mergeCell ref="E22:F22"/>
    <mergeCell ref="G22:H22"/>
    <mergeCell ref="A30:G30"/>
    <mergeCell ref="C32:G32"/>
    <mergeCell ref="C23:D23"/>
    <mergeCell ref="E23:F23"/>
    <mergeCell ref="G23:H23"/>
    <mergeCell ref="C24:D24"/>
    <mergeCell ref="E24:F24"/>
    <mergeCell ref="G24:H24"/>
  </mergeCells>
  <printOptions horizontalCentered="1"/>
  <pageMargins left="0.23622047244094499" right="0" top="1.3405511809999999" bottom="0.196850393700787" header="0.27559055118110198" footer="0"/>
  <pageSetup paperSize="9" scale="6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showGridLines="0" zoomScaleNormal="100" workbookViewId="0">
      <pane xSplit="3" ySplit="3" topLeftCell="D4" activePane="bottomRight" state="frozen"/>
      <selection pane="topRight" activeCell="D1" sqref="D1"/>
      <selection pane="bottomLeft" activeCell="A5" sqref="A5"/>
      <selection pane="bottomRight" activeCell="P12" sqref="P12"/>
    </sheetView>
  </sheetViews>
  <sheetFormatPr defaultRowHeight="18.75"/>
  <cols>
    <col min="1" max="1" width="3.5703125" style="1363" bestFit="1" customWidth="1"/>
    <col min="2" max="2" width="41.140625" style="1363" customWidth="1"/>
    <col min="3" max="3" width="19.5703125" style="1363" customWidth="1"/>
    <col min="4" max="7" width="16" style="1363" customWidth="1"/>
    <col min="8" max="8" width="9.140625" style="1358" hidden="1" customWidth="1"/>
    <col min="9" max="9" width="14.5703125" style="1358" customWidth="1"/>
    <col min="10" max="10" width="4.140625" style="1358" customWidth="1"/>
    <col min="11" max="255" width="9.140625" style="1358"/>
    <col min="256" max="256" width="2.7109375" style="1358" bestFit="1" customWidth="1"/>
    <col min="257" max="257" width="41.140625" style="1358" customWidth="1"/>
    <col min="258" max="258" width="12.85546875" style="1358" customWidth="1"/>
    <col min="259" max="260" width="10.42578125" style="1358" bestFit="1" customWidth="1"/>
    <col min="261" max="261" width="9.42578125" style="1358" bestFit="1" customWidth="1"/>
    <col min="262" max="263" width="10.42578125" style="1358" bestFit="1" customWidth="1"/>
    <col min="264" max="264" width="0" style="1358" hidden="1" customWidth="1"/>
    <col min="265" max="265" width="9.140625" style="1358"/>
    <col min="266" max="266" width="4.140625" style="1358" customWidth="1"/>
    <col min="267" max="511" width="9.140625" style="1358"/>
    <col min="512" max="512" width="2.7109375" style="1358" bestFit="1" customWidth="1"/>
    <col min="513" max="513" width="41.140625" style="1358" customWidth="1"/>
    <col min="514" max="514" width="12.85546875" style="1358" customWidth="1"/>
    <col min="515" max="516" width="10.42578125" style="1358" bestFit="1" customWidth="1"/>
    <col min="517" max="517" width="9.42578125" style="1358" bestFit="1" customWidth="1"/>
    <col min="518" max="519" width="10.42578125" style="1358" bestFit="1" customWidth="1"/>
    <col min="520" max="520" width="0" style="1358" hidden="1" customWidth="1"/>
    <col min="521" max="521" width="9.140625" style="1358"/>
    <col min="522" max="522" width="4.140625" style="1358" customWidth="1"/>
    <col min="523" max="767" width="9.140625" style="1358"/>
    <col min="768" max="768" width="2.7109375" style="1358" bestFit="1" customWidth="1"/>
    <col min="769" max="769" width="41.140625" style="1358" customWidth="1"/>
    <col min="770" max="770" width="12.85546875" style="1358" customWidth="1"/>
    <col min="771" max="772" width="10.42578125" style="1358" bestFit="1" customWidth="1"/>
    <col min="773" max="773" width="9.42578125" style="1358" bestFit="1" customWidth="1"/>
    <col min="774" max="775" width="10.42578125" style="1358" bestFit="1" customWidth="1"/>
    <col min="776" max="776" width="0" style="1358" hidden="1" customWidth="1"/>
    <col min="777" max="777" width="9.140625" style="1358"/>
    <col min="778" max="778" width="4.140625" style="1358" customWidth="1"/>
    <col min="779" max="1023" width="9.140625" style="1358"/>
    <col min="1024" max="1024" width="2.7109375" style="1358" bestFit="1" customWidth="1"/>
    <col min="1025" max="1025" width="41.140625" style="1358" customWidth="1"/>
    <col min="1026" max="1026" width="12.85546875" style="1358" customWidth="1"/>
    <col min="1027" max="1028" width="10.42578125" style="1358" bestFit="1" customWidth="1"/>
    <col min="1029" max="1029" width="9.42578125" style="1358" bestFit="1" customWidth="1"/>
    <col min="1030" max="1031" width="10.42578125" style="1358" bestFit="1" customWidth="1"/>
    <col min="1032" max="1032" width="0" style="1358" hidden="1" customWidth="1"/>
    <col min="1033" max="1033" width="9.140625" style="1358"/>
    <col min="1034" max="1034" width="4.140625" style="1358" customWidth="1"/>
    <col min="1035" max="1279" width="9.140625" style="1358"/>
    <col min="1280" max="1280" width="2.7109375" style="1358" bestFit="1" customWidth="1"/>
    <col min="1281" max="1281" width="41.140625" style="1358" customWidth="1"/>
    <col min="1282" max="1282" width="12.85546875" style="1358" customWidth="1"/>
    <col min="1283" max="1284" width="10.42578125" style="1358" bestFit="1" customWidth="1"/>
    <col min="1285" max="1285" width="9.42578125" style="1358" bestFit="1" customWidth="1"/>
    <col min="1286" max="1287" width="10.42578125" style="1358" bestFit="1" customWidth="1"/>
    <col min="1288" max="1288" width="0" style="1358" hidden="1" customWidth="1"/>
    <col min="1289" max="1289" width="9.140625" style="1358"/>
    <col min="1290" max="1290" width="4.140625" style="1358" customWidth="1"/>
    <col min="1291" max="1535" width="9.140625" style="1358"/>
    <col min="1536" max="1536" width="2.7109375" style="1358" bestFit="1" customWidth="1"/>
    <col min="1537" max="1537" width="41.140625" style="1358" customWidth="1"/>
    <col min="1538" max="1538" width="12.85546875" style="1358" customWidth="1"/>
    <col min="1539" max="1540" width="10.42578125" style="1358" bestFit="1" customWidth="1"/>
    <col min="1541" max="1541" width="9.42578125" style="1358" bestFit="1" customWidth="1"/>
    <col min="1542" max="1543" width="10.42578125" style="1358" bestFit="1" customWidth="1"/>
    <col min="1544" max="1544" width="0" style="1358" hidden="1" customWidth="1"/>
    <col min="1545" max="1545" width="9.140625" style="1358"/>
    <col min="1546" max="1546" width="4.140625" style="1358" customWidth="1"/>
    <col min="1547" max="1791" width="9.140625" style="1358"/>
    <col min="1792" max="1792" width="2.7109375" style="1358" bestFit="1" customWidth="1"/>
    <col min="1793" max="1793" width="41.140625" style="1358" customWidth="1"/>
    <col min="1794" max="1794" width="12.85546875" style="1358" customWidth="1"/>
    <col min="1795" max="1796" width="10.42578125" style="1358" bestFit="1" customWidth="1"/>
    <col min="1797" max="1797" width="9.42578125" style="1358" bestFit="1" customWidth="1"/>
    <col min="1798" max="1799" width="10.42578125" style="1358" bestFit="1" customWidth="1"/>
    <col min="1800" max="1800" width="0" style="1358" hidden="1" customWidth="1"/>
    <col min="1801" max="1801" width="9.140625" style="1358"/>
    <col min="1802" max="1802" width="4.140625" style="1358" customWidth="1"/>
    <col min="1803" max="2047" width="9.140625" style="1358"/>
    <col min="2048" max="2048" width="2.7109375" style="1358" bestFit="1" customWidth="1"/>
    <col min="2049" max="2049" width="41.140625" style="1358" customWidth="1"/>
    <col min="2050" max="2050" width="12.85546875" style="1358" customWidth="1"/>
    <col min="2051" max="2052" width="10.42578125" style="1358" bestFit="1" customWidth="1"/>
    <col min="2053" max="2053" width="9.42578125" style="1358" bestFit="1" customWidth="1"/>
    <col min="2054" max="2055" width="10.42578125" style="1358" bestFit="1" customWidth="1"/>
    <col min="2056" max="2056" width="0" style="1358" hidden="1" customWidth="1"/>
    <col min="2057" max="2057" width="9.140625" style="1358"/>
    <col min="2058" max="2058" width="4.140625" style="1358" customWidth="1"/>
    <col min="2059" max="2303" width="9.140625" style="1358"/>
    <col min="2304" max="2304" width="2.7109375" style="1358" bestFit="1" customWidth="1"/>
    <col min="2305" max="2305" width="41.140625" style="1358" customWidth="1"/>
    <col min="2306" max="2306" width="12.85546875" style="1358" customWidth="1"/>
    <col min="2307" max="2308" width="10.42578125" style="1358" bestFit="1" customWidth="1"/>
    <col min="2309" max="2309" width="9.42578125" style="1358" bestFit="1" customWidth="1"/>
    <col min="2310" max="2311" width="10.42578125" style="1358" bestFit="1" customWidth="1"/>
    <col min="2312" max="2312" width="0" style="1358" hidden="1" customWidth="1"/>
    <col min="2313" max="2313" width="9.140625" style="1358"/>
    <col min="2314" max="2314" width="4.140625" style="1358" customWidth="1"/>
    <col min="2315" max="2559" width="9.140625" style="1358"/>
    <col min="2560" max="2560" width="2.7109375" style="1358" bestFit="1" customWidth="1"/>
    <col min="2561" max="2561" width="41.140625" style="1358" customWidth="1"/>
    <col min="2562" max="2562" width="12.85546875" style="1358" customWidth="1"/>
    <col min="2563" max="2564" width="10.42578125" style="1358" bestFit="1" customWidth="1"/>
    <col min="2565" max="2565" width="9.42578125" style="1358" bestFit="1" customWidth="1"/>
    <col min="2566" max="2567" width="10.42578125" style="1358" bestFit="1" customWidth="1"/>
    <col min="2568" max="2568" width="0" style="1358" hidden="1" customWidth="1"/>
    <col min="2569" max="2569" width="9.140625" style="1358"/>
    <col min="2570" max="2570" width="4.140625" style="1358" customWidth="1"/>
    <col min="2571" max="2815" width="9.140625" style="1358"/>
    <col min="2816" max="2816" width="2.7109375" style="1358" bestFit="1" customWidth="1"/>
    <col min="2817" max="2817" width="41.140625" style="1358" customWidth="1"/>
    <col min="2818" max="2818" width="12.85546875" style="1358" customWidth="1"/>
    <col min="2819" max="2820" width="10.42578125" style="1358" bestFit="1" customWidth="1"/>
    <col min="2821" max="2821" width="9.42578125" style="1358" bestFit="1" customWidth="1"/>
    <col min="2822" max="2823" width="10.42578125" style="1358" bestFit="1" customWidth="1"/>
    <col min="2824" max="2824" width="0" style="1358" hidden="1" customWidth="1"/>
    <col min="2825" max="2825" width="9.140625" style="1358"/>
    <col min="2826" max="2826" width="4.140625" style="1358" customWidth="1"/>
    <col min="2827" max="3071" width="9.140625" style="1358"/>
    <col min="3072" max="3072" width="2.7109375" style="1358" bestFit="1" customWidth="1"/>
    <col min="3073" max="3073" width="41.140625" style="1358" customWidth="1"/>
    <col min="3074" max="3074" width="12.85546875" style="1358" customWidth="1"/>
    <col min="3075" max="3076" width="10.42578125" style="1358" bestFit="1" customWidth="1"/>
    <col min="3077" max="3077" width="9.42578125" style="1358" bestFit="1" customWidth="1"/>
    <col min="3078" max="3079" width="10.42578125" style="1358" bestFit="1" customWidth="1"/>
    <col min="3080" max="3080" width="0" style="1358" hidden="1" customWidth="1"/>
    <col min="3081" max="3081" width="9.140625" style="1358"/>
    <col min="3082" max="3082" width="4.140625" style="1358" customWidth="1"/>
    <col min="3083" max="3327" width="9.140625" style="1358"/>
    <col min="3328" max="3328" width="2.7109375" style="1358" bestFit="1" customWidth="1"/>
    <col min="3329" max="3329" width="41.140625" style="1358" customWidth="1"/>
    <col min="3330" max="3330" width="12.85546875" style="1358" customWidth="1"/>
    <col min="3331" max="3332" width="10.42578125" style="1358" bestFit="1" customWidth="1"/>
    <col min="3333" max="3333" width="9.42578125" style="1358" bestFit="1" customWidth="1"/>
    <col min="3334" max="3335" width="10.42578125" style="1358" bestFit="1" customWidth="1"/>
    <col min="3336" max="3336" width="0" style="1358" hidden="1" customWidth="1"/>
    <col min="3337" max="3337" width="9.140625" style="1358"/>
    <col min="3338" max="3338" width="4.140625" style="1358" customWidth="1"/>
    <col min="3339" max="3583" width="9.140625" style="1358"/>
    <col min="3584" max="3584" width="2.7109375" style="1358" bestFit="1" customWidth="1"/>
    <col min="3585" max="3585" width="41.140625" style="1358" customWidth="1"/>
    <col min="3586" max="3586" width="12.85546875" style="1358" customWidth="1"/>
    <col min="3587" max="3588" width="10.42578125" style="1358" bestFit="1" customWidth="1"/>
    <col min="3589" max="3589" width="9.42578125" style="1358" bestFit="1" customWidth="1"/>
    <col min="3590" max="3591" width="10.42578125" style="1358" bestFit="1" customWidth="1"/>
    <col min="3592" max="3592" width="0" style="1358" hidden="1" customWidth="1"/>
    <col min="3593" max="3593" width="9.140625" style="1358"/>
    <col min="3594" max="3594" width="4.140625" style="1358" customWidth="1"/>
    <col min="3595" max="3839" width="9.140625" style="1358"/>
    <col min="3840" max="3840" width="2.7109375" style="1358" bestFit="1" customWidth="1"/>
    <col min="3841" max="3841" width="41.140625" style="1358" customWidth="1"/>
    <col min="3842" max="3842" width="12.85546875" style="1358" customWidth="1"/>
    <col min="3843" max="3844" width="10.42578125" style="1358" bestFit="1" customWidth="1"/>
    <col min="3845" max="3845" width="9.42578125" style="1358" bestFit="1" customWidth="1"/>
    <col min="3846" max="3847" width="10.42578125" style="1358" bestFit="1" customWidth="1"/>
    <col min="3848" max="3848" width="0" style="1358" hidden="1" customWidth="1"/>
    <col min="3849" max="3849" width="9.140625" style="1358"/>
    <col min="3850" max="3850" width="4.140625" style="1358" customWidth="1"/>
    <col min="3851" max="4095" width="9.140625" style="1358"/>
    <col min="4096" max="4096" width="2.7109375" style="1358" bestFit="1" customWidth="1"/>
    <col min="4097" max="4097" width="41.140625" style="1358" customWidth="1"/>
    <col min="4098" max="4098" width="12.85546875" style="1358" customWidth="1"/>
    <col min="4099" max="4100" width="10.42578125" style="1358" bestFit="1" customWidth="1"/>
    <col min="4101" max="4101" width="9.42578125" style="1358" bestFit="1" customWidth="1"/>
    <col min="4102" max="4103" width="10.42578125" style="1358" bestFit="1" customWidth="1"/>
    <col min="4104" max="4104" width="0" style="1358" hidden="1" customWidth="1"/>
    <col min="4105" max="4105" width="9.140625" style="1358"/>
    <col min="4106" max="4106" width="4.140625" style="1358" customWidth="1"/>
    <col min="4107" max="4351" width="9.140625" style="1358"/>
    <col min="4352" max="4352" width="2.7109375" style="1358" bestFit="1" customWidth="1"/>
    <col min="4353" max="4353" width="41.140625" style="1358" customWidth="1"/>
    <col min="4354" max="4354" width="12.85546875" style="1358" customWidth="1"/>
    <col min="4355" max="4356" width="10.42578125" style="1358" bestFit="1" customWidth="1"/>
    <col min="4357" max="4357" width="9.42578125" style="1358" bestFit="1" customWidth="1"/>
    <col min="4358" max="4359" width="10.42578125" style="1358" bestFit="1" customWidth="1"/>
    <col min="4360" max="4360" width="0" style="1358" hidden="1" customWidth="1"/>
    <col min="4361" max="4361" width="9.140625" style="1358"/>
    <col min="4362" max="4362" width="4.140625" style="1358" customWidth="1"/>
    <col min="4363" max="4607" width="9.140625" style="1358"/>
    <col min="4608" max="4608" width="2.7109375" style="1358" bestFit="1" customWidth="1"/>
    <col min="4609" max="4609" width="41.140625" style="1358" customWidth="1"/>
    <col min="4610" max="4610" width="12.85546875" style="1358" customWidth="1"/>
    <col min="4611" max="4612" width="10.42578125" style="1358" bestFit="1" customWidth="1"/>
    <col min="4613" max="4613" width="9.42578125" style="1358" bestFit="1" customWidth="1"/>
    <col min="4614" max="4615" width="10.42578125" style="1358" bestFit="1" customWidth="1"/>
    <col min="4616" max="4616" width="0" style="1358" hidden="1" customWidth="1"/>
    <col min="4617" max="4617" width="9.140625" style="1358"/>
    <col min="4618" max="4618" width="4.140625" style="1358" customWidth="1"/>
    <col min="4619" max="4863" width="9.140625" style="1358"/>
    <col min="4864" max="4864" width="2.7109375" style="1358" bestFit="1" customWidth="1"/>
    <col min="4865" max="4865" width="41.140625" style="1358" customWidth="1"/>
    <col min="4866" max="4866" width="12.85546875" style="1358" customWidth="1"/>
    <col min="4867" max="4868" width="10.42578125" style="1358" bestFit="1" customWidth="1"/>
    <col min="4869" max="4869" width="9.42578125" style="1358" bestFit="1" customWidth="1"/>
    <col min="4870" max="4871" width="10.42578125" style="1358" bestFit="1" customWidth="1"/>
    <col min="4872" max="4872" width="0" style="1358" hidden="1" customWidth="1"/>
    <col min="4873" max="4873" width="9.140625" style="1358"/>
    <col min="4874" max="4874" width="4.140625" style="1358" customWidth="1"/>
    <col min="4875" max="5119" width="9.140625" style="1358"/>
    <col min="5120" max="5120" width="2.7109375" style="1358" bestFit="1" customWidth="1"/>
    <col min="5121" max="5121" width="41.140625" style="1358" customWidth="1"/>
    <col min="5122" max="5122" width="12.85546875" style="1358" customWidth="1"/>
    <col min="5123" max="5124" width="10.42578125" style="1358" bestFit="1" customWidth="1"/>
    <col min="5125" max="5125" width="9.42578125" style="1358" bestFit="1" customWidth="1"/>
    <col min="5126" max="5127" width="10.42578125" style="1358" bestFit="1" customWidth="1"/>
    <col min="5128" max="5128" width="0" style="1358" hidden="1" customWidth="1"/>
    <col min="5129" max="5129" width="9.140625" style="1358"/>
    <col min="5130" max="5130" width="4.140625" style="1358" customWidth="1"/>
    <col min="5131" max="5375" width="9.140625" style="1358"/>
    <col min="5376" max="5376" width="2.7109375" style="1358" bestFit="1" customWidth="1"/>
    <col min="5377" max="5377" width="41.140625" style="1358" customWidth="1"/>
    <col min="5378" max="5378" width="12.85546875" style="1358" customWidth="1"/>
    <col min="5379" max="5380" width="10.42578125" style="1358" bestFit="1" customWidth="1"/>
    <col min="5381" max="5381" width="9.42578125" style="1358" bestFit="1" customWidth="1"/>
    <col min="5382" max="5383" width="10.42578125" style="1358" bestFit="1" customWidth="1"/>
    <col min="5384" max="5384" width="0" style="1358" hidden="1" customWidth="1"/>
    <col min="5385" max="5385" width="9.140625" style="1358"/>
    <col min="5386" max="5386" width="4.140625" style="1358" customWidth="1"/>
    <col min="5387" max="5631" width="9.140625" style="1358"/>
    <col min="5632" max="5632" width="2.7109375" style="1358" bestFit="1" customWidth="1"/>
    <col min="5633" max="5633" width="41.140625" style="1358" customWidth="1"/>
    <col min="5634" max="5634" width="12.85546875" style="1358" customWidth="1"/>
    <col min="5635" max="5636" width="10.42578125" style="1358" bestFit="1" customWidth="1"/>
    <col min="5637" max="5637" width="9.42578125" style="1358" bestFit="1" customWidth="1"/>
    <col min="5638" max="5639" width="10.42578125" style="1358" bestFit="1" customWidth="1"/>
    <col min="5640" max="5640" width="0" style="1358" hidden="1" customWidth="1"/>
    <col min="5641" max="5641" width="9.140625" style="1358"/>
    <col min="5642" max="5642" width="4.140625" style="1358" customWidth="1"/>
    <col min="5643" max="5887" width="9.140625" style="1358"/>
    <col min="5888" max="5888" width="2.7109375" style="1358" bestFit="1" customWidth="1"/>
    <col min="5889" max="5889" width="41.140625" style="1358" customWidth="1"/>
    <col min="5890" max="5890" width="12.85546875" style="1358" customWidth="1"/>
    <col min="5891" max="5892" width="10.42578125" style="1358" bestFit="1" customWidth="1"/>
    <col min="5893" max="5893" width="9.42578125" style="1358" bestFit="1" customWidth="1"/>
    <col min="5894" max="5895" width="10.42578125" style="1358" bestFit="1" customWidth="1"/>
    <col min="5896" max="5896" width="0" style="1358" hidden="1" customWidth="1"/>
    <col min="5897" max="5897" width="9.140625" style="1358"/>
    <col min="5898" max="5898" width="4.140625" style="1358" customWidth="1"/>
    <col min="5899" max="6143" width="9.140625" style="1358"/>
    <col min="6144" max="6144" width="2.7109375" style="1358" bestFit="1" customWidth="1"/>
    <col min="6145" max="6145" width="41.140625" style="1358" customWidth="1"/>
    <col min="6146" max="6146" width="12.85546875" style="1358" customWidth="1"/>
    <col min="6147" max="6148" width="10.42578125" style="1358" bestFit="1" customWidth="1"/>
    <col min="6149" max="6149" width="9.42578125" style="1358" bestFit="1" customWidth="1"/>
    <col min="6150" max="6151" width="10.42578125" style="1358" bestFit="1" customWidth="1"/>
    <col min="6152" max="6152" width="0" style="1358" hidden="1" customWidth="1"/>
    <col min="6153" max="6153" width="9.140625" style="1358"/>
    <col min="6154" max="6154" width="4.140625" style="1358" customWidth="1"/>
    <col min="6155" max="6399" width="9.140625" style="1358"/>
    <col min="6400" max="6400" width="2.7109375" style="1358" bestFit="1" customWidth="1"/>
    <col min="6401" max="6401" width="41.140625" style="1358" customWidth="1"/>
    <col min="6402" max="6402" width="12.85546875" style="1358" customWidth="1"/>
    <col min="6403" max="6404" width="10.42578125" style="1358" bestFit="1" customWidth="1"/>
    <col min="6405" max="6405" width="9.42578125" style="1358" bestFit="1" customWidth="1"/>
    <col min="6406" max="6407" width="10.42578125" style="1358" bestFit="1" customWidth="1"/>
    <col min="6408" max="6408" width="0" style="1358" hidden="1" customWidth="1"/>
    <col min="6409" max="6409" width="9.140625" style="1358"/>
    <col min="6410" max="6410" width="4.140625" style="1358" customWidth="1"/>
    <col min="6411" max="6655" width="9.140625" style="1358"/>
    <col min="6656" max="6656" width="2.7109375" style="1358" bestFit="1" customWidth="1"/>
    <col min="6657" max="6657" width="41.140625" style="1358" customWidth="1"/>
    <col min="6658" max="6658" width="12.85546875" style="1358" customWidth="1"/>
    <col min="6659" max="6660" width="10.42578125" style="1358" bestFit="1" customWidth="1"/>
    <col min="6661" max="6661" width="9.42578125" style="1358" bestFit="1" customWidth="1"/>
    <col min="6662" max="6663" width="10.42578125" style="1358" bestFit="1" customWidth="1"/>
    <col min="6664" max="6664" width="0" style="1358" hidden="1" customWidth="1"/>
    <col min="6665" max="6665" width="9.140625" style="1358"/>
    <col min="6666" max="6666" width="4.140625" style="1358" customWidth="1"/>
    <col min="6667" max="6911" width="9.140625" style="1358"/>
    <col min="6912" max="6912" width="2.7109375" style="1358" bestFit="1" customWidth="1"/>
    <col min="6913" max="6913" width="41.140625" style="1358" customWidth="1"/>
    <col min="6914" max="6914" width="12.85546875" style="1358" customWidth="1"/>
    <col min="6915" max="6916" width="10.42578125" style="1358" bestFit="1" customWidth="1"/>
    <col min="6917" max="6917" width="9.42578125" style="1358" bestFit="1" customWidth="1"/>
    <col min="6918" max="6919" width="10.42578125" style="1358" bestFit="1" customWidth="1"/>
    <col min="6920" max="6920" width="0" style="1358" hidden="1" customWidth="1"/>
    <col min="6921" max="6921" width="9.140625" style="1358"/>
    <col min="6922" max="6922" width="4.140625" style="1358" customWidth="1"/>
    <col min="6923" max="7167" width="9.140625" style="1358"/>
    <col min="7168" max="7168" width="2.7109375" style="1358" bestFit="1" customWidth="1"/>
    <col min="7169" max="7169" width="41.140625" style="1358" customWidth="1"/>
    <col min="7170" max="7170" width="12.85546875" style="1358" customWidth="1"/>
    <col min="7171" max="7172" width="10.42578125" style="1358" bestFit="1" customWidth="1"/>
    <col min="7173" max="7173" width="9.42578125" style="1358" bestFit="1" customWidth="1"/>
    <col min="7174" max="7175" width="10.42578125" style="1358" bestFit="1" customWidth="1"/>
    <col min="7176" max="7176" width="0" style="1358" hidden="1" customWidth="1"/>
    <col min="7177" max="7177" width="9.140625" style="1358"/>
    <col min="7178" max="7178" width="4.140625" style="1358" customWidth="1"/>
    <col min="7179" max="7423" width="9.140625" style="1358"/>
    <col min="7424" max="7424" width="2.7109375" style="1358" bestFit="1" customWidth="1"/>
    <col min="7425" max="7425" width="41.140625" style="1358" customWidth="1"/>
    <col min="7426" max="7426" width="12.85546875" style="1358" customWidth="1"/>
    <col min="7427" max="7428" width="10.42578125" style="1358" bestFit="1" customWidth="1"/>
    <col min="7429" max="7429" width="9.42578125" style="1358" bestFit="1" customWidth="1"/>
    <col min="7430" max="7431" width="10.42578125" style="1358" bestFit="1" customWidth="1"/>
    <col min="7432" max="7432" width="0" style="1358" hidden="1" customWidth="1"/>
    <col min="7433" max="7433" width="9.140625" style="1358"/>
    <col min="7434" max="7434" width="4.140625" style="1358" customWidth="1"/>
    <col min="7435" max="7679" width="9.140625" style="1358"/>
    <col min="7680" max="7680" width="2.7109375" style="1358" bestFit="1" customWidth="1"/>
    <col min="7681" max="7681" width="41.140625" style="1358" customWidth="1"/>
    <col min="7682" max="7682" width="12.85546875" style="1358" customWidth="1"/>
    <col min="7683" max="7684" width="10.42578125" style="1358" bestFit="1" customWidth="1"/>
    <col min="7685" max="7685" width="9.42578125" style="1358" bestFit="1" customWidth="1"/>
    <col min="7686" max="7687" width="10.42578125" style="1358" bestFit="1" customWidth="1"/>
    <col min="7688" max="7688" width="0" style="1358" hidden="1" customWidth="1"/>
    <col min="7689" max="7689" width="9.140625" style="1358"/>
    <col min="7690" max="7690" width="4.140625" style="1358" customWidth="1"/>
    <col min="7691" max="7935" width="9.140625" style="1358"/>
    <col min="7936" max="7936" width="2.7109375" style="1358" bestFit="1" customWidth="1"/>
    <col min="7937" max="7937" width="41.140625" style="1358" customWidth="1"/>
    <col min="7938" max="7938" width="12.85546875" style="1358" customWidth="1"/>
    <col min="7939" max="7940" width="10.42578125" style="1358" bestFit="1" customWidth="1"/>
    <col min="7941" max="7941" width="9.42578125" style="1358" bestFit="1" customWidth="1"/>
    <col min="7942" max="7943" width="10.42578125" style="1358" bestFit="1" customWidth="1"/>
    <col min="7944" max="7944" width="0" style="1358" hidden="1" customWidth="1"/>
    <col min="7945" max="7945" width="9.140625" style="1358"/>
    <col min="7946" max="7946" width="4.140625" style="1358" customWidth="1"/>
    <col min="7947" max="8191" width="9.140625" style="1358"/>
    <col min="8192" max="8192" width="2.7109375" style="1358" bestFit="1" customWidth="1"/>
    <col min="8193" max="8193" width="41.140625" style="1358" customWidth="1"/>
    <col min="8194" max="8194" width="12.85546875" style="1358" customWidth="1"/>
    <col min="8195" max="8196" width="10.42578125" style="1358" bestFit="1" customWidth="1"/>
    <col min="8197" max="8197" width="9.42578125" style="1358" bestFit="1" customWidth="1"/>
    <col min="8198" max="8199" width="10.42578125" style="1358" bestFit="1" customWidth="1"/>
    <col min="8200" max="8200" width="0" style="1358" hidden="1" customWidth="1"/>
    <col min="8201" max="8201" width="9.140625" style="1358"/>
    <col min="8202" max="8202" width="4.140625" style="1358" customWidth="1"/>
    <col min="8203" max="8447" width="9.140625" style="1358"/>
    <col min="8448" max="8448" width="2.7109375" style="1358" bestFit="1" customWidth="1"/>
    <col min="8449" max="8449" width="41.140625" style="1358" customWidth="1"/>
    <col min="8450" max="8450" width="12.85546875" style="1358" customWidth="1"/>
    <col min="8451" max="8452" width="10.42578125" style="1358" bestFit="1" customWidth="1"/>
    <col min="8453" max="8453" width="9.42578125" style="1358" bestFit="1" customWidth="1"/>
    <col min="8454" max="8455" width="10.42578125" style="1358" bestFit="1" customWidth="1"/>
    <col min="8456" max="8456" width="0" style="1358" hidden="1" customWidth="1"/>
    <col min="8457" max="8457" width="9.140625" style="1358"/>
    <col min="8458" max="8458" width="4.140625" style="1358" customWidth="1"/>
    <col min="8459" max="8703" width="9.140625" style="1358"/>
    <col min="8704" max="8704" width="2.7109375" style="1358" bestFit="1" customWidth="1"/>
    <col min="8705" max="8705" width="41.140625" style="1358" customWidth="1"/>
    <col min="8706" max="8706" width="12.85546875" style="1358" customWidth="1"/>
    <col min="8707" max="8708" width="10.42578125" style="1358" bestFit="1" customWidth="1"/>
    <col min="8709" max="8709" width="9.42578125" style="1358" bestFit="1" customWidth="1"/>
    <col min="8710" max="8711" width="10.42578125" style="1358" bestFit="1" customWidth="1"/>
    <col min="8712" max="8712" width="0" style="1358" hidden="1" customWidth="1"/>
    <col min="8713" max="8713" width="9.140625" style="1358"/>
    <col min="8714" max="8714" width="4.140625" style="1358" customWidth="1"/>
    <col min="8715" max="8959" width="9.140625" style="1358"/>
    <col min="8960" max="8960" width="2.7109375" style="1358" bestFit="1" customWidth="1"/>
    <col min="8961" max="8961" width="41.140625" style="1358" customWidth="1"/>
    <col min="8962" max="8962" width="12.85546875" style="1358" customWidth="1"/>
    <col min="8963" max="8964" width="10.42578125" style="1358" bestFit="1" customWidth="1"/>
    <col min="8965" max="8965" width="9.42578125" style="1358" bestFit="1" customWidth="1"/>
    <col min="8966" max="8967" width="10.42578125" style="1358" bestFit="1" customWidth="1"/>
    <col min="8968" max="8968" width="0" style="1358" hidden="1" customWidth="1"/>
    <col min="8969" max="8969" width="9.140625" style="1358"/>
    <col min="8970" max="8970" width="4.140625" style="1358" customWidth="1"/>
    <col min="8971" max="9215" width="9.140625" style="1358"/>
    <col min="9216" max="9216" width="2.7109375" style="1358" bestFit="1" customWidth="1"/>
    <col min="9217" max="9217" width="41.140625" style="1358" customWidth="1"/>
    <col min="9218" max="9218" width="12.85546875" style="1358" customWidth="1"/>
    <col min="9219" max="9220" width="10.42578125" style="1358" bestFit="1" customWidth="1"/>
    <col min="9221" max="9221" width="9.42578125" style="1358" bestFit="1" customWidth="1"/>
    <col min="9222" max="9223" width="10.42578125" style="1358" bestFit="1" customWidth="1"/>
    <col min="9224" max="9224" width="0" style="1358" hidden="1" customWidth="1"/>
    <col min="9225" max="9225" width="9.140625" style="1358"/>
    <col min="9226" max="9226" width="4.140625" style="1358" customWidth="1"/>
    <col min="9227" max="9471" width="9.140625" style="1358"/>
    <col min="9472" max="9472" width="2.7109375" style="1358" bestFit="1" customWidth="1"/>
    <col min="9473" max="9473" width="41.140625" style="1358" customWidth="1"/>
    <col min="9474" max="9474" width="12.85546875" style="1358" customWidth="1"/>
    <col min="9475" max="9476" width="10.42578125" style="1358" bestFit="1" customWidth="1"/>
    <col min="9477" max="9477" width="9.42578125" style="1358" bestFit="1" customWidth="1"/>
    <col min="9478" max="9479" width="10.42578125" style="1358" bestFit="1" customWidth="1"/>
    <col min="9480" max="9480" width="0" style="1358" hidden="1" customWidth="1"/>
    <col min="9481" max="9481" width="9.140625" style="1358"/>
    <col min="9482" max="9482" width="4.140625" style="1358" customWidth="1"/>
    <col min="9483" max="9727" width="9.140625" style="1358"/>
    <col min="9728" max="9728" width="2.7109375" style="1358" bestFit="1" customWidth="1"/>
    <col min="9729" max="9729" width="41.140625" style="1358" customWidth="1"/>
    <col min="9730" max="9730" width="12.85546875" style="1358" customWidth="1"/>
    <col min="9731" max="9732" width="10.42578125" style="1358" bestFit="1" customWidth="1"/>
    <col min="9733" max="9733" width="9.42578125" style="1358" bestFit="1" customWidth="1"/>
    <col min="9734" max="9735" width="10.42578125" style="1358" bestFit="1" customWidth="1"/>
    <col min="9736" max="9736" width="0" style="1358" hidden="1" customWidth="1"/>
    <col min="9737" max="9737" width="9.140625" style="1358"/>
    <col min="9738" max="9738" width="4.140625" style="1358" customWidth="1"/>
    <col min="9739" max="9983" width="9.140625" style="1358"/>
    <col min="9984" max="9984" width="2.7109375" style="1358" bestFit="1" customWidth="1"/>
    <col min="9985" max="9985" width="41.140625" style="1358" customWidth="1"/>
    <col min="9986" max="9986" width="12.85546875" style="1358" customWidth="1"/>
    <col min="9987" max="9988" width="10.42578125" style="1358" bestFit="1" customWidth="1"/>
    <col min="9989" max="9989" width="9.42578125" style="1358" bestFit="1" customWidth="1"/>
    <col min="9990" max="9991" width="10.42578125" style="1358" bestFit="1" customWidth="1"/>
    <col min="9992" max="9992" width="0" style="1358" hidden="1" customWidth="1"/>
    <col min="9993" max="9993" width="9.140625" style="1358"/>
    <col min="9994" max="9994" width="4.140625" style="1358" customWidth="1"/>
    <col min="9995" max="10239" width="9.140625" style="1358"/>
    <col min="10240" max="10240" width="2.7109375" style="1358" bestFit="1" customWidth="1"/>
    <col min="10241" max="10241" width="41.140625" style="1358" customWidth="1"/>
    <col min="10242" max="10242" width="12.85546875" style="1358" customWidth="1"/>
    <col min="10243" max="10244" width="10.42578125" style="1358" bestFit="1" customWidth="1"/>
    <col min="10245" max="10245" width="9.42578125" style="1358" bestFit="1" customWidth="1"/>
    <col min="10246" max="10247" width="10.42578125" style="1358" bestFit="1" customWidth="1"/>
    <col min="10248" max="10248" width="0" style="1358" hidden="1" customWidth="1"/>
    <col min="10249" max="10249" width="9.140625" style="1358"/>
    <col min="10250" max="10250" width="4.140625" style="1358" customWidth="1"/>
    <col min="10251" max="10495" width="9.140625" style="1358"/>
    <col min="10496" max="10496" width="2.7109375" style="1358" bestFit="1" customWidth="1"/>
    <col min="10497" max="10497" width="41.140625" style="1358" customWidth="1"/>
    <col min="10498" max="10498" width="12.85546875" style="1358" customWidth="1"/>
    <col min="10499" max="10500" width="10.42578125" style="1358" bestFit="1" customWidth="1"/>
    <col min="10501" max="10501" width="9.42578125" style="1358" bestFit="1" customWidth="1"/>
    <col min="10502" max="10503" width="10.42578125" style="1358" bestFit="1" customWidth="1"/>
    <col min="10504" max="10504" width="0" style="1358" hidden="1" customWidth="1"/>
    <col min="10505" max="10505" width="9.140625" style="1358"/>
    <col min="10506" max="10506" width="4.140625" style="1358" customWidth="1"/>
    <col min="10507" max="10751" width="9.140625" style="1358"/>
    <col min="10752" max="10752" width="2.7109375" style="1358" bestFit="1" customWidth="1"/>
    <col min="10753" max="10753" width="41.140625" style="1358" customWidth="1"/>
    <col min="10754" max="10754" width="12.85546875" style="1358" customWidth="1"/>
    <col min="10755" max="10756" width="10.42578125" style="1358" bestFit="1" customWidth="1"/>
    <col min="10757" max="10757" width="9.42578125" style="1358" bestFit="1" customWidth="1"/>
    <col min="10758" max="10759" width="10.42578125" style="1358" bestFit="1" customWidth="1"/>
    <col min="10760" max="10760" width="0" style="1358" hidden="1" customWidth="1"/>
    <col min="10761" max="10761" width="9.140625" style="1358"/>
    <col min="10762" max="10762" width="4.140625" style="1358" customWidth="1"/>
    <col min="10763" max="11007" width="9.140625" style="1358"/>
    <col min="11008" max="11008" width="2.7109375" style="1358" bestFit="1" customWidth="1"/>
    <col min="11009" max="11009" width="41.140625" style="1358" customWidth="1"/>
    <col min="11010" max="11010" width="12.85546875" style="1358" customWidth="1"/>
    <col min="11011" max="11012" width="10.42578125" style="1358" bestFit="1" customWidth="1"/>
    <col min="11013" max="11013" width="9.42578125" style="1358" bestFit="1" customWidth="1"/>
    <col min="11014" max="11015" width="10.42578125" style="1358" bestFit="1" customWidth="1"/>
    <col min="11016" max="11016" width="0" style="1358" hidden="1" customWidth="1"/>
    <col min="11017" max="11017" width="9.140625" style="1358"/>
    <col min="11018" max="11018" width="4.140625" style="1358" customWidth="1"/>
    <col min="11019" max="11263" width="9.140625" style="1358"/>
    <col min="11264" max="11264" width="2.7109375" style="1358" bestFit="1" customWidth="1"/>
    <col min="11265" max="11265" width="41.140625" style="1358" customWidth="1"/>
    <col min="11266" max="11266" width="12.85546875" style="1358" customWidth="1"/>
    <col min="11267" max="11268" width="10.42578125" style="1358" bestFit="1" customWidth="1"/>
    <col min="11269" max="11269" width="9.42578125" style="1358" bestFit="1" customWidth="1"/>
    <col min="11270" max="11271" width="10.42578125" style="1358" bestFit="1" customWidth="1"/>
    <col min="11272" max="11272" width="0" style="1358" hidden="1" customWidth="1"/>
    <col min="11273" max="11273" width="9.140625" style="1358"/>
    <col min="11274" max="11274" width="4.140625" style="1358" customWidth="1"/>
    <col min="11275" max="11519" width="9.140625" style="1358"/>
    <col min="11520" max="11520" width="2.7109375" style="1358" bestFit="1" customWidth="1"/>
    <col min="11521" max="11521" width="41.140625" style="1358" customWidth="1"/>
    <col min="11522" max="11522" width="12.85546875" style="1358" customWidth="1"/>
    <col min="11523" max="11524" width="10.42578125" style="1358" bestFit="1" customWidth="1"/>
    <col min="11525" max="11525" width="9.42578125" style="1358" bestFit="1" customWidth="1"/>
    <col min="11526" max="11527" width="10.42578125" style="1358" bestFit="1" customWidth="1"/>
    <col min="11528" max="11528" width="0" style="1358" hidden="1" customWidth="1"/>
    <col min="11529" max="11529" width="9.140625" style="1358"/>
    <col min="11530" max="11530" width="4.140625" style="1358" customWidth="1"/>
    <col min="11531" max="11775" width="9.140625" style="1358"/>
    <col min="11776" max="11776" width="2.7109375" style="1358" bestFit="1" customWidth="1"/>
    <col min="11777" max="11777" width="41.140625" style="1358" customWidth="1"/>
    <col min="11778" max="11778" width="12.85546875" style="1358" customWidth="1"/>
    <col min="11779" max="11780" width="10.42578125" style="1358" bestFit="1" customWidth="1"/>
    <col min="11781" max="11781" width="9.42578125" style="1358" bestFit="1" customWidth="1"/>
    <col min="11782" max="11783" width="10.42578125" style="1358" bestFit="1" customWidth="1"/>
    <col min="11784" max="11784" width="0" style="1358" hidden="1" customWidth="1"/>
    <col min="11785" max="11785" width="9.140625" style="1358"/>
    <col min="11786" max="11786" width="4.140625" style="1358" customWidth="1"/>
    <col min="11787" max="12031" width="9.140625" style="1358"/>
    <col min="12032" max="12032" width="2.7109375" style="1358" bestFit="1" customWidth="1"/>
    <col min="12033" max="12033" width="41.140625" style="1358" customWidth="1"/>
    <col min="12034" max="12034" width="12.85546875" style="1358" customWidth="1"/>
    <col min="12035" max="12036" width="10.42578125" style="1358" bestFit="1" customWidth="1"/>
    <col min="12037" max="12037" width="9.42578125" style="1358" bestFit="1" customWidth="1"/>
    <col min="12038" max="12039" width="10.42578125" style="1358" bestFit="1" customWidth="1"/>
    <col min="12040" max="12040" width="0" style="1358" hidden="1" customWidth="1"/>
    <col min="12041" max="12041" width="9.140625" style="1358"/>
    <col min="12042" max="12042" width="4.140625" style="1358" customWidth="1"/>
    <col min="12043" max="12287" width="9.140625" style="1358"/>
    <col min="12288" max="12288" width="2.7109375" style="1358" bestFit="1" customWidth="1"/>
    <col min="12289" max="12289" width="41.140625" style="1358" customWidth="1"/>
    <col min="12290" max="12290" width="12.85546875" style="1358" customWidth="1"/>
    <col min="12291" max="12292" width="10.42578125" style="1358" bestFit="1" customWidth="1"/>
    <col min="12293" max="12293" width="9.42578125" style="1358" bestFit="1" customWidth="1"/>
    <col min="12294" max="12295" width="10.42578125" style="1358" bestFit="1" customWidth="1"/>
    <col min="12296" max="12296" width="0" style="1358" hidden="1" customWidth="1"/>
    <col min="12297" max="12297" width="9.140625" style="1358"/>
    <col min="12298" max="12298" width="4.140625" style="1358" customWidth="1"/>
    <col min="12299" max="12543" width="9.140625" style="1358"/>
    <col min="12544" max="12544" width="2.7109375" style="1358" bestFit="1" customWidth="1"/>
    <col min="12545" max="12545" width="41.140625" style="1358" customWidth="1"/>
    <col min="12546" max="12546" width="12.85546875" style="1358" customWidth="1"/>
    <col min="12547" max="12548" width="10.42578125" style="1358" bestFit="1" customWidth="1"/>
    <col min="12549" max="12549" width="9.42578125" style="1358" bestFit="1" customWidth="1"/>
    <col min="12550" max="12551" width="10.42578125" style="1358" bestFit="1" customWidth="1"/>
    <col min="12552" max="12552" width="0" style="1358" hidden="1" customWidth="1"/>
    <col min="12553" max="12553" width="9.140625" style="1358"/>
    <col min="12554" max="12554" width="4.140625" style="1358" customWidth="1"/>
    <col min="12555" max="12799" width="9.140625" style="1358"/>
    <col min="12800" max="12800" width="2.7109375" style="1358" bestFit="1" customWidth="1"/>
    <col min="12801" max="12801" width="41.140625" style="1358" customWidth="1"/>
    <col min="12802" max="12802" width="12.85546875" style="1358" customWidth="1"/>
    <col min="12803" max="12804" width="10.42578125" style="1358" bestFit="1" customWidth="1"/>
    <col min="12805" max="12805" width="9.42578125" style="1358" bestFit="1" customWidth="1"/>
    <col min="12806" max="12807" width="10.42578125" style="1358" bestFit="1" customWidth="1"/>
    <col min="12808" max="12808" width="0" style="1358" hidden="1" customWidth="1"/>
    <col min="12809" max="12809" width="9.140625" style="1358"/>
    <col min="12810" max="12810" width="4.140625" style="1358" customWidth="1"/>
    <col min="12811" max="13055" width="9.140625" style="1358"/>
    <col min="13056" max="13056" width="2.7109375" style="1358" bestFit="1" customWidth="1"/>
    <col min="13057" max="13057" width="41.140625" style="1358" customWidth="1"/>
    <col min="13058" max="13058" width="12.85546875" style="1358" customWidth="1"/>
    <col min="13059" max="13060" width="10.42578125" style="1358" bestFit="1" customWidth="1"/>
    <col min="13061" max="13061" width="9.42578125" style="1358" bestFit="1" customWidth="1"/>
    <col min="13062" max="13063" width="10.42578125" style="1358" bestFit="1" customWidth="1"/>
    <col min="13064" max="13064" width="0" style="1358" hidden="1" customWidth="1"/>
    <col min="13065" max="13065" width="9.140625" style="1358"/>
    <col min="13066" max="13066" width="4.140625" style="1358" customWidth="1"/>
    <col min="13067" max="13311" width="9.140625" style="1358"/>
    <col min="13312" max="13312" width="2.7109375" style="1358" bestFit="1" customWidth="1"/>
    <col min="13313" max="13313" width="41.140625" style="1358" customWidth="1"/>
    <col min="13314" max="13314" width="12.85546875" style="1358" customWidth="1"/>
    <col min="13315" max="13316" width="10.42578125" style="1358" bestFit="1" customWidth="1"/>
    <col min="13317" max="13317" width="9.42578125" style="1358" bestFit="1" customWidth="1"/>
    <col min="13318" max="13319" width="10.42578125" style="1358" bestFit="1" customWidth="1"/>
    <col min="13320" max="13320" width="0" style="1358" hidden="1" customWidth="1"/>
    <col min="13321" max="13321" width="9.140625" style="1358"/>
    <col min="13322" max="13322" width="4.140625" style="1358" customWidth="1"/>
    <col min="13323" max="13567" width="9.140625" style="1358"/>
    <col min="13568" max="13568" width="2.7109375" style="1358" bestFit="1" customWidth="1"/>
    <col min="13569" max="13569" width="41.140625" style="1358" customWidth="1"/>
    <col min="13570" max="13570" width="12.85546875" style="1358" customWidth="1"/>
    <col min="13571" max="13572" width="10.42578125" style="1358" bestFit="1" customWidth="1"/>
    <col min="13573" max="13573" width="9.42578125" style="1358" bestFit="1" customWidth="1"/>
    <col min="13574" max="13575" width="10.42578125" style="1358" bestFit="1" customWidth="1"/>
    <col min="13576" max="13576" width="0" style="1358" hidden="1" customWidth="1"/>
    <col min="13577" max="13577" width="9.140625" style="1358"/>
    <col min="13578" max="13578" width="4.140625" style="1358" customWidth="1"/>
    <col min="13579" max="13823" width="9.140625" style="1358"/>
    <col min="13824" max="13824" width="2.7109375" style="1358" bestFit="1" customWidth="1"/>
    <col min="13825" max="13825" width="41.140625" style="1358" customWidth="1"/>
    <col min="13826" max="13826" width="12.85546875" style="1358" customWidth="1"/>
    <col min="13827" max="13828" width="10.42578125" style="1358" bestFit="1" customWidth="1"/>
    <col min="13829" max="13829" width="9.42578125" style="1358" bestFit="1" customWidth="1"/>
    <col min="13830" max="13831" width="10.42578125" style="1358" bestFit="1" customWidth="1"/>
    <col min="13832" max="13832" width="0" style="1358" hidden="1" customWidth="1"/>
    <col min="13833" max="13833" width="9.140625" style="1358"/>
    <col min="13834" max="13834" width="4.140625" style="1358" customWidth="1"/>
    <col min="13835" max="14079" width="9.140625" style="1358"/>
    <col min="14080" max="14080" width="2.7109375" style="1358" bestFit="1" customWidth="1"/>
    <col min="14081" max="14081" width="41.140625" style="1358" customWidth="1"/>
    <col min="14082" max="14082" width="12.85546875" style="1358" customWidth="1"/>
    <col min="14083" max="14084" width="10.42578125" style="1358" bestFit="1" customWidth="1"/>
    <col min="14085" max="14085" width="9.42578125" style="1358" bestFit="1" customWidth="1"/>
    <col min="14086" max="14087" width="10.42578125" style="1358" bestFit="1" customWidth="1"/>
    <col min="14088" max="14088" width="0" style="1358" hidden="1" customWidth="1"/>
    <col min="14089" max="14089" width="9.140625" style="1358"/>
    <col min="14090" max="14090" width="4.140625" style="1358" customWidth="1"/>
    <col min="14091" max="14335" width="9.140625" style="1358"/>
    <col min="14336" max="14336" width="2.7109375" style="1358" bestFit="1" customWidth="1"/>
    <col min="14337" max="14337" width="41.140625" style="1358" customWidth="1"/>
    <col min="14338" max="14338" width="12.85546875" style="1358" customWidth="1"/>
    <col min="14339" max="14340" width="10.42578125" style="1358" bestFit="1" customWidth="1"/>
    <col min="14341" max="14341" width="9.42578125" style="1358" bestFit="1" customWidth="1"/>
    <col min="14342" max="14343" width="10.42578125" style="1358" bestFit="1" customWidth="1"/>
    <col min="14344" max="14344" width="0" style="1358" hidden="1" customWidth="1"/>
    <col min="14345" max="14345" width="9.140625" style="1358"/>
    <col min="14346" max="14346" width="4.140625" style="1358" customWidth="1"/>
    <col min="14347" max="14591" width="9.140625" style="1358"/>
    <col min="14592" max="14592" width="2.7109375" style="1358" bestFit="1" customWidth="1"/>
    <col min="14593" max="14593" width="41.140625" style="1358" customWidth="1"/>
    <col min="14594" max="14594" width="12.85546875" style="1358" customWidth="1"/>
    <col min="14595" max="14596" width="10.42578125" style="1358" bestFit="1" customWidth="1"/>
    <col min="14597" max="14597" width="9.42578125" style="1358" bestFit="1" customWidth="1"/>
    <col min="14598" max="14599" width="10.42578125" style="1358" bestFit="1" customWidth="1"/>
    <col min="14600" max="14600" width="0" style="1358" hidden="1" customWidth="1"/>
    <col min="14601" max="14601" width="9.140625" style="1358"/>
    <col min="14602" max="14602" width="4.140625" style="1358" customWidth="1"/>
    <col min="14603" max="14847" width="9.140625" style="1358"/>
    <col min="14848" max="14848" width="2.7109375" style="1358" bestFit="1" customWidth="1"/>
    <col min="14849" max="14849" width="41.140625" style="1358" customWidth="1"/>
    <col min="14850" max="14850" width="12.85546875" style="1358" customWidth="1"/>
    <col min="14851" max="14852" width="10.42578125" style="1358" bestFit="1" customWidth="1"/>
    <col min="14853" max="14853" width="9.42578125" style="1358" bestFit="1" customWidth="1"/>
    <col min="14854" max="14855" width="10.42578125" style="1358" bestFit="1" customWidth="1"/>
    <col min="14856" max="14856" width="0" style="1358" hidden="1" customWidth="1"/>
    <col min="14857" max="14857" width="9.140625" style="1358"/>
    <col min="14858" max="14858" width="4.140625" style="1358" customWidth="1"/>
    <col min="14859" max="15103" width="9.140625" style="1358"/>
    <col min="15104" max="15104" width="2.7109375" style="1358" bestFit="1" customWidth="1"/>
    <col min="15105" max="15105" width="41.140625" style="1358" customWidth="1"/>
    <col min="15106" max="15106" width="12.85546875" style="1358" customWidth="1"/>
    <col min="15107" max="15108" width="10.42578125" style="1358" bestFit="1" customWidth="1"/>
    <col min="15109" max="15109" width="9.42578125" style="1358" bestFit="1" customWidth="1"/>
    <col min="15110" max="15111" width="10.42578125" style="1358" bestFit="1" customWidth="1"/>
    <col min="15112" max="15112" width="0" style="1358" hidden="1" customWidth="1"/>
    <col min="15113" max="15113" width="9.140625" style="1358"/>
    <col min="15114" max="15114" width="4.140625" style="1358" customWidth="1"/>
    <col min="15115" max="15359" width="9.140625" style="1358"/>
    <col min="15360" max="15360" width="2.7109375" style="1358" bestFit="1" customWidth="1"/>
    <col min="15361" max="15361" width="41.140625" style="1358" customWidth="1"/>
    <col min="15362" max="15362" width="12.85546875" style="1358" customWidth="1"/>
    <col min="15363" max="15364" width="10.42578125" style="1358" bestFit="1" customWidth="1"/>
    <col min="15365" max="15365" width="9.42578125" style="1358" bestFit="1" customWidth="1"/>
    <col min="15366" max="15367" width="10.42578125" style="1358" bestFit="1" customWidth="1"/>
    <col min="15368" max="15368" width="0" style="1358" hidden="1" customWidth="1"/>
    <col min="15369" max="15369" width="9.140625" style="1358"/>
    <col min="15370" max="15370" width="4.140625" style="1358" customWidth="1"/>
    <col min="15371" max="15615" width="9.140625" style="1358"/>
    <col min="15616" max="15616" width="2.7109375" style="1358" bestFit="1" customWidth="1"/>
    <col min="15617" max="15617" width="41.140625" style="1358" customWidth="1"/>
    <col min="15618" max="15618" width="12.85546875" style="1358" customWidth="1"/>
    <col min="15619" max="15620" width="10.42578125" style="1358" bestFit="1" customWidth="1"/>
    <col min="15621" max="15621" width="9.42578125" style="1358" bestFit="1" customWidth="1"/>
    <col min="15622" max="15623" width="10.42578125" style="1358" bestFit="1" customWidth="1"/>
    <col min="15624" max="15624" width="0" style="1358" hidden="1" customWidth="1"/>
    <col min="15625" max="15625" width="9.140625" style="1358"/>
    <col min="15626" max="15626" width="4.140625" style="1358" customWidth="1"/>
    <col min="15627" max="15871" width="9.140625" style="1358"/>
    <col min="15872" max="15872" width="2.7109375" style="1358" bestFit="1" customWidth="1"/>
    <col min="15873" max="15873" width="41.140625" style="1358" customWidth="1"/>
    <col min="15874" max="15874" width="12.85546875" style="1358" customWidth="1"/>
    <col min="15875" max="15876" width="10.42578125" style="1358" bestFit="1" customWidth="1"/>
    <col min="15877" max="15877" width="9.42578125" style="1358" bestFit="1" customWidth="1"/>
    <col min="15878" max="15879" width="10.42578125" style="1358" bestFit="1" customWidth="1"/>
    <col min="15880" max="15880" width="0" style="1358" hidden="1" customWidth="1"/>
    <col min="15881" max="15881" width="9.140625" style="1358"/>
    <col min="15882" max="15882" width="4.140625" style="1358" customWidth="1"/>
    <col min="15883" max="16127" width="9.140625" style="1358"/>
    <col min="16128" max="16128" width="2.7109375" style="1358" bestFit="1" customWidth="1"/>
    <col min="16129" max="16129" width="41.140625" style="1358" customWidth="1"/>
    <col min="16130" max="16130" width="12.85546875" style="1358" customWidth="1"/>
    <col min="16131" max="16132" width="10.42578125" style="1358" bestFit="1" customWidth="1"/>
    <col min="16133" max="16133" width="9.42578125" style="1358" bestFit="1" customWidth="1"/>
    <col min="16134" max="16135" width="10.42578125" style="1358" bestFit="1" customWidth="1"/>
    <col min="16136" max="16136" width="0" style="1358" hidden="1" customWidth="1"/>
    <col min="16137" max="16137" width="9.140625" style="1358"/>
    <col min="16138" max="16138" width="4.140625" style="1358" customWidth="1"/>
    <col min="16139" max="16384" width="9.140625" style="1358"/>
  </cols>
  <sheetData>
    <row r="1" spans="1:9" s="1183" customFormat="1" ht="36" customHeight="1" thickBot="1">
      <c r="A1" s="3221" t="s">
        <v>2745</v>
      </c>
      <c r="B1" s="3221"/>
      <c r="C1" s="3221"/>
      <c r="D1" s="3221"/>
      <c r="E1" s="3221"/>
      <c r="F1" s="3221"/>
      <c r="G1" s="3221"/>
    </row>
    <row r="2" spans="1:9" s="1183" customFormat="1">
      <c r="A2" s="1314"/>
      <c r="B2" s="1315"/>
      <c r="C2" s="1316"/>
      <c r="D2" s="3222" t="s">
        <v>2725</v>
      </c>
      <c r="E2" s="3223"/>
      <c r="F2" s="3222" t="s">
        <v>2725</v>
      </c>
      <c r="G2" s="3223"/>
    </row>
    <row r="3" spans="1:9" s="1183" customFormat="1" ht="22.5" thickBot="1">
      <c r="A3" s="1317"/>
      <c r="B3" s="1318"/>
      <c r="C3" s="1319"/>
      <c r="D3" s="3217" t="s">
        <v>2746</v>
      </c>
      <c r="E3" s="3218"/>
      <c r="F3" s="3217" t="s">
        <v>2747</v>
      </c>
      <c r="G3" s="3218"/>
    </row>
    <row r="4" spans="1:9" s="1183" customFormat="1" ht="16.5" customHeight="1">
      <c r="A4" s="1320">
        <v>1</v>
      </c>
      <c r="B4" s="3209" t="s">
        <v>2748</v>
      </c>
      <c r="C4" s="3210"/>
      <c r="D4" s="3224">
        <v>1400</v>
      </c>
      <c r="E4" s="3225"/>
      <c r="F4" s="3224">
        <v>2500</v>
      </c>
      <c r="G4" s="3225"/>
    </row>
    <row r="5" spans="1:9" s="1183" customFormat="1" ht="16.5" customHeight="1">
      <c r="A5" s="1320">
        <v>2</v>
      </c>
      <c r="B5" s="3209" t="s">
        <v>2749</v>
      </c>
      <c r="C5" s="3210"/>
      <c r="D5" s="3236">
        <v>4566</v>
      </c>
      <c r="E5" s="3237"/>
      <c r="F5" s="3236">
        <v>4886.3999999999996</v>
      </c>
      <c r="G5" s="3237"/>
    </row>
    <row r="6" spans="1:9" s="1183" customFormat="1" ht="16.5" customHeight="1">
      <c r="A6" s="1320">
        <v>3</v>
      </c>
      <c r="B6" s="3209" t="s">
        <v>2750</v>
      </c>
      <c r="C6" s="3210"/>
      <c r="D6" s="3236">
        <v>1400</v>
      </c>
      <c r="E6" s="3237"/>
      <c r="F6" s="3236">
        <v>2500</v>
      </c>
      <c r="G6" s="3237"/>
    </row>
    <row r="7" spans="1:9" s="1183" customFormat="1" ht="16.5" customHeight="1">
      <c r="A7" s="1320">
        <v>4</v>
      </c>
      <c r="B7" s="3209" t="s">
        <v>2751</v>
      </c>
      <c r="C7" s="3210"/>
      <c r="D7" s="3211">
        <v>5.96</v>
      </c>
      <c r="E7" s="3212"/>
      <c r="F7" s="3211">
        <v>5.87</v>
      </c>
      <c r="G7" s="3212"/>
    </row>
    <row r="8" spans="1:9" s="1183" customFormat="1" ht="16.5" customHeight="1">
      <c r="A8" s="1320">
        <v>5</v>
      </c>
      <c r="B8" s="3209" t="s">
        <v>2752</v>
      </c>
      <c r="C8" s="3210"/>
      <c r="D8" s="3211">
        <v>6.18</v>
      </c>
      <c r="E8" s="3212"/>
      <c r="F8" s="3211">
        <v>6.05</v>
      </c>
      <c r="G8" s="3212"/>
    </row>
    <row r="9" spans="1:9" s="1183" customFormat="1" ht="16.5" customHeight="1">
      <c r="A9" s="1320">
        <v>6</v>
      </c>
      <c r="B9" s="3209" t="s">
        <v>2753</v>
      </c>
      <c r="C9" s="3210"/>
      <c r="D9" s="3211">
        <v>6.09</v>
      </c>
      <c r="E9" s="3212"/>
      <c r="F9" s="3211">
        <v>5.95</v>
      </c>
      <c r="G9" s="3212"/>
    </row>
    <row r="10" spans="1:9" s="1183" customFormat="1" ht="16.5" customHeight="1">
      <c r="A10" s="1320">
        <v>7</v>
      </c>
      <c r="B10" s="3209" t="s">
        <v>2754</v>
      </c>
      <c r="C10" s="3210"/>
      <c r="D10" s="3219">
        <v>99.037000000000006</v>
      </c>
      <c r="E10" s="3220"/>
      <c r="F10" s="3219">
        <v>99.403999999999996</v>
      </c>
      <c r="G10" s="3220"/>
    </row>
    <row r="11" spans="1:9" s="1183" customFormat="1" ht="19.5" thickBot="1">
      <c r="A11" s="1321"/>
      <c r="B11" s="1322"/>
      <c r="C11" s="1319"/>
      <c r="D11" s="1323"/>
      <c r="E11" s="1324"/>
      <c r="F11" s="1323"/>
      <c r="G11" s="1324"/>
    </row>
    <row r="12" spans="1:9" s="1328" customFormat="1">
      <c r="A12" s="1325"/>
      <c r="B12" s="1326" t="s">
        <v>2755</v>
      </c>
      <c r="C12" s="1326"/>
      <c r="D12" s="1326" t="s">
        <v>2756</v>
      </c>
      <c r="E12" s="1326"/>
      <c r="F12" s="1326"/>
      <c r="G12" s="1326"/>
      <c r="H12" s="1327"/>
      <c r="I12" s="1327"/>
    </row>
    <row r="13" spans="1:9" s="1183" customFormat="1" ht="18.75" customHeight="1">
      <c r="A13" s="1325"/>
      <c r="B13" s="1326"/>
      <c r="C13" s="1329"/>
      <c r="D13" s="1326"/>
      <c r="E13" s="1329"/>
      <c r="F13" s="1329"/>
      <c r="G13" s="1329"/>
      <c r="H13" s="1330"/>
      <c r="I13" s="1330"/>
    </row>
    <row r="14" spans="1:9" s="1183" customFormat="1" ht="20.25" hidden="1" customHeight="1">
      <c r="A14" s="3227" t="s">
        <v>2757</v>
      </c>
      <c r="B14" s="3227"/>
      <c r="C14" s="3227"/>
      <c r="D14" s="3227"/>
      <c r="E14" s="3227"/>
      <c r="F14" s="3227"/>
      <c r="G14" s="3227"/>
    </row>
    <row r="15" spans="1:9" s="1183" customFormat="1" ht="3.75" hidden="1" customHeight="1">
      <c r="A15" s="1178"/>
      <c r="B15" s="1178"/>
      <c r="C15" s="1178"/>
      <c r="D15" s="1178"/>
      <c r="E15" s="1178"/>
      <c r="F15" s="1331"/>
      <c r="G15" s="1325"/>
    </row>
    <row r="16" spans="1:9" s="1183" customFormat="1" ht="26.25" hidden="1" customHeight="1">
      <c r="A16" s="3228" t="s">
        <v>2758</v>
      </c>
      <c r="B16" s="3229"/>
      <c r="C16" s="3232" t="s">
        <v>2759</v>
      </c>
      <c r="D16" s="3232"/>
      <c r="E16" s="3233"/>
      <c r="F16" s="3232" t="s">
        <v>2760</v>
      </c>
      <c r="G16" s="3232"/>
    </row>
    <row r="17" spans="1:15" s="1183" customFormat="1" ht="23.25" hidden="1" customHeight="1">
      <c r="A17" s="3230"/>
      <c r="B17" s="3231"/>
      <c r="C17" s="1332" t="s">
        <v>2761</v>
      </c>
      <c r="D17" s="1333" t="s">
        <v>2762</v>
      </c>
      <c r="E17" s="1333" t="s">
        <v>2763</v>
      </c>
      <c r="F17" s="1332" t="s">
        <v>2761</v>
      </c>
      <c r="G17" s="1333" t="s">
        <v>2762</v>
      </c>
    </row>
    <row r="18" spans="1:15" s="1183" customFormat="1" ht="21.75" hidden="1" customHeight="1">
      <c r="A18" s="1334">
        <v>1</v>
      </c>
      <c r="B18" s="1335" t="s">
        <v>2764</v>
      </c>
      <c r="C18" s="1336">
        <v>545.70000000000005</v>
      </c>
      <c r="D18" s="1337">
        <v>497.7</v>
      </c>
      <c r="E18" s="1338">
        <v>419</v>
      </c>
      <c r="F18" s="1336">
        <v>623.79999999999995</v>
      </c>
      <c r="G18" s="1337">
        <v>421.1</v>
      </c>
    </row>
    <row r="19" spans="1:15" s="1183" customFormat="1" ht="21.75" hidden="1" customHeight="1">
      <c r="A19" s="1334">
        <v>2</v>
      </c>
      <c r="B19" s="1335" t="s">
        <v>2765</v>
      </c>
      <c r="C19" s="1339">
        <v>345.7</v>
      </c>
      <c r="D19" s="1340">
        <v>340.3</v>
      </c>
      <c r="E19" s="1338">
        <v>314</v>
      </c>
      <c r="F19" s="1339">
        <v>438.6</v>
      </c>
      <c r="G19" s="1340">
        <v>296.10000000000002</v>
      </c>
    </row>
    <row r="20" spans="1:15" s="1183" customFormat="1" ht="21.75" hidden="1" customHeight="1">
      <c r="A20" s="1334">
        <v>3</v>
      </c>
      <c r="B20" s="1341" t="s">
        <v>2766</v>
      </c>
      <c r="C20" s="1342">
        <v>7.5</v>
      </c>
      <c r="D20" s="1342">
        <v>7.65</v>
      </c>
      <c r="E20" s="1342">
        <v>7.8</v>
      </c>
      <c r="F20" s="1342">
        <v>7.5</v>
      </c>
      <c r="G20" s="1342">
        <v>7.65</v>
      </c>
    </row>
    <row r="21" spans="1:15" s="1183" customFormat="1" ht="21.75" hidden="1" customHeight="1">
      <c r="A21" s="1334">
        <v>4</v>
      </c>
      <c r="B21" s="1335" t="s">
        <v>2767</v>
      </c>
      <c r="C21" s="1343">
        <v>9.6</v>
      </c>
      <c r="D21" s="1344">
        <v>10.6</v>
      </c>
      <c r="E21" s="1345">
        <v>10.9</v>
      </c>
      <c r="F21" s="1343">
        <v>9.8000000000000007</v>
      </c>
      <c r="G21" s="1344">
        <v>10.8</v>
      </c>
    </row>
    <row r="22" spans="1:15" s="1183" customFormat="1" ht="21.75" hidden="1" customHeight="1">
      <c r="A22" s="1334">
        <v>5</v>
      </c>
      <c r="B22" s="1335" t="s">
        <v>2768</v>
      </c>
      <c r="C22" s="1343">
        <v>9.24</v>
      </c>
      <c r="D22" s="1344">
        <v>10.15</v>
      </c>
      <c r="E22" s="1345">
        <v>10.38</v>
      </c>
      <c r="F22" s="1343">
        <v>9.44</v>
      </c>
      <c r="G22" s="1344">
        <v>10.37</v>
      </c>
    </row>
    <row r="23" spans="1:15" s="1183" customFormat="1" ht="21.75" hidden="1" customHeight="1">
      <c r="A23" s="1334">
        <v>6</v>
      </c>
      <c r="B23" s="1335" t="s">
        <v>2769</v>
      </c>
      <c r="C23" s="1346">
        <v>91.174999999999997</v>
      </c>
      <c r="D23" s="1347">
        <v>82.168999999999997</v>
      </c>
      <c r="E23" s="1348">
        <v>78.429000000000002</v>
      </c>
      <c r="F23" s="1346">
        <v>90.224000000000004</v>
      </c>
      <c r="G23" s="1347">
        <v>80.816999999999993</v>
      </c>
    </row>
    <row r="24" spans="1:15" s="1183" customFormat="1" ht="8.25" hidden="1" customHeight="1">
      <c r="A24" s="1349"/>
      <c r="B24" s="1350"/>
      <c r="C24" s="1351"/>
      <c r="D24" s="1352"/>
      <c r="E24" s="1353"/>
      <c r="F24" s="1351"/>
      <c r="G24" s="1352"/>
    </row>
    <row r="25" spans="1:15" s="1194" customFormat="1" ht="4.5" hidden="1" customHeight="1">
      <c r="A25" s="1331"/>
      <c r="B25" s="1331"/>
      <c r="C25" s="1331"/>
      <c r="D25" s="1331"/>
      <c r="E25" s="1331"/>
      <c r="F25" s="1331"/>
      <c r="G25" s="1331"/>
    </row>
    <row r="26" spans="1:15" s="1354" customFormat="1" ht="12.75" hidden="1" customHeight="1">
      <c r="A26" s="3234" t="s">
        <v>2770</v>
      </c>
      <c r="B26" s="3235"/>
      <c r="C26" s="3235"/>
      <c r="D26" s="3234" t="s">
        <v>2771</v>
      </c>
      <c r="E26" s="3234"/>
      <c r="F26" s="3234"/>
      <c r="G26" s="3234"/>
    </row>
    <row r="27" spans="1:15" s="1354" customFormat="1" ht="13.5" hidden="1" customHeight="1">
      <c r="A27" s="3226" t="s">
        <v>2772</v>
      </c>
      <c r="B27" s="3226"/>
      <c r="C27" s="3226"/>
      <c r="D27" s="3226" t="s">
        <v>2773</v>
      </c>
      <c r="E27" s="3226"/>
      <c r="F27" s="3226"/>
      <c r="G27" s="3226"/>
    </row>
    <row r="28" spans="1:15" s="1354" customFormat="1" ht="13.5" hidden="1" customHeight="1">
      <c r="A28" s="3226" t="s">
        <v>2774</v>
      </c>
      <c r="B28" s="3226"/>
      <c r="C28" s="3226"/>
      <c r="D28" s="3226" t="s">
        <v>2775</v>
      </c>
      <c r="E28" s="3226"/>
      <c r="F28" s="3226"/>
      <c r="G28" s="3226"/>
    </row>
    <row r="29" spans="1:15" s="1354" customFormat="1" ht="13.5" hidden="1" customHeight="1">
      <c r="A29" s="3226" t="s">
        <v>2776</v>
      </c>
      <c r="B29" s="3226"/>
      <c r="C29" s="3226"/>
      <c r="D29" s="3226" t="s">
        <v>2777</v>
      </c>
      <c r="E29" s="3226"/>
      <c r="F29" s="3226"/>
      <c r="G29" s="3226"/>
    </row>
    <row r="30" spans="1:15" s="1357" customFormat="1" hidden="1">
      <c r="A30" s="1355" t="s">
        <v>2704</v>
      </c>
      <c r="B30" s="1325"/>
      <c r="C30" s="1325"/>
      <c r="D30" s="1356"/>
      <c r="E30" s="1356"/>
      <c r="F30" s="1356"/>
      <c r="G30" s="1356"/>
      <c r="H30" s="1189"/>
      <c r="I30" s="1183"/>
      <c r="J30" s="1183"/>
      <c r="K30" s="1183"/>
      <c r="L30" s="1183"/>
      <c r="M30" s="1183"/>
      <c r="N30" s="1183"/>
      <c r="O30" s="1183"/>
    </row>
    <row r="31" spans="1:15" s="1357" customFormat="1">
      <c r="A31" s="1253" t="s">
        <v>2704</v>
      </c>
      <c r="B31" s="1254"/>
      <c r="C31" s="1325"/>
      <c r="D31" s="1356"/>
      <c r="E31" s="1356"/>
      <c r="F31" s="1356"/>
      <c r="G31" s="1356"/>
      <c r="H31" s="1189"/>
      <c r="I31" s="1183"/>
      <c r="J31" s="1183"/>
      <c r="K31" s="1183"/>
      <c r="L31" s="1183"/>
      <c r="M31" s="1183"/>
      <c r="N31" s="1183"/>
      <c r="O31" s="1183"/>
    </row>
    <row r="32" spans="1:15" s="1357" customFormat="1">
      <c r="A32" s="1355"/>
      <c r="B32" s="1325"/>
      <c r="C32" s="1325"/>
      <c r="D32" s="1356"/>
      <c r="E32" s="1356"/>
      <c r="F32" s="1356"/>
      <c r="G32" s="1356"/>
      <c r="H32" s="1189"/>
      <c r="I32" s="1183"/>
      <c r="J32" s="1183"/>
      <c r="K32" s="1183"/>
      <c r="L32" s="1183"/>
      <c r="M32" s="1183"/>
      <c r="N32" s="1183"/>
      <c r="O32" s="1183"/>
    </row>
    <row r="33" spans="1:7" ht="41.25" customHeight="1" thickBot="1">
      <c r="A33" s="3221" t="s">
        <v>2778</v>
      </c>
      <c r="B33" s="3221"/>
      <c r="C33" s="3221"/>
      <c r="D33" s="3221"/>
      <c r="E33" s="3221"/>
      <c r="F33" s="3221"/>
      <c r="G33" s="3221"/>
    </row>
    <row r="34" spans="1:7">
      <c r="A34" s="1314"/>
      <c r="B34" s="1315"/>
      <c r="C34" s="1316"/>
      <c r="D34" s="3222" t="s">
        <v>2725</v>
      </c>
      <c r="E34" s="3223"/>
      <c r="F34" s="3222" t="s">
        <v>2725</v>
      </c>
      <c r="G34" s="3223"/>
    </row>
    <row r="35" spans="1:7" ht="22.5" thickBot="1">
      <c r="A35" s="1317"/>
      <c r="B35" s="1318"/>
      <c r="C35" s="1319"/>
      <c r="D35" s="3217" t="s">
        <v>2779</v>
      </c>
      <c r="E35" s="3218"/>
      <c r="F35" s="3217" t="s">
        <v>2780</v>
      </c>
      <c r="G35" s="3218"/>
    </row>
    <row r="36" spans="1:7" ht="18" customHeight="1">
      <c r="A36" s="1320">
        <v>1</v>
      </c>
      <c r="B36" s="3209" t="s">
        <v>2748</v>
      </c>
      <c r="C36" s="3210"/>
      <c r="D36" s="3224">
        <v>1800</v>
      </c>
      <c r="E36" s="3225"/>
      <c r="F36" s="3224">
        <v>1500</v>
      </c>
      <c r="G36" s="3225"/>
    </row>
    <row r="37" spans="1:7" ht="18" customHeight="1">
      <c r="A37" s="1320">
        <v>2</v>
      </c>
      <c r="B37" s="3209" t="s">
        <v>2749</v>
      </c>
      <c r="C37" s="3210"/>
      <c r="D37" s="3213">
        <v>4288.1000000000004</v>
      </c>
      <c r="E37" s="3214"/>
      <c r="F37" s="3213">
        <v>2736.1</v>
      </c>
      <c r="G37" s="3214"/>
    </row>
    <row r="38" spans="1:7" ht="18" customHeight="1">
      <c r="A38" s="1320">
        <v>3</v>
      </c>
      <c r="B38" s="3209" t="s">
        <v>2750</v>
      </c>
      <c r="C38" s="3210"/>
      <c r="D38" s="3213">
        <v>1800</v>
      </c>
      <c r="E38" s="3214"/>
      <c r="F38" s="3213">
        <v>1500</v>
      </c>
      <c r="G38" s="3214"/>
    </row>
    <row r="39" spans="1:7" ht="18" customHeight="1">
      <c r="A39" s="1320">
        <v>4</v>
      </c>
      <c r="B39" s="3209" t="s">
        <v>2751</v>
      </c>
      <c r="C39" s="3210"/>
      <c r="D39" s="3211">
        <v>6.5</v>
      </c>
      <c r="E39" s="3212"/>
      <c r="F39" s="3211">
        <v>6.55</v>
      </c>
      <c r="G39" s="3212"/>
    </row>
    <row r="40" spans="1:7" ht="18" customHeight="1">
      <c r="A40" s="1320">
        <v>5</v>
      </c>
      <c r="B40" s="3209" t="s">
        <v>2752</v>
      </c>
      <c r="C40" s="3210"/>
      <c r="D40" s="3211">
        <v>6.8</v>
      </c>
      <c r="E40" s="3212"/>
      <c r="F40" s="3211">
        <v>7</v>
      </c>
      <c r="G40" s="3212"/>
    </row>
    <row r="41" spans="1:7" ht="18" customHeight="1">
      <c r="A41" s="1320">
        <v>6</v>
      </c>
      <c r="B41" s="3209" t="s">
        <v>2753</v>
      </c>
      <c r="C41" s="3210"/>
      <c r="D41" s="3211">
        <v>6.72</v>
      </c>
      <c r="E41" s="3212"/>
      <c r="F41" s="3211">
        <v>6.85</v>
      </c>
      <c r="G41" s="3212"/>
    </row>
    <row r="42" spans="1:7" ht="18" customHeight="1">
      <c r="A42" s="1320">
        <v>7</v>
      </c>
      <c r="B42" s="3209" t="s">
        <v>2754</v>
      </c>
      <c r="C42" s="3210"/>
      <c r="D42" s="3219">
        <v>97.941000000000003</v>
      </c>
      <c r="E42" s="3220"/>
      <c r="F42" s="3219">
        <v>97.215000000000003</v>
      </c>
      <c r="G42" s="3220"/>
    </row>
    <row r="43" spans="1:7" ht="19.5" thickBot="1">
      <c r="A43" s="1321"/>
      <c r="B43" s="1322"/>
      <c r="C43" s="1319"/>
      <c r="D43" s="3207"/>
      <c r="E43" s="3208"/>
      <c r="F43" s="3207"/>
      <c r="G43" s="3208"/>
    </row>
    <row r="44" spans="1:7" s="1360" customFormat="1">
      <c r="A44" s="1325"/>
      <c r="B44" s="1253" t="s">
        <v>2781</v>
      </c>
      <c r="C44" s="1326"/>
      <c r="D44" s="1253" t="s">
        <v>2782</v>
      </c>
      <c r="E44" s="1326"/>
      <c r="F44" s="1326"/>
      <c r="G44" s="1359"/>
    </row>
    <row r="45" spans="1:7" s="1360" customFormat="1" ht="22.5">
      <c r="A45" s="1325"/>
      <c r="B45" s="1326"/>
      <c r="C45" s="1329"/>
      <c r="D45" s="1355"/>
      <c r="E45" s="1329"/>
      <c r="F45" s="1329"/>
      <c r="G45" s="1361"/>
    </row>
    <row r="46" spans="1:7">
      <c r="A46" s="1253" t="s">
        <v>2704</v>
      </c>
      <c r="B46" s="1355"/>
      <c r="C46" s="1355"/>
      <c r="D46" s="1355"/>
      <c r="E46" s="1355"/>
      <c r="F46" s="1355"/>
      <c r="G46" s="1355"/>
    </row>
    <row r="47" spans="1:7" ht="48" customHeight="1" thickBot="1">
      <c r="A47" s="3221" t="s">
        <v>2783</v>
      </c>
      <c r="B47" s="3221"/>
      <c r="C47" s="3221"/>
      <c r="D47" s="3221"/>
      <c r="E47" s="3221"/>
      <c r="F47" s="3221"/>
      <c r="G47" s="3221"/>
    </row>
    <row r="48" spans="1:7">
      <c r="A48" s="1314"/>
      <c r="B48" s="1315"/>
      <c r="C48" s="1316"/>
      <c r="D48" s="3222" t="s">
        <v>2725</v>
      </c>
      <c r="E48" s="3223"/>
      <c r="F48" s="3222" t="s">
        <v>2725</v>
      </c>
      <c r="G48" s="3223"/>
    </row>
    <row r="49" spans="1:7" ht="22.5" thickBot="1">
      <c r="A49" s="1317"/>
      <c r="B49" s="1318"/>
      <c r="C49" s="1319"/>
      <c r="D49" s="3217" t="s">
        <v>2784</v>
      </c>
      <c r="E49" s="3218"/>
      <c r="F49" s="3217" t="s">
        <v>2785</v>
      </c>
      <c r="G49" s="3218"/>
    </row>
    <row r="50" spans="1:7" ht="18" customHeight="1">
      <c r="A50" s="1320">
        <v>1</v>
      </c>
      <c r="B50" s="3215" t="s">
        <v>2748</v>
      </c>
      <c r="C50" s="3216"/>
      <c r="D50" s="3213">
        <v>1000</v>
      </c>
      <c r="E50" s="3214"/>
      <c r="F50" s="3213">
        <v>1200</v>
      </c>
      <c r="G50" s="3214"/>
    </row>
    <row r="51" spans="1:7" ht="18" customHeight="1">
      <c r="A51" s="1320">
        <v>2</v>
      </c>
      <c r="B51" s="3209" t="s">
        <v>2749</v>
      </c>
      <c r="C51" s="3210"/>
      <c r="D51" s="3213">
        <v>2209</v>
      </c>
      <c r="E51" s="3214"/>
      <c r="F51" s="3213">
        <v>2875.6</v>
      </c>
      <c r="G51" s="3214"/>
    </row>
    <row r="52" spans="1:7" ht="18" customHeight="1">
      <c r="A52" s="1320">
        <v>3</v>
      </c>
      <c r="B52" s="3209" t="s">
        <v>2750</v>
      </c>
      <c r="C52" s="3210"/>
      <c r="D52" s="3213">
        <v>1000</v>
      </c>
      <c r="E52" s="3214"/>
      <c r="F52" s="3213">
        <v>1200</v>
      </c>
      <c r="G52" s="3214"/>
    </row>
    <row r="53" spans="1:7" ht="18" customHeight="1">
      <c r="A53" s="1320">
        <v>4</v>
      </c>
      <c r="B53" s="3209" t="s">
        <v>2786</v>
      </c>
      <c r="C53" s="3210"/>
      <c r="D53" s="3211">
        <v>3.5</v>
      </c>
      <c r="E53" s="3212"/>
      <c r="F53" s="3211">
        <v>5</v>
      </c>
      <c r="G53" s="3212"/>
    </row>
    <row r="54" spans="1:7" ht="18" customHeight="1">
      <c r="A54" s="1320">
        <v>5</v>
      </c>
      <c r="B54" s="3209" t="s">
        <v>2787</v>
      </c>
      <c r="C54" s="3210"/>
      <c r="D54" s="3211">
        <v>2</v>
      </c>
      <c r="E54" s="3212"/>
      <c r="F54" s="3211">
        <v>2</v>
      </c>
      <c r="G54" s="3212"/>
    </row>
    <row r="55" spans="1:7" ht="18" customHeight="1">
      <c r="A55" s="1320">
        <v>6</v>
      </c>
      <c r="B55" s="3209" t="s">
        <v>2788</v>
      </c>
      <c r="C55" s="3210"/>
      <c r="D55" s="3211">
        <v>2.2999999999999998</v>
      </c>
      <c r="E55" s="3212"/>
      <c r="F55" s="3211">
        <v>2.34</v>
      </c>
      <c r="G55" s="3212"/>
    </row>
    <row r="56" spans="1:7" ht="19.5" thickBot="1">
      <c r="A56" s="1321"/>
      <c r="B56" s="1322"/>
      <c r="C56" s="1319"/>
      <c r="D56" s="3207"/>
      <c r="E56" s="3208"/>
      <c r="F56" s="3207"/>
      <c r="G56" s="3208"/>
    </row>
    <row r="57" spans="1:7" s="1360" customFormat="1">
      <c r="A57" s="1325"/>
      <c r="B57" s="1326" t="s">
        <v>2789</v>
      </c>
      <c r="C57" s="1326"/>
      <c r="D57" s="1326" t="s">
        <v>2790</v>
      </c>
      <c r="E57" s="1254"/>
      <c r="F57" s="1326"/>
      <c r="G57" s="1361"/>
    </row>
    <row r="58" spans="1:7" s="1362" customFormat="1" ht="15.75">
      <c r="A58" s="1253" t="s">
        <v>2704</v>
      </c>
      <c r="B58" s="1253"/>
      <c r="C58" s="1253"/>
      <c r="D58" s="1253"/>
      <c r="E58" s="1253"/>
      <c r="F58" s="1253"/>
      <c r="G58" s="1253"/>
    </row>
  </sheetData>
  <mergeCells count="91">
    <mergeCell ref="B4:C4"/>
    <mergeCell ref="D4:E4"/>
    <mergeCell ref="F4:G4"/>
    <mergeCell ref="A1:G1"/>
    <mergeCell ref="D2:E2"/>
    <mergeCell ref="F2:G2"/>
    <mergeCell ref="D3:E3"/>
    <mergeCell ref="F3:G3"/>
    <mergeCell ref="B5:C5"/>
    <mergeCell ref="D5:E5"/>
    <mergeCell ref="F5:G5"/>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A14:G14"/>
    <mergeCell ref="A16:B17"/>
    <mergeCell ref="C16:E16"/>
    <mergeCell ref="F16:G16"/>
    <mergeCell ref="A26:C26"/>
    <mergeCell ref="D26:G26"/>
    <mergeCell ref="B36:C36"/>
    <mergeCell ref="D36:E36"/>
    <mergeCell ref="F36:G36"/>
    <mergeCell ref="A27:C27"/>
    <mergeCell ref="D27:G27"/>
    <mergeCell ref="A28:C28"/>
    <mergeCell ref="D28:G28"/>
    <mergeCell ref="A29:C29"/>
    <mergeCell ref="D29:G29"/>
    <mergeCell ref="A33:G33"/>
    <mergeCell ref="D34:E34"/>
    <mergeCell ref="F34:G34"/>
    <mergeCell ref="D35:E35"/>
    <mergeCell ref="F35:G35"/>
    <mergeCell ref="B37:C37"/>
    <mergeCell ref="D37:E37"/>
    <mergeCell ref="F37:G37"/>
    <mergeCell ref="B38:C38"/>
    <mergeCell ref="D38:E38"/>
    <mergeCell ref="F38:G38"/>
    <mergeCell ref="B39:C39"/>
    <mergeCell ref="D39:E39"/>
    <mergeCell ref="F39:G39"/>
    <mergeCell ref="B40:C40"/>
    <mergeCell ref="D40:E40"/>
    <mergeCell ref="F40:G40"/>
    <mergeCell ref="D49:E49"/>
    <mergeCell ref="F49:G49"/>
    <mergeCell ref="B41:C41"/>
    <mergeCell ref="D41:E41"/>
    <mergeCell ref="F41:G41"/>
    <mergeCell ref="B42:C42"/>
    <mergeCell ref="D42:E42"/>
    <mergeCell ref="F42:G42"/>
    <mergeCell ref="D43:E43"/>
    <mergeCell ref="F43:G43"/>
    <mergeCell ref="A47:G47"/>
    <mergeCell ref="D48:E48"/>
    <mergeCell ref="F48:G48"/>
    <mergeCell ref="B50:C50"/>
    <mergeCell ref="D50:E50"/>
    <mergeCell ref="F50:G50"/>
    <mergeCell ref="B51:C51"/>
    <mergeCell ref="D51:E51"/>
    <mergeCell ref="F51:G51"/>
    <mergeCell ref="B52:C52"/>
    <mergeCell ref="D52:E52"/>
    <mergeCell ref="F52:G52"/>
    <mergeCell ref="B53:C53"/>
    <mergeCell ref="D53:E53"/>
    <mergeCell ref="F53:G53"/>
    <mergeCell ref="D56:E56"/>
    <mergeCell ref="F56:G56"/>
    <mergeCell ref="B54:C54"/>
    <mergeCell ref="D54:E54"/>
    <mergeCell ref="F54:G54"/>
    <mergeCell ref="B55:C55"/>
    <mergeCell ref="D55:E55"/>
    <mergeCell ref="F55:G55"/>
  </mergeCells>
  <printOptions horizontalCentered="1"/>
  <pageMargins left="0" right="0" top="0.74803149606299213" bottom="0" header="0.27559055118110237" footer="0"/>
  <pageSetup paperSize="9"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showGridLines="0" zoomScaleNormal="100" workbookViewId="0">
      <selection activeCell="I42" sqref="I42"/>
    </sheetView>
  </sheetViews>
  <sheetFormatPr defaultRowHeight="15"/>
  <cols>
    <col min="1" max="1" width="46.5703125" style="1383" customWidth="1"/>
    <col min="2" max="2" width="19.7109375" style="1383" customWidth="1"/>
    <col min="3" max="3" width="19.140625" style="1383" customWidth="1"/>
    <col min="4" max="4" width="17" style="1383" customWidth="1"/>
    <col min="5" max="5" width="19" style="1383" customWidth="1"/>
    <col min="6" max="6" width="18.5703125" style="1383" customWidth="1"/>
    <col min="7" max="7" width="15" style="1383" customWidth="1"/>
    <col min="8" max="9" width="17.28515625" style="1383" customWidth="1"/>
    <col min="10" max="15" width="15.28515625" style="1383" customWidth="1"/>
    <col min="16" max="255" width="9.140625" style="1383"/>
    <col min="256" max="256" width="8.7109375" style="1383" customWidth="1"/>
    <col min="257" max="257" width="9.140625" style="1383"/>
    <col min="258" max="258" width="43.140625" style="1383" customWidth="1"/>
    <col min="259" max="259" width="9.140625" style="1383"/>
    <col min="260" max="260" width="10.42578125" style="1383" customWidth="1"/>
    <col min="261" max="261" width="12" style="1383" customWidth="1"/>
    <col min="262" max="263" width="9.140625" style="1383"/>
    <col min="264" max="264" width="9.85546875" style="1383" customWidth="1"/>
    <col min="265" max="265" width="12.28515625" style="1383" customWidth="1"/>
    <col min="266" max="266" width="9.28515625" style="1383" customWidth="1"/>
    <col min="267" max="267" width="9.140625" style="1383"/>
    <col min="268" max="268" width="11.5703125" style="1383" customWidth="1"/>
    <col min="269" max="270" width="9.140625" style="1383"/>
    <col min="271" max="271" width="9.42578125" style="1383" customWidth="1"/>
    <col min="272" max="511" width="9.140625" style="1383"/>
    <col min="512" max="512" width="8.7109375" style="1383" customWidth="1"/>
    <col min="513" max="513" width="9.140625" style="1383"/>
    <col min="514" max="514" width="43.140625" style="1383" customWidth="1"/>
    <col min="515" max="515" width="9.140625" style="1383"/>
    <col min="516" max="516" width="10.42578125" style="1383" customWidth="1"/>
    <col min="517" max="517" width="12" style="1383" customWidth="1"/>
    <col min="518" max="519" width="9.140625" style="1383"/>
    <col min="520" max="520" width="9.85546875" style="1383" customWidth="1"/>
    <col min="521" max="521" width="12.28515625" style="1383" customWidth="1"/>
    <col min="522" max="522" width="9.28515625" style="1383" customWidth="1"/>
    <col min="523" max="523" width="9.140625" style="1383"/>
    <col min="524" max="524" width="11.5703125" style="1383" customWidth="1"/>
    <col min="525" max="526" width="9.140625" style="1383"/>
    <col min="527" max="527" width="9.42578125" style="1383" customWidth="1"/>
    <col min="528" max="767" width="9.140625" style="1383"/>
    <col min="768" max="768" width="8.7109375" style="1383" customWidth="1"/>
    <col min="769" max="769" width="9.140625" style="1383"/>
    <col min="770" max="770" width="43.140625" style="1383" customWidth="1"/>
    <col min="771" max="771" width="9.140625" style="1383"/>
    <col min="772" max="772" width="10.42578125" style="1383" customWidth="1"/>
    <col min="773" max="773" width="12" style="1383" customWidth="1"/>
    <col min="774" max="775" width="9.140625" style="1383"/>
    <col min="776" max="776" width="9.85546875" style="1383" customWidth="1"/>
    <col min="777" max="777" width="12.28515625" style="1383" customWidth="1"/>
    <col min="778" max="778" width="9.28515625" style="1383" customWidth="1"/>
    <col min="779" max="779" width="9.140625" style="1383"/>
    <col min="780" max="780" width="11.5703125" style="1383" customWidth="1"/>
    <col min="781" max="782" width="9.140625" style="1383"/>
    <col min="783" max="783" width="9.42578125" style="1383" customWidth="1"/>
    <col min="784" max="1023" width="9.140625" style="1383"/>
    <col min="1024" max="1024" width="8.7109375" style="1383" customWidth="1"/>
    <col min="1025" max="1025" width="9.140625" style="1383"/>
    <col min="1026" max="1026" width="43.140625" style="1383" customWidth="1"/>
    <col min="1027" max="1027" width="9.140625" style="1383"/>
    <col min="1028" max="1028" width="10.42578125" style="1383" customWidth="1"/>
    <col min="1029" max="1029" width="12" style="1383" customWidth="1"/>
    <col min="1030" max="1031" width="9.140625" style="1383"/>
    <col min="1032" max="1032" width="9.85546875" style="1383" customWidth="1"/>
    <col min="1033" max="1033" width="12.28515625" style="1383" customWidth="1"/>
    <col min="1034" max="1034" width="9.28515625" style="1383" customWidth="1"/>
    <col min="1035" max="1035" width="9.140625" style="1383"/>
    <col min="1036" max="1036" width="11.5703125" style="1383" customWidth="1"/>
    <col min="1037" max="1038" width="9.140625" style="1383"/>
    <col min="1039" max="1039" width="9.42578125" style="1383" customWidth="1"/>
    <col min="1040" max="1279" width="9.140625" style="1383"/>
    <col min="1280" max="1280" width="8.7109375" style="1383" customWidth="1"/>
    <col min="1281" max="1281" width="9.140625" style="1383"/>
    <col min="1282" max="1282" width="43.140625" style="1383" customWidth="1"/>
    <col min="1283" max="1283" width="9.140625" style="1383"/>
    <col min="1284" max="1284" width="10.42578125" style="1383" customWidth="1"/>
    <col min="1285" max="1285" width="12" style="1383" customWidth="1"/>
    <col min="1286" max="1287" width="9.140625" style="1383"/>
    <col min="1288" max="1288" width="9.85546875" style="1383" customWidth="1"/>
    <col min="1289" max="1289" width="12.28515625" style="1383" customWidth="1"/>
    <col min="1290" max="1290" width="9.28515625" style="1383" customWidth="1"/>
    <col min="1291" max="1291" width="9.140625" style="1383"/>
    <col min="1292" max="1292" width="11.5703125" style="1383" customWidth="1"/>
    <col min="1293" max="1294" width="9.140625" style="1383"/>
    <col min="1295" max="1295" width="9.42578125" style="1383" customWidth="1"/>
    <col min="1296" max="1535" width="9.140625" style="1383"/>
    <col min="1536" max="1536" width="8.7109375" style="1383" customWidth="1"/>
    <col min="1537" max="1537" width="9.140625" style="1383"/>
    <col min="1538" max="1538" width="43.140625" style="1383" customWidth="1"/>
    <col min="1539" max="1539" width="9.140625" style="1383"/>
    <col min="1540" max="1540" width="10.42578125" style="1383" customWidth="1"/>
    <col min="1541" max="1541" width="12" style="1383" customWidth="1"/>
    <col min="1542" max="1543" width="9.140625" style="1383"/>
    <col min="1544" max="1544" width="9.85546875" style="1383" customWidth="1"/>
    <col min="1545" max="1545" width="12.28515625" style="1383" customWidth="1"/>
    <col min="1546" max="1546" width="9.28515625" style="1383" customWidth="1"/>
    <col min="1547" max="1547" width="9.140625" style="1383"/>
    <col min="1548" max="1548" width="11.5703125" style="1383" customWidth="1"/>
    <col min="1549" max="1550" width="9.140625" style="1383"/>
    <col min="1551" max="1551" width="9.42578125" style="1383" customWidth="1"/>
    <col min="1552" max="1791" width="9.140625" style="1383"/>
    <col min="1792" max="1792" width="8.7109375" style="1383" customWidth="1"/>
    <col min="1793" max="1793" width="9.140625" style="1383"/>
    <col min="1794" max="1794" width="43.140625" style="1383" customWidth="1"/>
    <col min="1795" max="1795" width="9.140625" style="1383"/>
    <col min="1796" max="1796" width="10.42578125" style="1383" customWidth="1"/>
    <col min="1797" max="1797" width="12" style="1383" customWidth="1"/>
    <col min="1798" max="1799" width="9.140625" style="1383"/>
    <col min="1800" max="1800" width="9.85546875" style="1383" customWidth="1"/>
    <col min="1801" max="1801" width="12.28515625" style="1383" customWidth="1"/>
    <col min="1802" max="1802" width="9.28515625" style="1383" customWidth="1"/>
    <col min="1803" max="1803" width="9.140625" style="1383"/>
    <col min="1804" max="1804" width="11.5703125" style="1383" customWidth="1"/>
    <col min="1805" max="1806" width="9.140625" style="1383"/>
    <col min="1807" max="1807" width="9.42578125" style="1383" customWidth="1"/>
    <col min="1808" max="2047" width="9.140625" style="1383"/>
    <col min="2048" max="2048" width="8.7109375" style="1383" customWidth="1"/>
    <col min="2049" max="2049" width="9.140625" style="1383"/>
    <col min="2050" max="2050" width="43.140625" style="1383" customWidth="1"/>
    <col min="2051" max="2051" width="9.140625" style="1383"/>
    <col min="2052" max="2052" width="10.42578125" style="1383" customWidth="1"/>
    <col min="2053" max="2053" width="12" style="1383" customWidth="1"/>
    <col min="2054" max="2055" width="9.140625" style="1383"/>
    <col min="2056" max="2056" width="9.85546875" style="1383" customWidth="1"/>
    <col min="2057" max="2057" width="12.28515625" style="1383" customWidth="1"/>
    <col min="2058" max="2058" width="9.28515625" style="1383" customWidth="1"/>
    <col min="2059" max="2059" width="9.140625" style="1383"/>
    <col min="2060" max="2060" width="11.5703125" style="1383" customWidth="1"/>
    <col min="2061" max="2062" width="9.140625" style="1383"/>
    <col min="2063" max="2063" width="9.42578125" style="1383" customWidth="1"/>
    <col min="2064" max="2303" width="9.140625" style="1383"/>
    <col min="2304" max="2304" width="8.7109375" style="1383" customWidth="1"/>
    <col min="2305" max="2305" width="9.140625" style="1383"/>
    <col min="2306" max="2306" width="43.140625" style="1383" customWidth="1"/>
    <col min="2307" max="2307" width="9.140625" style="1383"/>
    <col min="2308" max="2308" width="10.42578125" style="1383" customWidth="1"/>
    <col min="2309" max="2309" width="12" style="1383" customWidth="1"/>
    <col min="2310" max="2311" width="9.140625" style="1383"/>
    <col min="2312" max="2312" width="9.85546875" style="1383" customWidth="1"/>
    <col min="2313" max="2313" width="12.28515625" style="1383" customWidth="1"/>
    <col min="2314" max="2314" width="9.28515625" style="1383" customWidth="1"/>
    <col min="2315" max="2315" width="9.140625" style="1383"/>
    <col min="2316" max="2316" width="11.5703125" style="1383" customWidth="1"/>
    <col min="2317" max="2318" width="9.140625" style="1383"/>
    <col min="2319" max="2319" width="9.42578125" style="1383" customWidth="1"/>
    <col min="2320" max="2559" width="9.140625" style="1383"/>
    <col min="2560" max="2560" width="8.7109375" style="1383" customWidth="1"/>
    <col min="2561" max="2561" width="9.140625" style="1383"/>
    <col min="2562" max="2562" width="43.140625" style="1383" customWidth="1"/>
    <col min="2563" max="2563" width="9.140625" style="1383"/>
    <col min="2564" max="2564" width="10.42578125" style="1383" customWidth="1"/>
    <col min="2565" max="2565" width="12" style="1383" customWidth="1"/>
    <col min="2566" max="2567" width="9.140625" style="1383"/>
    <col min="2568" max="2568" width="9.85546875" style="1383" customWidth="1"/>
    <col min="2569" max="2569" width="12.28515625" style="1383" customWidth="1"/>
    <col min="2570" max="2570" width="9.28515625" style="1383" customWidth="1"/>
    <col min="2571" max="2571" width="9.140625" style="1383"/>
    <col min="2572" max="2572" width="11.5703125" style="1383" customWidth="1"/>
    <col min="2573" max="2574" width="9.140625" style="1383"/>
    <col min="2575" max="2575" width="9.42578125" style="1383" customWidth="1"/>
    <col min="2576" max="2815" width="9.140625" style="1383"/>
    <col min="2816" max="2816" width="8.7109375" style="1383" customWidth="1"/>
    <col min="2817" max="2817" width="9.140625" style="1383"/>
    <col min="2818" max="2818" width="43.140625" style="1383" customWidth="1"/>
    <col min="2819" max="2819" width="9.140625" style="1383"/>
    <col min="2820" max="2820" width="10.42578125" style="1383" customWidth="1"/>
    <col min="2821" max="2821" width="12" style="1383" customWidth="1"/>
    <col min="2822" max="2823" width="9.140625" style="1383"/>
    <col min="2824" max="2824" width="9.85546875" style="1383" customWidth="1"/>
    <col min="2825" max="2825" width="12.28515625" style="1383" customWidth="1"/>
    <col min="2826" max="2826" width="9.28515625" style="1383" customWidth="1"/>
    <col min="2827" max="2827" width="9.140625" style="1383"/>
    <col min="2828" max="2828" width="11.5703125" style="1383" customWidth="1"/>
    <col min="2829" max="2830" width="9.140625" style="1383"/>
    <col min="2831" max="2831" width="9.42578125" style="1383" customWidth="1"/>
    <col min="2832" max="3071" width="9.140625" style="1383"/>
    <col min="3072" max="3072" width="8.7109375" style="1383" customWidth="1"/>
    <col min="3073" max="3073" width="9.140625" style="1383"/>
    <col min="3074" max="3074" width="43.140625" style="1383" customWidth="1"/>
    <col min="3075" max="3075" width="9.140625" style="1383"/>
    <col min="3076" max="3076" width="10.42578125" style="1383" customWidth="1"/>
    <col min="3077" max="3077" width="12" style="1383" customWidth="1"/>
    <col min="3078" max="3079" width="9.140625" style="1383"/>
    <col min="3080" max="3080" width="9.85546875" style="1383" customWidth="1"/>
    <col min="3081" max="3081" width="12.28515625" style="1383" customWidth="1"/>
    <col min="3082" max="3082" width="9.28515625" style="1383" customWidth="1"/>
    <col min="3083" max="3083" width="9.140625" style="1383"/>
    <col min="3084" max="3084" width="11.5703125" style="1383" customWidth="1"/>
    <col min="3085" max="3086" width="9.140625" style="1383"/>
    <col min="3087" max="3087" width="9.42578125" style="1383" customWidth="1"/>
    <col min="3088" max="3327" width="9.140625" style="1383"/>
    <col min="3328" max="3328" width="8.7109375" style="1383" customWidth="1"/>
    <col min="3329" max="3329" width="9.140625" style="1383"/>
    <col min="3330" max="3330" width="43.140625" style="1383" customWidth="1"/>
    <col min="3331" max="3331" width="9.140625" style="1383"/>
    <col min="3332" max="3332" width="10.42578125" style="1383" customWidth="1"/>
    <col min="3333" max="3333" width="12" style="1383" customWidth="1"/>
    <col min="3334" max="3335" width="9.140625" style="1383"/>
    <col min="3336" max="3336" width="9.85546875" style="1383" customWidth="1"/>
    <col min="3337" max="3337" width="12.28515625" style="1383" customWidth="1"/>
    <col min="3338" max="3338" width="9.28515625" style="1383" customWidth="1"/>
    <col min="3339" max="3339" width="9.140625" style="1383"/>
    <col min="3340" max="3340" width="11.5703125" style="1383" customWidth="1"/>
    <col min="3341" max="3342" width="9.140625" style="1383"/>
    <col min="3343" max="3343" width="9.42578125" style="1383" customWidth="1"/>
    <col min="3344" max="3583" width="9.140625" style="1383"/>
    <col min="3584" max="3584" width="8.7109375" style="1383" customWidth="1"/>
    <col min="3585" max="3585" width="9.140625" style="1383"/>
    <col min="3586" max="3586" width="43.140625" style="1383" customWidth="1"/>
    <col min="3587" max="3587" width="9.140625" style="1383"/>
    <col min="3588" max="3588" width="10.42578125" style="1383" customWidth="1"/>
    <col min="3589" max="3589" width="12" style="1383" customWidth="1"/>
    <col min="3590" max="3591" width="9.140625" style="1383"/>
    <col min="3592" max="3592" width="9.85546875" style="1383" customWidth="1"/>
    <col min="3593" max="3593" width="12.28515625" style="1383" customWidth="1"/>
    <col min="3594" max="3594" width="9.28515625" style="1383" customWidth="1"/>
    <col min="3595" max="3595" width="9.140625" style="1383"/>
    <col min="3596" max="3596" width="11.5703125" style="1383" customWidth="1"/>
    <col min="3597" max="3598" width="9.140625" style="1383"/>
    <col min="3599" max="3599" width="9.42578125" style="1383" customWidth="1"/>
    <col min="3600" max="3839" width="9.140625" style="1383"/>
    <col min="3840" max="3840" width="8.7109375" style="1383" customWidth="1"/>
    <col min="3841" max="3841" width="9.140625" style="1383"/>
    <col min="3842" max="3842" width="43.140625" style="1383" customWidth="1"/>
    <col min="3843" max="3843" width="9.140625" style="1383"/>
    <col min="3844" max="3844" width="10.42578125" style="1383" customWidth="1"/>
    <col min="3845" max="3845" width="12" style="1383" customWidth="1"/>
    <col min="3846" max="3847" width="9.140625" style="1383"/>
    <col min="3848" max="3848" width="9.85546875" style="1383" customWidth="1"/>
    <col min="3849" max="3849" width="12.28515625" style="1383" customWidth="1"/>
    <col min="3850" max="3850" width="9.28515625" style="1383" customWidth="1"/>
    <col min="3851" max="3851" width="9.140625" style="1383"/>
    <col min="3852" max="3852" width="11.5703125" style="1383" customWidth="1"/>
    <col min="3853" max="3854" width="9.140625" style="1383"/>
    <col min="3855" max="3855" width="9.42578125" style="1383" customWidth="1"/>
    <col min="3856" max="4095" width="9.140625" style="1383"/>
    <col min="4096" max="4096" width="8.7109375" style="1383" customWidth="1"/>
    <col min="4097" max="4097" width="9.140625" style="1383"/>
    <col min="4098" max="4098" width="43.140625" style="1383" customWidth="1"/>
    <col min="4099" max="4099" width="9.140625" style="1383"/>
    <col min="4100" max="4100" width="10.42578125" style="1383" customWidth="1"/>
    <col min="4101" max="4101" width="12" style="1383" customWidth="1"/>
    <col min="4102" max="4103" width="9.140625" style="1383"/>
    <col min="4104" max="4104" width="9.85546875" style="1383" customWidth="1"/>
    <col min="4105" max="4105" width="12.28515625" style="1383" customWidth="1"/>
    <col min="4106" max="4106" width="9.28515625" style="1383" customWidth="1"/>
    <col min="4107" max="4107" width="9.140625" style="1383"/>
    <col min="4108" max="4108" width="11.5703125" style="1383" customWidth="1"/>
    <col min="4109" max="4110" width="9.140625" style="1383"/>
    <col min="4111" max="4111" width="9.42578125" style="1383" customWidth="1"/>
    <col min="4112" max="4351" width="9.140625" style="1383"/>
    <col min="4352" max="4352" width="8.7109375" style="1383" customWidth="1"/>
    <col min="4353" max="4353" width="9.140625" style="1383"/>
    <col min="4354" max="4354" width="43.140625" style="1383" customWidth="1"/>
    <col min="4355" max="4355" width="9.140625" style="1383"/>
    <col min="4356" max="4356" width="10.42578125" style="1383" customWidth="1"/>
    <col min="4357" max="4357" width="12" style="1383" customWidth="1"/>
    <col min="4358" max="4359" width="9.140625" style="1383"/>
    <col min="4360" max="4360" width="9.85546875" style="1383" customWidth="1"/>
    <col min="4361" max="4361" width="12.28515625" style="1383" customWidth="1"/>
    <col min="4362" max="4362" width="9.28515625" style="1383" customWidth="1"/>
    <col min="4363" max="4363" width="9.140625" style="1383"/>
    <col min="4364" max="4364" width="11.5703125" style="1383" customWidth="1"/>
    <col min="4365" max="4366" width="9.140625" style="1383"/>
    <col min="4367" max="4367" width="9.42578125" style="1383" customWidth="1"/>
    <col min="4368" max="4607" width="9.140625" style="1383"/>
    <col min="4608" max="4608" width="8.7109375" style="1383" customWidth="1"/>
    <col min="4609" max="4609" width="9.140625" style="1383"/>
    <col min="4610" max="4610" width="43.140625" style="1383" customWidth="1"/>
    <col min="4611" max="4611" width="9.140625" style="1383"/>
    <col min="4612" max="4612" width="10.42578125" style="1383" customWidth="1"/>
    <col min="4613" max="4613" width="12" style="1383" customWidth="1"/>
    <col min="4614" max="4615" width="9.140625" style="1383"/>
    <col min="4616" max="4616" width="9.85546875" style="1383" customWidth="1"/>
    <col min="4617" max="4617" width="12.28515625" style="1383" customWidth="1"/>
    <col min="4618" max="4618" width="9.28515625" style="1383" customWidth="1"/>
    <col min="4619" max="4619" width="9.140625" style="1383"/>
    <col min="4620" max="4620" width="11.5703125" style="1383" customWidth="1"/>
    <col min="4621" max="4622" width="9.140625" style="1383"/>
    <col min="4623" max="4623" width="9.42578125" style="1383" customWidth="1"/>
    <col min="4624" max="4863" width="9.140625" style="1383"/>
    <col min="4864" max="4864" width="8.7109375" style="1383" customWidth="1"/>
    <col min="4865" max="4865" width="9.140625" style="1383"/>
    <col min="4866" max="4866" width="43.140625" style="1383" customWidth="1"/>
    <col min="4867" max="4867" width="9.140625" style="1383"/>
    <col min="4868" max="4868" width="10.42578125" style="1383" customWidth="1"/>
    <col min="4869" max="4869" width="12" style="1383" customWidth="1"/>
    <col min="4870" max="4871" width="9.140625" style="1383"/>
    <col min="4872" max="4872" width="9.85546875" style="1383" customWidth="1"/>
    <col min="4873" max="4873" width="12.28515625" style="1383" customWidth="1"/>
    <col min="4874" max="4874" width="9.28515625" style="1383" customWidth="1"/>
    <col min="4875" max="4875" width="9.140625" style="1383"/>
    <col min="4876" max="4876" width="11.5703125" style="1383" customWidth="1"/>
    <col min="4877" max="4878" width="9.140625" style="1383"/>
    <col min="4879" max="4879" width="9.42578125" style="1383" customWidth="1"/>
    <col min="4880" max="5119" width="9.140625" style="1383"/>
    <col min="5120" max="5120" width="8.7109375" style="1383" customWidth="1"/>
    <col min="5121" max="5121" width="9.140625" style="1383"/>
    <col min="5122" max="5122" width="43.140625" style="1383" customWidth="1"/>
    <col min="5123" max="5123" width="9.140625" style="1383"/>
    <col min="5124" max="5124" width="10.42578125" style="1383" customWidth="1"/>
    <col min="5125" max="5125" width="12" style="1383" customWidth="1"/>
    <col min="5126" max="5127" width="9.140625" style="1383"/>
    <col min="5128" max="5128" width="9.85546875" style="1383" customWidth="1"/>
    <col min="5129" max="5129" width="12.28515625" style="1383" customWidth="1"/>
    <col min="5130" max="5130" width="9.28515625" style="1383" customWidth="1"/>
    <col min="5131" max="5131" width="9.140625" style="1383"/>
    <col min="5132" max="5132" width="11.5703125" style="1383" customWidth="1"/>
    <col min="5133" max="5134" width="9.140625" style="1383"/>
    <col min="5135" max="5135" width="9.42578125" style="1383" customWidth="1"/>
    <col min="5136" max="5375" width="9.140625" style="1383"/>
    <col min="5376" max="5376" width="8.7109375" style="1383" customWidth="1"/>
    <col min="5377" max="5377" width="9.140625" style="1383"/>
    <col min="5378" max="5378" width="43.140625" style="1383" customWidth="1"/>
    <col min="5379" max="5379" width="9.140625" style="1383"/>
    <col min="5380" max="5380" width="10.42578125" style="1383" customWidth="1"/>
    <col min="5381" max="5381" width="12" style="1383" customWidth="1"/>
    <col min="5382" max="5383" width="9.140625" style="1383"/>
    <col min="5384" max="5384" width="9.85546875" style="1383" customWidth="1"/>
    <col min="5385" max="5385" width="12.28515625" style="1383" customWidth="1"/>
    <col min="5386" max="5386" width="9.28515625" style="1383" customWidth="1"/>
    <col min="5387" max="5387" width="9.140625" style="1383"/>
    <col min="5388" max="5388" width="11.5703125" style="1383" customWidth="1"/>
    <col min="5389" max="5390" width="9.140625" style="1383"/>
    <col min="5391" max="5391" width="9.42578125" style="1383" customWidth="1"/>
    <col min="5392" max="5631" width="9.140625" style="1383"/>
    <col min="5632" max="5632" width="8.7109375" style="1383" customWidth="1"/>
    <col min="5633" max="5633" width="9.140625" style="1383"/>
    <col min="5634" max="5634" width="43.140625" style="1383" customWidth="1"/>
    <col min="5635" max="5635" width="9.140625" style="1383"/>
    <col min="5636" max="5636" width="10.42578125" style="1383" customWidth="1"/>
    <col min="5637" max="5637" width="12" style="1383" customWidth="1"/>
    <col min="5638" max="5639" width="9.140625" style="1383"/>
    <col min="5640" max="5640" width="9.85546875" style="1383" customWidth="1"/>
    <col min="5641" max="5641" width="12.28515625" style="1383" customWidth="1"/>
    <col min="5642" max="5642" width="9.28515625" style="1383" customWidth="1"/>
    <col min="5643" max="5643" width="9.140625" style="1383"/>
    <col min="5644" max="5644" width="11.5703125" style="1383" customWidth="1"/>
    <col min="5645" max="5646" width="9.140625" style="1383"/>
    <col min="5647" max="5647" width="9.42578125" style="1383" customWidth="1"/>
    <col min="5648" max="5887" width="9.140625" style="1383"/>
    <col min="5888" max="5888" width="8.7109375" style="1383" customWidth="1"/>
    <col min="5889" max="5889" width="9.140625" style="1383"/>
    <col min="5890" max="5890" width="43.140625" style="1383" customWidth="1"/>
    <col min="5891" max="5891" width="9.140625" style="1383"/>
    <col min="5892" max="5892" width="10.42578125" style="1383" customWidth="1"/>
    <col min="5893" max="5893" width="12" style="1383" customWidth="1"/>
    <col min="5894" max="5895" width="9.140625" style="1383"/>
    <col min="5896" max="5896" width="9.85546875" style="1383" customWidth="1"/>
    <col min="5897" max="5897" width="12.28515625" style="1383" customWidth="1"/>
    <col min="5898" max="5898" width="9.28515625" style="1383" customWidth="1"/>
    <col min="5899" max="5899" width="9.140625" style="1383"/>
    <col min="5900" max="5900" width="11.5703125" style="1383" customWidth="1"/>
    <col min="5901" max="5902" width="9.140625" style="1383"/>
    <col min="5903" max="5903" width="9.42578125" style="1383" customWidth="1"/>
    <col min="5904" max="6143" width="9.140625" style="1383"/>
    <col min="6144" max="6144" width="8.7109375" style="1383" customWidth="1"/>
    <col min="6145" max="6145" width="9.140625" style="1383"/>
    <col min="6146" max="6146" width="43.140625" style="1383" customWidth="1"/>
    <col min="6147" max="6147" width="9.140625" style="1383"/>
    <col min="6148" max="6148" width="10.42578125" style="1383" customWidth="1"/>
    <col min="6149" max="6149" width="12" style="1383" customWidth="1"/>
    <col min="6150" max="6151" width="9.140625" style="1383"/>
    <col min="6152" max="6152" width="9.85546875" style="1383" customWidth="1"/>
    <col min="6153" max="6153" width="12.28515625" style="1383" customWidth="1"/>
    <col min="6154" max="6154" width="9.28515625" style="1383" customWidth="1"/>
    <col min="6155" max="6155" width="9.140625" style="1383"/>
    <col min="6156" max="6156" width="11.5703125" style="1383" customWidth="1"/>
    <col min="6157" max="6158" width="9.140625" style="1383"/>
    <col min="6159" max="6159" width="9.42578125" style="1383" customWidth="1"/>
    <col min="6160" max="6399" width="9.140625" style="1383"/>
    <col min="6400" max="6400" width="8.7109375" style="1383" customWidth="1"/>
    <col min="6401" max="6401" width="9.140625" style="1383"/>
    <col min="6402" max="6402" width="43.140625" style="1383" customWidth="1"/>
    <col min="6403" max="6403" width="9.140625" style="1383"/>
    <col min="6404" max="6404" width="10.42578125" style="1383" customWidth="1"/>
    <col min="6405" max="6405" width="12" style="1383" customWidth="1"/>
    <col min="6406" max="6407" width="9.140625" style="1383"/>
    <col min="6408" max="6408" width="9.85546875" style="1383" customWidth="1"/>
    <col min="6409" max="6409" width="12.28515625" style="1383" customWidth="1"/>
    <col min="6410" max="6410" width="9.28515625" style="1383" customWidth="1"/>
    <col min="6411" max="6411" width="9.140625" style="1383"/>
    <col min="6412" max="6412" width="11.5703125" style="1383" customWidth="1"/>
    <col min="6413" max="6414" width="9.140625" style="1383"/>
    <col min="6415" max="6415" width="9.42578125" style="1383" customWidth="1"/>
    <col min="6416" max="6655" width="9.140625" style="1383"/>
    <col min="6656" max="6656" width="8.7109375" style="1383" customWidth="1"/>
    <col min="6657" max="6657" width="9.140625" style="1383"/>
    <col min="6658" max="6658" width="43.140625" style="1383" customWidth="1"/>
    <col min="6659" max="6659" width="9.140625" style="1383"/>
    <col min="6660" max="6660" width="10.42578125" style="1383" customWidth="1"/>
    <col min="6661" max="6661" width="12" style="1383" customWidth="1"/>
    <col min="6662" max="6663" width="9.140625" style="1383"/>
    <col min="6664" max="6664" width="9.85546875" style="1383" customWidth="1"/>
    <col min="6665" max="6665" width="12.28515625" style="1383" customWidth="1"/>
    <col min="6666" max="6666" width="9.28515625" style="1383" customWidth="1"/>
    <col min="6667" max="6667" width="9.140625" style="1383"/>
    <col min="6668" max="6668" width="11.5703125" style="1383" customWidth="1"/>
    <col min="6669" max="6670" width="9.140625" style="1383"/>
    <col min="6671" max="6671" width="9.42578125" style="1383" customWidth="1"/>
    <col min="6672" max="6911" width="9.140625" style="1383"/>
    <col min="6912" max="6912" width="8.7109375" style="1383" customWidth="1"/>
    <col min="6913" max="6913" width="9.140625" style="1383"/>
    <col min="6914" max="6914" width="43.140625" style="1383" customWidth="1"/>
    <col min="6915" max="6915" width="9.140625" style="1383"/>
    <col min="6916" max="6916" width="10.42578125" style="1383" customWidth="1"/>
    <col min="6917" max="6917" width="12" style="1383" customWidth="1"/>
    <col min="6918" max="6919" width="9.140625" style="1383"/>
    <col min="6920" max="6920" width="9.85546875" style="1383" customWidth="1"/>
    <col min="6921" max="6921" width="12.28515625" style="1383" customWidth="1"/>
    <col min="6922" max="6922" width="9.28515625" style="1383" customWidth="1"/>
    <col min="6923" max="6923" width="9.140625" style="1383"/>
    <col min="6924" max="6924" width="11.5703125" style="1383" customWidth="1"/>
    <col min="6925" max="6926" width="9.140625" style="1383"/>
    <col min="6927" max="6927" width="9.42578125" style="1383" customWidth="1"/>
    <col min="6928" max="7167" width="9.140625" style="1383"/>
    <col min="7168" max="7168" width="8.7109375" style="1383" customWidth="1"/>
    <col min="7169" max="7169" width="9.140625" style="1383"/>
    <col min="7170" max="7170" width="43.140625" style="1383" customWidth="1"/>
    <col min="7171" max="7171" width="9.140625" style="1383"/>
    <col min="7172" max="7172" width="10.42578125" style="1383" customWidth="1"/>
    <col min="7173" max="7173" width="12" style="1383" customWidth="1"/>
    <col min="7174" max="7175" width="9.140625" style="1383"/>
    <col min="7176" max="7176" width="9.85546875" style="1383" customWidth="1"/>
    <col min="7177" max="7177" width="12.28515625" style="1383" customWidth="1"/>
    <col min="7178" max="7178" width="9.28515625" style="1383" customWidth="1"/>
    <col min="7179" max="7179" width="9.140625" style="1383"/>
    <col min="7180" max="7180" width="11.5703125" style="1383" customWidth="1"/>
    <col min="7181" max="7182" width="9.140625" style="1383"/>
    <col min="7183" max="7183" width="9.42578125" style="1383" customWidth="1"/>
    <col min="7184" max="7423" width="9.140625" style="1383"/>
    <col min="7424" max="7424" width="8.7109375" style="1383" customWidth="1"/>
    <col min="7425" max="7425" width="9.140625" style="1383"/>
    <col min="7426" max="7426" width="43.140625" style="1383" customWidth="1"/>
    <col min="7427" max="7427" width="9.140625" style="1383"/>
    <col min="7428" max="7428" width="10.42578125" style="1383" customWidth="1"/>
    <col min="7429" max="7429" width="12" style="1383" customWidth="1"/>
    <col min="7430" max="7431" width="9.140625" style="1383"/>
    <col min="7432" max="7432" width="9.85546875" style="1383" customWidth="1"/>
    <col min="7433" max="7433" width="12.28515625" style="1383" customWidth="1"/>
    <col min="7434" max="7434" width="9.28515625" style="1383" customWidth="1"/>
    <col min="7435" max="7435" width="9.140625" style="1383"/>
    <col min="7436" max="7436" width="11.5703125" style="1383" customWidth="1"/>
    <col min="7437" max="7438" width="9.140625" style="1383"/>
    <col min="7439" max="7439" width="9.42578125" style="1383" customWidth="1"/>
    <col min="7440" max="7679" width="9.140625" style="1383"/>
    <col min="7680" max="7680" width="8.7109375" style="1383" customWidth="1"/>
    <col min="7681" max="7681" width="9.140625" style="1383"/>
    <col min="7682" max="7682" width="43.140625" style="1383" customWidth="1"/>
    <col min="7683" max="7683" width="9.140625" style="1383"/>
    <col min="7684" max="7684" width="10.42578125" style="1383" customWidth="1"/>
    <col min="7685" max="7685" width="12" style="1383" customWidth="1"/>
    <col min="7686" max="7687" width="9.140625" style="1383"/>
    <col min="7688" max="7688" width="9.85546875" style="1383" customWidth="1"/>
    <col min="7689" max="7689" width="12.28515625" style="1383" customWidth="1"/>
    <col min="7690" max="7690" width="9.28515625" style="1383" customWidth="1"/>
    <col min="7691" max="7691" width="9.140625" style="1383"/>
    <col min="7692" max="7692" width="11.5703125" style="1383" customWidth="1"/>
    <col min="7693" max="7694" width="9.140625" style="1383"/>
    <col min="7695" max="7695" width="9.42578125" style="1383" customWidth="1"/>
    <col min="7696" max="7935" width="9.140625" style="1383"/>
    <col min="7936" max="7936" width="8.7109375" style="1383" customWidth="1"/>
    <col min="7937" max="7937" width="9.140625" style="1383"/>
    <col min="7938" max="7938" width="43.140625" style="1383" customWidth="1"/>
    <col min="7939" max="7939" width="9.140625" style="1383"/>
    <col min="7940" max="7940" width="10.42578125" style="1383" customWidth="1"/>
    <col min="7941" max="7941" width="12" style="1383" customWidth="1"/>
    <col min="7942" max="7943" width="9.140625" style="1383"/>
    <col min="7944" max="7944" width="9.85546875" style="1383" customWidth="1"/>
    <col min="7945" max="7945" width="12.28515625" style="1383" customWidth="1"/>
    <col min="7946" max="7946" width="9.28515625" style="1383" customWidth="1"/>
    <col min="7947" max="7947" width="9.140625" style="1383"/>
    <col min="7948" max="7948" width="11.5703125" style="1383" customWidth="1"/>
    <col min="7949" max="7950" width="9.140625" style="1383"/>
    <col min="7951" max="7951" width="9.42578125" style="1383" customWidth="1"/>
    <col min="7952" max="8191" width="9.140625" style="1383"/>
    <col min="8192" max="8192" width="8.7109375" style="1383" customWidth="1"/>
    <col min="8193" max="8193" width="9.140625" style="1383"/>
    <col min="8194" max="8194" width="43.140625" style="1383" customWidth="1"/>
    <col min="8195" max="8195" width="9.140625" style="1383"/>
    <col min="8196" max="8196" width="10.42578125" style="1383" customWidth="1"/>
    <col min="8197" max="8197" width="12" style="1383" customWidth="1"/>
    <col min="8198" max="8199" width="9.140625" style="1383"/>
    <col min="8200" max="8200" width="9.85546875" style="1383" customWidth="1"/>
    <col min="8201" max="8201" width="12.28515625" style="1383" customWidth="1"/>
    <col min="8202" max="8202" width="9.28515625" style="1383" customWidth="1"/>
    <col min="8203" max="8203" width="9.140625" style="1383"/>
    <col min="8204" max="8204" width="11.5703125" style="1383" customWidth="1"/>
    <col min="8205" max="8206" width="9.140625" style="1383"/>
    <col min="8207" max="8207" width="9.42578125" style="1383" customWidth="1"/>
    <col min="8208" max="8447" width="9.140625" style="1383"/>
    <col min="8448" max="8448" width="8.7109375" style="1383" customWidth="1"/>
    <col min="8449" max="8449" width="9.140625" style="1383"/>
    <col min="8450" max="8450" width="43.140625" style="1383" customWidth="1"/>
    <col min="8451" max="8451" width="9.140625" style="1383"/>
    <col min="8452" max="8452" width="10.42578125" style="1383" customWidth="1"/>
    <col min="8453" max="8453" width="12" style="1383" customWidth="1"/>
    <col min="8454" max="8455" width="9.140625" style="1383"/>
    <col min="8456" max="8456" width="9.85546875" style="1383" customWidth="1"/>
    <col min="8457" max="8457" width="12.28515625" style="1383" customWidth="1"/>
    <col min="8458" max="8458" width="9.28515625" style="1383" customWidth="1"/>
    <col min="8459" max="8459" width="9.140625" style="1383"/>
    <col min="8460" max="8460" width="11.5703125" style="1383" customWidth="1"/>
    <col min="8461" max="8462" width="9.140625" style="1383"/>
    <col min="8463" max="8463" width="9.42578125" style="1383" customWidth="1"/>
    <col min="8464" max="8703" width="9.140625" style="1383"/>
    <col min="8704" max="8704" width="8.7109375" style="1383" customWidth="1"/>
    <col min="8705" max="8705" width="9.140625" style="1383"/>
    <col min="8706" max="8706" width="43.140625" style="1383" customWidth="1"/>
    <col min="8707" max="8707" width="9.140625" style="1383"/>
    <col min="8708" max="8708" width="10.42578125" style="1383" customWidth="1"/>
    <col min="8709" max="8709" width="12" style="1383" customWidth="1"/>
    <col min="8710" max="8711" width="9.140625" style="1383"/>
    <col min="8712" max="8712" width="9.85546875" style="1383" customWidth="1"/>
    <col min="8713" max="8713" width="12.28515625" style="1383" customWidth="1"/>
    <col min="8714" max="8714" width="9.28515625" style="1383" customWidth="1"/>
    <col min="8715" max="8715" width="9.140625" style="1383"/>
    <col min="8716" max="8716" width="11.5703125" style="1383" customWidth="1"/>
    <col min="8717" max="8718" width="9.140625" style="1383"/>
    <col min="8719" max="8719" width="9.42578125" style="1383" customWidth="1"/>
    <col min="8720" max="8959" width="9.140625" style="1383"/>
    <col min="8960" max="8960" width="8.7109375" style="1383" customWidth="1"/>
    <col min="8961" max="8961" width="9.140625" style="1383"/>
    <col min="8962" max="8962" width="43.140625" style="1383" customWidth="1"/>
    <col min="8963" max="8963" width="9.140625" style="1383"/>
    <col min="8964" max="8964" width="10.42578125" style="1383" customWidth="1"/>
    <col min="8965" max="8965" width="12" style="1383" customWidth="1"/>
    <col min="8966" max="8967" width="9.140625" style="1383"/>
    <col min="8968" max="8968" width="9.85546875" style="1383" customWidth="1"/>
    <col min="8969" max="8969" width="12.28515625" style="1383" customWidth="1"/>
    <col min="8970" max="8970" width="9.28515625" style="1383" customWidth="1"/>
    <col min="8971" max="8971" width="9.140625" style="1383"/>
    <col min="8972" max="8972" width="11.5703125" style="1383" customWidth="1"/>
    <col min="8973" max="8974" width="9.140625" style="1383"/>
    <col min="8975" max="8975" width="9.42578125" style="1383" customWidth="1"/>
    <col min="8976" max="9215" width="9.140625" style="1383"/>
    <col min="9216" max="9216" width="8.7109375" style="1383" customWidth="1"/>
    <col min="9217" max="9217" width="9.140625" style="1383"/>
    <col min="9218" max="9218" width="43.140625" style="1383" customWidth="1"/>
    <col min="9219" max="9219" width="9.140625" style="1383"/>
    <col min="9220" max="9220" width="10.42578125" style="1383" customWidth="1"/>
    <col min="9221" max="9221" width="12" style="1383" customWidth="1"/>
    <col min="9222" max="9223" width="9.140625" style="1383"/>
    <col min="9224" max="9224" width="9.85546875" style="1383" customWidth="1"/>
    <col min="9225" max="9225" width="12.28515625" style="1383" customWidth="1"/>
    <col min="9226" max="9226" width="9.28515625" style="1383" customWidth="1"/>
    <col min="9227" max="9227" width="9.140625" style="1383"/>
    <col min="9228" max="9228" width="11.5703125" style="1383" customWidth="1"/>
    <col min="9229" max="9230" width="9.140625" style="1383"/>
    <col min="9231" max="9231" width="9.42578125" style="1383" customWidth="1"/>
    <col min="9232" max="9471" width="9.140625" style="1383"/>
    <col min="9472" max="9472" width="8.7109375" style="1383" customWidth="1"/>
    <col min="9473" max="9473" width="9.140625" style="1383"/>
    <col min="9474" max="9474" width="43.140625" style="1383" customWidth="1"/>
    <col min="9475" max="9475" width="9.140625" style="1383"/>
    <col min="9476" max="9476" width="10.42578125" style="1383" customWidth="1"/>
    <col min="9477" max="9477" width="12" style="1383" customWidth="1"/>
    <col min="9478" max="9479" width="9.140625" style="1383"/>
    <col min="9480" max="9480" width="9.85546875" style="1383" customWidth="1"/>
    <col min="9481" max="9481" width="12.28515625" style="1383" customWidth="1"/>
    <col min="9482" max="9482" width="9.28515625" style="1383" customWidth="1"/>
    <col min="9483" max="9483" width="9.140625" style="1383"/>
    <col min="9484" max="9484" width="11.5703125" style="1383" customWidth="1"/>
    <col min="9485" max="9486" width="9.140625" style="1383"/>
    <col min="9487" max="9487" width="9.42578125" style="1383" customWidth="1"/>
    <col min="9488" max="9727" width="9.140625" style="1383"/>
    <col min="9728" max="9728" width="8.7109375" style="1383" customWidth="1"/>
    <col min="9729" max="9729" width="9.140625" style="1383"/>
    <col min="9730" max="9730" width="43.140625" style="1383" customWidth="1"/>
    <col min="9731" max="9731" width="9.140625" style="1383"/>
    <col min="9732" max="9732" width="10.42578125" style="1383" customWidth="1"/>
    <col min="9733" max="9733" width="12" style="1383" customWidth="1"/>
    <col min="9734" max="9735" width="9.140625" style="1383"/>
    <col min="9736" max="9736" width="9.85546875" style="1383" customWidth="1"/>
    <col min="9737" max="9737" width="12.28515625" style="1383" customWidth="1"/>
    <col min="9738" max="9738" width="9.28515625" style="1383" customWidth="1"/>
    <col min="9739" max="9739" width="9.140625" style="1383"/>
    <col min="9740" max="9740" width="11.5703125" style="1383" customWidth="1"/>
    <col min="9741" max="9742" width="9.140625" style="1383"/>
    <col min="9743" max="9743" width="9.42578125" style="1383" customWidth="1"/>
    <col min="9744" max="9983" width="9.140625" style="1383"/>
    <col min="9984" max="9984" width="8.7109375" style="1383" customWidth="1"/>
    <col min="9985" max="9985" width="9.140625" style="1383"/>
    <col min="9986" max="9986" width="43.140625" style="1383" customWidth="1"/>
    <col min="9987" max="9987" width="9.140625" style="1383"/>
    <col min="9988" max="9988" width="10.42578125" style="1383" customWidth="1"/>
    <col min="9989" max="9989" width="12" style="1383" customWidth="1"/>
    <col min="9990" max="9991" width="9.140625" style="1383"/>
    <col min="9992" max="9992" width="9.85546875" style="1383" customWidth="1"/>
    <col min="9993" max="9993" width="12.28515625" style="1383" customWidth="1"/>
    <col min="9994" max="9994" width="9.28515625" style="1383" customWidth="1"/>
    <col min="9995" max="9995" width="9.140625" style="1383"/>
    <col min="9996" max="9996" width="11.5703125" style="1383" customWidth="1"/>
    <col min="9997" max="9998" width="9.140625" style="1383"/>
    <col min="9999" max="9999" width="9.42578125" style="1383" customWidth="1"/>
    <col min="10000" max="10239" width="9.140625" style="1383"/>
    <col min="10240" max="10240" width="8.7109375" style="1383" customWidth="1"/>
    <col min="10241" max="10241" width="9.140625" style="1383"/>
    <col min="10242" max="10242" width="43.140625" style="1383" customWidth="1"/>
    <col min="10243" max="10243" width="9.140625" style="1383"/>
    <col min="10244" max="10244" width="10.42578125" style="1383" customWidth="1"/>
    <col min="10245" max="10245" width="12" style="1383" customWidth="1"/>
    <col min="10246" max="10247" width="9.140625" style="1383"/>
    <col min="10248" max="10248" width="9.85546875" style="1383" customWidth="1"/>
    <col min="10249" max="10249" width="12.28515625" style="1383" customWidth="1"/>
    <col min="10250" max="10250" width="9.28515625" style="1383" customWidth="1"/>
    <col min="10251" max="10251" width="9.140625" style="1383"/>
    <col min="10252" max="10252" width="11.5703125" style="1383" customWidth="1"/>
    <col min="10253" max="10254" width="9.140625" style="1383"/>
    <col min="10255" max="10255" width="9.42578125" style="1383" customWidth="1"/>
    <col min="10256" max="10495" width="9.140625" style="1383"/>
    <col min="10496" max="10496" width="8.7109375" style="1383" customWidth="1"/>
    <col min="10497" max="10497" width="9.140625" style="1383"/>
    <col min="10498" max="10498" width="43.140625" style="1383" customWidth="1"/>
    <col min="10499" max="10499" width="9.140625" style="1383"/>
    <col min="10500" max="10500" width="10.42578125" style="1383" customWidth="1"/>
    <col min="10501" max="10501" width="12" style="1383" customWidth="1"/>
    <col min="10502" max="10503" width="9.140625" style="1383"/>
    <col min="10504" max="10504" width="9.85546875" style="1383" customWidth="1"/>
    <col min="10505" max="10505" width="12.28515625" style="1383" customWidth="1"/>
    <col min="10506" max="10506" width="9.28515625" style="1383" customWidth="1"/>
    <col min="10507" max="10507" width="9.140625" style="1383"/>
    <col min="10508" max="10508" width="11.5703125" style="1383" customWidth="1"/>
    <col min="10509" max="10510" width="9.140625" style="1383"/>
    <col min="10511" max="10511" width="9.42578125" style="1383" customWidth="1"/>
    <col min="10512" max="10751" width="9.140625" style="1383"/>
    <col min="10752" max="10752" width="8.7109375" style="1383" customWidth="1"/>
    <col min="10753" max="10753" width="9.140625" style="1383"/>
    <col min="10754" max="10754" width="43.140625" style="1383" customWidth="1"/>
    <col min="10755" max="10755" width="9.140625" style="1383"/>
    <col min="10756" max="10756" width="10.42578125" style="1383" customWidth="1"/>
    <col min="10757" max="10757" width="12" style="1383" customWidth="1"/>
    <col min="10758" max="10759" width="9.140625" style="1383"/>
    <col min="10760" max="10760" width="9.85546875" style="1383" customWidth="1"/>
    <col min="10761" max="10761" width="12.28515625" style="1383" customWidth="1"/>
    <col min="10762" max="10762" width="9.28515625" style="1383" customWidth="1"/>
    <col min="10763" max="10763" width="9.140625" style="1383"/>
    <col min="10764" max="10764" width="11.5703125" style="1383" customWidth="1"/>
    <col min="10765" max="10766" width="9.140625" style="1383"/>
    <col min="10767" max="10767" width="9.42578125" style="1383" customWidth="1"/>
    <col min="10768" max="11007" width="9.140625" style="1383"/>
    <col min="11008" max="11008" width="8.7109375" style="1383" customWidth="1"/>
    <col min="11009" max="11009" width="9.140625" style="1383"/>
    <col min="11010" max="11010" width="43.140625" style="1383" customWidth="1"/>
    <col min="11011" max="11011" width="9.140625" style="1383"/>
    <col min="11012" max="11012" width="10.42578125" style="1383" customWidth="1"/>
    <col min="11013" max="11013" width="12" style="1383" customWidth="1"/>
    <col min="11014" max="11015" width="9.140625" style="1383"/>
    <col min="11016" max="11016" width="9.85546875" style="1383" customWidth="1"/>
    <col min="11017" max="11017" width="12.28515625" style="1383" customWidth="1"/>
    <col min="11018" max="11018" width="9.28515625" style="1383" customWidth="1"/>
    <col min="11019" max="11019" width="9.140625" style="1383"/>
    <col min="11020" max="11020" width="11.5703125" style="1383" customWidth="1"/>
    <col min="11021" max="11022" width="9.140625" style="1383"/>
    <col min="11023" max="11023" width="9.42578125" style="1383" customWidth="1"/>
    <col min="11024" max="11263" width="9.140625" style="1383"/>
    <col min="11264" max="11264" width="8.7109375" style="1383" customWidth="1"/>
    <col min="11265" max="11265" width="9.140625" style="1383"/>
    <col min="11266" max="11266" width="43.140625" style="1383" customWidth="1"/>
    <col min="11267" max="11267" width="9.140625" style="1383"/>
    <col min="11268" max="11268" width="10.42578125" style="1383" customWidth="1"/>
    <col min="11269" max="11269" width="12" style="1383" customWidth="1"/>
    <col min="11270" max="11271" width="9.140625" style="1383"/>
    <col min="11272" max="11272" width="9.85546875" style="1383" customWidth="1"/>
    <col min="11273" max="11273" width="12.28515625" style="1383" customWidth="1"/>
    <col min="11274" max="11274" width="9.28515625" style="1383" customWidth="1"/>
    <col min="11275" max="11275" width="9.140625" style="1383"/>
    <col min="11276" max="11276" width="11.5703125" style="1383" customWidth="1"/>
    <col min="11277" max="11278" width="9.140625" style="1383"/>
    <col min="11279" max="11279" width="9.42578125" style="1383" customWidth="1"/>
    <col min="11280" max="11519" width="9.140625" style="1383"/>
    <col min="11520" max="11520" width="8.7109375" style="1383" customWidth="1"/>
    <col min="11521" max="11521" width="9.140625" style="1383"/>
    <col min="11522" max="11522" width="43.140625" style="1383" customWidth="1"/>
    <col min="11523" max="11523" width="9.140625" style="1383"/>
    <col min="11524" max="11524" width="10.42578125" style="1383" customWidth="1"/>
    <col min="11525" max="11525" width="12" style="1383" customWidth="1"/>
    <col min="11526" max="11527" width="9.140625" style="1383"/>
    <col min="11528" max="11528" width="9.85546875" style="1383" customWidth="1"/>
    <col min="11529" max="11529" width="12.28515625" style="1383" customWidth="1"/>
    <col min="11530" max="11530" width="9.28515625" style="1383" customWidth="1"/>
    <col min="11531" max="11531" width="9.140625" style="1383"/>
    <col min="11532" max="11532" width="11.5703125" style="1383" customWidth="1"/>
    <col min="11533" max="11534" width="9.140625" style="1383"/>
    <col min="11535" max="11535" width="9.42578125" style="1383" customWidth="1"/>
    <col min="11536" max="11775" width="9.140625" style="1383"/>
    <col min="11776" max="11776" width="8.7109375" style="1383" customWidth="1"/>
    <col min="11777" max="11777" width="9.140625" style="1383"/>
    <col min="11778" max="11778" width="43.140625" style="1383" customWidth="1"/>
    <col min="11779" max="11779" width="9.140625" style="1383"/>
    <col min="11780" max="11780" width="10.42578125" style="1383" customWidth="1"/>
    <col min="11781" max="11781" width="12" style="1383" customWidth="1"/>
    <col min="11782" max="11783" width="9.140625" style="1383"/>
    <col min="11784" max="11784" width="9.85546875" style="1383" customWidth="1"/>
    <col min="11785" max="11785" width="12.28515625" style="1383" customWidth="1"/>
    <col min="11786" max="11786" width="9.28515625" style="1383" customWidth="1"/>
    <col min="11787" max="11787" width="9.140625" style="1383"/>
    <col min="11788" max="11788" width="11.5703125" style="1383" customWidth="1"/>
    <col min="11789" max="11790" width="9.140625" style="1383"/>
    <col min="11791" max="11791" width="9.42578125" style="1383" customWidth="1"/>
    <col min="11792" max="12031" width="9.140625" style="1383"/>
    <col min="12032" max="12032" width="8.7109375" style="1383" customWidth="1"/>
    <col min="12033" max="12033" width="9.140625" style="1383"/>
    <col min="12034" max="12034" width="43.140625" style="1383" customWidth="1"/>
    <col min="12035" max="12035" width="9.140625" style="1383"/>
    <col min="12036" max="12036" width="10.42578125" style="1383" customWidth="1"/>
    <col min="12037" max="12037" width="12" style="1383" customWidth="1"/>
    <col min="12038" max="12039" width="9.140625" style="1383"/>
    <col min="12040" max="12040" width="9.85546875" style="1383" customWidth="1"/>
    <col min="12041" max="12041" width="12.28515625" style="1383" customWidth="1"/>
    <col min="12042" max="12042" width="9.28515625" style="1383" customWidth="1"/>
    <col min="12043" max="12043" width="9.140625" style="1383"/>
    <col min="12044" max="12044" width="11.5703125" style="1383" customWidth="1"/>
    <col min="12045" max="12046" width="9.140625" style="1383"/>
    <col min="12047" max="12047" width="9.42578125" style="1383" customWidth="1"/>
    <col min="12048" max="12287" width="9.140625" style="1383"/>
    <col min="12288" max="12288" width="8.7109375" style="1383" customWidth="1"/>
    <col min="12289" max="12289" width="9.140625" style="1383"/>
    <col min="12290" max="12290" width="43.140625" style="1383" customWidth="1"/>
    <col min="12291" max="12291" width="9.140625" style="1383"/>
    <col min="12292" max="12292" width="10.42578125" style="1383" customWidth="1"/>
    <col min="12293" max="12293" width="12" style="1383" customWidth="1"/>
    <col min="12294" max="12295" width="9.140625" style="1383"/>
    <col min="12296" max="12296" width="9.85546875" style="1383" customWidth="1"/>
    <col min="12297" max="12297" width="12.28515625" style="1383" customWidth="1"/>
    <col min="12298" max="12298" width="9.28515625" style="1383" customWidth="1"/>
    <col min="12299" max="12299" width="9.140625" style="1383"/>
    <col min="12300" max="12300" width="11.5703125" style="1383" customWidth="1"/>
    <col min="12301" max="12302" width="9.140625" style="1383"/>
    <col min="12303" max="12303" width="9.42578125" style="1383" customWidth="1"/>
    <col min="12304" max="12543" width="9.140625" style="1383"/>
    <col min="12544" max="12544" width="8.7109375" style="1383" customWidth="1"/>
    <col min="12545" max="12545" width="9.140625" style="1383"/>
    <col min="12546" max="12546" width="43.140625" style="1383" customWidth="1"/>
    <col min="12547" max="12547" width="9.140625" style="1383"/>
    <col min="12548" max="12548" width="10.42578125" style="1383" customWidth="1"/>
    <col min="12549" max="12549" width="12" style="1383" customWidth="1"/>
    <col min="12550" max="12551" width="9.140625" style="1383"/>
    <col min="12552" max="12552" width="9.85546875" style="1383" customWidth="1"/>
    <col min="12553" max="12553" width="12.28515625" style="1383" customWidth="1"/>
    <col min="12554" max="12554" width="9.28515625" style="1383" customWidth="1"/>
    <col min="12555" max="12555" width="9.140625" style="1383"/>
    <col min="12556" max="12556" width="11.5703125" style="1383" customWidth="1"/>
    <col min="12557" max="12558" width="9.140625" style="1383"/>
    <col min="12559" max="12559" width="9.42578125" style="1383" customWidth="1"/>
    <col min="12560" max="12799" width="9.140625" style="1383"/>
    <col min="12800" max="12800" width="8.7109375" style="1383" customWidth="1"/>
    <col min="12801" max="12801" width="9.140625" style="1383"/>
    <col min="12802" max="12802" width="43.140625" style="1383" customWidth="1"/>
    <col min="12803" max="12803" width="9.140625" style="1383"/>
    <col min="12804" max="12804" width="10.42578125" style="1383" customWidth="1"/>
    <col min="12805" max="12805" width="12" style="1383" customWidth="1"/>
    <col min="12806" max="12807" width="9.140625" style="1383"/>
    <col min="12808" max="12808" width="9.85546875" style="1383" customWidth="1"/>
    <col min="12809" max="12809" width="12.28515625" style="1383" customWidth="1"/>
    <col min="12810" max="12810" width="9.28515625" style="1383" customWidth="1"/>
    <col min="12811" max="12811" width="9.140625" style="1383"/>
    <col min="12812" max="12812" width="11.5703125" style="1383" customWidth="1"/>
    <col min="12813" max="12814" width="9.140625" style="1383"/>
    <col min="12815" max="12815" width="9.42578125" style="1383" customWidth="1"/>
    <col min="12816" max="13055" width="9.140625" style="1383"/>
    <col min="13056" max="13056" width="8.7109375" style="1383" customWidth="1"/>
    <col min="13057" max="13057" width="9.140625" style="1383"/>
    <col min="13058" max="13058" width="43.140625" style="1383" customWidth="1"/>
    <col min="13059" max="13059" width="9.140625" style="1383"/>
    <col min="13060" max="13060" width="10.42578125" style="1383" customWidth="1"/>
    <col min="13061" max="13061" width="12" style="1383" customWidth="1"/>
    <col min="13062" max="13063" width="9.140625" style="1383"/>
    <col min="13064" max="13064" width="9.85546875" style="1383" customWidth="1"/>
    <col min="13065" max="13065" width="12.28515625" style="1383" customWidth="1"/>
    <col min="13066" max="13066" width="9.28515625" style="1383" customWidth="1"/>
    <col min="13067" max="13067" width="9.140625" style="1383"/>
    <col min="13068" max="13068" width="11.5703125" style="1383" customWidth="1"/>
    <col min="13069" max="13070" width="9.140625" style="1383"/>
    <col min="13071" max="13071" width="9.42578125" style="1383" customWidth="1"/>
    <col min="13072" max="13311" width="9.140625" style="1383"/>
    <col min="13312" max="13312" width="8.7109375" style="1383" customWidth="1"/>
    <col min="13313" max="13313" width="9.140625" style="1383"/>
    <col min="13314" max="13314" width="43.140625" style="1383" customWidth="1"/>
    <col min="13315" max="13315" width="9.140625" style="1383"/>
    <col min="13316" max="13316" width="10.42578125" style="1383" customWidth="1"/>
    <col min="13317" max="13317" width="12" style="1383" customWidth="1"/>
    <col min="13318" max="13319" width="9.140625" style="1383"/>
    <col min="13320" max="13320" width="9.85546875" style="1383" customWidth="1"/>
    <col min="13321" max="13321" width="12.28515625" style="1383" customWidth="1"/>
    <col min="13322" max="13322" width="9.28515625" style="1383" customWidth="1"/>
    <col min="13323" max="13323" width="9.140625" style="1383"/>
    <col min="13324" max="13324" width="11.5703125" style="1383" customWidth="1"/>
    <col min="13325" max="13326" width="9.140625" style="1383"/>
    <col min="13327" max="13327" width="9.42578125" style="1383" customWidth="1"/>
    <col min="13328" max="13567" width="9.140625" style="1383"/>
    <col min="13568" max="13568" width="8.7109375" style="1383" customWidth="1"/>
    <col min="13569" max="13569" width="9.140625" style="1383"/>
    <col min="13570" max="13570" width="43.140625" style="1383" customWidth="1"/>
    <col min="13571" max="13571" width="9.140625" style="1383"/>
    <col min="13572" max="13572" width="10.42578125" style="1383" customWidth="1"/>
    <col min="13573" max="13573" width="12" style="1383" customWidth="1"/>
    <col min="13574" max="13575" width="9.140625" style="1383"/>
    <col min="13576" max="13576" width="9.85546875" style="1383" customWidth="1"/>
    <col min="13577" max="13577" width="12.28515625" style="1383" customWidth="1"/>
    <col min="13578" max="13578" width="9.28515625" style="1383" customWidth="1"/>
    <col min="13579" max="13579" width="9.140625" style="1383"/>
    <col min="13580" max="13580" width="11.5703125" style="1383" customWidth="1"/>
    <col min="13581" max="13582" width="9.140625" style="1383"/>
    <col min="13583" max="13583" width="9.42578125" style="1383" customWidth="1"/>
    <col min="13584" max="13823" width="9.140625" style="1383"/>
    <col min="13824" max="13824" width="8.7109375" style="1383" customWidth="1"/>
    <col min="13825" max="13825" width="9.140625" style="1383"/>
    <col min="13826" max="13826" width="43.140625" style="1383" customWidth="1"/>
    <col min="13827" max="13827" width="9.140625" style="1383"/>
    <col min="13828" max="13828" width="10.42578125" style="1383" customWidth="1"/>
    <col min="13829" max="13829" width="12" style="1383" customWidth="1"/>
    <col min="13830" max="13831" width="9.140625" style="1383"/>
    <col min="13832" max="13832" width="9.85546875" style="1383" customWidth="1"/>
    <col min="13833" max="13833" width="12.28515625" style="1383" customWidth="1"/>
    <col min="13834" max="13834" width="9.28515625" style="1383" customWidth="1"/>
    <col min="13835" max="13835" width="9.140625" style="1383"/>
    <col min="13836" max="13836" width="11.5703125" style="1383" customWidth="1"/>
    <col min="13837" max="13838" width="9.140625" style="1383"/>
    <col min="13839" max="13839" width="9.42578125" style="1383" customWidth="1"/>
    <col min="13840" max="14079" width="9.140625" style="1383"/>
    <col min="14080" max="14080" width="8.7109375" style="1383" customWidth="1"/>
    <col min="14081" max="14081" width="9.140625" style="1383"/>
    <col min="14082" max="14082" width="43.140625" style="1383" customWidth="1"/>
    <col min="14083" max="14083" width="9.140625" style="1383"/>
    <col min="14084" max="14084" width="10.42578125" style="1383" customWidth="1"/>
    <col min="14085" max="14085" width="12" style="1383" customWidth="1"/>
    <col min="14086" max="14087" width="9.140625" style="1383"/>
    <col min="14088" max="14088" width="9.85546875" style="1383" customWidth="1"/>
    <col min="14089" max="14089" width="12.28515625" style="1383" customWidth="1"/>
    <col min="14090" max="14090" width="9.28515625" style="1383" customWidth="1"/>
    <col min="14091" max="14091" width="9.140625" style="1383"/>
    <col min="14092" max="14092" width="11.5703125" style="1383" customWidth="1"/>
    <col min="14093" max="14094" width="9.140625" style="1383"/>
    <col min="14095" max="14095" width="9.42578125" style="1383" customWidth="1"/>
    <col min="14096" max="14335" width="9.140625" style="1383"/>
    <col min="14336" max="14336" width="8.7109375" style="1383" customWidth="1"/>
    <col min="14337" max="14337" width="9.140625" style="1383"/>
    <col min="14338" max="14338" width="43.140625" style="1383" customWidth="1"/>
    <col min="14339" max="14339" width="9.140625" style="1383"/>
    <col min="14340" max="14340" width="10.42578125" style="1383" customWidth="1"/>
    <col min="14341" max="14341" width="12" style="1383" customWidth="1"/>
    <col min="14342" max="14343" width="9.140625" style="1383"/>
    <col min="14344" max="14344" width="9.85546875" style="1383" customWidth="1"/>
    <col min="14345" max="14345" width="12.28515625" style="1383" customWidth="1"/>
    <col min="14346" max="14346" width="9.28515625" style="1383" customWidth="1"/>
    <col min="14347" max="14347" width="9.140625" style="1383"/>
    <col min="14348" max="14348" width="11.5703125" style="1383" customWidth="1"/>
    <col min="14349" max="14350" width="9.140625" style="1383"/>
    <col min="14351" max="14351" width="9.42578125" style="1383" customWidth="1"/>
    <col min="14352" max="14591" width="9.140625" style="1383"/>
    <col min="14592" max="14592" width="8.7109375" style="1383" customWidth="1"/>
    <col min="14593" max="14593" width="9.140625" style="1383"/>
    <col min="14594" max="14594" width="43.140625" style="1383" customWidth="1"/>
    <col min="14595" max="14595" width="9.140625" style="1383"/>
    <col min="14596" max="14596" width="10.42578125" style="1383" customWidth="1"/>
    <col min="14597" max="14597" width="12" style="1383" customWidth="1"/>
    <col min="14598" max="14599" width="9.140625" style="1383"/>
    <col min="14600" max="14600" width="9.85546875" style="1383" customWidth="1"/>
    <col min="14601" max="14601" width="12.28515625" style="1383" customWidth="1"/>
    <col min="14602" max="14602" width="9.28515625" style="1383" customWidth="1"/>
    <col min="14603" max="14603" width="9.140625" style="1383"/>
    <col min="14604" max="14604" width="11.5703125" style="1383" customWidth="1"/>
    <col min="14605" max="14606" width="9.140625" style="1383"/>
    <col min="14607" max="14607" width="9.42578125" style="1383" customWidth="1"/>
    <col min="14608" max="14847" width="9.140625" style="1383"/>
    <col min="14848" max="14848" width="8.7109375" style="1383" customWidth="1"/>
    <col min="14849" max="14849" width="9.140625" style="1383"/>
    <col min="14850" max="14850" width="43.140625" style="1383" customWidth="1"/>
    <col min="14851" max="14851" width="9.140625" style="1383"/>
    <col min="14852" max="14852" width="10.42578125" style="1383" customWidth="1"/>
    <col min="14853" max="14853" width="12" style="1383" customWidth="1"/>
    <col min="14854" max="14855" width="9.140625" style="1383"/>
    <col min="14856" max="14856" width="9.85546875" style="1383" customWidth="1"/>
    <col min="14857" max="14857" width="12.28515625" style="1383" customWidth="1"/>
    <col min="14858" max="14858" width="9.28515625" style="1383" customWidth="1"/>
    <col min="14859" max="14859" width="9.140625" style="1383"/>
    <col min="14860" max="14860" width="11.5703125" style="1383" customWidth="1"/>
    <col min="14861" max="14862" width="9.140625" style="1383"/>
    <col min="14863" max="14863" width="9.42578125" style="1383" customWidth="1"/>
    <col min="14864" max="15103" width="9.140625" style="1383"/>
    <col min="15104" max="15104" width="8.7109375" style="1383" customWidth="1"/>
    <col min="15105" max="15105" width="9.140625" style="1383"/>
    <col min="15106" max="15106" width="43.140625" style="1383" customWidth="1"/>
    <col min="15107" max="15107" width="9.140625" style="1383"/>
    <col min="15108" max="15108" width="10.42578125" style="1383" customWidth="1"/>
    <col min="15109" max="15109" width="12" style="1383" customWidth="1"/>
    <col min="15110" max="15111" width="9.140625" style="1383"/>
    <col min="15112" max="15112" width="9.85546875" style="1383" customWidth="1"/>
    <col min="15113" max="15113" width="12.28515625" style="1383" customWidth="1"/>
    <col min="15114" max="15114" width="9.28515625" style="1383" customWidth="1"/>
    <col min="15115" max="15115" width="9.140625" style="1383"/>
    <col min="15116" max="15116" width="11.5703125" style="1383" customWidth="1"/>
    <col min="15117" max="15118" width="9.140625" style="1383"/>
    <col min="15119" max="15119" width="9.42578125" style="1383" customWidth="1"/>
    <col min="15120" max="15359" width="9.140625" style="1383"/>
    <col min="15360" max="15360" width="8.7109375" style="1383" customWidth="1"/>
    <col min="15361" max="15361" width="9.140625" style="1383"/>
    <col min="15362" max="15362" width="43.140625" style="1383" customWidth="1"/>
    <col min="15363" max="15363" width="9.140625" style="1383"/>
    <col min="15364" max="15364" width="10.42578125" style="1383" customWidth="1"/>
    <col min="15365" max="15365" width="12" style="1383" customWidth="1"/>
    <col min="15366" max="15367" width="9.140625" style="1383"/>
    <col min="15368" max="15368" width="9.85546875" style="1383" customWidth="1"/>
    <col min="15369" max="15369" width="12.28515625" style="1383" customWidth="1"/>
    <col min="15370" max="15370" width="9.28515625" style="1383" customWidth="1"/>
    <col min="15371" max="15371" width="9.140625" style="1383"/>
    <col min="15372" max="15372" width="11.5703125" style="1383" customWidth="1"/>
    <col min="15373" max="15374" width="9.140625" style="1383"/>
    <col min="15375" max="15375" width="9.42578125" style="1383" customWidth="1"/>
    <col min="15376" max="15615" width="9.140625" style="1383"/>
    <col min="15616" max="15616" width="8.7109375" style="1383" customWidth="1"/>
    <col min="15617" max="15617" width="9.140625" style="1383"/>
    <col min="15618" max="15618" width="43.140625" style="1383" customWidth="1"/>
    <col min="15619" max="15619" width="9.140625" style="1383"/>
    <col min="15620" max="15620" width="10.42578125" style="1383" customWidth="1"/>
    <col min="15621" max="15621" width="12" style="1383" customWidth="1"/>
    <col min="15622" max="15623" width="9.140625" style="1383"/>
    <col min="15624" max="15624" width="9.85546875" style="1383" customWidth="1"/>
    <col min="15625" max="15625" width="12.28515625" style="1383" customWidth="1"/>
    <col min="15626" max="15626" width="9.28515625" style="1383" customWidth="1"/>
    <col min="15627" max="15627" width="9.140625" style="1383"/>
    <col min="15628" max="15628" width="11.5703125" style="1383" customWidth="1"/>
    <col min="15629" max="15630" width="9.140625" style="1383"/>
    <col min="15631" max="15631" width="9.42578125" style="1383" customWidth="1"/>
    <col min="15632" max="15871" width="9.140625" style="1383"/>
    <col min="15872" max="15872" width="8.7109375" style="1383" customWidth="1"/>
    <col min="15873" max="15873" width="9.140625" style="1383"/>
    <col min="15874" max="15874" width="43.140625" style="1383" customWidth="1"/>
    <col min="15875" max="15875" width="9.140625" style="1383"/>
    <col min="15876" max="15876" width="10.42578125" style="1383" customWidth="1"/>
    <col min="15877" max="15877" width="12" style="1383" customWidth="1"/>
    <col min="15878" max="15879" width="9.140625" style="1383"/>
    <col min="15880" max="15880" width="9.85546875" style="1383" customWidth="1"/>
    <col min="15881" max="15881" width="12.28515625" style="1383" customWidth="1"/>
    <col min="15882" max="15882" width="9.28515625" style="1383" customWidth="1"/>
    <col min="15883" max="15883" width="9.140625" style="1383"/>
    <col min="15884" max="15884" width="11.5703125" style="1383" customWidth="1"/>
    <col min="15885" max="15886" width="9.140625" style="1383"/>
    <col min="15887" max="15887" width="9.42578125" style="1383" customWidth="1"/>
    <col min="15888" max="16127" width="9.140625" style="1383"/>
    <col min="16128" max="16128" width="8.7109375" style="1383" customWidth="1"/>
    <col min="16129" max="16129" width="9.140625" style="1383"/>
    <col min="16130" max="16130" width="43.140625" style="1383" customWidth="1"/>
    <col min="16131" max="16131" width="9.140625" style="1383"/>
    <col min="16132" max="16132" width="10.42578125" style="1383" customWidth="1"/>
    <col min="16133" max="16133" width="12" style="1383" customWidth="1"/>
    <col min="16134" max="16135" width="9.140625" style="1383"/>
    <col min="16136" max="16136" width="9.85546875" style="1383" customWidth="1"/>
    <col min="16137" max="16137" width="12.28515625" style="1383" customWidth="1"/>
    <col min="16138" max="16138" width="9.28515625" style="1383" customWidth="1"/>
    <col min="16139" max="16139" width="9.140625" style="1383"/>
    <col min="16140" max="16140" width="11.5703125" style="1383" customWidth="1"/>
    <col min="16141" max="16142" width="9.140625" style="1383"/>
    <col min="16143" max="16143" width="9.42578125" style="1383" customWidth="1"/>
    <col min="16144" max="16384" width="9.140625" style="1383"/>
  </cols>
  <sheetData>
    <row r="1" spans="1:16" s="1365" customFormat="1" ht="20.25">
      <c r="A1" s="3261" t="s">
        <v>2791</v>
      </c>
      <c r="B1" s="3261"/>
      <c r="C1" s="3261"/>
      <c r="D1" s="3261"/>
      <c r="E1" s="3261"/>
      <c r="F1" s="1364"/>
      <c r="G1" s="1364"/>
      <c r="H1" s="1364"/>
      <c r="I1" s="1364"/>
      <c r="J1" s="1364"/>
      <c r="K1" s="1364"/>
      <c r="L1" s="1364"/>
      <c r="M1" s="1364"/>
      <c r="N1" s="1364"/>
      <c r="O1" s="1364"/>
    </row>
    <row r="2" spans="1:16" s="1367" customFormat="1" ht="21" thickBot="1">
      <c r="A2" s="1366"/>
      <c r="B2" s="1364"/>
      <c r="C2" s="1364"/>
      <c r="D2" s="1364"/>
      <c r="E2" s="1364"/>
      <c r="F2" s="1366"/>
      <c r="G2" s="1366"/>
      <c r="H2" s="1366"/>
      <c r="I2" s="1366"/>
      <c r="J2" s="1366"/>
      <c r="K2" s="1366"/>
      <c r="L2" s="1366"/>
      <c r="M2" s="1366"/>
      <c r="N2" s="1366"/>
      <c r="O2" s="1366"/>
    </row>
    <row r="3" spans="1:16" s="1367" customFormat="1" ht="20.25">
      <c r="A3" s="3271" t="s">
        <v>2792</v>
      </c>
      <c r="B3" s="3272"/>
      <c r="C3" s="1368" t="s">
        <v>80</v>
      </c>
      <c r="D3" s="1368" t="s">
        <v>78</v>
      </c>
      <c r="E3" s="1369" t="s">
        <v>2083</v>
      </c>
      <c r="F3" s="1366"/>
      <c r="G3" s="1366"/>
      <c r="H3" s="1366"/>
      <c r="I3" s="1366"/>
      <c r="J3" s="1366"/>
      <c r="K3" s="1366"/>
      <c r="L3" s="1366"/>
      <c r="M3" s="1366"/>
      <c r="N3" s="1366"/>
      <c r="O3" s="1366"/>
    </row>
    <row r="4" spans="1:16" s="1367" customFormat="1" ht="21" thickBot="1">
      <c r="A4" s="3273"/>
      <c r="B4" s="3274"/>
      <c r="C4" s="1370" t="s">
        <v>2793</v>
      </c>
      <c r="D4" s="1370" t="s">
        <v>2794</v>
      </c>
      <c r="E4" s="1371" t="s">
        <v>104</v>
      </c>
      <c r="F4" s="1366"/>
      <c r="G4" s="1366"/>
      <c r="H4" s="1366"/>
      <c r="I4" s="1366"/>
      <c r="J4" s="1366"/>
      <c r="K4" s="1366"/>
      <c r="L4" s="1366"/>
      <c r="M4" s="1366"/>
      <c r="N4" s="1366"/>
      <c r="O4" s="1366"/>
    </row>
    <row r="5" spans="1:16" s="1367" customFormat="1" ht="20.25" hidden="1">
      <c r="A5" s="3275">
        <v>39412</v>
      </c>
      <c r="B5" s="3276"/>
      <c r="C5" s="1372">
        <v>550</v>
      </c>
      <c r="D5" s="1373">
        <v>14</v>
      </c>
      <c r="E5" s="1374">
        <v>8</v>
      </c>
      <c r="F5" s="1366"/>
      <c r="G5" s="1366"/>
      <c r="H5" s="1366"/>
      <c r="I5" s="1366"/>
      <c r="J5" s="1366"/>
      <c r="K5" s="1366"/>
      <c r="L5" s="1366"/>
      <c r="M5" s="1366"/>
      <c r="N5" s="1366"/>
      <c r="O5" s="1366"/>
    </row>
    <row r="6" spans="1:16" s="1367" customFormat="1" ht="20.25" hidden="1">
      <c r="A6" s="3277">
        <v>39499</v>
      </c>
      <c r="B6" s="3278"/>
      <c r="C6" s="1372">
        <v>1000</v>
      </c>
      <c r="D6" s="1373">
        <v>14</v>
      </c>
      <c r="E6" s="1375">
        <v>7.75</v>
      </c>
      <c r="F6" s="1366"/>
      <c r="G6" s="1366"/>
      <c r="H6" s="1366"/>
      <c r="I6" s="1366"/>
      <c r="J6" s="1366"/>
      <c r="K6" s="1366"/>
      <c r="L6" s="1366"/>
      <c r="M6" s="1366"/>
      <c r="N6" s="1366"/>
      <c r="O6" s="1366"/>
    </row>
    <row r="7" spans="1:16" s="1367" customFormat="1" ht="20.100000000000001" customHeight="1">
      <c r="A7" s="3279">
        <v>39510</v>
      </c>
      <c r="B7" s="3270"/>
      <c r="C7" s="1372">
        <v>2425</v>
      </c>
      <c r="D7" s="1373">
        <v>14</v>
      </c>
      <c r="E7" s="1375">
        <v>7.75</v>
      </c>
      <c r="F7" s="1366"/>
      <c r="G7" s="1366"/>
      <c r="H7" s="1366"/>
      <c r="I7" s="1366"/>
      <c r="J7" s="1366"/>
      <c r="K7" s="1366"/>
      <c r="L7" s="1366"/>
      <c r="M7" s="1366"/>
      <c r="N7" s="1366"/>
      <c r="O7" s="1366"/>
    </row>
    <row r="8" spans="1:16" s="1367" customFormat="1" ht="20.100000000000001" customHeight="1">
      <c r="A8" s="3269">
        <v>39524</v>
      </c>
      <c r="B8" s="3270"/>
      <c r="C8" s="1372">
        <v>2500</v>
      </c>
      <c r="D8" s="1373">
        <v>14</v>
      </c>
      <c r="E8" s="1375">
        <v>7.75</v>
      </c>
      <c r="F8" s="1366"/>
      <c r="G8" s="1366"/>
      <c r="H8" s="1366"/>
      <c r="I8" s="1366"/>
      <c r="J8" s="1366"/>
      <c r="K8" s="1366"/>
      <c r="L8" s="1366"/>
      <c r="M8" s="1366"/>
      <c r="N8" s="1366"/>
      <c r="O8" s="1366"/>
    </row>
    <row r="9" spans="1:16" s="1367" customFormat="1" ht="20.100000000000001" customHeight="1">
      <c r="A9" s="3269">
        <v>39532</v>
      </c>
      <c r="B9" s="3270"/>
      <c r="C9" s="1372">
        <v>2750</v>
      </c>
      <c r="D9" s="1373">
        <v>14</v>
      </c>
      <c r="E9" s="1375">
        <v>7.25</v>
      </c>
      <c r="F9" s="1366"/>
      <c r="G9" s="1366"/>
      <c r="H9" s="1366"/>
      <c r="I9" s="1366"/>
      <c r="J9" s="1366"/>
      <c r="K9" s="1366"/>
      <c r="L9" s="1366"/>
      <c r="M9" s="1366"/>
      <c r="N9" s="1366"/>
      <c r="O9" s="1366"/>
    </row>
    <row r="10" spans="1:16" s="1367" customFormat="1" ht="20.100000000000001" customHeight="1">
      <c r="A10" s="3279">
        <v>39546</v>
      </c>
      <c r="B10" s="3270"/>
      <c r="C10" s="1372">
        <v>2000</v>
      </c>
      <c r="D10" s="1373">
        <v>21</v>
      </c>
      <c r="E10" s="1376">
        <v>7.5</v>
      </c>
      <c r="F10" s="1366"/>
      <c r="G10" s="1366"/>
      <c r="H10" s="1366"/>
      <c r="I10" s="1366"/>
      <c r="J10" s="1366"/>
      <c r="K10" s="1366"/>
      <c r="L10" s="1366"/>
      <c r="M10" s="1366"/>
      <c r="N10" s="1366"/>
      <c r="O10" s="1366"/>
    </row>
    <row r="11" spans="1:16" s="1367" customFormat="1" ht="20.100000000000001" customHeight="1">
      <c r="A11" s="3279">
        <v>40078</v>
      </c>
      <c r="B11" s="3280"/>
      <c r="C11" s="1372">
        <v>1185</v>
      </c>
      <c r="D11" s="1373">
        <v>14</v>
      </c>
      <c r="E11" s="1376">
        <v>4.75</v>
      </c>
      <c r="F11" s="1366"/>
      <c r="G11" s="1366"/>
      <c r="H11" s="1366"/>
      <c r="I11" s="1366"/>
      <c r="J11" s="1366"/>
      <c r="K11" s="1366"/>
      <c r="L11" s="1366"/>
      <c r="M11" s="1366"/>
      <c r="N11" s="1366"/>
      <c r="O11" s="1366"/>
    </row>
    <row r="12" spans="1:16" s="1367" customFormat="1" ht="20.100000000000001" customHeight="1">
      <c r="A12" s="3269">
        <v>40168</v>
      </c>
      <c r="B12" s="3270"/>
      <c r="C12" s="1372">
        <v>1300</v>
      </c>
      <c r="D12" s="1373">
        <v>7</v>
      </c>
      <c r="E12" s="1376">
        <v>4.75</v>
      </c>
      <c r="F12" s="1366"/>
      <c r="G12" s="1366"/>
      <c r="H12" s="1366"/>
      <c r="I12" s="1366"/>
      <c r="J12" s="1366"/>
      <c r="K12" s="1366"/>
      <c r="L12" s="1366"/>
      <c r="M12" s="1366"/>
      <c r="N12" s="1366"/>
      <c r="O12" s="1366"/>
    </row>
    <row r="13" spans="1:16" s="1367" customFormat="1" ht="20.100000000000001" customHeight="1">
      <c r="A13" s="3269">
        <v>40262</v>
      </c>
      <c r="B13" s="3270"/>
      <c r="C13" s="1372">
        <v>3000</v>
      </c>
      <c r="D13" s="1373" t="s">
        <v>2795</v>
      </c>
      <c r="E13" s="1376">
        <v>4.75</v>
      </c>
      <c r="F13" s="1366"/>
      <c r="G13" s="1366"/>
      <c r="H13" s="1366"/>
      <c r="I13" s="1366"/>
      <c r="J13" s="1366"/>
      <c r="K13" s="1366"/>
      <c r="L13" s="1366"/>
      <c r="M13" s="1366"/>
      <c r="N13" s="1366"/>
      <c r="O13" s="1366"/>
    </row>
    <row r="14" spans="1:16" s="1367" customFormat="1" ht="20.100000000000001" customHeight="1">
      <c r="A14" s="3269">
        <v>40283</v>
      </c>
      <c r="B14" s="3270"/>
      <c r="C14" s="1372">
        <v>1700</v>
      </c>
      <c r="D14" s="1377">
        <v>21</v>
      </c>
      <c r="E14" s="1376">
        <v>4.75</v>
      </c>
      <c r="F14" s="1366"/>
      <c r="G14" s="1366"/>
      <c r="H14" s="1366"/>
      <c r="I14" s="1366"/>
      <c r="J14" s="1366"/>
      <c r="K14" s="1366"/>
      <c r="L14" s="1366"/>
      <c r="M14" s="1366"/>
      <c r="N14" s="1366"/>
      <c r="O14" s="1366"/>
    </row>
    <row r="15" spans="1:16" s="1367" customFormat="1" ht="20.100000000000001" customHeight="1" thickBot="1">
      <c r="A15" s="3259">
        <v>40346</v>
      </c>
      <c r="B15" s="3260"/>
      <c r="C15" s="1378">
        <v>2000</v>
      </c>
      <c r="D15" s="1379">
        <v>21</v>
      </c>
      <c r="E15" s="1380">
        <v>4.75</v>
      </c>
      <c r="F15" s="1366"/>
      <c r="G15" s="1366"/>
      <c r="H15" s="1366"/>
      <c r="I15" s="1366"/>
      <c r="J15" s="1366"/>
      <c r="K15" s="1366"/>
      <c r="L15" s="1366"/>
      <c r="M15" s="1366"/>
      <c r="N15" s="1366"/>
      <c r="O15" s="1366"/>
    </row>
    <row r="16" spans="1:16" ht="20.25">
      <c r="A16" s="1381" t="s">
        <v>2704</v>
      </c>
      <c r="B16" s="1364"/>
      <c r="C16" s="1366"/>
      <c r="D16" s="1382"/>
      <c r="E16" s="1382"/>
      <c r="F16" s="1382"/>
      <c r="G16" s="1382"/>
      <c r="H16" s="1382"/>
      <c r="I16" s="1382"/>
      <c r="J16" s="1364"/>
      <c r="K16" s="1364"/>
      <c r="L16" s="1364"/>
      <c r="M16" s="1364"/>
      <c r="N16" s="1364"/>
      <c r="O16" s="1364"/>
      <c r="P16" s="1365"/>
    </row>
    <row r="17" spans="1:15" s="1367" customFormat="1" ht="20.25">
      <c r="A17" s="1366"/>
      <c r="B17" s="1366"/>
      <c r="C17" s="1366"/>
      <c r="D17" s="1366"/>
      <c r="E17" s="1366"/>
      <c r="F17" s="1366"/>
      <c r="G17" s="1366"/>
      <c r="H17" s="1366"/>
      <c r="I17" s="1366"/>
      <c r="J17" s="1366"/>
      <c r="K17" s="1366"/>
      <c r="L17" s="1366"/>
      <c r="M17" s="1366"/>
      <c r="N17" s="1366"/>
      <c r="O17" s="1366"/>
    </row>
    <row r="18" spans="1:15" ht="20.25">
      <c r="A18" s="3261" t="s">
        <v>2796</v>
      </c>
      <c r="B18" s="3261"/>
      <c r="C18" s="3261"/>
      <c r="D18" s="3261"/>
      <c r="E18" s="3261"/>
      <c r="F18" s="3261"/>
      <c r="G18" s="3261"/>
      <c r="H18" s="3261"/>
      <c r="I18" s="3261"/>
      <c r="J18" s="3261"/>
      <c r="K18" s="3261"/>
      <c r="L18" s="3261"/>
      <c r="M18" s="3261"/>
      <c r="N18" s="3261"/>
      <c r="O18" s="3261"/>
    </row>
    <row r="19" spans="1:15" ht="21" thickBot="1">
      <c r="A19" s="1384"/>
      <c r="B19" s="1384"/>
      <c r="C19" s="1384"/>
      <c r="D19" s="1384"/>
      <c r="E19" s="1384"/>
      <c r="F19" s="1384"/>
      <c r="G19" s="1384"/>
      <c r="H19" s="1384"/>
      <c r="I19" s="1384"/>
      <c r="J19" s="1384"/>
      <c r="K19" s="1384"/>
      <c r="L19" s="1384"/>
      <c r="M19" s="1384"/>
      <c r="N19" s="1384"/>
      <c r="O19" s="1384"/>
    </row>
    <row r="20" spans="1:15" ht="25.5" customHeight="1" thickTop="1" thickBot="1">
      <c r="A20" s="1385"/>
      <c r="B20" s="1386" t="s">
        <v>2797</v>
      </c>
      <c r="C20" s="1386"/>
      <c r="D20" s="1386"/>
      <c r="E20" s="1386"/>
      <c r="F20" s="1386"/>
      <c r="G20" s="1386"/>
      <c r="H20" s="1387"/>
      <c r="I20" s="1386" t="s">
        <v>2798</v>
      </c>
      <c r="J20" s="1386"/>
      <c r="K20" s="1386"/>
      <c r="L20" s="1386"/>
      <c r="M20" s="1386"/>
      <c r="N20" s="1386"/>
      <c r="O20" s="1388"/>
    </row>
    <row r="21" spans="1:15" ht="20.100000000000001" customHeight="1">
      <c r="A21" s="1389"/>
      <c r="B21" s="1390" t="s">
        <v>116</v>
      </c>
      <c r="C21" s="1391" t="s">
        <v>80</v>
      </c>
      <c r="D21" s="1391" t="s">
        <v>2799</v>
      </c>
      <c r="E21" s="1391" t="s">
        <v>2800</v>
      </c>
      <c r="F21" s="1391" t="s">
        <v>2801</v>
      </c>
      <c r="G21" s="1391" t="s">
        <v>2802</v>
      </c>
      <c r="H21" s="1392" t="s">
        <v>2056</v>
      </c>
      <c r="I21" s="1393" t="s">
        <v>116</v>
      </c>
      <c r="J21" s="1391" t="s">
        <v>80</v>
      </c>
      <c r="K21" s="1391" t="s">
        <v>2799</v>
      </c>
      <c r="L21" s="1391" t="s">
        <v>2800</v>
      </c>
      <c r="M21" s="1391" t="s">
        <v>2801</v>
      </c>
      <c r="N21" s="1391" t="s">
        <v>2803</v>
      </c>
      <c r="O21" s="1394" t="s">
        <v>2056</v>
      </c>
    </row>
    <row r="22" spans="1:15" ht="20.100000000000001" customHeight="1">
      <c r="A22" s="1389"/>
      <c r="B22" s="1395" t="s">
        <v>118</v>
      </c>
      <c r="C22" s="1396" t="s">
        <v>2804</v>
      </c>
      <c r="D22" s="1396" t="s">
        <v>2805</v>
      </c>
      <c r="E22" s="1396" t="s">
        <v>78</v>
      </c>
      <c r="F22" s="1396" t="s">
        <v>2806</v>
      </c>
      <c r="G22" s="1396" t="s">
        <v>2066</v>
      </c>
      <c r="H22" s="1397" t="s">
        <v>2807</v>
      </c>
      <c r="I22" s="1398" t="s">
        <v>118</v>
      </c>
      <c r="J22" s="1396" t="s">
        <v>2804</v>
      </c>
      <c r="K22" s="1396" t="s">
        <v>2805</v>
      </c>
      <c r="L22" s="1396" t="s">
        <v>78</v>
      </c>
      <c r="M22" s="1396" t="s">
        <v>2806</v>
      </c>
      <c r="N22" s="1396" t="s">
        <v>2066</v>
      </c>
      <c r="O22" s="1399" t="s">
        <v>2807</v>
      </c>
    </row>
    <row r="23" spans="1:15" ht="20.100000000000001" customHeight="1">
      <c r="A23" s="1389"/>
      <c r="B23" s="1395" t="s">
        <v>2808</v>
      </c>
      <c r="C23" s="1396"/>
      <c r="D23" s="1396"/>
      <c r="E23" s="1396"/>
      <c r="F23" s="1396" t="s">
        <v>2809</v>
      </c>
      <c r="G23" s="1396" t="s">
        <v>2081</v>
      </c>
      <c r="H23" s="1397" t="s">
        <v>2809</v>
      </c>
      <c r="I23" s="1398" t="s">
        <v>2808</v>
      </c>
      <c r="J23" s="1396"/>
      <c r="K23" s="1396"/>
      <c r="L23" s="1396"/>
      <c r="M23" s="1396" t="s">
        <v>2809</v>
      </c>
      <c r="N23" s="1396" t="s">
        <v>2081</v>
      </c>
      <c r="O23" s="1399" t="s">
        <v>2809</v>
      </c>
    </row>
    <row r="24" spans="1:15" ht="20.100000000000001" customHeight="1" thickBot="1">
      <c r="A24" s="1389"/>
      <c r="B24" s="1400"/>
      <c r="C24" s="1401"/>
      <c r="D24" s="1401"/>
      <c r="E24" s="1402"/>
      <c r="F24" s="1403" t="s">
        <v>2804</v>
      </c>
      <c r="G24" s="1403"/>
      <c r="H24" s="1404" t="s">
        <v>2081</v>
      </c>
      <c r="I24" s="1405"/>
      <c r="J24" s="1406"/>
      <c r="K24" s="1406"/>
      <c r="L24" s="1403"/>
      <c r="M24" s="1403" t="s">
        <v>2804</v>
      </c>
      <c r="N24" s="1403"/>
      <c r="O24" s="1407" t="s">
        <v>2081</v>
      </c>
    </row>
    <row r="25" spans="1:15" ht="20.100000000000001" customHeight="1" thickBot="1">
      <c r="A25" s="1408"/>
      <c r="B25" s="1409"/>
      <c r="C25" s="1410" t="s">
        <v>49</v>
      </c>
      <c r="D25" s="1410"/>
      <c r="E25" s="1411" t="s">
        <v>2810</v>
      </c>
      <c r="F25" s="3262" t="s">
        <v>2055</v>
      </c>
      <c r="G25" s="3263"/>
      <c r="H25" s="3264"/>
      <c r="I25" s="1412"/>
      <c r="J25" s="1410" t="s">
        <v>49</v>
      </c>
      <c r="K25" s="1410"/>
      <c r="L25" s="1411" t="s">
        <v>2810</v>
      </c>
      <c r="M25" s="3262" t="s">
        <v>2055</v>
      </c>
      <c r="N25" s="3263"/>
      <c r="O25" s="3265"/>
    </row>
    <row r="26" spans="1:15" ht="20.100000000000001" customHeight="1" thickTop="1" thickBot="1">
      <c r="A26" s="1413">
        <v>41640</v>
      </c>
      <c r="B26" s="1414" t="s">
        <v>60</v>
      </c>
      <c r="C26" s="1415" t="s">
        <v>60</v>
      </c>
      <c r="D26" s="1415" t="s">
        <v>60</v>
      </c>
      <c r="E26" s="1416" t="s">
        <v>60</v>
      </c>
      <c r="F26" s="1417" t="s">
        <v>60</v>
      </c>
      <c r="G26" s="1417" t="s">
        <v>60</v>
      </c>
      <c r="H26" s="1417" t="s">
        <v>60</v>
      </c>
      <c r="I26" s="1418">
        <v>1</v>
      </c>
      <c r="J26" s="1415">
        <v>4900</v>
      </c>
      <c r="K26" s="1415">
        <v>1000</v>
      </c>
      <c r="L26" s="1419">
        <v>21</v>
      </c>
      <c r="M26" s="1417">
        <v>3.4</v>
      </c>
      <c r="N26" s="1417">
        <v>3.4</v>
      </c>
      <c r="O26" s="1420">
        <v>3.4</v>
      </c>
    </row>
    <row r="27" spans="1:15" ht="21" thickTop="1">
      <c r="A27" s="1421" t="s">
        <v>2811</v>
      </c>
      <c r="B27" s="1422"/>
      <c r="C27" s="1422"/>
      <c r="D27" s="1422"/>
      <c r="E27" s="1422"/>
      <c r="F27" s="1422"/>
      <c r="G27" s="1422"/>
      <c r="H27" s="1422"/>
      <c r="I27" s="1422"/>
      <c r="J27" s="1422"/>
      <c r="K27" s="1422"/>
      <c r="L27" s="1422"/>
      <c r="M27" s="1422"/>
      <c r="N27" s="1422"/>
      <c r="O27" s="1422"/>
    </row>
    <row r="28" spans="1:15" ht="20.25">
      <c r="A28" s="1421" t="s">
        <v>2812</v>
      </c>
      <c r="B28" s="1422"/>
      <c r="C28" s="1422"/>
      <c r="D28" s="1422"/>
      <c r="E28" s="1422"/>
      <c r="F28" s="1422"/>
      <c r="G28" s="1422"/>
      <c r="H28" s="1422"/>
      <c r="I28" s="1422"/>
      <c r="J28" s="1422"/>
      <c r="K28" s="1422"/>
      <c r="L28" s="1422"/>
      <c r="M28" s="1422"/>
      <c r="N28" s="1422"/>
      <c r="O28" s="1422"/>
    </row>
    <row r="29" spans="1:15" ht="20.25">
      <c r="A29" s="1381" t="s">
        <v>2704</v>
      </c>
      <c r="B29" s="1422"/>
      <c r="C29" s="1422"/>
      <c r="D29" s="1422"/>
      <c r="E29" s="1422"/>
      <c r="F29" s="1422"/>
      <c r="G29" s="1422"/>
      <c r="H29" s="1422"/>
      <c r="I29" s="1422"/>
      <c r="J29" s="1422"/>
      <c r="K29" s="1422"/>
      <c r="L29" s="1422"/>
      <c r="M29" s="1422"/>
      <c r="N29" s="1422"/>
      <c r="O29" s="1422"/>
    </row>
    <row r="30" spans="1:15" ht="20.25">
      <c r="A30" s="1423"/>
      <c r="B30" s="1423"/>
      <c r="C30" s="1423"/>
      <c r="D30" s="1423"/>
      <c r="E30" s="1423"/>
      <c r="F30" s="1423"/>
      <c r="G30" s="1423"/>
      <c r="H30" s="1423"/>
      <c r="I30" s="1423"/>
      <c r="J30" s="1423"/>
      <c r="K30" s="1423"/>
      <c r="L30" s="1423"/>
      <c r="M30" s="1423"/>
      <c r="N30" s="1423"/>
      <c r="O30" s="1423"/>
    </row>
    <row r="31" spans="1:15" ht="20.25">
      <c r="A31" s="1381"/>
      <c r="B31" s="1381"/>
      <c r="C31" s="1423"/>
      <c r="D31" s="1423"/>
      <c r="E31" s="1423"/>
      <c r="F31" s="1423"/>
      <c r="G31" s="1423"/>
      <c r="H31" s="1423"/>
      <c r="I31" s="1423"/>
      <c r="J31" s="1423"/>
      <c r="K31" s="1423"/>
      <c r="L31" s="1423"/>
      <c r="M31" s="1423"/>
      <c r="N31" s="1423"/>
      <c r="O31" s="1423"/>
    </row>
    <row r="32" spans="1:15" ht="20.25">
      <c r="A32" s="1424" t="s">
        <v>2813</v>
      </c>
      <c r="B32" s="1425"/>
      <c r="C32" s="1425"/>
      <c r="D32" s="1425"/>
      <c r="E32" s="1426"/>
      <c r="F32" s="1427"/>
      <c r="G32" s="1423"/>
      <c r="H32" s="1423"/>
      <c r="I32" s="1423"/>
      <c r="J32" s="1423"/>
      <c r="K32" s="1423"/>
      <c r="L32" s="1423"/>
      <c r="M32" s="1423"/>
      <c r="N32" s="1423"/>
      <c r="O32" s="1423"/>
    </row>
    <row r="33" spans="1:15" ht="21" thickBot="1">
      <c r="A33" s="1425"/>
      <c r="B33" s="1425"/>
      <c r="C33" s="1425"/>
      <c r="D33" s="1425"/>
      <c r="E33" s="1426"/>
      <c r="F33" s="1427"/>
      <c r="G33" s="1423"/>
      <c r="H33" s="1423"/>
      <c r="I33" s="1423"/>
      <c r="J33" s="1423"/>
      <c r="K33" s="1423"/>
      <c r="L33" s="1423"/>
      <c r="M33" s="1423"/>
      <c r="N33" s="1423"/>
      <c r="O33" s="1423"/>
    </row>
    <row r="34" spans="1:15" ht="22.5" thickBot="1">
      <c r="A34" s="1428"/>
      <c r="B34" s="1429"/>
      <c r="C34" s="3266" t="s">
        <v>2814</v>
      </c>
      <c r="D34" s="3267"/>
      <c r="E34" s="3266" t="s">
        <v>2815</v>
      </c>
      <c r="F34" s="3268"/>
      <c r="G34" s="1423"/>
      <c r="H34" s="1423"/>
      <c r="I34" s="1423"/>
      <c r="J34" s="1423"/>
      <c r="K34" s="1423"/>
      <c r="L34" s="1423"/>
      <c r="M34" s="1423"/>
      <c r="N34" s="1423"/>
      <c r="O34" s="1423"/>
    </row>
    <row r="35" spans="1:15" ht="21" thickBot="1">
      <c r="A35" s="1430"/>
      <c r="B35" s="1431"/>
      <c r="C35" s="3197" t="s">
        <v>2816</v>
      </c>
      <c r="D35" s="3198"/>
      <c r="E35" s="3197" t="s">
        <v>2817</v>
      </c>
      <c r="F35" s="3198"/>
      <c r="G35" s="1423"/>
      <c r="H35" s="1423"/>
      <c r="I35" s="1423"/>
      <c r="J35" s="1423"/>
      <c r="K35" s="1423"/>
      <c r="L35" s="1423"/>
      <c r="M35" s="1423"/>
      <c r="N35" s="1423"/>
      <c r="O35" s="1423"/>
    </row>
    <row r="36" spans="1:15" ht="20.25">
      <c r="A36" s="1432" t="s">
        <v>2818</v>
      </c>
      <c r="B36" s="1433"/>
      <c r="C36" s="3256">
        <v>1000</v>
      </c>
      <c r="D36" s="3257"/>
      <c r="E36" s="3256">
        <v>1000</v>
      </c>
      <c r="F36" s="3258"/>
      <c r="G36" s="1423"/>
      <c r="H36" s="1423"/>
      <c r="I36" s="1423"/>
      <c r="J36" s="1423"/>
      <c r="K36" s="1423"/>
      <c r="L36" s="1423"/>
      <c r="M36" s="1423"/>
      <c r="N36" s="1423"/>
      <c r="O36" s="1423"/>
    </row>
    <row r="37" spans="1:15" ht="19.5">
      <c r="A37" s="1432" t="s">
        <v>2819</v>
      </c>
      <c r="B37" s="1433"/>
      <c r="C37" s="3247">
        <v>1200</v>
      </c>
      <c r="D37" s="3248"/>
      <c r="E37" s="3247">
        <v>1450</v>
      </c>
      <c r="F37" s="3249"/>
    </row>
    <row r="38" spans="1:15" ht="19.5">
      <c r="A38" s="1432" t="s">
        <v>2820</v>
      </c>
      <c r="B38" s="1433"/>
      <c r="C38" s="3247">
        <v>800</v>
      </c>
      <c r="D38" s="3248"/>
      <c r="E38" s="3247">
        <v>1000</v>
      </c>
      <c r="F38" s="3249"/>
    </row>
    <row r="39" spans="1:15" ht="19.5">
      <c r="A39" s="1432" t="s">
        <v>2821</v>
      </c>
      <c r="B39" s="1433"/>
      <c r="C39" s="3250">
        <v>3.5</v>
      </c>
      <c r="D39" s="3251"/>
      <c r="E39" s="3250">
        <v>2.7</v>
      </c>
      <c r="F39" s="3252"/>
    </row>
    <row r="40" spans="1:15" ht="19.5">
      <c r="A40" s="1432" t="s">
        <v>2822</v>
      </c>
      <c r="B40" s="1433"/>
      <c r="C40" s="3253">
        <v>3.24</v>
      </c>
      <c r="D40" s="3254"/>
      <c r="E40" s="3253">
        <v>2.48</v>
      </c>
      <c r="F40" s="3255"/>
    </row>
    <row r="41" spans="1:15" ht="19.5">
      <c r="A41" s="1432" t="s">
        <v>2823</v>
      </c>
      <c r="B41" s="1433"/>
      <c r="C41" s="3240" t="s">
        <v>2824</v>
      </c>
      <c r="D41" s="3241"/>
      <c r="E41" s="3240" t="s">
        <v>2825</v>
      </c>
      <c r="F41" s="3242"/>
    </row>
    <row r="42" spans="1:15" ht="19.5" thickBot="1">
      <c r="A42" s="1434"/>
      <c r="B42" s="1435"/>
      <c r="C42" s="3243"/>
      <c r="D42" s="3244"/>
      <c r="E42" s="3243"/>
      <c r="F42" s="3245"/>
    </row>
    <row r="43" spans="1:15" ht="15.75">
      <c r="A43" s="3246"/>
      <c r="B43" s="3246"/>
      <c r="C43" s="3246"/>
      <c r="D43" s="3246"/>
      <c r="E43" s="3246"/>
      <c r="F43" s="3246"/>
    </row>
    <row r="44" spans="1:15" ht="18.75">
      <c r="A44" s="1436" t="s">
        <v>2704</v>
      </c>
      <c r="B44" s="1437"/>
      <c r="C44" s="1437"/>
      <c r="D44" s="3238"/>
      <c r="E44" s="3239"/>
      <c r="F44" s="3239"/>
    </row>
    <row r="45" spans="1:15" ht="21">
      <c r="B45" s="1381"/>
      <c r="C45" s="1381"/>
      <c r="D45" s="1438"/>
      <c r="E45" s="1438"/>
      <c r="F45" s="1438"/>
    </row>
    <row r="46" spans="1:15" ht="20.25">
      <c r="A46" s="1423"/>
      <c r="B46" s="1423"/>
      <c r="C46" s="1423"/>
      <c r="D46" s="1423"/>
      <c r="E46" s="1423"/>
      <c r="F46" s="1423"/>
    </row>
  </sheetData>
  <mergeCells count="37">
    <mergeCell ref="A14:B14"/>
    <mergeCell ref="A1:E1"/>
    <mergeCell ref="A3:B4"/>
    <mergeCell ref="A5:B5"/>
    <mergeCell ref="A6:B6"/>
    <mergeCell ref="A7:B7"/>
    <mergeCell ref="A8:B8"/>
    <mergeCell ref="A9:B9"/>
    <mergeCell ref="A10:B10"/>
    <mergeCell ref="A11:B11"/>
    <mergeCell ref="A12:B12"/>
    <mergeCell ref="A13:B13"/>
    <mergeCell ref="A15:B15"/>
    <mergeCell ref="A18:O18"/>
    <mergeCell ref="F25:H25"/>
    <mergeCell ref="M25:O25"/>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D44:F44"/>
    <mergeCell ref="C41:D41"/>
    <mergeCell ref="E41:F41"/>
    <mergeCell ref="C42:D42"/>
    <mergeCell ref="E42:F42"/>
    <mergeCell ref="A43:C43"/>
    <mergeCell ref="D43:F43"/>
  </mergeCells>
  <pageMargins left="0" right="0" top="0.74803149599999996" bottom="0.24803149599999999" header="0.31496062992126" footer="6.4960630000000005E-2"/>
  <pageSetup paperSize="9" scale="5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4"/>
  <sheetViews>
    <sheetView showGridLines="0" zoomScaleNormal="100" workbookViewId="0">
      <selection activeCell="A14" sqref="A14:C14"/>
    </sheetView>
  </sheetViews>
  <sheetFormatPr defaultRowHeight="18.75"/>
  <cols>
    <col min="1" max="1" width="9.140625" style="1446"/>
    <col min="2" max="2" width="40.7109375" style="1446" customWidth="1"/>
    <col min="3" max="3" width="21" style="1446" customWidth="1"/>
    <col min="4" max="4" width="17.42578125" style="1446" customWidth="1"/>
    <col min="5" max="5" width="21" style="1446" customWidth="1"/>
    <col min="6" max="6" width="18.5703125" style="1446" customWidth="1"/>
    <col min="7" max="7" width="13.85546875" style="1441" customWidth="1"/>
    <col min="8" max="8" width="23.42578125" style="1441" customWidth="1"/>
    <col min="9" max="257" width="9.140625" style="1441"/>
    <col min="258" max="258" width="40.28515625" style="1441" customWidth="1"/>
    <col min="259" max="259" width="14.42578125" style="1441" customWidth="1"/>
    <col min="260" max="260" width="16" style="1441" customWidth="1"/>
    <col min="261" max="261" width="14.42578125" style="1441" customWidth="1"/>
    <col min="262" max="262" width="16" style="1441" customWidth="1"/>
    <col min="263" max="263" width="3.42578125" style="1441" customWidth="1"/>
    <col min="264" max="513" width="9.140625" style="1441"/>
    <col min="514" max="514" width="40.28515625" style="1441" customWidth="1"/>
    <col min="515" max="515" width="14.42578125" style="1441" customWidth="1"/>
    <col min="516" max="516" width="16" style="1441" customWidth="1"/>
    <col min="517" max="517" width="14.42578125" style="1441" customWidth="1"/>
    <col min="518" max="518" width="16" style="1441" customWidth="1"/>
    <col min="519" max="519" width="3.42578125" style="1441" customWidth="1"/>
    <col min="520" max="769" width="9.140625" style="1441"/>
    <col min="770" max="770" width="40.28515625" style="1441" customWidth="1"/>
    <col min="771" max="771" width="14.42578125" style="1441" customWidth="1"/>
    <col min="772" max="772" width="16" style="1441" customWidth="1"/>
    <col min="773" max="773" width="14.42578125" style="1441" customWidth="1"/>
    <col min="774" max="774" width="16" style="1441" customWidth="1"/>
    <col min="775" max="775" width="3.42578125" style="1441" customWidth="1"/>
    <col min="776" max="1025" width="9.140625" style="1441"/>
    <col min="1026" max="1026" width="40.28515625" style="1441" customWidth="1"/>
    <col min="1027" max="1027" width="14.42578125" style="1441" customWidth="1"/>
    <col min="1028" max="1028" width="16" style="1441" customWidth="1"/>
    <col min="1029" max="1029" width="14.42578125" style="1441" customWidth="1"/>
    <col min="1030" max="1030" width="16" style="1441" customWidth="1"/>
    <col min="1031" max="1031" width="3.42578125" style="1441" customWidth="1"/>
    <col min="1032" max="1281" width="9.140625" style="1441"/>
    <col min="1282" max="1282" width="40.28515625" style="1441" customWidth="1"/>
    <col min="1283" max="1283" width="14.42578125" style="1441" customWidth="1"/>
    <col min="1284" max="1284" width="16" style="1441" customWidth="1"/>
    <col min="1285" max="1285" width="14.42578125" style="1441" customWidth="1"/>
    <col min="1286" max="1286" width="16" style="1441" customWidth="1"/>
    <col min="1287" max="1287" width="3.42578125" style="1441" customWidth="1"/>
    <col min="1288" max="1537" width="9.140625" style="1441"/>
    <col min="1538" max="1538" width="40.28515625" style="1441" customWidth="1"/>
    <col min="1539" max="1539" width="14.42578125" style="1441" customWidth="1"/>
    <col min="1540" max="1540" width="16" style="1441" customWidth="1"/>
    <col min="1541" max="1541" width="14.42578125" style="1441" customWidth="1"/>
    <col min="1542" max="1542" width="16" style="1441" customWidth="1"/>
    <col min="1543" max="1543" width="3.42578125" style="1441" customWidth="1"/>
    <col min="1544" max="1793" width="9.140625" style="1441"/>
    <col min="1794" max="1794" width="40.28515625" style="1441" customWidth="1"/>
    <col min="1795" max="1795" width="14.42578125" style="1441" customWidth="1"/>
    <col min="1796" max="1796" width="16" style="1441" customWidth="1"/>
    <col min="1797" max="1797" width="14.42578125" style="1441" customWidth="1"/>
    <col min="1798" max="1798" width="16" style="1441" customWidth="1"/>
    <col min="1799" max="1799" width="3.42578125" style="1441" customWidth="1"/>
    <col min="1800" max="2049" width="9.140625" style="1441"/>
    <col min="2050" max="2050" width="40.28515625" style="1441" customWidth="1"/>
    <col min="2051" max="2051" width="14.42578125" style="1441" customWidth="1"/>
    <col min="2052" max="2052" width="16" style="1441" customWidth="1"/>
    <col min="2053" max="2053" width="14.42578125" style="1441" customWidth="1"/>
    <col min="2054" max="2054" width="16" style="1441" customWidth="1"/>
    <col min="2055" max="2055" width="3.42578125" style="1441" customWidth="1"/>
    <col min="2056" max="2305" width="9.140625" style="1441"/>
    <col min="2306" max="2306" width="40.28515625" style="1441" customWidth="1"/>
    <col min="2307" max="2307" width="14.42578125" style="1441" customWidth="1"/>
    <col min="2308" max="2308" width="16" style="1441" customWidth="1"/>
    <col min="2309" max="2309" width="14.42578125" style="1441" customWidth="1"/>
    <col min="2310" max="2310" width="16" style="1441" customWidth="1"/>
    <col min="2311" max="2311" width="3.42578125" style="1441" customWidth="1"/>
    <col min="2312" max="2561" width="9.140625" style="1441"/>
    <col min="2562" max="2562" width="40.28515625" style="1441" customWidth="1"/>
    <col min="2563" max="2563" width="14.42578125" style="1441" customWidth="1"/>
    <col min="2564" max="2564" width="16" style="1441" customWidth="1"/>
    <col min="2565" max="2565" width="14.42578125" style="1441" customWidth="1"/>
    <col min="2566" max="2566" width="16" style="1441" customWidth="1"/>
    <col min="2567" max="2567" width="3.42578125" style="1441" customWidth="1"/>
    <col min="2568" max="2817" width="9.140625" style="1441"/>
    <col min="2818" max="2818" width="40.28515625" style="1441" customWidth="1"/>
    <col min="2819" max="2819" width="14.42578125" style="1441" customWidth="1"/>
    <col min="2820" max="2820" width="16" style="1441" customWidth="1"/>
    <col min="2821" max="2821" width="14.42578125" style="1441" customWidth="1"/>
    <col min="2822" max="2822" width="16" style="1441" customWidth="1"/>
    <col min="2823" max="2823" width="3.42578125" style="1441" customWidth="1"/>
    <col min="2824" max="3073" width="9.140625" style="1441"/>
    <col min="3074" max="3074" width="40.28515625" style="1441" customWidth="1"/>
    <col min="3075" max="3075" width="14.42578125" style="1441" customWidth="1"/>
    <col min="3076" max="3076" width="16" style="1441" customWidth="1"/>
    <col min="3077" max="3077" width="14.42578125" style="1441" customWidth="1"/>
    <col min="3078" max="3078" width="16" style="1441" customWidth="1"/>
    <col min="3079" max="3079" width="3.42578125" style="1441" customWidth="1"/>
    <col min="3080" max="3329" width="9.140625" style="1441"/>
    <col min="3330" max="3330" width="40.28515625" style="1441" customWidth="1"/>
    <col min="3331" max="3331" width="14.42578125" style="1441" customWidth="1"/>
    <col min="3332" max="3332" width="16" style="1441" customWidth="1"/>
    <col min="3333" max="3333" width="14.42578125" style="1441" customWidth="1"/>
    <col min="3334" max="3334" width="16" style="1441" customWidth="1"/>
    <col min="3335" max="3335" width="3.42578125" style="1441" customWidth="1"/>
    <col min="3336" max="3585" width="9.140625" style="1441"/>
    <col min="3586" max="3586" width="40.28515625" style="1441" customWidth="1"/>
    <col min="3587" max="3587" width="14.42578125" style="1441" customWidth="1"/>
    <col min="3588" max="3588" width="16" style="1441" customWidth="1"/>
    <col min="3589" max="3589" width="14.42578125" style="1441" customWidth="1"/>
    <col min="3590" max="3590" width="16" style="1441" customWidth="1"/>
    <col min="3591" max="3591" width="3.42578125" style="1441" customWidth="1"/>
    <col min="3592" max="3841" width="9.140625" style="1441"/>
    <col min="3842" max="3842" width="40.28515625" style="1441" customWidth="1"/>
    <col min="3843" max="3843" width="14.42578125" style="1441" customWidth="1"/>
    <col min="3844" max="3844" width="16" style="1441" customWidth="1"/>
    <col min="3845" max="3845" width="14.42578125" style="1441" customWidth="1"/>
    <col min="3846" max="3846" width="16" style="1441" customWidth="1"/>
    <col min="3847" max="3847" width="3.42578125" style="1441" customWidth="1"/>
    <col min="3848" max="4097" width="9.140625" style="1441"/>
    <col min="4098" max="4098" width="40.28515625" style="1441" customWidth="1"/>
    <col min="4099" max="4099" width="14.42578125" style="1441" customWidth="1"/>
    <col min="4100" max="4100" width="16" style="1441" customWidth="1"/>
    <col min="4101" max="4101" width="14.42578125" style="1441" customWidth="1"/>
    <col min="4102" max="4102" width="16" style="1441" customWidth="1"/>
    <col min="4103" max="4103" width="3.42578125" style="1441" customWidth="1"/>
    <col min="4104" max="4353" width="9.140625" style="1441"/>
    <col min="4354" max="4354" width="40.28515625" style="1441" customWidth="1"/>
    <col min="4355" max="4355" width="14.42578125" style="1441" customWidth="1"/>
    <col min="4356" max="4356" width="16" style="1441" customWidth="1"/>
    <col min="4357" max="4357" width="14.42578125" style="1441" customWidth="1"/>
    <col min="4358" max="4358" width="16" style="1441" customWidth="1"/>
    <col min="4359" max="4359" width="3.42578125" style="1441" customWidth="1"/>
    <col min="4360" max="4609" width="9.140625" style="1441"/>
    <col min="4610" max="4610" width="40.28515625" style="1441" customWidth="1"/>
    <col min="4611" max="4611" width="14.42578125" style="1441" customWidth="1"/>
    <col min="4612" max="4612" width="16" style="1441" customWidth="1"/>
    <col min="4613" max="4613" width="14.42578125" style="1441" customWidth="1"/>
    <col min="4614" max="4614" width="16" style="1441" customWidth="1"/>
    <col min="4615" max="4615" width="3.42578125" style="1441" customWidth="1"/>
    <col min="4616" max="4865" width="9.140625" style="1441"/>
    <col min="4866" max="4866" width="40.28515625" style="1441" customWidth="1"/>
    <col min="4867" max="4867" width="14.42578125" style="1441" customWidth="1"/>
    <col min="4868" max="4868" width="16" style="1441" customWidth="1"/>
    <col min="4869" max="4869" width="14.42578125" style="1441" customWidth="1"/>
    <col min="4870" max="4870" width="16" style="1441" customWidth="1"/>
    <col min="4871" max="4871" width="3.42578125" style="1441" customWidth="1"/>
    <col min="4872" max="5121" width="9.140625" style="1441"/>
    <col min="5122" max="5122" width="40.28515625" style="1441" customWidth="1"/>
    <col min="5123" max="5123" width="14.42578125" style="1441" customWidth="1"/>
    <col min="5124" max="5124" width="16" style="1441" customWidth="1"/>
    <col min="5125" max="5125" width="14.42578125" style="1441" customWidth="1"/>
    <col min="5126" max="5126" width="16" style="1441" customWidth="1"/>
    <col min="5127" max="5127" width="3.42578125" style="1441" customWidth="1"/>
    <col min="5128" max="5377" width="9.140625" style="1441"/>
    <col min="5378" max="5378" width="40.28515625" style="1441" customWidth="1"/>
    <col min="5379" max="5379" width="14.42578125" style="1441" customWidth="1"/>
    <col min="5380" max="5380" width="16" style="1441" customWidth="1"/>
    <col min="5381" max="5381" width="14.42578125" style="1441" customWidth="1"/>
    <col min="5382" max="5382" width="16" style="1441" customWidth="1"/>
    <col min="5383" max="5383" width="3.42578125" style="1441" customWidth="1"/>
    <col min="5384" max="5633" width="9.140625" style="1441"/>
    <col min="5634" max="5634" width="40.28515625" style="1441" customWidth="1"/>
    <col min="5635" max="5635" width="14.42578125" style="1441" customWidth="1"/>
    <col min="5636" max="5636" width="16" style="1441" customWidth="1"/>
    <col min="5637" max="5637" width="14.42578125" style="1441" customWidth="1"/>
    <col min="5638" max="5638" width="16" style="1441" customWidth="1"/>
    <col min="5639" max="5639" width="3.42578125" style="1441" customWidth="1"/>
    <col min="5640" max="5889" width="9.140625" style="1441"/>
    <col min="5890" max="5890" width="40.28515625" style="1441" customWidth="1"/>
    <col min="5891" max="5891" width="14.42578125" style="1441" customWidth="1"/>
    <col min="5892" max="5892" width="16" style="1441" customWidth="1"/>
    <col min="5893" max="5893" width="14.42578125" style="1441" customWidth="1"/>
    <col min="5894" max="5894" width="16" style="1441" customWidth="1"/>
    <col min="5895" max="5895" width="3.42578125" style="1441" customWidth="1"/>
    <col min="5896" max="6145" width="9.140625" style="1441"/>
    <col min="6146" max="6146" width="40.28515625" style="1441" customWidth="1"/>
    <col min="6147" max="6147" width="14.42578125" style="1441" customWidth="1"/>
    <col min="6148" max="6148" width="16" style="1441" customWidth="1"/>
    <col min="6149" max="6149" width="14.42578125" style="1441" customWidth="1"/>
    <col min="6150" max="6150" width="16" style="1441" customWidth="1"/>
    <col min="6151" max="6151" width="3.42578125" style="1441" customWidth="1"/>
    <col min="6152" max="6401" width="9.140625" style="1441"/>
    <col min="6402" max="6402" width="40.28515625" style="1441" customWidth="1"/>
    <col min="6403" max="6403" width="14.42578125" style="1441" customWidth="1"/>
    <col min="6404" max="6404" width="16" style="1441" customWidth="1"/>
    <col min="6405" max="6405" width="14.42578125" style="1441" customWidth="1"/>
    <col min="6406" max="6406" width="16" style="1441" customWidth="1"/>
    <col min="6407" max="6407" width="3.42578125" style="1441" customWidth="1"/>
    <col min="6408" max="6657" width="9.140625" style="1441"/>
    <col min="6658" max="6658" width="40.28515625" style="1441" customWidth="1"/>
    <col min="6659" max="6659" width="14.42578125" style="1441" customWidth="1"/>
    <col min="6660" max="6660" width="16" style="1441" customWidth="1"/>
    <col min="6661" max="6661" width="14.42578125" style="1441" customWidth="1"/>
    <col min="6662" max="6662" width="16" style="1441" customWidth="1"/>
    <col min="6663" max="6663" width="3.42578125" style="1441" customWidth="1"/>
    <col min="6664" max="6913" width="9.140625" style="1441"/>
    <col min="6914" max="6914" width="40.28515625" style="1441" customWidth="1"/>
    <col min="6915" max="6915" width="14.42578125" style="1441" customWidth="1"/>
    <col min="6916" max="6916" width="16" style="1441" customWidth="1"/>
    <col min="6917" max="6917" width="14.42578125" style="1441" customWidth="1"/>
    <col min="6918" max="6918" width="16" style="1441" customWidth="1"/>
    <col min="6919" max="6919" width="3.42578125" style="1441" customWidth="1"/>
    <col min="6920" max="7169" width="9.140625" style="1441"/>
    <col min="7170" max="7170" width="40.28515625" style="1441" customWidth="1"/>
    <col min="7171" max="7171" width="14.42578125" style="1441" customWidth="1"/>
    <col min="7172" max="7172" width="16" style="1441" customWidth="1"/>
    <col min="7173" max="7173" width="14.42578125" style="1441" customWidth="1"/>
    <col min="7174" max="7174" width="16" style="1441" customWidth="1"/>
    <col min="7175" max="7175" width="3.42578125" style="1441" customWidth="1"/>
    <col min="7176" max="7425" width="9.140625" style="1441"/>
    <col min="7426" max="7426" width="40.28515625" style="1441" customWidth="1"/>
    <col min="7427" max="7427" width="14.42578125" style="1441" customWidth="1"/>
    <col min="7428" max="7428" width="16" style="1441" customWidth="1"/>
    <col min="7429" max="7429" width="14.42578125" style="1441" customWidth="1"/>
    <col min="7430" max="7430" width="16" style="1441" customWidth="1"/>
    <col min="7431" max="7431" width="3.42578125" style="1441" customWidth="1"/>
    <col min="7432" max="7681" width="9.140625" style="1441"/>
    <col min="7682" max="7682" width="40.28515625" style="1441" customWidth="1"/>
    <col min="7683" max="7683" width="14.42578125" style="1441" customWidth="1"/>
    <col min="7684" max="7684" width="16" style="1441" customWidth="1"/>
    <col min="7685" max="7685" width="14.42578125" style="1441" customWidth="1"/>
    <col min="7686" max="7686" width="16" style="1441" customWidth="1"/>
    <col min="7687" max="7687" width="3.42578125" style="1441" customWidth="1"/>
    <col min="7688" max="7937" width="9.140625" style="1441"/>
    <col min="7938" max="7938" width="40.28515625" style="1441" customWidth="1"/>
    <col min="7939" max="7939" width="14.42578125" style="1441" customWidth="1"/>
    <col min="7940" max="7940" width="16" style="1441" customWidth="1"/>
    <col min="7941" max="7941" width="14.42578125" style="1441" customWidth="1"/>
    <col min="7942" max="7942" width="16" style="1441" customWidth="1"/>
    <col min="7943" max="7943" width="3.42578125" style="1441" customWidth="1"/>
    <col min="7944" max="8193" width="9.140625" style="1441"/>
    <col min="8194" max="8194" width="40.28515625" style="1441" customWidth="1"/>
    <col min="8195" max="8195" width="14.42578125" style="1441" customWidth="1"/>
    <col min="8196" max="8196" width="16" style="1441" customWidth="1"/>
    <col min="8197" max="8197" width="14.42578125" style="1441" customWidth="1"/>
    <col min="8198" max="8198" width="16" style="1441" customWidth="1"/>
    <col min="8199" max="8199" width="3.42578125" style="1441" customWidth="1"/>
    <col min="8200" max="8449" width="9.140625" style="1441"/>
    <col min="8450" max="8450" width="40.28515625" style="1441" customWidth="1"/>
    <col min="8451" max="8451" width="14.42578125" style="1441" customWidth="1"/>
    <col min="8452" max="8452" width="16" style="1441" customWidth="1"/>
    <col min="8453" max="8453" width="14.42578125" style="1441" customWidth="1"/>
    <col min="8454" max="8454" width="16" style="1441" customWidth="1"/>
    <col min="8455" max="8455" width="3.42578125" style="1441" customWidth="1"/>
    <col min="8456" max="8705" width="9.140625" style="1441"/>
    <col min="8706" max="8706" width="40.28515625" style="1441" customWidth="1"/>
    <col min="8707" max="8707" width="14.42578125" style="1441" customWidth="1"/>
    <col min="8708" max="8708" width="16" style="1441" customWidth="1"/>
    <col min="8709" max="8709" width="14.42578125" style="1441" customWidth="1"/>
    <col min="8710" max="8710" width="16" style="1441" customWidth="1"/>
    <col min="8711" max="8711" width="3.42578125" style="1441" customWidth="1"/>
    <col min="8712" max="8961" width="9.140625" style="1441"/>
    <col min="8962" max="8962" width="40.28515625" style="1441" customWidth="1"/>
    <col min="8963" max="8963" width="14.42578125" style="1441" customWidth="1"/>
    <col min="8964" max="8964" width="16" style="1441" customWidth="1"/>
    <col min="8965" max="8965" width="14.42578125" style="1441" customWidth="1"/>
    <col min="8966" max="8966" width="16" style="1441" customWidth="1"/>
    <col min="8967" max="8967" width="3.42578125" style="1441" customWidth="1"/>
    <col min="8968" max="9217" width="9.140625" style="1441"/>
    <col min="9218" max="9218" width="40.28515625" style="1441" customWidth="1"/>
    <col min="9219" max="9219" width="14.42578125" style="1441" customWidth="1"/>
    <col min="9220" max="9220" width="16" style="1441" customWidth="1"/>
    <col min="9221" max="9221" width="14.42578125" style="1441" customWidth="1"/>
    <col min="9222" max="9222" width="16" style="1441" customWidth="1"/>
    <col min="9223" max="9223" width="3.42578125" style="1441" customWidth="1"/>
    <col min="9224" max="9473" width="9.140625" style="1441"/>
    <col min="9474" max="9474" width="40.28515625" style="1441" customWidth="1"/>
    <col min="9475" max="9475" width="14.42578125" style="1441" customWidth="1"/>
    <col min="9476" max="9476" width="16" style="1441" customWidth="1"/>
    <col min="9477" max="9477" width="14.42578125" style="1441" customWidth="1"/>
    <col min="9478" max="9478" width="16" style="1441" customWidth="1"/>
    <col min="9479" max="9479" width="3.42578125" style="1441" customWidth="1"/>
    <col min="9480" max="9729" width="9.140625" style="1441"/>
    <col min="9730" max="9730" width="40.28515625" style="1441" customWidth="1"/>
    <col min="9731" max="9731" width="14.42578125" style="1441" customWidth="1"/>
    <col min="9732" max="9732" width="16" style="1441" customWidth="1"/>
    <col min="9733" max="9733" width="14.42578125" style="1441" customWidth="1"/>
    <col min="9734" max="9734" width="16" style="1441" customWidth="1"/>
    <col min="9735" max="9735" width="3.42578125" style="1441" customWidth="1"/>
    <col min="9736" max="9985" width="9.140625" style="1441"/>
    <col min="9986" max="9986" width="40.28515625" style="1441" customWidth="1"/>
    <col min="9987" max="9987" width="14.42578125" style="1441" customWidth="1"/>
    <col min="9988" max="9988" width="16" style="1441" customWidth="1"/>
    <col min="9989" max="9989" width="14.42578125" style="1441" customWidth="1"/>
    <col min="9990" max="9990" width="16" style="1441" customWidth="1"/>
    <col min="9991" max="9991" width="3.42578125" style="1441" customWidth="1"/>
    <col min="9992" max="10241" width="9.140625" style="1441"/>
    <col min="10242" max="10242" width="40.28515625" style="1441" customWidth="1"/>
    <col min="10243" max="10243" width="14.42578125" style="1441" customWidth="1"/>
    <col min="10244" max="10244" width="16" style="1441" customWidth="1"/>
    <col min="10245" max="10245" width="14.42578125" style="1441" customWidth="1"/>
    <col min="10246" max="10246" width="16" style="1441" customWidth="1"/>
    <col min="10247" max="10247" width="3.42578125" style="1441" customWidth="1"/>
    <col min="10248" max="10497" width="9.140625" style="1441"/>
    <col min="10498" max="10498" width="40.28515625" style="1441" customWidth="1"/>
    <col min="10499" max="10499" width="14.42578125" style="1441" customWidth="1"/>
    <col min="10500" max="10500" width="16" style="1441" customWidth="1"/>
    <col min="10501" max="10501" width="14.42578125" style="1441" customWidth="1"/>
    <col min="10502" max="10502" width="16" style="1441" customWidth="1"/>
    <col min="10503" max="10503" width="3.42578125" style="1441" customWidth="1"/>
    <col min="10504" max="10753" width="9.140625" style="1441"/>
    <col min="10754" max="10754" width="40.28515625" style="1441" customWidth="1"/>
    <col min="10755" max="10755" width="14.42578125" style="1441" customWidth="1"/>
    <col min="10756" max="10756" width="16" style="1441" customWidth="1"/>
    <col min="10757" max="10757" width="14.42578125" style="1441" customWidth="1"/>
    <col min="10758" max="10758" width="16" style="1441" customWidth="1"/>
    <col min="10759" max="10759" width="3.42578125" style="1441" customWidth="1"/>
    <col min="10760" max="11009" width="9.140625" style="1441"/>
    <col min="11010" max="11010" width="40.28515625" style="1441" customWidth="1"/>
    <col min="11011" max="11011" width="14.42578125" style="1441" customWidth="1"/>
    <col min="11012" max="11012" width="16" style="1441" customWidth="1"/>
    <col min="11013" max="11013" width="14.42578125" style="1441" customWidth="1"/>
    <col min="11014" max="11014" width="16" style="1441" customWidth="1"/>
    <col min="11015" max="11015" width="3.42578125" style="1441" customWidth="1"/>
    <col min="11016" max="11265" width="9.140625" style="1441"/>
    <col min="11266" max="11266" width="40.28515625" style="1441" customWidth="1"/>
    <col min="11267" max="11267" width="14.42578125" style="1441" customWidth="1"/>
    <col min="11268" max="11268" width="16" style="1441" customWidth="1"/>
    <col min="11269" max="11269" width="14.42578125" style="1441" customWidth="1"/>
    <col min="11270" max="11270" width="16" style="1441" customWidth="1"/>
    <col min="11271" max="11271" width="3.42578125" style="1441" customWidth="1"/>
    <col min="11272" max="11521" width="9.140625" style="1441"/>
    <col min="11522" max="11522" width="40.28515625" style="1441" customWidth="1"/>
    <col min="11523" max="11523" width="14.42578125" style="1441" customWidth="1"/>
    <col min="11524" max="11524" width="16" style="1441" customWidth="1"/>
    <col min="11525" max="11525" width="14.42578125" style="1441" customWidth="1"/>
    <col min="11526" max="11526" width="16" style="1441" customWidth="1"/>
    <col min="11527" max="11527" width="3.42578125" style="1441" customWidth="1"/>
    <col min="11528" max="11777" width="9.140625" style="1441"/>
    <col min="11778" max="11778" width="40.28515625" style="1441" customWidth="1"/>
    <col min="11779" max="11779" width="14.42578125" style="1441" customWidth="1"/>
    <col min="11780" max="11780" width="16" style="1441" customWidth="1"/>
    <col min="11781" max="11781" width="14.42578125" style="1441" customWidth="1"/>
    <col min="11782" max="11782" width="16" style="1441" customWidth="1"/>
    <col min="11783" max="11783" width="3.42578125" style="1441" customWidth="1"/>
    <col min="11784" max="12033" width="9.140625" style="1441"/>
    <col min="12034" max="12034" width="40.28515625" style="1441" customWidth="1"/>
    <col min="12035" max="12035" width="14.42578125" style="1441" customWidth="1"/>
    <col min="12036" max="12036" width="16" style="1441" customWidth="1"/>
    <col min="12037" max="12037" width="14.42578125" style="1441" customWidth="1"/>
    <col min="12038" max="12038" width="16" style="1441" customWidth="1"/>
    <col min="12039" max="12039" width="3.42578125" style="1441" customWidth="1"/>
    <col min="12040" max="12289" width="9.140625" style="1441"/>
    <col min="12290" max="12290" width="40.28515625" style="1441" customWidth="1"/>
    <col min="12291" max="12291" width="14.42578125" style="1441" customWidth="1"/>
    <col min="12292" max="12292" width="16" style="1441" customWidth="1"/>
    <col min="12293" max="12293" width="14.42578125" style="1441" customWidth="1"/>
    <col min="12294" max="12294" width="16" style="1441" customWidth="1"/>
    <col min="12295" max="12295" width="3.42578125" style="1441" customWidth="1"/>
    <col min="12296" max="12545" width="9.140625" style="1441"/>
    <col min="12546" max="12546" width="40.28515625" style="1441" customWidth="1"/>
    <col min="12547" max="12547" width="14.42578125" style="1441" customWidth="1"/>
    <col min="12548" max="12548" width="16" style="1441" customWidth="1"/>
    <col min="12549" max="12549" width="14.42578125" style="1441" customWidth="1"/>
    <col min="12550" max="12550" width="16" style="1441" customWidth="1"/>
    <col min="12551" max="12551" width="3.42578125" style="1441" customWidth="1"/>
    <col min="12552" max="12801" width="9.140625" style="1441"/>
    <col min="12802" max="12802" width="40.28515625" style="1441" customWidth="1"/>
    <col min="12803" max="12803" width="14.42578125" style="1441" customWidth="1"/>
    <col min="12804" max="12804" width="16" style="1441" customWidth="1"/>
    <col min="12805" max="12805" width="14.42578125" style="1441" customWidth="1"/>
    <col min="12806" max="12806" width="16" style="1441" customWidth="1"/>
    <col min="12807" max="12807" width="3.42578125" style="1441" customWidth="1"/>
    <col min="12808" max="13057" width="9.140625" style="1441"/>
    <col min="13058" max="13058" width="40.28515625" style="1441" customWidth="1"/>
    <col min="13059" max="13059" width="14.42578125" style="1441" customWidth="1"/>
    <col min="13060" max="13060" width="16" style="1441" customWidth="1"/>
    <col min="13061" max="13061" width="14.42578125" style="1441" customWidth="1"/>
    <col min="13062" max="13062" width="16" style="1441" customWidth="1"/>
    <col min="13063" max="13063" width="3.42578125" style="1441" customWidth="1"/>
    <col min="13064" max="13313" width="9.140625" style="1441"/>
    <col min="13314" max="13314" width="40.28515625" style="1441" customWidth="1"/>
    <col min="13315" max="13315" width="14.42578125" style="1441" customWidth="1"/>
    <col min="13316" max="13316" width="16" style="1441" customWidth="1"/>
    <col min="13317" max="13317" width="14.42578125" style="1441" customWidth="1"/>
    <col min="13318" max="13318" width="16" style="1441" customWidth="1"/>
    <col min="13319" max="13319" width="3.42578125" style="1441" customWidth="1"/>
    <col min="13320" max="13569" width="9.140625" style="1441"/>
    <col min="13570" max="13570" width="40.28515625" style="1441" customWidth="1"/>
    <col min="13571" max="13571" width="14.42578125" style="1441" customWidth="1"/>
    <col min="13572" max="13572" width="16" style="1441" customWidth="1"/>
    <col min="13573" max="13573" width="14.42578125" style="1441" customWidth="1"/>
    <col min="13574" max="13574" width="16" style="1441" customWidth="1"/>
    <col min="13575" max="13575" width="3.42578125" style="1441" customWidth="1"/>
    <col min="13576" max="13825" width="9.140625" style="1441"/>
    <col min="13826" max="13826" width="40.28515625" style="1441" customWidth="1"/>
    <col min="13827" max="13827" width="14.42578125" style="1441" customWidth="1"/>
    <col min="13828" max="13828" width="16" style="1441" customWidth="1"/>
    <col min="13829" max="13829" width="14.42578125" style="1441" customWidth="1"/>
    <col min="13830" max="13830" width="16" style="1441" customWidth="1"/>
    <col min="13831" max="13831" width="3.42578125" style="1441" customWidth="1"/>
    <col min="13832" max="14081" width="9.140625" style="1441"/>
    <col min="14082" max="14082" width="40.28515625" style="1441" customWidth="1"/>
    <col min="14083" max="14083" width="14.42578125" style="1441" customWidth="1"/>
    <col min="14084" max="14084" width="16" style="1441" customWidth="1"/>
    <col min="14085" max="14085" width="14.42578125" style="1441" customWidth="1"/>
    <col min="14086" max="14086" width="16" style="1441" customWidth="1"/>
    <col min="14087" max="14087" width="3.42578125" style="1441" customWidth="1"/>
    <col min="14088" max="14337" width="9.140625" style="1441"/>
    <col min="14338" max="14338" width="40.28515625" style="1441" customWidth="1"/>
    <col min="14339" max="14339" width="14.42578125" style="1441" customWidth="1"/>
    <col min="14340" max="14340" width="16" style="1441" customWidth="1"/>
    <col min="14341" max="14341" width="14.42578125" style="1441" customWidth="1"/>
    <col min="14342" max="14342" width="16" style="1441" customWidth="1"/>
    <col min="14343" max="14343" width="3.42578125" style="1441" customWidth="1"/>
    <col min="14344" max="14593" width="9.140625" style="1441"/>
    <col min="14594" max="14594" width="40.28515625" style="1441" customWidth="1"/>
    <col min="14595" max="14595" width="14.42578125" style="1441" customWidth="1"/>
    <col min="14596" max="14596" width="16" style="1441" customWidth="1"/>
    <col min="14597" max="14597" width="14.42578125" style="1441" customWidth="1"/>
    <col min="14598" max="14598" width="16" style="1441" customWidth="1"/>
    <col min="14599" max="14599" width="3.42578125" style="1441" customWidth="1"/>
    <col min="14600" max="14849" width="9.140625" style="1441"/>
    <col min="14850" max="14850" width="40.28515625" style="1441" customWidth="1"/>
    <col min="14851" max="14851" width="14.42578125" style="1441" customWidth="1"/>
    <col min="14852" max="14852" width="16" style="1441" customWidth="1"/>
    <col min="14853" max="14853" width="14.42578125" style="1441" customWidth="1"/>
    <col min="14854" max="14854" width="16" style="1441" customWidth="1"/>
    <col min="14855" max="14855" width="3.42578125" style="1441" customWidth="1"/>
    <col min="14856" max="15105" width="9.140625" style="1441"/>
    <col min="15106" max="15106" width="40.28515625" style="1441" customWidth="1"/>
    <col min="15107" max="15107" width="14.42578125" style="1441" customWidth="1"/>
    <col min="15108" max="15108" width="16" style="1441" customWidth="1"/>
    <col min="15109" max="15109" width="14.42578125" style="1441" customWidth="1"/>
    <col min="15110" max="15110" width="16" style="1441" customWidth="1"/>
    <col min="15111" max="15111" width="3.42578125" style="1441" customWidth="1"/>
    <col min="15112" max="15361" width="9.140625" style="1441"/>
    <col min="15362" max="15362" width="40.28515625" style="1441" customWidth="1"/>
    <col min="15363" max="15363" width="14.42578125" style="1441" customWidth="1"/>
    <col min="15364" max="15364" width="16" style="1441" customWidth="1"/>
    <col min="15365" max="15365" width="14.42578125" style="1441" customWidth="1"/>
    <col min="15366" max="15366" width="16" style="1441" customWidth="1"/>
    <col min="15367" max="15367" width="3.42578125" style="1441" customWidth="1"/>
    <col min="15368" max="15617" width="9.140625" style="1441"/>
    <col min="15618" max="15618" width="40.28515625" style="1441" customWidth="1"/>
    <col min="15619" max="15619" width="14.42578125" style="1441" customWidth="1"/>
    <col min="15620" max="15620" width="16" style="1441" customWidth="1"/>
    <col min="15621" max="15621" width="14.42578125" style="1441" customWidth="1"/>
    <col min="15622" max="15622" width="16" style="1441" customWidth="1"/>
    <col min="15623" max="15623" width="3.42578125" style="1441" customWidth="1"/>
    <col min="15624" max="15873" width="9.140625" style="1441"/>
    <col min="15874" max="15874" width="40.28515625" style="1441" customWidth="1"/>
    <col min="15875" max="15875" width="14.42578125" style="1441" customWidth="1"/>
    <col min="15876" max="15876" width="16" style="1441" customWidth="1"/>
    <col min="15877" max="15877" width="14.42578125" style="1441" customWidth="1"/>
    <col min="15878" max="15878" width="16" style="1441" customWidth="1"/>
    <col min="15879" max="15879" width="3.42578125" style="1441" customWidth="1"/>
    <col min="15880" max="16129" width="9.140625" style="1441"/>
    <col min="16130" max="16130" width="40.28515625" style="1441" customWidth="1"/>
    <col min="16131" max="16131" width="14.42578125" style="1441" customWidth="1"/>
    <col min="16132" max="16132" width="16" style="1441" customWidth="1"/>
    <col min="16133" max="16133" width="14.42578125" style="1441" customWidth="1"/>
    <col min="16134" max="16134" width="16" style="1441" customWidth="1"/>
    <col min="16135" max="16135" width="3.42578125" style="1441" customWidth="1"/>
    <col min="16136" max="16384" width="9.140625" style="1441"/>
  </cols>
  <sheetData>
    <row r="1" spans="1:11" ht="21" customHeight="1">
      <c r="A1" s="1425" t="s">
        <v>2826</v>
      </c>
      <c r="B1" s="1425"/>
      <c r="C1" s="1425"/>
      <c r="D1" s="1425"/>
      <c r="E1" s="1426"/>
      <c r="F1" s="1427"/>
      <c r="G1" s="1439"/>
      <c r="H1" s="1440"/>
      <c r="I1" s="1440"/>
      <c r="J1" s="1440"/>
      <c r="K1" s="1440"/>
    </row>
    <row r="2" spans="1:11" ht="21" customHeight="1" thickBot="1">
      <c r="A2" s="1425"/>
      <c r="B2" s="1425"/>
      <c r="C2" s="1425"/>
      <c r="D2" s="1425"/>
      <c r="E2" s="1426"/>
      <c r="F2" s="1427"/>
      <c r="G2" s="1439"/>
      <c r="H2" s="1440"/>
      <c r="I2" s="1440"/>
      <c r="J2" s="1440"/>
      <c r="K2" s="1440"/>
    </row>
    <row r="3" spans="1:11" s="1262" customFormat="1" ht="18.75" customHeight="1" thickBot="1">
      <c r="A3" s="1263"/>
      <c r="B3" s="1264"/>
      <c r="C3" s="3266" t="s">
        <v>2827</v>
      </c>
      <c r="D3" s="3268"/>
      <c r="E3" s="3266" t="s">
        <v>2828</v>
      </c>
      <c r="F3" s="3268"/>
      <c r="G3" s="3266" t="s">
        <v>2829</v>
      </c>
      <c r="H3" s="3268"/>
    </row>
    <row r="4" spans="1:11" s="1262" customFormat="1" ht="20.25" customHeight="1" thickBot="1">
      <c r="A4" s="1265"/>
      <c r="B4" s="1266"/>
      <c r="C4" s="3197" t="s">
        <v>2830</v>
      </c>
      <c r="D4" s="3198"/>
      <c r="E4" s="3197" t="s">
        <v>2830</v>
      </c>
      <c r="F4" s="3198"/>
      <c r="G4" s="3197" t="s">
        <v>2830</v>
      </c>
      <c r="H4" s="3198"/>
    </row>
    <row r="5" spans="1:11" s="1262" customFormat="1" ht="24" customHeight="1">
      <c r="A5" s="1272">
        <v>1</v>
      </c>
      <c r="B5" s="1286" t="s">
        <v>2831</v>
      </c>
      <c r="C5" s="3199">
        <v>500</v>
      </c>
      <c r="D5" s="3200"/>
      <c r="E5" s="3199">
        <v>500</v>
      </c>
      <c r="F5" s="3200"/>
      <c r="G5" s="3199">
        <v>1000</v>
      </c>
      <c r="H5" s="3200"/>
    </row>
    <row r="6" spans="1:11" s="1262" customFormat="1" ht="20.25" customHeight="1">
      <c r="A6" s="1272">
        <v>2</v>
      </c>
      <c r="B6" s="1286" t="s">
        <v>2711</v>
      </c>
      <c r="C6" s="3195">
        <v>1800</v>
      </c>
      <c r="D6" s="3196"/>
      <c r="E6" s="3195">
        <v>1690</v>
      </c>
      <c r="F6" s="3196"/>
      <c r="G6" s="3195">
        <v>1210</v>
      </c>
      <c r="H6" s="3196"/>
    </row>
    <row r="7" spans="1:11" s="1262" customFormat="1" ht="20.25" customHeight="1">
      <c r="A7" s="1272">
        <v>3</v>
      </c>
      <c r="B7" s="1286" t="s">
        <v>2712</v>
      </c>
      <c r="C7" s="3195">
        <v>500</v>
      </c>
      <c r="D7" s="3196"/>
      <c r="E7" s="3195">
        <v>500</v>
      </c>
      <c r="F7" s="3196"/>
      <c r="G7" s="3195">
        <v>1000</v>
      </c>
      <c r="H7" s="3196"/>
    </row>
    <row r="8" spans="1:11" s="1262" customFormat="1" ht="20.25" customHeight="1">
      <c r="A8" s="1272">
        <v>4</v>
      </c>
      <c r="B8" s="1287" t="s">
        <v>2832</v>
      </c>
      <c r="C8" s="3191">
        <v>4.2</v>
      </c>
      <c r="D8" s="3192"/>
      <c r="E8" s="3191">
        <v>4.18</v>
      </c>
      <c r="F8" s="3192"/>
      <c r="G8" s="3191">
        <v>4.0999999999999996</v>
      </c>
      <c r="H8" s="3192"/>
    </row>
    <row r="9" spans="1:11" s="1262" customFormat="1" ht="20.25" customHeight="1">
      <c r="A9" s="1272">
        <v>5</v>
      </c>
      <c r="B9" s="1286" t="s">
        <v>2714</v>
      </c>
      <c r="C9" s="3191">
        <v>4.3499999999999996</v>
      </c>
      <c r="D9" s="3192"/>
      <c r="E9" s="3191">
        <v>4.28</v>
      </c>
      <c r="F9" s="3192"/>
      <c r="G9" s="3191">
        <v>4.3</v>
      </c>
      <c r="H9" s="3192"/>
    </row>
    <row r="10" spans="1:11" s="1262" customFormat="1" ht="20.25" customHeight="1">
      <c r="A10" s="1272">
        <v>6</v>
      </c>
      <c r="B10" s="1286" t="s">
        <v>2715</v>
      </c>
      <c r="C10" s="3193">
        <v>4.3099999999999996</v>
      </c>
      <c r="D10" s="3194"/>
      <c r="E10" s="3193">
        <v>4.24</v>
      </c>
      <c r="F10" s="3194"/>
      <c r="G10" s="3193">
        <v>4.24</v>
      </c>
      <c r="H10" s="3194"/>
    </row>
    <row r="11" spans="1:11" s="1262" customFormat="1" ht="20.25" customHeight="1">
      <c r="A11" s="1272">
        <v>7</v>
      </c>
      <c r="B11" s="1286" t="s">
        <v>2716</v>
      </c>
      <c r="C11" s="3186" t="s">
        <v>2833</v>
      </c>
      <c r="D11" s="3187"/>
      <c r="E11" s="3186" t="s">
        <v>2834</v>
      </c>
      <c r="F11" s="3187"/>
      <c r="G11" s="3186" t="s">
        <v>2835</v>
      </c>
      <c r="H11" s="3187"/>
    </row>
    <row r="12" spans="1:11" s="1262" customFormat="1" ht="12.75" customHeight="1" thickBot="1">
      <c r="A12" s="1288"/>
      <c r="B12" s="1266"/>
      <c r="C12" s="3188"/>
      <c r="D12" s="3190"/>
      <c r="E12" s="3188"/>
      <c r="F12" s="3190"/>
      <c r="G12" s="3188"/>
      <c r="H12" s="3190"/>
    </row>
    <row r="13" spans="1:11" ht="15.75" customHeight="1">
      <c r="A13" s="3306" t="s">
        <v>2836</v>
      </c>
      <c r="B13" s="3306"/>
      <c r="C13" s="3306"/>
      <c r="D13" s="3306" t="s">
        <v>2837</v>
      </c>
      <c r="E13" s="3306"/>
      <c r="F13" s="3306"/>
    </row>
    <row r="14" spans="1:11" ht="15.75" customHeight="1">
      <c r="A14" s="3307" t="s">
        <v>2838</v>
      </c>
      <c r="B14" s="3308"/>
      <c r="C14" s="3308"/>
      <c r="D14" s="3307" t="s">
        <v>2839</v>
      </c>
      <c r="E14" s="3308"/>
      <c r="F14" s="3308"/>
    </row>
    <row r="15" spans="1:11" ht="15.75" customHeight="1">
      <c r="A15" s="3309" t="s">
        <v>2840</v>
      </c>
      <c r="B15" s="3309"/>
      <c r="C15" s="3309"/>
      <c r="D15" s="1442"/>
      <c r="E15" s="1443"/>
      <c r="F15" s="1443"/>
    </row>
    <row r="16" spans="1:11" ht="15.75" customHeight="1">
      <c r="A16" s="3307" t="s">
        <v>2841</v>
      </c>
      <c r="B16" s="3308"/>
      <c r="C16" s="3308"/>
      <c r="D16" s="1442"/>
      <c r="E16" s="1443"/>
      <c r="F16" s="1443"/>
    </row>
    <row r="17" spans="1:16384" ht="21" customHeight="1">
      <c r="A17" s="1444" t="s">
        <v>2704</v>
      </c>
      <c r="B17" s="1444"/>
      <c r="C17" s="1444"/>
      <c r="D17" s="1445"/>
      <c r="E17" s="1445"/>
      <c r="F17" s="1445"/>
    </row>
    <row r="18" spans="1:16384" ht="21" customHeight="1"/>
    <row r="19" spans="1:16384" s="1447" customFormat="1" ht="21" customHeight="1">
      <c r="A19" s="1425" t="s">
        <v>2842</v>
      </c>
      <c r="B19" s="1425"/>
      <c r="C19" s="1425"/>
      <c r="D19" s="1425"/>
      <c r="E19" s="1426"/>
      <c r="F19" s="1427"/>
    </row>
    <row r="20" spans="1:16384" ht="21" customHeight="1" thickBot="1">
      <c r="A20" s="1425"/>
      <c r="B20" s="1425"/>
      <c r="C20" s="1425"/>
      <c r="D20" s="1425"/>
      <c r="E20" s="1426"/>
      <c r="F20" s="1427"/>
    </row>
    <row r="21" spans="1:16384" ht="21" customHeight="1" thickBot="1">
      <c r="A21" s="1448"/>
      <c r="B21" s="1449"/>
      <c r="C21" s="3302" t="s">
        <v>2843</v>
      </c>
      <c r="D21" s="3303"/>
      <c r="E21" s="3302" t="s">
        <v>2844</v>
      </c>
      <c r="F21" s="3303"/>
    </row>
    <row r="22" spans="1:16384" ht="21" customHeight="1" thickBot="1">
      <c r="A22" s="1450"/>
      <c r="B22" s="1451"/>
      <c r="C22" s="3292" t="s">
        <v>2845</v>
      </c>
      <c r="D22" s="3293"/>
      <c r="E22" s="3292" t="s">
        <v>2845</v>
      </c>
      <c r="F22" s="3293"/>
    </row>
    <row r="23" spans="1:16384" ht="21" customHeight="1">
      <c r="A23" s="1452">
        <v>1</v>
      </c>
      <c r="B23" s="1453" t="s">
        <v>2765</v>
      </c>
      <c r="C23" s="3295">
        <v>758</v>
      </c>
      <c r="D23" s="3296"/>
      <c r="E23" s="3295">
        <v>1435</v>
      </c>
      <c r="F23" s="3296"/>
    </row>
    <row r="24" spans="1:16384" ht="21" customHeight="1">
      <c r="A24" s="1452">
        <v>2</v>
      </c>
      <c r="B24" s="1454" t="s">
        <v>2766</v>
      </c>
      <c r="C24" s="3298">
        <v>4.3</v>
      </c>
      <c r="D24" s="3299"/>
      <c r="E24" s="3298">
        <v>4.3</v>
      </c>
      <c r="F24" s="3299"/>
    </row>
    <row r="25" spans="1:16384" ht="21" customHeight="1">
      <c r="A25" s="1452">
        <v>3</v>
      </c>
      <c r="B25" s="1453" t="s">
        <v>2846</v>
      </c>
      <c r="C25" s="3283">
        <v>4.29</v>
      </c>
      <c r="D25" s="3284"/>
      <c r="E25" s="3283">
        <v>4.28</v>
      </c>
      <c r="F25" s="3284"/>
    </row>
    <row r="26" spans="1:16384" ht="21" customHeight="1">
      <c r="A26" s="1452">
        <v>4</v>
      </c>
      <c r="B26" s="1453" t="s">
        <v>2847</v>
      </c>
      <c r="C26" s="3286">
        <v>100.036</v>
      </c>
      <c r="D26" s="3287"/>
      <c r="E26" s="3286">
        <v>100.08</v>
      </c>
      <c r="F26" s="3287"/>
    </row>
    <row r="27" spans="1:16384" s="1457" customFormat="1" ht="21" customHeight="1" thickBot="1">
      <c r="A27" s="1455"/>
      <c r="B27" s="1456"/>
      <c r="C27" s="3289"/>
      <c r="D27" s="3290"/>
      <c r="E27" s="3289"/>
      <c r="F27" s="3290"/>
    </row>
    <row r="28" spans="1:16384" ht="15.75" customHeight="1">
      <c r="A28" s="3281" t="s">
        <v>2848</v>
      </c>
      <c r="B28" s="3281"/>
      <c r="C28" s="3281"/>
      <c r="D28" s="3281"/>
      <c r="E28" s="3305"/>
      <c r="F28" s="3305"/>
      <c r="G28" s="3281"/>
      <c r="H28" s="3281"/>
      <c r="I28" s="3281"/>
      <c r="J28" s="3281"/>
      <c r="K28" s="3281"/>
      <c r="L28" s="3281"/>
      <c r="M28" s="3281"/>
      <c r="N28" s="3281"/>
      <c r="O28" s="3281"/>
      <c r="P28" s="3281"/>
      <c r="Q28" s="3281"/>
      <c r="R28" s="3281"/>
      <c r="S28" s="3281"/>
      <c r="T28" s="3281"/>
      <c r="U28" s="3281"/>
      <c r="V28" s="3281"/>
      <c r="W28" s="3281"/>
      <c r="X28" s="3281"/>
      <c r="Y28" s="3281"/>
      <c r="Z28" s="3281"/>
      <c r="AA28" s="3281"/>
      <c r="AB28" s="3281"/>
      <c r="AC28" s="3281"/>
      <c r="AD28" s="3281"/>
      <c r="AE28" s="3281"/>
      <c r="AF28" s="3281"/>
      <c r="AG28" s="3281"/>
      <c r="AH28" s="3281"/>
      <c r="AI28" s="3281"/>
      <c r="AJ28" s="3281"/>
      <c r="AK28" s="3281"/>
      <c r="AL28" s="3281"/>
      <c r="AM28" s="3281"/>
      <c r="AN28" s="3281"/>
      <c r="AO28" s="3281"/>
      <c r="AP28" s="3281"/>
      <c r="AQ28" s="3281"/>
      <c r="AR28" s="3281"/>
      <c r="AS28" s="3281"/>
      <c r="AT28" s="3281"/>
      <c r="AU28" s="3281"/>
      <c r="AV28" s="3281"/>
      <c r="AW28" s="3281"/>
      <c r="AX28" s="3281"/>
      <c r="AY28" s="3281"/>
      <c r="AZ28" s="3281"/>
      <c r="BA28" s="3281"/>
      <c r="BB28" s="3281"/>
      <c r="BC28" s="3281"/>
      <c r="BD28" s="3281"/>
      <c r="BE28" s="3281"/>
      <c r="BF28" s="3281"/>
      <c r="BG28" s="3281"/>
      <c r="BH28" s="3281"/>
      <c r="BI28" s="3281"/>
      <c r="BJ28" s="3281"/>
      <c r="BK28" s="3281"/>
      <c r="BL28" s="3281"/>
      <c r="BM28" s="3281"/>
      <c r="BN28" s="3281"/>
      <c r="BO28" s="3281"/>
      <c r="BP28" s="3281"/>
      <c r="BQ28" s="3281"/>
      <c r="BR28" s="3281"/>
      <c r="BS28" s="3281"/>
      <c r="BT28" s="3281"/>
      <c r="BU28" s="3281"/>
      <c r="BV28" s="3281"/>
      <c r="BW28" s="3281"/>
      <c r="BX28" s="3281"/>
      <c r="BY28" s="3281"/>
      <c r="BZ28" s="3281"/>
      <c r="CA28" s="3281"/>
      <c r="CB28" s="3281"/>
      <c r="CC28" s="3281"/>
      <c r="CD28" s="3281"/>
      <c r="CE28" s="3281"/>
      <c r="CF28" s="3281"/>
      <c r="CG28" s="3281"/>
      <c r="CH28" s="3281"/>
      <c r="CI28" s="3281"/>
      <c r="CJ28" s="3281"/>
      <c r="CK28" s="3281"/>
      <c r="CL28" s="3281"/>
      <c r="CM28" s="3281"/>
      <c r="CN28" s="3281"/>
      <c r="CO28" s="3281"/>
      <c r="CP28" s="3281"/>
      <c r="CQ28" s="3281"/>
      <c r="CR28" s="3281"/>
      <c r="CS28" s="3281"/>
      <c r="CT28" s="3281"/>
      <c r="CU28" s="3281"/>
      <c r="CV28" s="3281"/>
      <c r="CW28" s="3281"/>
      <c r="CX28" s="3281"/>
      <c r="CY28" s="3281"/>
      <c r="CZ28" s="3281"/>
      <c r="DA28" s="3281"/>
      <c r="DB28" s="3281"/>
      <c r="DC28" s="3281"/>
      <c r="DD28" s="3281"/>
      <c r="DE28" s="3281"/>
      <c r="DF28" s="3281"/>
      <c r="DG28" s="3281"/>
      <c r="DH28" s="3281"/>
      <c r="DI28" s="3281"/>
      <c r="DJ28" s="3281"/>
      <c r="DK28" s="3281"/>
      <c r="DL28" s="3281"/>
      <c r="DM28" s="3281"/>
      <c r="DN28" s="3281"/>
      <c r="DO28" s="3281"/>
      <c r="DP28" s="3281"/>
      <c r="DQ28" s="3281"/>
      <c r="DR28" s="3281"/>
      <c r="DS28" s="3281"/>
      <c r="DT28" s="3281"/>
      <c r="DU28" s="3281"/>
      <c r="DV28" s="3281"/>
      <c r="DW28" s="3281"/>
      <c r="DX28" s="3281"/>
      <c r="DY28" s="3281"/>
      <c r="DZ28" s="3281"/>
      <c r="EA28" s="3281"/>
      <c r="EB28" s="3281"/>
      <c r="EC28" s="3281"/>
      <c r="ED28" s="3281"/>
      <c r="EE28" s="3281"/>
      <c r="EF28" s="3281"/>
      <c r="EG28" s="3281"/>
      <c r="EH28" s="3281"/>
      <c r="EI28" s="3281"/>
      <c r="EJ28" s="3281"/>
      <c r="EK28" s="3281"/>
      <c r="EL28" s="3281"/>
      <c r="EM28" s="3281"/>
      <c r="EN28" s="3281"/>
      <c r="EO28" s="3281"/>
      <c r="EP28" s="3281"/>
      <c r="EQ28" s="3281"/>
      <c r="ER28" s="3281"/>
      <c r="ES28" s="3281"/>
      <c r="ET28" s="3281"/>
      <c r="EU28" s="3281"/>
      <c r="EV28" s="3281"/>
      <c r="EW28" s="3281"/>
      <c r="EX28" s="3281"/>
      <c r="EY28" s="3281"/>
      <c r="EZ28" s="3281"/>
      <c r="FA28" s="3281"/>
      <c r="FB28" s="3281"/>
      <c r="FC28" s="3281"/>
      <c r="FD28" s="3281"/>
      <c r="FE28" s="3281"/>
      <c r="FF28" s="3281"/>
      <c r="FG28" s="3281"/>
      <c r="FH28" s="3281"/>
      <c r="FI28" s="3281"/>
      <c r="FJ28" s="3281"/>
      <c r="FK28" s="3281"/>
      <c r="FL28" s="3281"/>
      <c r="FM28" s="3281"/>
      <c r="FN28" s="3281"/>
      <c r="FO28" s="3281"/>
      <c r="FP28" s="3281"/>
      <c r="FQ28" s="3281"/>
      <c r="FR28" s="3281"/>
      <c r="FS28" s="3281"/>
      <c r="FT28" s="3281"/>
      <c r="FU28" s="3281"/>
      <c r="FV28" s="3281"/>
      <c r="FW28" s="3281"/>
      <c r="FX28" s="3281"/>
      <c r="FY28" s="3281"/>
      <c r="FZ28" s="3281"/>
      <c r="GA28" s="3281"/>
      <c r="GB28" s="3281"/>
      <c r="GC28" s="3281"/>
      <c r="GD28" s="3281"/>
      <c r="GE28" s="3281"/>
      <c r="GF28" s="3281"/>
      <c r="GG28" s="3281"/>
      <c r="GH28" s="3281"/>
      <c r="GI28" s="3281"/>
      <c r="GJ28" s="3281"/>
      <c r="GK28" s="3281"/>
      <c r="GL28" s="3281"/>
      <c r="GM28" s="3281"/>
      <c r="GN28" s="3281"/>
      <c r="GO28" s="3281"/>
      <c r="GP28" s="3281"/>
      <c r="GQ28" s="3281"/>
      <c r="GR28" s="3281"/>
      <c r="GS28" s="3281"/>
      <c r="GT28" s="3281"/>
      <c r="GU28" s="3281"/>
      <c r="GV28" s="3281"/>
      <c r="GW28" s="3281"/>
      <c r="GX28" s="3281"/>
      <c r="GY28" s="3281"/>
      <c r="GZ28" s="3281"/>
      <c r="HA28" s="3281"/>
      <c r="HB28" s="3281"/>
      <c r="HC28" s="3281"/>
      <c r="HD28" s="3281"/>
      <c r="HE28" s="3281"/>
      <c r="HF28" s="3281"/>
      <c r="HG28" s="3281"/>
      <c r="HH28" s="3281"/>
      <c r="HI28" s="3281"/>
      <c r="HJ28" s="3281"/>
      <c r="HK28" s="3281"/>
      <c r="HL28" s="3281"/>
      <c r="HM28" s="3281"/>
      <c r="HN28" s="3281"/>
      <c r="HO28" s="3281"/>
      <c r="HP28" s="3281"/>
      <c r="HQ28" s="3281"/>
      <c r="HR28" s="3281"/>
      <c r="HS28" s="3281"/>
      <c r="HT28" s="3281"/>
      <c r="HU28" s="3281"/>
      <c r="HV28" s="3281"/>
      <c r="HW28" s="3281"/>
      <c r="HX28" s="3281"/>
      <c r="HY28" s="3281"/>
      <c r="HZ28" s="3281"/>
      <c r="IA28" s="3281"/>
      <c r="IB28" s="3281"/>
      <c r="IC28" s="3281"/>
      <c r="ID28" s="3281"/>
      <c r="IE28" s="3281"/>
      <c r="IF28" s="3281"/>
      <c r="IG28" s="3281"/>
      <c r="IH28" s="3281"/>
      <c r="II28" s="3281"/>
      <c r="IJ28" s="3281"/>
      <c r="IK28" s="3281"/>
      <c r="IL28" s="3281"/>
      <c r="IM28" s="3281"/>
      <c r="IN28" s="3281"/>
      <c r="IO28" s="3281"/>
      <c r="IP28" s="3281"/>
      <c r="IQ28" s="3281"/>
      <c r="IR28" s="3281"/>
      <c r="IS28" s="3281"/>
      <c r="IT28" s="3281"/>
      <c r="IU28" s="3281"/>
      <c r="IV28" s="3281"/>
      <c r="IW28" s="3281"/>
      <c r="IX28" s="3281"/>
      <c r="IY28" s="3281"/>
      <c r="IZ28" s="3281"/>
      <c r="JA28" s="3281"/>
      <c r="JB28" s="3281"/>
      <c r="JC28" s="3281"/>
      <c r="JD28" s="3281"/>
      <c r="JE28" s="3281"/>
      <c r="JF28" s="3281"/>
      <c r="JG28" s="3281"/>
      <c r="JH28" s="3281"/>
      <c r="JI28" s="3281"/>
      <c r="JJ28" s="3281"/>
      <c r="JK28" s="3281"/>
      <c r="JL28" s="3281"/>
      <c r="JM28" s="3281"/>
      <c r="JN28" s="3281"/>
      <c r="JO28" s="3281"/>
      <c r="JP28" s="3281"/>
      <c r="JQ28" s="3281"/>
      <c r="JR28" s="3281"/>
      <c r="JS28" s="3281"/>
      <c r="JT28" s="3281"/>
      <c r="JU28" s="3281"/>
      <c r="JV28" s="3281"/>
      <c r="JW28" s="3281"/>
      <c r="JX28" s="3281"/>
      <c r="JY28" s="3281"/>
      <c r="JZ28" s="3281"/>
      <c r="KA28" s="3281"/>
      <c r="KB28" s="3281"/>
      <c r="KC28" s="3281"/>
      <c r="KD28" s="3281"/>
      <c r="KE28" s="3281"/>
      <c r="KF28" s="3281"/>
      <c r="KG28" s="3281"/>
      <c r="KH28" s="3281"/>
      <c r="KI28" s="3281"/>
      <c r="KJ28" s="3281"/>
      <c r="KK28" s="3281"/>
      <c r="KL28" s="3281"/>
      <c r="KM28" s="3281"/>
      <c r="KN28" s="3281"/>
      <c r="KO28" s="3281"/>
      <c r="KP28" s="3281"/>
      <c r="KQ28" s="3281"/>
      <c r="KR28" s="3281"/>
      <c r="KS28" s="3281"/>
      <c r="KT28" s="3281"/>
      <c r="KU28" s="3281"/>
      <c r="KV28" s="3281"/>
      <c r="KW28" s="3281"/>
      <c r="KX28" s="3281"/>
      <c r="KY28" s="3281"/>
      <c r="KZ28" s="3281"/>
      <c r="LA28" s="3281"/>
      <c r="LB28" s="3281"/>
      <c r="LC28" s="3281"/>
      <c r="LD28" s="3281"/>
      <c r="LE28" s="3281"/>
      <c r="LF28" s="3281"/>
      <c r="LG28" s="3281"/>
      <c r="LH28" s="3281"/>
      <c r="LI28" s="3281"/>
      <c r="LJ28" s="3281"/>
      <c r="LK28" s="3281"/>
      <c r="LL28" s="3281"/>
      <c r="LM28" s="3281"/>
      <c r="LN28" s="3281"/>
      <c r="LO28" s="3281"/>
      <c r="LP28" s="3281"/>
      <c r="LQ28" s="3281"/>
      <c r="LR28" s="3281"/>
      <c r="LS28" s="3281"/>
      <c r="LT28" s="3281"/>
      <c r="LU28" s="3281"/>
      <c r="LV28" s="3281"/>
      <c r="LW28" s="3281"/>
      <c r="LX28" s="3281"/>
      <c r="LY28" s="3281"/>
      <c r="LZ28" s="3281"/>
      <c r="MA28" s="3281"/>
      <c r="MB28" s="3281"/>
      <c r="MC28" s="3281"/>
      <c r="MD28" s="3281"/>
      <c r="ME28" s="3281"/>
      <c r="MF28" s="3281"/>
      <c r="MG28" s="3281"/>
      <c r="MH28" s="3281"/>
      <c r="MI28" s="3281"/>
      <c r="MJ28" s="3281"/>
      <c r="MK28" s="3281"/>
      <c r="ML28" s="3281"/>
      <c r="MM28" s="3281"/>
      <c r="MN28" s="3281"/>
      <c r="MO28" s="3281"/>
      <c r="MP28" s="3281"/>
      <c r="MQ28" s="3281"/>
      <c r="MR28" s="3281"/>
      <c r="MS28" s="3281"/>
      <c r="MT28" s="3281"/>
      <c r="MU28" s="3281"/>
      <c r="MV28" s="3281"/>
      <c r="MW28" s="3281"/>
      <c r="MX28" s="3281"/>
      <c r="MY28" s="3281"/>
      <c r="MZ28" s="3281"/>
      <c r="NA28" s="3281"/>
      <c r="NB28" s="3281"/>
      <c r="NC28" s="3281"/>
      <c r="ND28" s="3281"/>
      <c r="NE28" s="3281"/>
      <c r="NF28" s="3281"/>
      <c r="NG28" s="3281"/>
      <c r="NH28" s="3281"/>
      <c r="NI28" s="3281"/>
      <c r="NJ28" s="3281"/>
      <c r="NK28" s="3281"/>
      <c r="NL28" s="3281"/>
      <c r="NM28" s="3281"/>
      <c r="NN28" s="3281"/>
      <c r="NO28" s="3281"/>
      <c r="NP28" s="3281"/>
      <c r="NQ28" s="3281"/>
      <c r="NR28" s="3281"/>
      <c r="NS28" s="3281"/>
      <c r="NT28" s="3281"/>
      <c r="NU28" s="3281"/>
      <c r="NV28" s="3281"/>
      <c r="NW28" s="3281"/>
      <c r="NX28" s="3281"/>
      <c r="NY28" s="3281"/>
      <c r="NZ28" s="3281"/>
      <c r="OA28" s="3281"/>
      <c r="OB28" s="3281"/>
      <c r="OC28" s="3281"/>
      <c r="OD28" s="3281"/>
      <c r="OE28" s="3281"/>
      <c r="OF28" s="3281"/>
      <c r="OG28" s="3281"/>
      <c r="OH28" s="3281"/>
      <c r="OI28" s="3281"/>
      <c r="OJ28" s="3281"/>
      <c r="OK28" s="3281"/>
      <c r="OL28" s="3281"/>
      <c r="OM28" s="3281"/>
      <c r="ON28" s="3281"/>
      <c r="OO28" s="3281"/>
      <c r="OP28" s="3281"/>
      <c r="OQ28" s="3281"/>
      <c r="OR28" s="3281"/>
      <c r="OS28" s="3281"/>
      <c r="OT28" s="3281"/>
      <c r="OU28" s="3281"/>
      <c r="OV28" s="3281"/>
      <c r="OW28" s="3281"/>
      <c r="OX28" s="3281"/>
      <c r="OY28" s="3281"/>
      <c r="OZ28" s="3281"/>
      <c r="PA28" s="3281"/>
      <c r="PB28" s="3281"/>
      <c r="PC28" s="3281"/>
      <c r="PD28" s="3281"/>
      <c r="PE28" s="3281"/>
      <c r="PF28" s="3281"/>
      <c r="PG28" s="3281"/>
      <c r="PH28" s="3281"/>
      <c r="PI28" s="3281"/>
      <c r="PJ28" s="3281"/>
      <c r="PK28" s="3281"/>
      <c r="PL28" s="3281"/>
      <c r="PM28" s="3281"/>
      <c r="PN28" s="3281"/>
      <c r="PO28" s="3281"/>
      <c r="PP28" s="3281"/>
      <c r="PQ28" s="3281"/>
      <c r="PR28" s="3281"/>
      <c r="PS28" s="3281"/>
      <c r="PT28" s="3281"/>
      <c r="PU28" s="3281"/>
      <c r="PV28" s="3281"/>
      <c r="PW28" s="3281"/>
      <c r="PX28" s="3281"/>
      <c r="PY28" s="3281"/>
      <c r="PZ28" s="3281"/>
      <c r="QA28" s="3281"/>
      <c r="QB28" s="3281"/>
      <c r="QC28" s="3281"/>
      <c r="QD28" s="3281"/>
      <c r="QE28" s="3281"/>
      <c r="QF28" s="3281"/>
      <c r="QG28" s="3281"/>
      <c r="QH28" s="3281"/>
      <c r="QI28" s="3281"/>
      <c r="QJ28" s="3281"/>
      <c r="QK28" s="3281"/>
      <c r="QL28" s="3281"/>
      <c r="QM28" s="3281"/>
      <c r="QN28" s="3281"/>
      <c r="QO28" s="3281"/>
      <c r="QP28" s="3281"/>
      <c r="QQ28" s="3281"/>
      <c r="QR28" s="3281"/>
      <c r="QS28" s="3281"/>
      <c r="QT28" s="3281"/>
      <c r="QU28" s="3281"/>
      <c r="QV28" s="3281"/>
      <c r="QW28" s="3281"/>
      <c r="QX28" s="3281"/>
      <c r="QY28" s="3281"/>
      <c r="QZ28" s="3281"/>
      <c r="RA28" s="3281"/>
      <c r="RB28" s="3281"/>
      <c r="RC28" s="3281"/>
      <c r="RD28" s="3281"/>
      <c r="RE28" s="3281"/>
      <c r="RF28" s="3281"/>
      <c r="RG28" s="3281"/>
      <c r="RH28" s="3281"/>
      <c r="RI28" s="3281"/>
      <c r="RJ28" s="3281"/>
      <c r="RK28" s="3281"/>
      <c r="RL28" s="3281"/>
      <c r="RM28" s="3281"/>
      <c r="RN28" s="3281"/>
      <c r="RO28" s="3281"/>
      <c r="RP28" s="3281"/>
      <c r="RQ28" s="3281"/>
      <c r="RR28" s="3281"/>
      <c r="RS28" s="3281"/>
      <c r="RT28" s="3281"/>
      <c r="RU28" s="3281"/>
      <c r="RV28" s="3281"/>
      <c r="RW28" s="3281"/>
      <c r="RX28" s="3281"/>
      <c r="RY28" s="3281"/>
      <c r="RZ28" s="3281"/>
      <c r="SA28" s="3281"/>
      <c r="SB28" s="3281"/>
      <c r="SC28" s="3281"/>
      <c r="SD28" s="3281"/>
      <c r="SE28" s="3281"/>
      <c r="SF28" s="3281"/>
      <c r="SG28" s="3281"/>
      <c r="SH28" s="3281"/>
      <c r="SI28" s="3281"/>
      <c r="SJ28" s="3281"/>
      <c r="SK28" s="3281"/>
      <c r="SL28" s="3281"/>
      <c r="SM28" s="3281"/>
      <c r="SN28" s="3281"/>
      <c r="SO28" s="3281"/>
      <c r="SP28" s="3281"/>
      <c r="SQ28" s="3281"/>
      <c r="SR28" s="3281"/>
      <c r="SS28" s="3281"/>
      <c r="ST28" s="3281"/>
      <c r="SU28" s="3281"/>
      <c r="SV28" s="3281"/>
      <c r="SW28" s="3281"/>
      <c r="SX28" s="3281"/>
      <c r="SY28" s="3281"/>
      <c r="SZ28" s="3281"/>
      <c r="TA28" s="3281"/>
      <c r="TB28" s="3281"/>
      <c r="TC28" s="3281"/>
      <c r="TD28" s="3281"/>
      <c r="TE28" s="3281"/>
      <c r="TF28" s="3281"/>
      <c r="TG28" s="3281"/>
      <c r="TH28" s="3281"/>
      <c r="TI28" s="3281"/>
      <c r="TJ28" s="3281"/>
      <c r="TK28" s="3281"/>
      <c r="TL28" s="3281"/>
      <c r="TM28" s="3281"/>
      <c r="TN28" s="3281"/>
      <c r="TO28" s="3281"/>
      <c r="TP28" s="3281"/>
      <c r="TQ28" s="3281"/>
      <c r="TR28" s="3281"/>
      <c r="TS28" s="3281"/>
      <c r="TT28" s="3281"/>
      <c r="TU28" s="3281"/>
      <c r="TV28" s="3281"/>
      <c r="TW28" s="3281"/>
      <c r="TX28" s="3281"/>
      <c r="TY28" s="3281"/>
      <c r="TZ28" s="3281"/>
      <c r="UA28" s="3281"/>
      <c r="UB28" s="3281"/>
      <c r="UC28" s="3281"/>
      <c r="UD28" s="3281"/>
      <c r="UE28" s="3281"/>
      <c r="UF28" s="3281"/>
      <c r="UG28" s="3281"/>
      <c r="UH28" s="3281"/>
      <c r="UI28" s="3281"/>
      <c r="UJ28" s="3281"/>
      <c r="UK28" s="3281"/>
      <c r="UL28" s="3281"/>
      <c r="UM28" s="3281"/>
      <c r="UN28" s="3281"/>
      <c r="UO28" s="3281"/>
      <c r="UP28" s="3281"/>
      <c r="UQ28" s="3281"/>
      <c r="UR28" s="3281"/>
      <c r="US28" s="3281"/>
      <c r="UT28" s="3281"/>
      <c r="UU28" s="3281"/>
      <c r="UV28" s="3281"/>
      <c r="UW28" s="3281"/>
      <c r="UX28" s="3281"/>
      <c r="UY28" s="3281"/>
      <c r="UZ28" s="3281"/>
      <c r="VA28" s="3281"/>
      <c r="VB28" s="3281"/>
      <c r="VC28" s="3281"/>
      <c r="VD28" s="3281"/>
      <c r="VE28" s="3281"/>
      <c r="VF28" s="3281"/>
      <c r="VG28" s="3281"/>
      <c r="VH28" s="3281"/>
      <c r="VI28" s="3281"/>
      <c r="VJ28" s="3281"/>
      <c r="VK28" s="3281"/>
      <c r="VL28" s="3281"/>
      <c r="VM28" s="3281"/>
      <c r="VN28" s="3281"/>
      <c r="VO28" s="3281"/>
      <c r="VP28" s="3281"/>
      <c r="VQ28" s="3281"/>
      <c r="VR28" s="3281"/>
      <c r="VS28" s="3281"/>
      <c r="VT28" s="3281"/>
      <c r="VU28" s="3281"/>
      <c r="VV28" s="3281"/>
      <c r="VW28" s="3281"/>
      <c r="VX28" s="3281"/>
      <c r="VY28" s="3281"/>
      <c r="VZ28" s="3281"/>
      <c r="WA28" s="3281"/>
      <c r="WB28" s="3281"/>
      <c r="WC28" s="3281"/>
      <c r="WD28" s="3281"/>
      <c r="WE28" s="3281"/>
      <c r="WF28" s="3281"/>
      <c r="WG28" s="3281"/>
      <c r="WH28" s="3281"/>
      <c r="WI28" s="3281"/>
      <c r="WJ28" s="3281"/>
      <c r="WK28" s="3281"/>
      <c r="WL28" s="3281"/>
      <c r="WM28" s="3281"/>
      <c r="WN28" s="3281"/>
      <c r="WO28" s="3281"/>
      <c r="WP28" s="3281"/>
      <c r="WQ28" s="3281"/>
      <c r="WR28" s="3281"/>
      <c r="WS28" s="3281"/>
      <c r="WT28" s="3281"/>
      <c r="WU28" s="3281"/>
      <c r="WV28" s="3281"/>
      <c r="WW28" s="3281"/>
      <c r="WX28" s="3281"/>
      <c r="WY28" s="3281"/>
      <c r="WZ28" s="3281"/>
      <c r="XA28" s="3281"/>
      <c r="XB28" s="3281"/>
      <c r="XC28" s="3281"/>
      <c r="XD28" s="3281"/>
      <c r="XE28" s="3281"/>
      <c r="XF28" s="3281"/>
      <c r="XG28" s="3281"/>
      <c r="XH28" s="3281"/>
      <c r="XI28" s="3281"/>
      <c r="XJ28" s="3281"/>
      <c r="XK28" s="3281"/>
      <c r="XL28" s="3281"/>
      <c r="XM28" s="3281"/>
      <c r="XN28" s="3281"/>
      <c r="XO28" s="3281"/>
      <c r="XP28" s="3281"/>
      <c r="XQ28" s="3281"/>
      <c r="XR28" s="3281"/>
      <c r="XS28" s="3281"/>
      <c r="XT28" s="3281"/>
      <c r="XU28" s="3281"/>
      <c r="XV28" s="3281"/>
      <c r="XW28" s="3281"/>
      <c r="XX28" s="3281"/>
      <c r="XY28" s="3281"/>
      <c r="XZ28" s="3281"/>
      <c r="YA28" s="3281"/>
      <c r="YB28" s="3281"/>
      <c r="YC28" s="3281"/>
      <c r="YD28" s="3281"/>
      <c r="YE28" s="3281"/>
      <c r="YF28" s="3281"/>
      <c r="YG28" s="3281"/>
      <c r="YH28" s="3281"/>
      <c r="YI28" s="3281"/>
      <c r="YJ28" s="3281"/>
      <c r="YK28" s="3281"/>
      <c r="YL28" s="3281"/>
      <c r="YM28" s="3281"/>
      <c r="YN28" s="3281"/>
      <c r="YO28" s="3281"/>
      <c r="YP28" s="3281"/>
      <c r="YQ28" s="3281"/>
      <c r="YR28" s="3281"/>
      <c r="YS28" s="3281"/>
      <c r="YT28" s="3281"/>
      <c r="YU28" s="3281"/>
      <c r="YV28" s="3281"/>
      <c r="YW28" s="3281"/>
      <c r="YX28" s="3281"/>
      <c r="YY28" s="3281"/>
      <c r="YZ28" s="3281"/>
      <c r="ZA28" s="3281"/>
      <c r="ZB28" s="3281"/>
      <c r="ZC28" s="3281"/>
      <c r="ZD28" s="3281"/>
      <c r="ZE28" s="3281"/>
      <c r="ZF28" s="3281"/>
      <c r="ZG28" s="3281"/>
      <c r="ZH28" s="3281"/>
      <c r="ZI28" s="3281"/>
      <c r="ZJ28" s="3281"/>
      <c r="ZK28" s="3281"/>
      <c r="ZL28" s="3281"/>
      <c r="ZM28" s="3281"/>
      <c r="ZN28" s="3281"/>
      <c r="ZO28" s="3281"/>
      <c r="ZP28" s="3281"/>
      <c r="ZQ28" s="3281"/>
      <c r="ZR28" s="3281"/>
      <c r="ZS28" s="3281"/>
      <c r="ZT28" s="3281"/>
      <c r="ZU28" s="3281"/>
      <c r="ZV28" s="3281"/>
      <c r="ZW28" s="3281"/>
      <c r="ZX28" s="3281"/>
      <c r="ZY28" s="3281"/>
      <c r="ZZ28" s="3281"/>
      <c r="AAA28" s="3281"/>
      <c r="AAB28" s="3281"/>
      <c r="AAC28" s="3281"/>
      <c r="AAD28" s="3281"/>
      <c r="AAE28" s="3281"/>
      <c r="AAF28" s="3281"/>
      <c r="AAG28" s="3281"/>
      <c r="AAH28" s="3281"/>
      <c r="AAI28" s="3281"/>
      <c r="AAJ28" s="3281"/>
      <c r="AAK28" s="3281"/>
      <c r="AAL28" s="3281"/>
      <c r="AAM28" s="3281"/>
      <c r="AAN28" s="3281"/>
      <c r="AAO28" s="3281"/>
      <c r="AAP28" s="3281"/>
      <c r="AAQ28" s="3281"/>
      <c r="AAR28" s="3281"/>
      <c r="AAS28" s="3281"/>
      <c r="AAT28" s="3281"/>
      <c r="AAU28" s="3281"/>
      <c r="AAV28" s="3281"/>
      <c r="AAW28" s="3281"/>
      <c r="AAX28" s="3281"/>
      <c r="AAY28" s="3281"/>
      <c r="AAZ28" s="3281"/>
      <c r="ABA28" s="3281"/>
      <c r="ABB28" s="3281"/>
      <c r="ABC28" s="3281"/>
      <c r="ABD28" s="3281"/>
      <c r="ABE28" s="3281"/>
      <c r="ABF28" s="3281"/>
      <c r="ABG28" s="3281"/>
      <c r="ABH28" s="3281"/>
      <c r="ABI28" s="3281"/>
      <c r="ABJ28" s="3281"/>
      <c r="ABK28" s="3281"/>
      <c r="ABL28" s="3281"/>
      <c r="ABM28" s="3281"/>
      <c r="ABN28" s="3281"/>
      <c r="ABO28" s="3281"/>
      <c r="ABP28" s="3281"/>
      <c r="ABQ28" s="3281"/>
      <c r="ABR28" s="3281"/>
      <c r="ABS28" s="3281"/>
      <c r="ABT28" s="3281"/>
      <c r="ABU28" s="3281"/>
      <c r="ABV28" s="3281"/>
      <c r="ABW28" s="3281"/>
      <c r="ABX28" s="3281"/>
      <c r="ABY28" s="3281"/>
      <c r="ABZ28" s="3281"/>
      <c r="ACA28" s="3281"/>
      <c r="ACB28" s="3281"/>
      <c r="ACC28" s="3281"/>
      <c r="ACD28" s="3281"/>
      <c r="ACE28" s="3281"/>
      <c r="ACF28" s="3281"/>
      <c r="ACG28" s="3281"/>
      <c r="ACH28" s="3281"/>
      <c r="ACI28" s="3281"/>
      <c r="ACJ28" s="3281"/>
      <c r="ACK28" s="3281"/>
      <c r="ACL28" s="3281"/>
      <c r="ACM28" s="3281"/>
      <c r="ACN28" s="3281"/>
      <c r="ACO28" s="3281"/>
      <c r="ACP28" s="3281"/>
      <c r="ACQ28" s="3281"/>
      <c r="ACR28" s="3281"/>
      <c r="ACS28" s="3281"/>
      <c r="ACT28" s="3281"/>
      <c r="ACU28" s="3281"/>
      <c r="ACV28" s="3281"/>
      <c r="ACW28" s="3281"/>
      <c r="ACX28" s="3281"/>
      <c r="ACY28" s="3281"/>
      <c r="ACZ28" s="3281"/>
      <c r="ADA28" s="3281"/>
      <c r="ADB28" s="3281"/>
      <c r="ADC28" s="3281"/>
      <c r="ADD28" s="3281"/>
      <c r="ADE28" s="3281"/>
      <c r="ADF28" s="3281"/>
      <c r="ADG28" s="3281"/>
      <c r="ADH28" s="3281"/>
      <c r="ADI28" s="3281"/>
      <c r="ADJ28" s="3281"/>
      <c r="ADK28" s="3281"/>
      <c r="ADL28" s="3281"/>
      <c r="ADM28" s="3281"/>
      <c r="ADN28" s="3281"/>
      <c r="ADO28" s="3281"/>
      <c r="ADP28" s="3281"/>
      <c r="ADQ28" s="3281"/>
      <c r="ADR28" s="3281"/>
      <c r="ADS28" s="3281"/>
      <c r="ADT28" s="3281"/>
      <c r="ADU28" s="3281"/>
      <c r="ADV28" s="3281"/>
      <c r="ADW28" s="3281"/>
      <c r="ADX28" s="3281"/>
      <c r="ADY28" s="3281"/>
      <c r="ADZ28" s="3281"/>
      <c r="AEA28" s="3281"/>
      <c r="AEB28" s="3281"/>
      <c r="AEC28" s="3281"/>
      <c r="AED28" s="3281"/>
      <c r="AEE28" s="3281"/>
      <c r="AEF28" s="3281"/>
      <c r="AEG28" s="3281"/>
      <c r="AEH28" s="3281"/>
      <c r="AEI28" s="3281"/>
      <c r="AEJ28" s="3281"/>
      <c r="AEK28" s="3281"/>
      <c r="AEL28" s="3281"/>
      <c r="AEM28" s="3281"/>
      <c r="AEN28" s="3281"/>
      <c r="AEO28" s="3281"/>
      <c r="AEP28" s="3281"/>
      <c r="AEQ28" s="3281"/>
      <c r="AER28" s="3281"/>
      <c r="AES28" s="3281"/>
      <c r="AET28" s="3281"/>
      <c r="AEU28" s="3281"/>
      <c r="AEV28" s="3281"/>
      <c r="AEW28" s="3281"/>
      <c r="AEX28" s="3281"/>
      <c r="AEY28" s="3281"/>
      <c r="AEZ28" s="3281"/>
      <c r="AFA28" s="3281"/>
      <c r="AFB28" s="3281"/>
      <c r="AFC28" s="3281"/>
      <c r="AFD28" s="3281"/>
      <c r="AFE28" s="3281"/>
      <c r="AFF28" s="3281"/>
      <c r="AFG28" s="3281"/>
      <c r="AFH28" s="3281"/>
      <c r="AFI28" s="3281"/>
      <c r="AFJ28" s="3281"/>
      <c r="AFK28" s="3281"/>
      <c r="AFL28" s="3281"/>
      <c r="AFM28" s="3281"/>
      <c r="AFN28" s="3281"/>
      <c r="AFO28" s="3281"/>
      <c r="AFP28" s="3281"/>
      <c r="AFQ28" s="3281"/>
      <c r="AFR28" s="3281"/>
      <c r="AFS28" s="3281"/>
      <c r="AFT28" s="3281"/>
      <c r="AFU28" s="3281"/>
      <c r="AFV28" s="3281"/>
      <c r="AFW28" s="3281"/>
      <c r="AFX28" s="3281"/>
      <c r="AFY28" s="3281"/>
      <c r="AFZ28" s="3281"/>
      <c r="AGA28" s="3281"/>
      <c r="AGB28" s="3281"/>
      <c r="AGC28" s="3281"/>
      <c r="AGD28" s="3281"/>
      <c r="AGE28" s="3281"/>
      <c r="AGF28" s="3281"/>
      <c r="AGG28" s="3281"/>
      <c r="AGH28" s="3281"/>
      <c r="AGI28" s="3281"/>
      <c r="AGJ28" s="3281"/>
      <c r="AGK28" s="3281"/>
      <c r="AGL28" s="3281"/>
      <c r="AGM28" s="3281"/>
      <c r="AGN28" s="3281"/>
      <c r="AGO28" s="3281"/>
      <c r="AGP28" s="3281"/>
      <c r="AGQ28" s="3281"/>
      <c r="AGR28" s="3281"/>
      <c r="AGS28" s="3281"/>
      <c r="AGT28" s="3281"/>
      <c r="AGU28" s="3281"/>
      <c r="AGV28" s="3281"/>
      <c r="AGW28" s="3281"/>
      <c r="AGX28" s="3281"/>
      <c r="AGY28" s="3281"/>
      <c r="AGZ28" s="3281"/>
      <c r="AHA28" s="3281"/>
      <c r="AHB28" s="3281"/>
      <c r="AHC28" s="3281"/>
      <c r="AHD28" s="3281"/>
      <c r="AHE28" s="3281"/>
      <c r="AHF28" s="3281"/>
      <c r="AHG28" s="3281"/>
      <c r="AHH28" s="3281"/>
      <c r="AHI28" s="3281"/>
      <c r="AHJ28" s="3281"/>
      <c r="AHK28" s="3281"/>
      <c r="AHL28" s="3281"/>
      <c r="AHM28" s="3281"/>
      <c r="AHN28" s="3281"/>
      <c r="AHO28" s="3281"/>
      <c r="AHP28" s="3281"/>
      <c r="AHQ28" s="3281"/>
      <c r="AHR28" s="3281"/>
      <c r="AHS28" s="3281"/>
      <c r="AHT28" s="3281"/>
      <c r="AHU28" s="3281"/>
      <c r="AHV28" s="3281"/>
      <c r="AHW28" s="3281"/>
      <c r="AHX28" s="3281"/>
      <c r="AHY28" s="3281"/>
      <c r="AHZ28" s="3281"/>
      <c r="AIA28" s="3281"/>
      <c r="AIB28" s="3281"/>
      <c r="AIC28" s="3281"/>
      <c r="AID28" s="3281"/>
      <c r="AIE28" s="3281"/>
      <c r="AIF28" s="3281"/>
      <c r="AIG28" s="3281"/>
      <c r="AIH28" s="3281"/>
      <c r="AII28" s="3281"/>
      <c r="AIJ28" s="3281"/>
      <c r="AIK28" s="3281"/>
      <c r="AIL28" s="3281"/>
      <c r="AIM28" s="3281"/>
      <c r="AIN28" s="3281"/>
      <c r="AIO28" s="3281"/>
      <c r="AIP28" s="3281"/>
      <c r="AIQ28" s="3281"/>
      <c r="AIR28" s="3281"/>
      <c r="AIS28" s="3281"/>
      <c r="AIT28" s="3281"/>
      <c r="AIU28" s="3281"/>
      <c r="AIV28" s="3281"/>
      <c r="AIW28" s="3281"/>
      <c r="AIX28" s="3281"/>
      <c r="AIY28" s="3281"/>
      <c r="AIZ28" s="3281"/>
      <c r="AJA28" s="3281"/>
      <c r="AJB28" s="3281"/>
      <c r="AJC28" s="3281"/>
      <c r="AJD28" s="3281"/>
      <c r="AJE28" s="3281"/>
      <c r="AJF28" s="3281"/>
      <c r="AJG28" s="3281"/>
      <c r="AJH28" s="3281"/>
      <c r="AJI28" s="3281"/>
      <c r="AJJ28" s="3281"/>
      <c r="AJK28" s="3281"/>
      <c r="AJL28" s="3281"/>
      <c r="AJM28" s="3281"/>
      <c r="AJN28" s="3281"/>
      <c r="AJO28" s="3281"/>
      <c r="AJP28" s="3281"/>
      <c r="AJQ28" s="3281"/>
      <c r="AJR28" s="3281"/>
      <c r="AJS28" s="3281"/>
      <c r="AJT28" s="3281"/>
      <c r="AJU28" s="3281"/>
      <c r="AJV28" s="3281"/>
      <c r="AJW28" s="3281"/>
      <c r="AJX28" s="3281"/>
      <c r="AJY28" s="3281"/>
      <c r="AJZ28" s="3281"/>
      <c r="AKA28" s="3281"/>
      <c r="AKB28" s="3281"/>
      <c r="AKC28" s="3281"/>
      <c r="AKD28" s="3281"/>
      <c r="AKE28" s="3281"/>
      <c r="AKF28" s="3281"/>
      <c r="AKG28" s="3281"/>
      <c r="AKH28" s="3281"/>
      <c r="AKI28" s="3281"/>
      <c r="AKJ28" s="3281"/>
      <c r="AKK28" s="3281"/>
      <c r="AKL28" s="3281"/>
      <c r="AKM28" s="3281"/>
      <c r="AKN28" s="3281"/>
      <c r="AKO28" s="3281"/>
      <c r="AKP28" s="3281"/>
      <c r="AKQ28" s="3281"/>
      <c r="AKR28" s="3281"/>
      <c r="AKS28" s="3281"/>
      <c r="AKT28" s="3281"/>
      <c r="AKU28" s="3281"/>
      <c r="AKV28" s="3281"/>
      <c r="AKW28" s="3281"/>
      <c r="AKX28" s="3281"/>
      <c r="AKY28" s="3281"/>
      <c r="AKZ28" s="3281"/>
      <c r="ALA28" s="3281"/>
      <c r="ALB28" s="3281"/>
      <c r="ALC28" s="3281"/>
      <c r="ALD28" s="3281"/>
      <c r="ALE28" s="3281"/>
      <c r="ALF28" s="3281"/>
      <c r="ALG28" s="3281"/>
      <c r="ALH28" s="3281"/>
      <c r="ALI28" s="3281"/>
      <c r="ALJ28" s="3281"/>
      <c r="ALK28" s="3281"/>
      <c r="ALL28" s="3281"/>
      <c r="ALM28" s="3281"/>
      <c r="ALN28" s="3281"/>
      <c r="ALO28" s="3281"/>
      <c r="ALP28" s="3281"/>
      <c r="ALQ28" s="3281"/>
      <c r="ALR28" s="3281"/>
      <c r="ALS28" s="3281"/>
      <c r="ALT28" s="3281"/>
      <c r="ALU28" s="3281"/>
      <c r="ALV28" s="3281"/>
      <c r="ALW28" s="3281"/>
      <c r="ALX28" s="3281"/>
      <c r="ALY28" s="3281"/>
      <c r="ALZ28" s="3281"/>
      <c r="AMA28" s="3281"/>
      <c r="AMB28" s="3281"/>
      <c r="AMC28" s="3281"/>
      <c r="AMD28" s="3281"/>
      <c r="AME28" s="3281"/>
      <c r="AMF28" s="3281"/>
      <c r="AMG28" s="3281"/>
      <c r="AMH28" s="3281"/>
      <c r="AMI28" s="3281"/>
      <c r="AMJ28" s="3281"/>
      <c r="AMK28" s="3281"/>
      <c r="AML28" s="3281"/>
      <c r="AMM28" s="3281"/>
      <c r="AMN28" s="3281"/>
      <c r="AMO28" s="3281"/>
      <c r="AMP28" s="3281"/>
      <c r="AMQ28" s="3281"/>
      <c r="AMR28" s="3281"/>
      <c r="AMS28" s="3281"/>
      <c r="AMT28" s="3281"/>
      <c r="AMU28" s="3281"/>
      <c r="AMV28" s="3281"/>
      <c r="AMW28" s="3281"/>
      <c r="AMX28" s="3281"/>
      <c r="AMY28" s="3281"/>
      <c r="AMZ28" s="3281"/>
      <c r="ANA28" s="3281"/>
      <c r="ANB28" s="3281"/>
      <c r="ANC28" s="3281"/>
      <c r="AND28" s="3281"/>
      <c r="ANE28" s="3281"/>
      <c r="ANF28" s="3281"/>
      <c r="ANG28" s="3281"/>
      <c r="ANH28" s="3281"/>
      <c r="ANI28" s="3281"/>
      <c r="ANJ28" s="3281"/>
      <c r="ANK28" s="3281"/>
      <c r="ANL28" s="3281"/>
      <c r="ANM28" s="3281"/>
      <c r="ANN28" s="3281"/>
      <c r="ANO28" s="3281"/>
      <c r="ANP28" s="3281"/>
      <c r="ANQ28" s="3281"/>
      <c r="ANR28" s="3281"/>
      <c r="ANS28" s="3281"/>
      <c r="ANT28" s="3281"/>
      <c r="ANU28" s="3281"/>
      <c r="ANV28" s="3281"/>
      <c r="ANW28" s="3281"/>
      <c r="ANX28" s="3281"/>
      <c r="ANY28" s="3281"/>
      <c r="ANZ28" s="3281"/>
      <c r="AOA28" s="3281"/>
      <c r="AOB28" s="3281"/>
      <c r="AOC28" s="3281"/>
      <c r="AOD28" s="3281"/>
      <c r="AOE28" s="3281"/>
      <c r="AOF28" s="3281"/>
      <c r="AOG28" s="3281"/>
      <c r="AOH28" s="3281"/>
      <c r="AOI28" s="3281"/>
      <c r="AOJ28" s="3281"/>
      <c r="AOK28" s="3281"/>
      <c r="AOL28" s="3281"/>
      <c r="AOM28" s="3281"/>
      <c r="AON28" s="3281"/>
      <c r="AOO28" s="3281"/>
      <c r="AOP28" s="3281"/>
      <c r="AOQ28" s="3281"/>
      <c r="AOR28" s="3281"/>
      <c r="AOS28" s="3281"/>
      <c r="AOT28" s="3281"/>
      <c r="AOU28" s="3281"/>
      <c r="AOV28" s="3281"/>
      <c r="AOW28" s="3281"/>
      <c r="AOX28" s="3281"/>
      <c r="AOY28" s="3281"/>
      <c r="AOZ28" s="3281"/>
      <c r="APA28" s="3281"/>
      <c r="APB28" s="3281"/>
      <c r="APC28" s="3281"/>
      <c r="APD28" s="3281"/>
      <c r="APE28" s="3281"/>
      <c r="APF28" s="3281"/>
      <c r="APG28" s="3281"/>
      <c r="APH28" s="3281"/>
      <c r="API28" s="3281"/>
      <c r="APJ28" s="3281"/>
      <c r="APK28" s="3281"/>
      <c r="APL28" s="3281"/>
      <c r="APM28" s="3281"/>
      <c r="APN28" s="3281"/>
      <c r="APO28" s="3281"/>
      <c r="APP28" s="3281"/>
      <c r="APQ28" s="3281"/>
      <c r="APR28" s="3281"/>
      <c r="APS28" s="3281"/>
      <c r="APT28" s="3281"/>
      <c r="APU28" s="3281"/>
      <c r="APV28" s="3281"/>
      <c r="APW28" s="3281"/>
      <c r="APX28" s="3281"/>
      <c r="APY28" s="3281"/>
      <c r="APZ28" s="3281"/>
      <c r="AQA28" s="3281"/>
      <c r="AQB28" s="3281"/>
      <c r="AQC28" s="3281"/>
      <c r="AQD28" s="3281"/>
      <c r="AQE28" s="3281"/>
      <c r="AQF28" s="3281"/>
      <c r="AQG28" s="3281"/>
      <c r="AQH28" s="3281"/>
      <c r="AQI28" s="3281"/>
      <c r="AQJ28" s="3281"/>
      <c r="AQK28" s="3281"/>
      <c r="AQL28" s="3281"/>
      <c r="AQM28" s="3281"/>
      <c r="AQN28" s="3281"/>
      <c r="AQO28" s="3281"/>
      <c r="AQP28" s="3281"/>
      <c r="AQQ28" s="3281"/>
      <c r="AQR28" s="3281"/>
      <c r="AQS28" s="3281"/>
      <c r="AQT28" s="3281"/>
      <c r="AQU28" s="3281"/>
      <c r="AQV28" s="3281"/>
      <c r="AQW28" s="3281"/>
      <c r="AQX28" s="3281"/>
      <c r="AQY28" s="3281"/>
      <c r="AQZ28" s="3281"/>
      <c r="ARA28" s="3281"/>
      <c r="ARB28" s="3281"/>
      <c r="ARC28" s="3281"/>
      <c r="ARD28" s="3281"/>
      <c r="ARE28" s="3281"/>
      <c r="ARF28" s="3281"/>
      <c r="ARG28" s="3281"/>
      <c r="ARH28" s="3281"/>
      <c r="ARI28" s="3281"/>
      <c r="ARJ28" s="3281"/>
      <c r="ARK28" s="3281"/>
      <c r="ARL28" s="3281"/>
      <c r="ARM28" s="3281"/>
      <c r="ARN28" s="3281"/>
      <c r="ARO28" s="3281"/>
      <c r="ARP28" s="3281"/>
      <c r="ARQ28" s="3281"/>
      <c r="ARR28" s="3281"/>
      <c r="ARS28" s="3281"/>
      <c r="ART28" s="3281"/>
      <c r="ARU28" s="3281"/>
      <c r="ARV28" s="3281"/>
      <c r="ARW28" s="3281"/>
      <c r="ARX28" s="3281"/>
      <c r="ARY28" s="3281"/>
      <c r="ARZ28" s="3281"/>
      <c r="ASA28" s="3281"/>
      <c r="ASB28" s="3281"/>
      <c r="ASC28" s="3281"/>
      <c r="ASD28" s="3281"/>
      <c r="ASE28" s="3281"/>
      <c r="ASF28" s="3281"/>
      <c r="ASG28" s="3281"/>
      <c r="ASH28" s="3281"/>
      <c r="ASI28" s="3281"/>
      <c r="ASJ28" s="3281"/>
      <c r="ASK28" s="3281"/>
      <c r="ASL28" s="3281"/>
      <c r="ASM28" s="3281"/>
      <c r="ASN28" s="3281"/>
      <c r="ASO28" s="3281"/>
      <c r="ASP28" s="3281"/>
      <c r="ASQ28" s="3281"/>
      <c r="ASR28" s="3281"/>
      <c r="ASS28" s="3281"/>
      <c r="AST28" s="3281"/>
      <c r="ASU28" s="3281"/>
      <c r="ASV28" s="3281"/>
      <c r="ASW28" s="3281"/>
      <c r="ASX28" s="3281"/>
      <c r="ASY28" s="3281"/>
      <c r="ASZ28" s="3281"/>
      <c r="ATA28" s="3281"/>
      <c r="ATB28" s="3281"/>
      <c r="ATC28" s="3281"/>
      <c r="ATD28" s="3281"/>
      <c r="ATE28" s="3281"/>
      <c r="ATF28" s="3281"/>
      <c r="ATG28" s="3281"/>
      <c r="ATH28" s="3281"/>
      <c r="ATI28" s="3281"/>
      <c r="ATJ28" s="3281"/>
      <c r="ATK28" s="3281"/>
      <c r="ATL28" s="3281"/>
      <c r="ATM28" s="3281"/>
      <c r="ATN28" s="3281"/>
      <c r="ATO28" s="3281"/>
      <c r="ATP28" s="3281"/>
      <c r="ATQ28" s="3281"/>
      <c r="ATR28" s="3281"/>
      <c r="ATS28" s="3281"/>
      <c r="ATT28" s="3281"/>
      <c r="ATU28" s="3281"/>
      <c r="ATV28" s="3281"/>
      <c r="ATW28" s="3281"/>
      <c r="ATX28" s="3281"/>
      <c r="ATY28" s="3281"/>
      <c r="ATZ28" s="3281"/>
      <c r="AUA28" s="3281"/>
      <c r="AUB28" s="3281"/>
      <c r="AUC28" s="3281"/>
      <c r="AUD28" s="3281"/>
      <c r="AUE28" s="3281"/>
      <c r="AUF28" s="3281"/>
      <c r="AUG28" s="3281"/>
      <c r="AUH28" s="3281"/>
      <c r="AUI28" s="3281"/>
      <c r="AUJ28" s="3281"/>
      <c r="AUK28" s="3281"/>
      <c r="AUL28" s="3281"/>
      <c r="AUM28" s="3281"/>
      <c r="AUN28" s="3281"/>
      <c r="AUO28" s="3281"/>
      <c r="AUP28" s="3281"/>
      <c r="AUQ28" s="3281"/>
      <c r="AUR28" s="3281"/>
      <c r="AUS28" s="3281"/>
      <c r="AUT28" s="3281"/>
      <c r="AUU28" s="3281"/>
      <c r="AUV28" s="3281"/>
      <c r="AUW28" s="3281"/>
      <c r="AUX28" s="3281"/>
      <c r="AUY28" s="3281"/>
      <c r="AUZ28" s="3281"/>
      <c r="AVA28" s="3281"/>
      <c r="AVB28" s="3281"/>
      <c r="AVC28" s="3281"/>
      <c r="AVD28" s="3281"/>
      <c r="AVE28" s="3281"/>
      <c r="AVF28" s="3281"/>
      <c r="AVG28" s="3281"/>
      <c r="AVH28" s="3281"/>
      <c r="AVI28" s="3281"/>
      <c r="AVJ28" s="3281"/>
      <c r="AVK28" s="3281"/>
      <c r="AVL28" s="3281"/>
      <c r="AVM28" s="3281"/>
      <c r="AVN28" s="3281"/>
      <c r="AVO28" s="3281"/>
      <c r="AVP28" s="3281"/>
      <c r="AVQ28" s="3281"/>
      <c r="AVR28" s="3281"/>
      <c r="AVS28" s="3281"/>
      <c r="AVT28" s="3281"/>
      <c r="AVU28" s="3281"/>
      <c r="AVV28" s="3281"/>
      <c r="AVW28" s="3281"/>
      <c r="AVX28" s="3281"/>
      <c r="AVY28" s="3281"/>
      <c r="AVZ28" s="3281"/>
      <c r="AWA28" s="3281"/>
      <c r="AWB28" s="3281"/>
      <c r="AWC28" s="3281"/>
      <c r="AWD28" s="3281"/>
      <c r="AWE28" s="3281"/>
      <c r="AWF28" s="3281"/>
      <c r="AWG28" s="3281"/>
      <c r="AWH28" s="3281"/>
      <c r="AWI28" s="3281"/>
      <c r="AWJ28" s="3281"/>
      <c r="AWK28" s="3281"/>
      <c r="AWL28" s="3281"/>
      <c r="AWM28" s="3281"/>
      <c r="AWN28" s="3281"/>
      <c r="AWO28" s="3281"/>
      <c r="AWP28" s="3281"/>
      <c r="AWQ28" s="3281"/>
      <c r="AWR28" s="3281"/>
      <c r="AWS28" s="3281"/>
      <c r="AWT28" s="3281"/>
      <c r="AWU28" s="3281"/>
      <c r="AWV28" s="3281"/>
      <c r="AWW28" s="3281"/>
      <c r="AWX28" s="3281"/>
      <c r="AWY28" s="3281"/>
      <c r="AWZ28" s="3281"/>
      <c r="AXA28" s="3281"/>
      <c r="AXB28" s="3281"/>
      <c r="AXC28" s="3281"/>
      <c r="AXD28" s="3281"/>
      <c r="AXE28" s="3281"/>
      <c r="AXF28" s="3281"/>
      <c r="AXG28" s="3281"/>
      <c r="AXH28" s="3281"/>
      <c r="AXI28" s="3281"/>
      <c r="AXJ28" s="3281"/>
      <c r="AXK28" s="3281"/>
      <c r="AXL28" s="3281"/>
      <c r="AXM28" s="3281"/>
      <c r="AXN28" s="3281"/>
      <c r="AXO28" s="3281"/>
      <c r="AXP28" s="3281"/>
      <c r="AXQ28" s="3281"/>
      <c r="AXR28" s="3281"/>
      <c r="AXS28" s="3281"/>
      <c r="AXT28" s="3281"/>
      <c r="AXU28" s="3281"/>
      <c r="AXV28" s="3281"/>
      <c r="AXW28" s="3281"/>
      <c r="AXX28" s="3281"/>
      <c r="AXY28" s="3281"/>
      <c r="AXZ28" s="3281"/>
      <c r="AYA28" s="3281"/>
      <c r="AYB28" s="3281"/>
      <c r="AYC28" s="3281"/>
      <c r="AYD28" s="3281"/>
      <c r="AYE28" s="3281"/>
      <c r="AYF28" s="3281"/>
      <c r="AYG28" s="3281"/>
      <c r="AYH28" s="3281"/>
      <c r="AYI28" s="3281"/>
      <c r="AYJ28" s="3281"/>
      <c r="AYK28" s="3281"/>
      <c r="AYL28" s="3281"/>
      <c r="AYM28" s="3281"/>
      <c r="AYN28" s="3281"/>
      <c r="AYO28" s="3281"/>
      <c r="AYP28" s="3281"/>
      <c r="AYQ28" s="3281"/>
      <c r="AYR28" s="3281"/>
      <c r="AYS28" s="3281"/>
      <c r="AYT28" s="3281"/>
      <c r="AYU28" s="3281"/>
      <c r="AYV28" s="3281"/>
      <c r="AYW28" s="3281"/>
      <c r="AYX28" s="3281"/>
      <c r="AYY28" s="3281"/>
      <c r="AYZ28" s="3281"/>
      <c r="AZA28" s="3281"/>
      <c r="AZB28" s="3281"/>
      <c r="AZC28" s="3281"/>
      <c r="AZD28" s="3281"/>
      <c r="AZE28" s="3281"/>
      <c r="AZF28" s="3281"/>
      <c r="AZG28" s="3281"/>
      <c r="AZH28" s="3281"/>
      <c r="AZI28" s="3281"/>
      <c r="AZJ28" s="3281"/>
      <c r="AZK28" s="3281"/>
      <c r="AZL28" s="3281"/>
      <c r="AZM28" s="3281"/>
      <c r="AZN28" s="3281"/>
      <c r="AZO28" s="3281"/>
      <c r="AZP28" s="3281"/>
      <c r="AZQ28" s="3281"/>
      <c r="AZR28" s="3281"/>
      <c r="AZS28" s="3281"/>
      <c r="AZT28" s="3281"/>
      <c r="AZU28" s="3281"/>
      <c r="AZV28" s="3281"/>
      <c r="AZW28" s="3281"/>
      <c r="AZX28" s="3281"/>
      <c r="AZY28" s="3281"/>
      <c r="AZZ28" s="3281"/>
      <c r="BAA28" s="3281"/>
      <c r="BAB28" s="3281"/>
      <c r="BAC28" s="3281"/>
      <c r="BAD28" s="3281"/>
      <c r="BAE28" s="3281"/>
      <c r="BAF28" s="3281"/>
      <c r="BAG28" s="3281"/>
      <c r="BAH28" s="3281"/>
      <c r="BAI28" s="3281"/>
      <c r="BAJ28" s="3281"/>
      <c r="BAK28" s="3281"/>
      <c r="BAL28" s="3281"/>
      <c r="BAM28" s="3281"/>
      <c r="BAN28" s="3281"/>
      <c r="BAO28" s="3281"/>
      <c r="BAP28" s="3281"/>
      <c r="BAQ28" s="3281"/>
      <c r="BAR28" s="3281"/>
      <c r="BAS28" s="3281"/>
      <c r="BAT28" s="3281"/>
      <c r="BAU28" s="3281"/>
      <c r="BAV28" s="3281"/>
      <c r="BAW28" s="3281"/>
      <c r="BAX28" s="3281"/>
      <c r="BAY28" s="3281"/>
      <c r="BAZ28" s="3281"/>
      <c r="BBA28" s="3281"/>
      <c r="BBB28" s="3281"/>
      <c r="BBC28" s="3281"/>
      <c r="BBD28" s="3281"/>
      <c r="BBE28" s="3281"/>
      <c r="BBF28" s="3281"/>
      <c r="BBG28" s="3281"/>
      <c r="BBH28" s="3281"/>
      <c r="BBI28" s="3281"/>
      <c r="BBJ28" s="3281"/>
      <c r="BBK28" s="3281"/>
      <c r="BBL28" s="3281"/>
      <c r="BBM28" s="3281"/>
      <c r="BBN28" s="3281"/>
      <c r="BBO28" s="3281"/>
      <c r="BBP28" s="3281"/>
      <c r="BBQ28" s="3281"/>
      <c r="BBR28" s="3281"/>
      <c r="BBS28" s="3281"/>
      <c r="BBT28" s="3281"/>
      <c r="BBU28" s="3281"/>
      <c r="BBV28" s="3281"/>
      <c r="BBW28" s="3281"/>
      <c r="BBX28" s="3281"/>
      <c r="BBY28" s="3281"/>
      <c r="BBZ28" s="3281"/>
      <c r="BCA28" s="3281"/>
      <c r="BCB28" s="3281"/>
      <c r="BCC28" s="3281"/>
      <c r="BCD28" s="3281"/>
      <c r="BCE28" s="3281"/>
      <c r="BCF28" s="3281"/>
      <c r="BCG28" s="3281"/>
      <c r="BCH28" s="3281"/>
      <c r="BCI28" s="3281"/>
      <c r="BCJ28" s="3281"/>
      <c r="BCK28" s="3281"/>
      <c r="BCL28" s="3281"/>
      <c r="BCM28" s="3281"/>
      <c r="BCN28" s="3281"/>
      <c r="BCO28" s="3281"/>
      <c r="BCP28" s="3281"/>
      <c r="BCQ28" s="3281"/>
      <c r="BCR28" s="3281"/>
      <c r="BCS28" s="3281"/>
      <c r="BCT28" s="3281"/>
      <c r="BCU28" s="3281"/>
      <c r="BCV28" s="3281"/>
      <c r="BCW28" s="3281"/>
      <c r="BCX28" s="3281"/>
      <c r="BCY28" s="3281"/>
      <c r="BCZ28" s="3281"/>
      <c r="BDA28" s="3281"/>
      <c r="BDB28" s="3281"/>
      <c r="BDC28" s="3281"/>
      <c r="BDD28" s="3281"/>
      <c r="BDE28" s="3281"/>
      <c r="BDF28" s="3281"/>
      <c r="BDG28" s="3281"/>
      <c r="BDH28" s="3281"/>
      <c r="BDI28" s="3281"/>
      <c r="BDJ28" s="3281"/>
      <c r="BDK28" s="3281"/>
      <c r="BDL28" s="3281"/>
      <c r="BDM28" s="3281"/>
      <c r="BDN28" s="3281"/>
      <c r="BDO28" s="3281"/>
      <c r="BDP28" s="3281"/>
      <c r="BDQ28" s="3281"/>
      <c r="BDR28" s="3281"/>
      <c r="BDS28" s="3281"/>
      <c r="BDT28" s="3281"/>
      <c r="BDU28" s="3281"/>
      <c r="BDV28" s="3281"/>
      <c r="BDW28" s="3281"/>
      <c r="BDX28" s="3281"/>
      <c r="BDY28" s="3281"/>
      <c r="BDZ28" s="3281"/>
      <c r="BEA28" s="3281"/>
      <c r="BEB28" s="3281"/>
      <c r="BEC28" s="3281"/>
      <c r="BED28" s="3281"/>
      <c r="BEE28" s="3281"/>
      <c r="BEF28" s="3281"/>
      <c r="BEG28" s="3281"/>
      <c r="BEH28" s="3281"/>
      <c r="BEI28" s="3281"/>
      <c r="BEJ28" s="3281"/>
      <c r="BEK28" s="3281"/>
      <c r="BEL28" s="3281"/>
      <c r="BEM28" s="3281"/>
      <c r="BEN28" s="3281"/>
      <c r="BEO28" s="3281"/>
      <c r="BEP28" s="3281"/>
      <c r="BEQ28" s="3281"/>
      <c r="BER28" s="3281"/>
      <c r="BES28" s="3281"/>
      <c r="BET28" s="3281"/>
      <c r="BEU28" s="3281"/>
      <c r="BEV28" s="3281"/>
      <c r="BEW28" s="3281"/>
      <c r="BEX28" s="3281"/>
      <c r="BEY28" s="3281"/>
      <c r="BEZ28" s="3281"/>
      <c r="BFA28" s="3281"/>
      <c r="BFB28" s="3281"/>
      <c r="BFC28" s="3281"/>
      <c r="BFD28" s="3281"/>
      <c r="BFE28" s="3281"/>
      <c r="BFF28" s="3281"/>
      <c r="BFG28" s="3281"/>
      <c r="BFH28" s="3281"/>
      <c r="BFI28" s="3281"/>
      <c r="BFJ28" s="3281"/>
      <c r="BFK28" s="3281"/>
      <c r="BFL28" s="3281"/>
      <c r="BFM28" s="3281"/>
      <c r="BFN28" s="3281"/>
      <c r="BFO28" s="3281"/>
      <c r="BFP28" s="3281"/>
      <c r="BFQ28" s="3281"/>
      <c r="BFR28" s="3281"/>
      <c r="BFS28" s="3281"/>
      <c r="BFT28" s="3281"/>
      <c r="BFU28" s="3281"/>
      <c r="BFV28" s="3281"/>
      <c r="BFW28" s="3281"/>
      <c r="BFX28" s="3281"/>
      <c r="BFY28" s="3281"/>
      <c r="BFZ28" s="3281"/>
      <c r="BGA28" s="3281"/>
      <c r="BGB28" s="3281"/>
      <c r="BGC28" s="3281"/>
      <c r="BGD28" s="3281"/>
      <c r="BGE28" s="3281"/>
      <c r="BGF28" s="3281"/>
      <c r="BGG28" s="3281"/>
      <c r="BGH28" s="3281"/>
      <c r="BGI28" s="3281"/>
      <c r="BGJ28" s="3281"/>
      <c r="BGK28" s="3281"/>
      <c r="BGL28" s="3281"/>
      <c r="BGM28" s="3281"/>
      <c r="BGN28" s="3281"/>
      <c r="BGO28" s="3281"/>
      <c r="BGP28" s="3281"/>
      <c r="BGQ28" s="3281"/>
      <c r="BGR28" s="3281"/>
      <c r="BGS28" s="3281"/>
      <c r="BGT28" s="3281"/>
      <c r="BGU28" s="3281"/>
      <c r="BGV28" s="3281"/>
      <c r="BGW28" s="3281"/>
      <c r="BGX28" s="3281"/>
      <c r="BGY28" s="3281"/>
      <c r="BGZ28" s="3281"/>
      <c r="BHA28" s="3281"/>
      <c r="BHB28" s="3281"/>
      <c r="BHC28" s="3281"/>
      <c r="BHD28" s="3281"/>
      <c r="BHE28" s="3281"/>
      <c r="BHF28" s="3281"/>
      <c r="BHG28" s="3281"/>
      <c r="BHH28" s="3281"/>
      <c r="BHI28" s="3281"/>
      <c r="BHJ28" s="3281"/>
      <c r="BHK28" s="3281"/>
      <c r="BHL28" s="3281"/>
      <c r="BHM28" s="3281"/>
      <c r="BHN28" s="3281"/>
      <c r="BHO28" s="3281"/>
      <c r="BHP28" s="3281"/>
      <c r="BHQ28" s="3281"/>
      <c r="BHR28" s="3281"/>
      <c r="BHS28" s="3281"/>
      <c r="BHT28" s="3281"/>
      <c r="BHU28" s="3281"/>
      <c r="BHV28" s="3281"/>
      <c r="BHW28" s="3281"/>
      <c r="BHX28" s="3281"/>
      <c r="BHY28" s="3281"/>
      <c r="BHZ28" s="3281"/>
      <c r="BIA28" s="3281"/>
      <c r="BIB28" s="3281"/>
      <c r="BIC28" s="3281"/>
      <c r="BID28" s="3281"/>
      <c r="BIE28" s="3281"/>
      <c r="BIF28" s="3281"/>
      <c r="BIG28" s="3281"/>
      <c r="BIH28" s="3281"/>
      <c r="BII28" s="3281"/>
      <c r="BIJ28" s="3281"/>
      <c r="BIK28" s="3281"/>
      <c r="BIL28" s="3281"/>
      <c r="BIM28" s="3281"/>
      <c r="BIN28" s="3281"/>
      <c r="BIO28" s="3281"/>
      <c r="BIP28" s="3281"/>
      <c r="BIQ28" s="3281"/>
      <c r="BIR28" s="3281"/>
      <c r="BIS28" s="3281"/>
      <c r="BIT28" s="3281"/>
      <c r="BIU28" s="3281"/>
      <c r="BIV28" s="3281"/>
      <c r="BIW28" s="3281"/>
      <c r="BIX28" s="3281"/>
      <c r="BIY28" s="3281"/>
      <c r="BIZ28" s="3281"/>
      <c r="BJA28" s="3281"/>
      <c r="BJB28" s="3281"/>
      <c r="BJC28" s="3281"/>
      <c r="BJD28" s="3281"/>
      <c r="BJE28" s="3281"/>
      <c r="BJF28" s="3281"/>
      <c r="BJG28" s="3281"/>
      <c r="BJH28" s="3281"/>
      <c r="BJI28" s="3281"/>
      <c r="BJJ28" s="3281"/>
      <c r="BJK28" s="3281"/>
      <c r="BJL28" s="3281"/>
      <c r="BJM28" s="3281"/>
      <c r="BJN28" s="3281"/>
      <c r="BJO28" s="3281"/>
      <c r="BJP28" s="3281"/>
      <c r="BJQ28" s="3281"/>
      <c r="BJR28" s="3281"/>
      <c r="BJS28" s="3281"/>
      <c r="BJT28" s="3281"/>
      <c r="BJU28" s="3281"/>
      <c r="BJV28" s="3281"/>
      <c r="BJW28" s="3281"/>
      <c r="BJX28" s="3281"/>
      <c r="BJY28" s="3281"/>
      <c r="BJZ28" s="3281"/>
      <c r="BKA28" s="3281"/>
      <c r="BKB28" s="3281"/>
      <c r="BKC28" s="3281"/>
      <c r="BKD28" s="3281"/>
      <c r="BKE28" s="3281"/>
      <c r="BKF28" s="3281"/>
      <c r="BKG28" s="3281"/>
      <c r="BKH28" s="3281"/>
      <c r="BKI28" s="3281"/>
      <c r="BKJ28" s="3281"/>
      <c r="BKK28" s="3281"/>
      <c r="BKL28" s="3281"/>
      <c r="BKM28" s="3281"/>
      <c r="BKN28" s="3281"/>
      <c r="BKO28" s="3281"/>
      <c r="BKP28" s="3281"/>
      <c r="BKQ28" s="3281"/>
      <c r="BKR28" s="3281"/>
      <c r="BKS28" s="3281"/>
      <c r="BKT28" s="3281"/>
      <c r="BKU28" s="3281"/>
      <c r="BKV28" s="3281"/>
      <c r="BKW28" s="3281"/>
      <c r="BKX28" s="3281"/>
      <c r="BKY28" s="3281"/>
      <c r="BKZ28" s="3281"/>
      <c r="BLA28" s="3281"/>
      <c r="BLB28" s="3281"/>
      <c r="BLC28" s="3281"/>
      <c r="BLD28" s="3281"/>
      <c r="BLE28" s="3281"/>
      <c r="BLF28" s="3281"/>
      <c r="BLG28" s="3281"/>
      <c r="BLH28" s="3281"/>
      <c r="BLI28" s="3281"/>
      <c r="BLJ28" s="3281"/>
      <c r="BLK28" s="3281"/>
      <c r="BLL28" s="3281"/>
      <c r="BLM28" s="3281"/>
      <c r="BLN28" s="3281"/>
      <c r="BLO28" s="3281"/>
      <c r="BLP28" s="3281"/>
      <c r="BLQ28" s="3281"/>
      <c r="BLR28" s="3281"/>
      <c r="BLS28" s="3281"/>
      <c r="BLT28" s="3281"/>
      <c r="BLU28" s="3281"/>
      <c r="BLV28" s="3281"/>
      <c r="BLW28" s="3281"/>
      <c r="BLX28" s="3281"/>
      <c r="BLY28" s="3281"/>
      <c r="BLZ28" s="3281"/>
      <c r="BMA28" s="3281"/>
      <c r="BMB28" s="3281"/>
      <c r="BMC28" s="3281"/>
      <c r="BMD28" s="3281"/>
      <c r="BME28" s="3281"/>
      <c r="BMF28" s="3281"/>
      <c r="BMG28" s="3281"/>
      <c r="BMH28" s="3281"/>
      <c r="BMI28" s="3281"/>
      <c r="BMJ28" s="3281"/>
      <c r="BMK28" s="3281"/>
      <c r="BML28" s="3281"/>
      <c r="BMM28" s="3281"/>
      <c r="BMN28" s="3281"/>
      <c r="BMO28" s="3281"/>
      <c r="BMP28" s="3281"/>
      <c r="BMQ28" s="3281"/>
      <c r="BMR28" s="3281"/>
      <c r="BMS28" s="3281"/>
      <c r="BMT28" s="3281"/>
      <c r="BMU28" s="3281"/>
      <c r="BMV28" s="3281"/>
      <c r="BMW28" s="3281"/>
      <c r="BMX28" s="3281"/>
      <c r="BMY28" s="3281"/>
      <c r="BMZ28" s="3281"/>
      <c r="BNA28" s="3281"/>
      <c r="BNB28" s="3281"/>
      <c r="BNC28" s="3281"/>
      <c r="BND28" s="3281"/>
      <c r="BNE28" s="3281"/>
      <c r="BNF28" s="3281"/>
      <c r="BNG28" s="3281"/>
      <c r="BNH28" s="3281"/>
      <c r="BNI28" s="3281"/>
      <c r="BNJ28" s="3281"/>
      <c r="BNK28" s="3281"/>
      <c r="BNL28" s="3281"/>
      <c r="BNM28" s="3281"/>
      <c r="BNN28" s="3281"/>
      <c r="BNO28" s="3281"/>
      <c r="BNP28" s="3281"/>
      <c r="BNQ28" s="3281"/>
      <c r="BNR28" s="3281"/>
      <c r="BNS28" s="3281"/>
      <c r="BNT28" s="3281"/>
      <c r="BNU28" s="3281"/>
      <c r="BNV28" s="3281"/>
      <c r="BNW28" s="3281"/>
      <c r="BNX28" s="3281"/>
      <c r="BNY28" s="3281"/>
      <c r="BNZ28" s="3281"/>
      <c r="BOA28" s="3281"/>
      <c r="BOB28" s="3281"/>
      <c r="BOC28" s="3281"/>
      <c r="BOD28" s="3281"/>
      <c r="BOE28" s="3281"/>
      <c r="BOF28" s="3281"/>
      <c r="BOG28" s="3281"/>
      <c r="BOH28" s="3281"/>
      <c r="BOI28" s="3281"/>
      <c r="BOJ28" s="3281"/>
      <c r="BOK28" s="3281"/>
      <c r="BOL28" s="3281"/>
      <c r="BOM28" s="3281"/>
      <c r="BON28" s="3281"/>
      <c r="BOO28" s="3281"/>
      <c r="BOP28" s="3281"/>
      <c r="BOQ28" s="3281"/>
      <c r="BOR28" s="3281"/>
      <c r="BOS28" s="3281"/>
      <c r="BOT28" s="3281"/>
      <c r="BOU28" s="3281"/>
      <c r="BOV28" s="3281"/>
      <c r="BOW28" s="3281"/>
      <c r="BOX28" s="3281"/>
      <c r="BOY28" s="3281"/>
      <c r="BOZ28" s="3281"/>
      <c r="BPA28" s="3281"/>
      <c r="BPB28" s="3281"/>
      <c r="BPC28" s="3281"/>
      <c r="BPD28" s="3281"/>
      <c r="BPE28" s="3281"/>
      <c r="BPF28" s="3281"/>
      <c r="BPG28" s="3281"/>
      <c r="BPH28" s="3281"/>
      <c r="BPI28" s="3281"/>
      <c r="BPJ28" s="3281"/>
      <c r="BPK28" s="3281"/>
      <c r="BPL28" s="3281"/>
      <c r="BPM28" s="3281"/>
      <c r="BPN28" s="3281"/>
      <c r="BPO28" s="3281"/>
      <c r="BPP28" s="3281"/>
      <c r="BPQ28" s="3281"/>
      <c r="BPR28" s="3281"/>
      <c r="BPS28" s="3281"/>
      <c r="BPT28" s="3281"/>
      <c r="BPU28" s="3281"/>
      <c r="BPV28" s="3281"/>
      <c r="BPW28" s="3281"/>
      <c r="BPX28" s="3281"/>
      <c r="BPY28" s="3281"/>
      <c r="BPZ28" s="3281"/>
      <c r="BQA28" s="3281"/>
      <c r="BQB28" s="3281"/>
      <c r="BQC28" s="3281"/>
      <c r="BQD28" s="3281"/>
      <c r="BQE28" s="3281"/>
      <c r="BQF28" s="3281"/>
      <c r="BQG28" s="3281"/>
      <c r="BQH28" s="3281"/>
      <c r="BQI28" s="3281"/>
      <c r="BQJ28" s="3281"/>
      <c r="BQK28" s="3281"/>
      <c r="BQL28" s="3281"/>
      <c r="BQM28" s="3281"/>
      <c r="BQN28" s="3281"/>
      <c r="BQO28" s="3281"/>
      <c r="BQP28" s="3281"/>
      <c r="BQQ28" s="3281"/>
      <c r="BQR28" s="3281"/>
      <c r="BQS28" s="3281"/>
      <c r="BQT28" s="3281"/>
      <c r="BQU28" s="3281"/>
      <c r="BQV28" s="3281"/>
      <c r="BQW28" s="3281"/>
      <c r="BQX28" s="3281"/>
      <c r="BQY28" s="3281"/>
      <c r="BQZ28" s="3281"/>
      <c r="BRA28" s="3281"/>
      <c r="BRB28" s="3281"/>
      <c r="BRC28" s="3281"/>
      <c r="BRD28" s="3281"/>
      <c r="BRE28" s="3281"/>
      <c r="BRF28" s="3281"/>
      <c r="BRG28" s="3281"/>
      <c r="BRH28" s="3281"/>
      <c r="BRI28" s="3281"/>
      <c r="BRJ28" s="3281"/>
      <c r="BRK28" s="3281"/>
      <c r="BRL28" s="3281"/>
      <c r="BRM28" s="3281"/>
      <c r="BRN28" s="3281"/>
      <c r="BRO28" s="3281"/>
      <c r="BRP28" s="3281"/>
      <c r="BRQ28" s="3281"/>
      <c r="BRR28" s="3281"/>
      <c r="BRS28" s="3281"/>
      <c r="BRT28" s="3281"/>
      <c r="BRU28" s="3281"/>
      <c r="BRV28" s="3281"/>
      <c r="BRW28" s="3281"/>
      <c r="BRX28" s="3281"/>
      <c r="BRY28" s="3281"/>
      <c r="BRZ28" s="3281"/>
      <c r="BSA28" s="3281"/>
      <c r="BSB28" s="3281"/>
      <c r="BSC28" s="3281"/>
      <c r="BSD28" s="3281"/>
      <c r="BSE28" s="3281"/>
      <c r="BSF28" s="3281"/>
      <c r="BSG28" s="3281"/>
      <c r="BSH28" s="3281"/>
      <c r="BSI28" s="3281"/>
      <c r="BSJ28" s="3281"/>
      <c r="BSK28" s="3281"/>
      <c r="BSL28" s="3281"/>
      <c r="BSM28" s="3281"/>
      <c r="BSN28" s="3281"/>
      <c r="BSO28" s="3281"/>
      <c r="BSP28" s="3281"/>
      <c r="BSQ28" s="3281"/>
      <c r="BSR28" s="3281"/>
      <c r="BSS28" s="3281"/>
      <c r="BST28" s="3281"/>
      <c r="BSU28" s="3281"/>
      <c r="BSV28" s="3281"/>
      <c r="BSW28" s="3281"/>
      <c r="BSX28" s="3281"/>
      <c r="BSY28" s="3281"/>
      <c r="BSZ28" s="3281"/>
      <c r="BTA28" s="3281"/>
      <c r="BTB28" s="3281"/>
      <c r="BTC28" s="3281"/>
      <c r="BTD28" s="3281"/>
      <c r="BTE28" s="3281"/>
      <c r="BTF28" s="3281"/>
      <c r="BTG28" s="3281"/>
      <c r="BTH28" s="3281"/>
      <c r="BTI28" s="3281"/>
      <c r="BTJ28" s="3281"/>
      <c r="BTK28" s="3281"/>
      <c r="BTL28" s="3281"/>
      <c r="BTM28" s="3281"/>
      <c r="BTN28" s="3281"/>
      <c r="BTO28" s="3281"/>
      <c r="BTP28" s="3281"/>
      <c r="BTQ28" s="3281"/>
      <c r="BTR28" s="3281"/>
      <c r="BTS28" s="3281"/>
      <c r="BTT28" s="3281"/>
      <c r="BTU28" s="3281"/>
      <c r="BTV28" s="3281"/>
      <c r="BTW28" s="3281"/>
      <c r="BTX28" s="3281"/>
      <c r="BTY28" s="3281"/>
      <c r="BTZ28" s="3281"/>
      <c r="BUA28" s="3281"/>
      <c r="BUB28" s="3281"/>
      <c r="BUC28" s="3281"/>
      <c r="BUD28" s="3281"/>
      <c r="BUE28" s="3281"/>
      <c r="BUF28" s="3281"/>
      <c r="BUG28" s="3281"/>
      <c r="BUH28" s="3281"/>
      <c r="BUI28" s="3281"/>
      <c r="BUJ28" s="3281"/>
      <c r="BUK28" s="3281"/>
      <c r="BUL28" s="3281"/>
      <c r="BUM28" s="3281"/>
      <c r="BUN28" s="3281"/>
      <c r="BUO28" s="3281"/>
      <c r="BUP28" s="3281"/>
      <c r="BUQ28" s="3281"/>
      <c r="BUR28" s="3281"/>
      <c r="BUS28" s="3281"/>
      <c r="BUT28" s="3281"/>
      <c r="BUU28" s="3281"/>
      <c r="BUV28" s="3281"/>
      <c r="BUW28" s="3281"/>
      <c r="BUX28" s="3281"/>
      <c r="BUY28" s="3281"/>
      <c r="BUZ28" s="3281"/>
      <c r="BVA28" s="3281"/>
      <c r="BVB28" s="3281"/>
      <c r="BVC28" s="3281"/>
      <c r="BVD28" s="3281"/>
      <c r="BVE28" s="3281"/>
      <c r="BVF28" s="3281"/>
      <c r="BVG28" s="3281"/>
      <c r="BVH28" s="3281"/>
      <c r="BVI28" s="3281"/>
      <c r="BVJ28" s="3281"/>
      <c r="BVK28" s="3281"/>
      <c r="BVL28" s="3281"/>
      <c r="BVM28" s="3281"/>
      <c r="BVN28" s="3281"/>
      <c r="BVO28" s="3281"/>
      <c r="BVP28" s="3281"/>
      <c r="BVQ28" s="3281"/>
      <c r="BVR28" s="3281"/>
      <c r="BVS28" s="3281"/>
      <c r="BVT28" s="3281"/>
      <c r="BVU28" s="3281"/>
      <c r="BVV28" s="3281"/>
      <c r="BVW28" s="3281"/>
      <c r="BVX28" s="3281"/>
      <c r="BVY28" s="3281"/>
      <c r="BVZ28" s="3281"/>
      <c r="BWA28" s="3281"/>
      <c r="BWB28" s="3281"/>
      <c r="BWC28" s="3281"/>
      <c r="BWD28" s="3281"/>
      <c r="BWE28" s="3281"/>
      <c r="BWF28" s="3281"/>
      <c r="BWG28" s="3281"/>
      <c r="BWH28" s="3281"/>
      <c r="BWI28" s="3281"/>
      <c r="BWJ28" s="3281"/>
      <c r="BWK28" s="3281"/>
      <c r="BWL28" s="3281"/>
      <c r="BWM28" s="3281"/>
      <c r="BWN28" s="3281"/>
      <c r="BWO28" s="3281"/>
      <c r="BWP28" s="3281"/>
      <c r="BWQ28" s="3281"/>
      <c r="BWR28" s="3281"/>
      <c r="BWS28" s="3281"/>
      <c r="BWT28" s="3281"/>
      <c r="BWU28" s="3281"/>
      <c r="BWV28" s="3281"/>
      <c r="BWW28" s="3281"/>
      <c r="BWX28" s="3281"/>
      <c r="BWY28" s="3281"/>
      <c r="BWZ28" s="3281"/>
      <c r="BXA28" s="3281"/>
      <c r="BXB28" s="3281"/>
      <c r="BXC28" s="3281"/>
      <c r="BXD28" s="3281"/>
      <c r="BXE28" s="3281"/>
      <c r="BXF28" s="3281"/>
      <c r="BXG28" s="3281"/>
      <c r="BXH28" s="3281"/>
      <c r="BXI28" s="3281"/>
      <c r="BXJ28" s="3281"/>
      <c r="BXK28" s="3281"/>
      <c r="BXL28" s="3281"/>
      <c r="BXM28" s="3281"/>
      <c r="BXN28" s="3281"/>
      <c r="BXO28" s="3281"/>
      <c r="BXP28" s="3281"/>
      <c r="BXQ28" s="3281"/>
      <c r="BXR28" s="3281"/>
      <c r="BXS28" s="3281"/>
      <c r="BXT28" s="3281"/>
      <c r="BXU28" s="3281"/>
      <c r="BXV28" s="3281"/>
      <c r="BXW28" s="3281"/>
      <c r="BXX28" s="3281"/>
      <c r="BXY28" s="3281"/>
      <c r="BXZ28" s="3281"/>
      <c r="BYA28" s="3281"/>
      <c r="BYB28" s="3281"/>
      <c r="BYC28" s="3281"/>
      <c r="BYD28" s="3281"/>
      <c r="BYE28" s="3281"/>
      <c r="BYF28" s="3281"/>
      <c r="BYG28" s="3281"/>
      <c r="BYH28" s="3281"/>
      <c r="BYI28" s="3281"/>
      <c r="BYJ28" s="3281"/>
      <c r="BYK28" s="3281"/>
      <c r="BYL28" s="3281"/>
      <c r="BYM28" s="3281"/>
      <c r="BYN28" s="3281"/>
      <c r="BYO28" s="3281"/>
      <c r="BYP28" s="3281"/>
      <c r="BYQ28" s="3281"/>
      <c r="BYR28" s="3281"/>
      <c r="BYS28" s="3281"/>
      <c r="BYT28" s="3281"/>
      <c r="BYU28" s="3281"/>
      <c r="BYV28" s="3281"/>
      <c r="BYW28" s="3281"/>
      <c r="BYX28" s="3281"/>
      <c r="BYY28" s="3281"/>
      <c r="BYZ28" s="3281"/>
      <c r="BZA28" s="3281"/>
      <c r="BZB28" s="3281"/>
      <c r="BZC28" s="3281"/>
      <c r="BZD28" s="3281"/>
      <c r="BZE28" s="3281"/>
      <c r="BZF28" s="3281"/>
      <c r="BZG28" s="3281"/>
      <c r="BZH28" s="3281"/>
      <c r="BZI28" s="3281"/>
      <c r="BZJ28" s="3281"/>
      <c r="BZK28" s="3281"/>
      <c r="BZL28" s="3281"/>
      <c r="BZM28" s="3281"/>
      <c r="BZN28" s="3281"/>
      <c r="BZO28" s="3281"/>
      <c r="BZP28" s="3281"/>
      <c r="BZQ28" s="3281"/>
      <c r="BZR28" s="3281"/>
      <c r="BZS28" s="3281"/>
      <c r="BZT28" s="3281"/>
      <c r="BZU28" s="3281"/>
      <c r="BZV28" s="3281"/>
      <c r="BZW28" s="3281"/>
      <c r="BZX28" s="3281"/>
      <c r="BZY28" s="3281"/>
      <c r="BZZ28" s="3281"/>
      <c r="CAA28" s="3281"/>
      <c r="CAB28" s="3281"/>
      <c r="CAC28" s="3281"/>
      <c r="CAD28" s="3281"/>
      <c r="CAE28" s="3281"/>
      <c r="CAF28" s="3281"/>
      <c r="CAG28" s="3281"/>
      <c r="CAH28" s="3281"/>
      <c r="CAI28" s="3281"/>
      <c r="CAJ28" s="3281"/>
      <c r="CAK28" s="3281"/>
      <c r="CAL28" s="3281"/>
      <c r="CAM28" s="3281"/>
      <c r="CAN28" s="3281"/>
      <c r="CAO28" s="3281"/>
      <c r="CAP28" s="3281"/>
      <c r="CAQ28" s="3281"/>
      <c r="CAR28" s="3281"/>
      <c r="CAS28" s="3281"/>
      <c r="CAT28" s="3281"/>
      <c r="CAU28" s="3281"/>
      <c r="CAV28" s="3281"/>
      <c r="CAW28" s="3281"/>
      <c r="CAX28" s="3281"/>
      <c r="CAY28" s="3281"/>
      <c r="CAZ28" s="3281"/>
      <c r="CBA28" s="3281"/>
      <c r="CBB28" s="3281"/>
      <c r="CBC28" s="3281"/>
      <c r="CBD28" s="3281"/>
      <c r="CBE28" s="3281"/>
      <c r="CBF28" s="3281"/>
      <c r="CBG28" s="3281"/>
      <c r="CBH28" s="3281"/>
      <c r="CBI28" s="3281"/>
      <c r="CBJ28" s="3281"/>
      <c r="CBK28" s="3281"/>
      <c r="CBL28" s="3281"/>
      <c r="CBM28" s="3281"/>
      <c r="CBN28" s="3281"/>
      <c r="CBO28" s="3281"/>
      <c r="CBP28" s="3281"/>
      <c r="CBQ28" s="3281"/>
      <c r="CBR28" s="3281"/>
      <c r="CBS28" s="3281"/>
      <c r="CBT28" s="3281"/>
      <c r="CBU28" s="3281"/>
      <c r="CBV28" s="3281"/>
      <c r="CBW28" s="3281"/>
      <c r="CBX28" s="3281"/>
      <c r="CBY28" s="3281"/>
      <c r="CBZ28" s="3281"/>
      <c r="CCA28" s="3281"/>
      <c r="CCB28" s="3281"/>
      <c r="CCC28" s="3281"/>
      <c r="CCD28" s="3281"/>
      <c r="CCE28" s="3281"/>
      <c r="CCF28" s="3281"/>
      <c r="CCG28" s="3281"/>
      <c r="CCH28" s="3281"/>
      <c r="CCI28" s="3281"/>
      <c r="CCJ28" s="3281"/>
      <c r="CCK28" s="3281"/>
      <c r="CCL28" s="3281"/>
      <c r="CCM28" s="3281"/>
      <c r="CCN28" s="3281"/>
      <c r="CCO28" s="3281"/>
      <c r="CCP28" s="3281"/>
      <c r="CCQ28" s="3281"/>
      <c r="CCR28" s="3281"/>
      <c r="CCS28" s="3281"/>
      <c r="CCT28" s="3281"/>
      <c r="CCU28" s="3281"/>
      <c r="CCV28" s="3281"/>
      <c r="CCW28" s="3281"/>
      <c r="CCX28" s="3281"/>
      <c r="CCY28" s="3281"/>
      <c r="CCZ28" s="3281"/>
      <c r="CDA28" s="3281"/>
      <c r="CDB28" s="3281"/>
      <c r="CDC28" s="3281"/>
      <c r="CDD28" s="3281"/>
      <c r="CDE28" s="3281"/>
      <c r="CDF28" s="3281"/>
      <c r="CDG28" s="3281"/>
      <c r="CDH28" s="3281"/>
      <c r="CDI28" s="3281"/>
      <c r="CDJ28" s="3281"/>
      <c r="CDK28" s="3281"/>
      <c r="CDL28" s="3281"/>
      <c r="CDM28" s="3281"/>
      <c r="CDN28" s="3281"/>
      <c r="CDO28" s="3281"/>
      <c r="CDP28" s="3281"/>
      <c r="CDQ28" s="3281"/>
      <c r="CDR28" s="3281"/>
      <c r="CDS28" s="3281"/>
      <c r="CDT28" s="3281"/>
      <c r="CDU28" s="3281"/>
      <c r="CDV28" s="3281"/>
      <c r="CDW28" s="3281"/>
      <c r="CDX28" s="3281"/>
      <c r="CDY28" s="3281"/>
      <c r="CDZ28" s="3281"/>
      <c r="CEA28" s="3281"/>
      <c r="CEB28" s="3281"/>
      <c r="CEC28" s="3281"/>
      <c r="CED28" s="3281"/>
      <c r="CEE28" s="3281"/>
      <c r="CEF28" s="3281"/>
      <c r="CEG28" s="3281"/>
      <c r="CEH28" s="3281"/>
      <c r="CEI28" s="3281"/>
      <c r="CEJ28" s="3281"/>
      <c r="CEK28" s="3281"/>
      <c r="CEL28" s="3281"/>
      <c r="CEM28" s="3281"/>
      <c r="CEN28" s="3281"/>
      <c r="CEO28" s="3281"/>
      <c r="CEP28" s="3281"/>
      <c r="CEQ28" s="3281"/>
      <c r="CER28" s="3281"/>
      <c r="CES28" s="3281"/>
      <c r="CET28" s="3281"/>
      <c r="CEU28" s="3281"/>
      <c r="CEV28" s="3281"/>
      <c r="CEW28" s="3281"/>
      <c r="CEX28" s="3281"/>
      <c r="CEY28" s="3281"/>
      <c r="CEZ28" s="3281"/>
      <c r="CFA28" s="3281"/>
      <c r="CFB28" s="3281"/>
      <c r="CFC28" s="3281"/>
      <c r="CFD28" s="3281"/>
      <c r="CFE28" s="3281"/>
      <c r="CFF28" s="3281"/>
      <c r="CFG28" s="3281"/>
      <c r="CFH28" s="3281"/>
      <c r="CFI28" s="3281"/>
      <c r="CFJ28" s="3281"/>
      <c r="CFK28" s="3281"/>
      <c r="CFL28" s="3281"/>
      <c r="CFM28" s="3281"/>
      <c r="CFN28" s="3281"/>
      <c r="CFO28" s="3281"/>
      <c r="CFP28" s="3281"/>
      <c r="CFQ28" s="3281"/>
      <c r="CFR28" s="3281"/>
      <c r="CFS28" s="3281"/>
      <c r="CFT28" s="3281"/>
      <c r="CFU28" s="3281"/>
      <c r="CFV28" s="3281"/>
      <c r="CFW28" s="3281"/>
      <c r="CFX28" s="3281"/>
      <c r="CFY28" s="3281"/>
      <c r="CFZ28" s="3281"/>
      <c r="CGA28" s="3281"/>
      <c r="CGB28" s="3281"/>
      <c r="CGC28" s="3281"/>
      <c r="CGD28" s="3281"/>
      <c r="CGE28" s="3281"/>
      <c r="CGF28" s="3281"/>
      <c r="CGG28" s="3281"/>
      <c r="CGH28" s="3281"/>
      <c r="CGI28" s="3281"/>
      <c r="CGJ28" s="3281"/>
      <c r="CGK28" s="3281"/>
      <c r="CGL28" s="3281"/>
      <c r="CGM28" s="3281"/>
      <c r="CGN28" s="3281"/>
      <c r="CGO28" s="3281"/>
      <c r="CGP28" s="3281"/>
      <c r="CGQ28" s="3281"/>
      <c r="CGR28" s="3281"/>
      <c r="CGS28" s="3281"/>
      <c r="CGT28" s="3281"/>
      <c r="CGU28" s="3281"/>
      <c r="CGV28" s="3281"/>
      <c r="CGW28" s="3281"/>
      <c r="CGX28" s="3281"/>
      <c r="CGY28" s="3281"/>
      <c r="CGZ28" s="3281"/>
      <c r="CHA28" s="3281"/>
      <c r="CHB28" s="3281"/>
      <c r="CHC28" s="3281"/>
      <c r="CHD28" s="3281"/>
      <c r="CHE28" s="3281"/>
      <c r="CHF28" s="3281"/>
      <c r="CHG28" s="3281"/>
      <c r="CHH28" s="3281"/>
      <c r="CHI28" s="3281"/>
      <c r="CHJ28" s="3281"/>
      <c r="CHK28" s="3281"/>
      <c r="CHL28" s="3281"/>
      <c r="CHM28" s="3281"/>
      <c r="CHN28" s="3281"/>
      <c r="CHO28" s="3281"/>
      <c r="CHP28" s="3281"/>
      <c r="CHQ28" s="3281"/>
      <c r="CHR28" s="3281"/>
      <c r="CHS28" s="3281"/>
      <c r="CHT28" s="3281"/>
      <c r="CHU28" s="3281"/>
      <c r="CHV28" s="3281"/>
      <c r="CHW28" s="3281"/>
      <c r="CHX28" s="3281"/>
      <c r="CHY28" s="3281"/>
      <c r="CHZ28" s="3281"/>
      <c r="CIA28" s="3281"/>
      <c r="CIB28" s="3281"/>
      <c r="CIC28" s="3281"/>
      <c r="CID28" s="3281"/>
      <c r="CIE28" s="3281"/>
      <c r="CIF28" s="3281"/>
      <c r="CIG28" s="3281"/>
      <c r="CIH28" s="3281"/>
      <c r="CII28" s="3281"/>
      <c r="CIJ28" s="3281"/>
      <c r="CIK28" s="3281"/>
      <c r="CIL28" s="3281"/>
      <c r="CIM28" s="3281"/>
      <c r="CIN28" s="3281"/>
      <c r="CIO28" s="3281"/>
      <c r="CIP28" s="3281"/>
      <c r="CIQ28" s="3281"/>
      <c r="CIR28" s="3281"/>
      <c r="CIS28" s="3281"/>
      <c r="CIT28" s="3281"/>
      <c r="CIU28" s="3281"/>
      <c r="CIV28" s="3281"/>
      <c r="CIW28" s="3281"/>
      <c r="CIX28" s="3281"/>
      <c r="CIY28" s="3281"/>
      <c r="CIZ28" s="3281"/>
      <c r="CJA28" s="3281"/>
      <c r="CJB28" s="3281"/>
      <c r="CJC28" s="3281"/>
      <c r="CJD28" s="3281"/>
      <c r="CJE28" s="3281"/>
      <c r="CJF28" s="3281"/>
      <c r="CJG28" s="3281"/>
      <c r="CJH28" s="3281"/>
      <c r="CJI28" s="3281"/>
      <c r="CJJ28" s="3281"/>
      <c r="CJK28" s="3281"/>
      <c r="CJL28" s="3281"/>
      <c r="CJM28" s="3281"/>
      <c r="CJN28" s="3281"/>
      <c r="CJO28" s="3281"/>
      <c r="CJP28" s="3281"/>
      <c r="CJQ28" s="3281"/>
      <c r="CJR28" s="3281"/>
      <c r="CJS28" s="3281"/>
      <c r="CJT28" s="3281"/>
      <c r="CJU28" s="3281"/>
      <c r="CJV28" s="3281"/>
      <c r="CJW28" s="3281"/>
      <c r="CJX28" s="3281"/>
      <c r="CJY28" s="3281"/>
      <c r="CJZ28" s="3281"/>
      <c r="CKA28" s="3281"/>
      <c r="CKB28" s="3281"/>
      <c r="CKC28" s="3281"/>
      <c r="CKD28" s="3281"/>
      <c r="CKE28" s="3281"/>
      <c r="CKF28" s="3281"/>
      <c r="CKG28" s="3281"/>
      <c r="CKH28" s="3281"/>
      <c r="CKI28" s="3281"/>
      <c r="CKJ28" s="3281"/>
      <c r="CKK28" s="3281"/>
      <c r="CKL28" s="3281"/>
      <c r="CKM28" s="3281"/>
      <c r="CKN28" s="3281"/>
      <c r="CKO28" s="3281"/>
      <c r="CKP28" s="3281"/>
      <c r="CKQ28" s="3281"/>
      <c r="CKR28" s="3281"/>
      <c r="CKS28" s="3281"/>
      <c r="CKT28" s="3281"/>
      <c r="CKU28" s="3281"/>
      <c r="CKV28" s="3281"/>
      <c r="CKW28" s="3281"/>
      <c r="CKX28" s="3281"/>
      <c r="CKY28" s="3281"/>
      <c r="CKZ28" s="3281"/>
      <c r="CLA28" s="3281"/>
      <c r="CLB28" s="3281"/>
      <c r="CLC28" s="3281"/>
      <c r="CLD28" s="3281"/>
      <c r="CLE28" s="3281"/>
      <c r="CLF28" s="3281"/>
      <c r="CLG28" s="3281"/>
      <c r="CLH28" s="3281"/>
      <c r="CLI28" s="3281"/>
      <c r="CLJ28" s="3281"/>
      <c r="CLK28" s="3281"/>
      <c r="CLL28" s="3281"/>
      <c r="CLM28" s="3281"/>
      <c r="CLN28" s="3281"/>
      <c r="CLO28" s="3281"/>
      <c r="CLP28" s="3281"/>
      <c r="CLQ28" s="3281"/>
      <c r="CLR28" s="3281"/>
      <c r="CLS28" s="3281"/>
      <c r="CLT28" s="3281"/>
      <c r="CLU28" s="3281"/>
      <c r="CLV28" s="3281"/>
      <c r="CLW28" s="3281"/>
      <c r="CLX28" s="3281"/>
      <c r="CLY28" s="3281"/>
      <c r="CLZ28" s="3281"/>
      <c r="CMA28" s="3281"/>
      <c r="CMB28" s="3281"/>
      <c r="CMC28" s="3281"/>
      <c r="CMD28" s="3281"/>
      <c r="CME28" s="3281"/>
      <c r="CMF28" s="3281"/>
      <c r="CMG28" s="3281"/>
      <c r="CMH28" s="3281"/>
      <c r="CMI28" s="3281"/>
      <c r="CMJ28" s="3281"/>
      <c r="CMK28" s="3281"/>
      <c r="CML28" s="3281"/>
      <c r="CMM28" s="3281"/>
      <c r="CMN28" s="3281"/>
      <c r="CMO28" s="3281"/>
      <c r="CMP28" s="3281"/>
      <c r="CMQ28" s="3281"/>
      <c r="CMR28" s="3281"/>
      <c r="CMS28" s="3281"/>
      <c r="CMT28" s="3281"/>
      <c r="CMU28" s="3281"/>
      <c r="CMV28" s="3281"/>
      <c r="CMW28" s="3281"/>
      <c r="CMX28" s="3281"/>
      <c r="CMY28" s="3281"/>
      <c r="CMZ28" s="3281"/>
      <c r="CNA28" s="3281"/>
      <c r="CNB28" s="3281"/>
      <c r="CNC28" s="3281"/>
      <c r="CND28" s="3281"/>
      <c r="CNE28" s="3281"/>
      <c r="CNF28" s="3281"/>
      <c r="CNG28" s="3281"/>
      <c r="CNH28" s="3281"/>
      <c r="CNI28" s="3281"/>
      <c r="CNJ28" s="3281"/>
      <c r="CNK28" s="3281"/>
      <c r="CNL28" s="3281"/>
      <c r="CNM28" s="3281"/>
      <c r="CNN28" s="3281"/>
      <c r="CNO28" s="3281"/>
      <c r="CNP28" s="3281"/>
      <c r="CNQ28" s="3281"/>
      <c r="CNR28" s="3281"/>
      <c r="CNS28" s="3281"/>
      <c r="CNT28" s="3281"/>
      <c r="CNU28" s="3281"/>
      <c r="CNV28" s="3281"/>
      <c r="CNW28" s="3281"/>
      <c r="CNX28" s="3281"/>
      <c r="CNY28" s="3281"/>
      <c r="CNZ28" s="3281"/>
      <c r="COA28" s="3281"/>
      <c r="COB28" s="3281"/>
      <c r="COC28" s="3281"/>
      <c r="COD28" s="3281"/>
      <c r="COE28" s="3281"/>
      <c r="COF28" s="3281"/>
      <c r="COG28" s="3281"/>
      <c r="COH28" s="3281"/>
      <c r="COI28" s="3281"/>
      <c r="COJ28" s="3281"/>
      <c r="COK28" s="3281"/>
      <c r="COL28" s="3281"/>
      <c r="COM28" s="3281"/>
      <c r="CON28" s="3281"/>
      <c r="COO28" s="3281"/>
      <c r="COP28" s="3281"/>
      <c r="COQ28" s="3281"/>
      <c r="COR28" s="3281"/>
      <c r="COS28" s="3281"/>
      <c r="COT28" s="3281"/>
      <c r="COU28" s="3281"/>
      <c r="COV28" s="3281"/>
      <c r="COW28" s="3281"/>
      <c r="COX28" s="3281"/>
      <c r="COY28" s="3281"/>
      <c r="COZ28" s="3281"/>
      <c r="CPA28" s="3281"/>
      <c r="CPB28" s="3281"/>
      <c r="CPC28" s="3281"/>
      <c r="CPD28" s="3281"/>
      <c r="CPE28" s="3281"/>
      <c r="CPF28" s="3281"/>
      <c r="CPG28" s="3281"/>
      <c r="CPH28" s="3281"/>
      <c r="CPI28" s="3281"/>
      <c r="CPJ28" s="3281"/>
      <c r="CPK28" s="3281"/>
      <c r="CPL28" s="3281"/>
      <c r="CPM28" s="3281"/>
      <c r="CPN28" s="3281"/>
      <c r="CPO28" s="3281"/>
      <c r="CPP28" s="3281"/>
      <c r="CPQ28" s="3281"/>
      <c r="CPR28" s="3281"/>
      <c r="CPS28" s="3281"/>
      <c r="CPT28" s="3281"/>
      <c r="CPU28" s="3281"/>
      <c r="CPV28" s="3281"/>
      <c r="CPW28" s="3281"/>
      <c r="CPX28" s="3281"/>
      <c r="CPY28" s="3281"/>
      <c r="CPZ28" s="3281"/>
      <c r="CQA28" s="3281"/>
      <c r="CQB28" s="3281"/>
      <c r="CQC28" s="3281"/>
      <c r="CQD28" s="3281"/>
      <c r="CQE28" s="3281"/>
      <c r="CQF28" s="3281"/>
      <c r="CQG28" s="3281"/>
      <c r="CQH28" s="3281"/>
      <c r="CQI28" s="3281"/>
      <c r="CQJ28" s="3281"/>
      <c r="CQK28" s="3281"/>
      <c r="CQL28" s="3281"/>
      <c r="CQM28" s="3281"/>
      <c r="CQN28" s="3281"/>
      <c r="CQO28" s="3281"/>
      <c r="CQP28" s="3281"/>
      <c r="CQQ28" s="3281"/>
      <c r="CQR28" s="3281"/>
      <c r="CQS28" s="3281"/>
      <c r="CQT28" s="3281"/>
      <c r="CQU28" s="3281"/>
      <c r="CQV28" s="3281"/>
      <c r="CQW28" s="3281"/>
      <c r="CQX28" s="3281"/>
      <c r="CQY28" s="3281"/>
      <c r="CQZ28" s="3281"/>
      <c r="CRA28" s="3281"/>
      <c r="CRB28" s="3281"/>
      <c r="CRC28" s="3281"/>
      <c r="CRD28" s="3281"/>
      <c r="CRE28" s="3281"/>
      <c r="CRF28" s="3281"/>
      <c r="CRG28" s="3281"/>
      <c r="CRH28" s="3281"/>
      <c r="CRI28" s="3281"/>
      <c r="CRJ28" s="3281"/>
      <c r="CRK28" s="3281"/>
      <c r="CRL28" s="3281"/>
      <c r="CRM28" s="3281"/>
      <c r="CRN28" s="3281"/>
      <c r="CRO28" s="3281"/>
      <c r="CRP28" s="3281"/>
      <c r="CRQ28" s="3281"/>
      <c r="CRR28" s="3281"/>
      <c r="CRS28" s="3281"/>
      <c r="CRT28" s="3281"/>
      <c r="CRU28" s="3281"/>
      <c r="CRV28" s="3281"/>
      <c r="CRW28" s="3281"/>
      <c r="CRX28" s="3281"/>
      <c r="CRY28" s="3281"/>
      <c r="CRZ28" s="3281"/>
      <c r="CSA28" s="3281"/>
      <c r="CSB28" s="3281"/>
      <c r="CSC28" s="3281"/>
      <c r="CSD28" s="3281"/>
      <c r="CSE28" s="3281"/>
      <c r="CSF28" s="3281"/>
      <c r="CSG28" s="3281"/>
      <c r="CSH28" s="3281"/>
      <c r="CSI28" s="3281"/>
      <c r="CSJ28" s="3281"/>
      <c r="CSK28" s="3281"/>
      <c r="CSL28" s="3281"/>
      <c r="CSM28" s="3281"/>
      <c r="CSN28" s="3281"/>
      <c r="CSO28" s="3281"/>
      <c r="CSP28" s="3281"/>
      <c r="CSQ28" s="3281"/>
      <c r="CSR28" s="3281"/>
      <c r="CSS28" s="3281"/>
      <c r="CST28" s="3281"/>
      <c r="CSU28" s="3281"/>
      <c r="CSV28" s="3281"/>
      <c r="CSW28" s="3281"/>
      <c r="CSX28" s="3281"/>
      <c r="CSY28" s="3281"/>
      <c r="CSZ28" s="3281"/>
      <c r="CTA28" s="3281"/>
      <c r="CTB28" s="3281"/>
      <c r="CTC28" s="3281"/>
      <c r="CTD28" s="3281"/>
      <c r="CTE28" s="3281"/>
      <c r="CTF28" s="3281"/>
      <c r="CTG28" s="3281"/>
      <c r="CTH28" s="3281"/>
      <c r="CTI28" s="3281"/>
      <c r="CTJ28" s="3281"/>
      <c r="CTK28" s="3281"/>
      <c r="CTL28" s="3281"/>
      <c r="CTM28" s="3281"/>
      <c r="CTN28" s="3281"/>
      <c r="CTO28" s="3281"/>
      <c r="CTP28" s="3281"/>
      <c r="CTQ28" s="3281"/>
      <c r="CTR28" s="3281"/>
      <c r="CTS28" s="3281"/>
      <c r="CTT28" s="3281"/>
      <c r="CTU28" s="3281"/>
      <c r="CTV28" s="3281"/>
      <c r="CTW28" s="3281"/>
      <c r="CTX28" s="3281"/>
      <c r="CTY28" s="3281"/>
      <c r="CTZ28" s="3281"/>
      <c r="CUA28" s="3281"/>
      <c r="CUB28" s="3281"/>
      <c r="CUC28" s="3281"/>
      <c r="CUD28" s="3281"/>
      <c r="CUE28" s="3281"/>
      <c r="CUF28" s="3281"/>
      <c r="CUG28" s="3281"/>
      <c r="CUH28" s="3281"/>
      <c r="CUI28" s="3281"/>
      <c r="CUJ28" s="3281"/>
      <c r="CUK28" s="3281"/>
      <c r="CUL28" s="3281"/>
      <c r="CUM28" s="3281"/>
      <c r="CUN28" s="3281"/>
      <c r="CUO28" s="3281"/>
      <c r="CUP28" s="3281"/>
      <c r="CUQ28" s="3281"/>
      <c r="CUR28" s="3281"/>
      <c r="CUS28" s="3281"/>
      <c r="CUT28" s="3281"/>
      <c r="CUU28" s="3281"/>
      <c r="CUV28" s="3281"/>
      <c r="CUW28" s="3281"/>
      <c r="CUX28" s="3281"/>
      <c r="CUY28" s="3281"/>
      <c r="CUZ28" s="3281"/>
      <c r="CVA28" s="3281"/>
      <c r="CVB28" s="3281"/>
      <c r="CVC28" s="3281"/>
      <c r="CVD28" s="3281"/>
      <c r="CVE28" s="3281"/>
      <c r="CVF28" s="3281"/>
      <c r="CVG28" s="3281"/>
      <c r="CVH28" s="3281"/>
      <c r="CVI28" s="3281"/>
      <c r="CVJ28" s="3281"/>
      <c r="CVK28" s="3281"/>
      <c r="CVL28" s="3281"/>
      <c r="CVM28" s="3281"/>
      <c r="CVN28" s="3281"/>
      <c r="CVO28" s="3281"/>
      <c r="CVP28" s="3281"/>
      <c r="CVQ28" s="3281"/>
      <c r="CVR28" s="3281"/>
      <c r="CVS28" s="3281"/>
      <c r="CVT28" s="3281"/>
      <c r="CVU28" s="3281"/>
      <c r="CVV28" s="3281"/>
      <c r="CVW28" s="3281"/>
      <c r="CVX28" s="3281"/>
      <c r="CVY28" s="3281"/>
      <c r="CVZ28" s="3281"/>
      <c r="CWA28" s="3281"/>
      <c r="CWB28" s="3281"/>
      <c r="CWC28" s="3281"/>
      <c r="CWD28" s="3281"/>
      <c r="CWE28" s="3281"/>
      <c r="CWF28" s="3281"/>
      <c r="CWG28" s="3281"/>
      <c r="CWH28" s="3281"/>
      <c r="CWI28" s="3281"/>
      <c r="CWJ28" s="3281"/>
      <c r="CWK28" s="3281"/>
      <c r="CWL28" s="3281"/>
      <c r="CWM28" s="3281"/>
      <c r="CWN28" s="3281"/>
      <c r="CWO28" s="3281"/>
      <c r="CWP28" s="3281"/>
      <c r="CWQ28" s="3281"/>
      <c r="CWR28" s="3281"/>
      <c r="CWS28" s="3281"/>
      <c r="CWT28" s="3281"/>
      <c r="CWU28" s="3281"/>
      <c r="CWV28" s="3281"/>
      <c r="CWW28" s="3281"/>
      <c r="CWX28" s="3281"/>
      <c r="CWY28" s="3281"/>
      <c r="CWZ28" s="3281"/>
      <c r="CXA28" s="3281"/>
      <c r="CXB28" s="3281"/>
      <c r="CXC28" s="3281"/>
      <c r="CXD28" s="3281"/>
      <c r="CXE28" s="3281"/>
      <c r="CXF28" s="3281"/>
      <c r="CXG28" s="3281"/>
      <c r="CXH28" s="3281"/>
      <c r="CXI28" s="3281"/>
      <c r="CXJ28" s="3281"/>
      <c r="CXK28" s="3281"/>
      <c r="CXL28" s="3281"/>
      <c r="CXM28" s="3281"/>
      <c r="CXN28" s="3281"/>
      <c r="CXO28" s="3281"/>
      <c r="CXP28" s="3281"/>
      <c r="CXQ28" s="3281"/>
      <c r="CXR28" s="3281"/>
      <c r="CXS28" s="3281"/>
      <c r="CXT28" s="3281"/>
      <c r="CXU28" s="3281"/>
      <c r="CXV28" s="3281"/>
      <c r="CXW28" s="3281"/>
      <c r="CXX28" s="3281"/>
      <c r="CXY28" s="3281"/>
      <c r="CXZ28" s="3281"/>
      <c r="CYA28" s="3281"/>
      <c r="CYB28" s="3281"/>
      <c r="CYC28" s="3281"/>
      <c r="CYD28" s="3281"/>
      <c r="CYE28" s="3281"/>
      <c r="CYF28" s="3281"/>
      <c r="CYG28" s="3281"/>
      <c r="CYH28" s="3281"/>
      <c r="CYI28" s="3281"/>
      <c r="CYJ28" s="3281"/>
      <c r="CYK28" s="3281"/>
      <c r="CYL28" s="3281"/>
      <c r="CYM28" s="3281"/>
      <c r="CYN28" s="3281"/>
      <c r="CYO28" s="3281"/>
      <c r="CYP28" s="3281"/>
      <c r="CYQ28" s="3281"/>
      <c r="CYR28" s="3281"/>
      <c r="CYS28" s="3281"/>
      <c r="CYT28" s="3281"/>
      <c r="CYU28" s="3281"/>
      <c r="CYV28" s="3281"/>
      <c r="CYW28" s="3281"/>
      <c r="CYX28" s="3281"/>
      <c r="CYY28" s="3281"/>
      <c r="CYZ28" s="3281"/>
      <c r="CZA28" s="3281"/>
      <c r="CZB28" s="3281"/>
      <c r="CZC28" s="3281"/>
      <c r="CZD28" s="3281"/>
      <c r="CZE28" s="3281"/>
      <c r="CZF28" s="3281"/>
      <c r="CZG28" s="3281"/>
      <c r="CZH28" s="3281"/>
      <c r="CZI28" s="3281"/>
      <c r="CZJ28" s="3281"/>
      <c r="CZK28" s="3281"/>
      <c r="CZL28" s="3281"/>
      <c r="CZM28" s="3281"/>
      <c r="CZN28" s="3281"/>
      <c r="CZO28" s="3281"/>
      <c r="CZP28" s="3281"/>
      <c r="CZQ28" s="3281"/>
      <c r="CZR28" s="3281"/>
      <c r="CZS28" s="3281"/>
      <c r="CZT28" s="3281"/>
      <c r="CZU28" s="3281"/>
      <c r="CZV28" s="3281"/>
      <c r="CZW28" s="3281"/>
      <c r="CZX28" s="3281"/>
      <c r="CZY28" s="3281"/>
      <c r="CZZ28" s="3281"/>
      <c r="DAA28" s="3281"/>
      <c r="DAB28" s="3281"/>
      <c r="DAC28" s="3281"/>
      <c r="DAD28" s="3281"/>
      <c r="DAE28" s="3281"/>
      <c r="DAF28" s="3281"/>
      <c r="DAG28" s="3281"/>
      <c r="DAH28" s="3281"/>
      <c r="DAI28" s="3281"/>
      <c r="DAJ28" s="3281"/>
      <c r="DAK28" s="3281"/>
      <c r="DAL28" s="3281"/>
      <c r="DAM28" s="3281"/>
      <c r="DAN28" s="3281"/>
      <c r="DAO28" s="3281"/>
      <c r="DAP28" s="3281"/>
      <c r="DAQ28" s="3281"/>
      <c r="DAR28" s="3281"/>
      <c r="DAS28" s="3281"/>
      <c r="DAT28" s="3281"/>
      <c r="DAU28" s="3281"/>
      <c r="DAV28" s="3281"/>
      <c r="DAW28" s="3281"/>
      <c r="DAX28" s="3281"/>
      <c r="DAY28" s="3281"/>
      <c r="DAZ28" s="3281"/>
      <c r="DBA28" s="3281"/>
      <c r="DBB28" s="3281"/>
      <c r="DBC28" s="3281"/>
      <c r="DBD28" s="3281"/>
      <c r="DBE28" s="3281"/>
      <c r="DBF28" s="3281"/>
      <c r="DBG28" s="3281"/>
      <c r="DBH28" s="3281"/>
      <c r="DBI28" s="3281"/>
      <c r="DBJ28" s="3281"/>
      <c r="DBK28" s="3281"/>
      <c r="DBL28" s="3281"/>
      <c r="DBM28" s="3281"/>
      <c r="DBN28" s="3281"/>
      <c r="DBO28" s="3281"/>
      <c r="DBP28" s="3281"/>
      <c r="DBQ28" s="3281"/>
      <c r="DBR28" s="3281"/>
      <c r="DBS28" s="3281"/>
      <c r="DBT28" s="3281"/>
      <c r="DBU28" s="3281"/>
      <c r="DBV28" s="3281"/>
      <c r="DBW28" s="3281"/>
      <c r="DBX28" s="3281"/>
      <c r="DBY28" s="3281"/>
      <c r="DBZ28" s="3281"/>
      <c r="DCA28" s="3281"/>
      <c r="DCB28" s="3281"/>
      <c r="DCC28" s="3281"/>
      <c r="DCD28" s="3281"/>
      <c r="DCE28" s="3281"/>
      <c r="DCF28" s="3281"/>
      <c r="DCG28" s="3281"/>
      <c r="DCH28" s="3281"/>
      <c r="DCI28" s="3281"/>
      <c r="DCJ28" s="3281"/>
      <c r="DCK28" s="3281"/>
      <c r="DCL28" s="3281"/>
      <c r="DCM28" s="3281"/>
      <c r="DCN28" s="3281"/>
      <c r="DCO28" s="3281"/>
      <c r="DCP28" s="3281"/>
      <c r="DCQ28" s="3281"/>
      <c r="DCR28" s="3281"/>
      <c r="DCS28" s="3281"/>
      <c r="DCT28" s="3281"/>
      <c r="DCU28" s="3281"/>
      <c r="DCV28" s="3281"/>
      <c r="DCW28" s="3281"/>
      <c r="DCX28" s="3281"/>
      <c r="DCY28" s="3281"/>
      <c r="DCZ28" s="3281"/>
      <c r="DDA28" s="3281"/>
      <c r="DDB28" s="3281"/>
      <c r="DDC28" s="3281"/>
      <c r="DDD28" s="3281"/>
      <c r="DDE28" s="3281"/>
      <c r="DDF28" s="3281"/>
      <c r="DDG28" s="3281"/>
      <c r="DDH28" s="3281"/>
      <c r="DDI28" s="3281"/>
      <c r="DDJ28" s="3281"/>
      <c r="DDK28" s="3281"/>
      <c r="DDL28" s="3281"/>
      <c r="DDM28" s="3281"/>
      <c r="DDN28" s="3281"/>
      <c r="DDO28" s="3281"/>
      <c r="DDP28" s="3281"/>
      <c r="DDQ28" s="3281"/>
      <c r="DDR28" s="3281"/>
      <c r="DDS28" s="3281"/>
      <c r="DDT28" s="3281"/>
      <c r="DDU28" s="3281"/>
      <c r="DDV28" s="3281"/>
      <c r="DDW28" s="3281"/>
      <c r="DDX28" s="3281"/>
      <c r="DDY28" s="3281"/>
      <c r="DDZ28" s="3281"/>
      <c r="DEA28" s="3281"/>
      <c r="DEB28" s="3281"/>
      <c r="DEC28" s="3281"/>
      <c r="DED28" s="3281"/>
      <c r="DEE28" s="3281"/>
      <c r="DEF28" s="3281"/>
      <c r="DEG28" s="3281"/>
      <c r="DEH28" s="3281"/>
      <c r="DEI28" s="3281"/>
      <c r="DEJ28" s="3281"/>
      <c r="DEK28" s="3281"/>
      <c r="DEL28" s="3281"/>
      <c r="DEM28" s="3281"/>
      <c r="DEN28" s="3281"/>
      <c r="DEO28" s="3281"/>
      <c r="DEP28" s="3281"/>
      <c r="DEQ28" s="3281"/>
      <c r="DER28" s="3281"/>
      <c r="DES28" s="3281"/>
      <c r="DET28" s="3281"/>
      <c r="DEU28" s="3281"/>
      <c r="DEV28" s="3281"/>
      <c r="DEW28" s="3281"/>
      <c r="DEX28" s="3281"/>
      <c r="DEY28" s="3281"/>
      <c r="DEZ28" s="3281"/>
      <c r="DFA28" s="3281"/>
      <c r="DFB28" s="3281"/>
      <c r="DFC28" s="3281"/>
      <c r="DFD28" s="3281"/>
      <c r="DFE28" s="3281"/>
      <c r="DFF28" s="3281"/>
      <c r="DFG28" s="3281"/>
      <c r="DFH28" s="3281"/>
      <c r="DFI28" s="3281"/>
      <c r="DFJ28" s="3281"/>
      <c r="DFK28" s="3281"/>
      <c r="DFL28" s="3281"/>
      <c r="DFM28" s="3281"/>
      <c r="DFN28" s="3281"/>
      <c r="DFO28" s="3281"/>
      <c r="DFP28" s="3281"/>
      <c r="DFQ28" s="3281"/>
      <c r="DFR28" s="3281"/>
      <c r="DFS28" s="3281"/>
      <c r="DFT28" s="3281"/>
      <c r="DFU28" s="3281"/>
      <c r="DFV28" s="3281"/>
      <c r="DFW28" s="3281"/>
      <c r="DFX28" s="3281"/>
      <c r="DFY28" s="3281"/>
      <c r="DFZ28" s="3281"/>
      <c r="DGA28" s="3281"/>
      <c r="DGB28" s="3281"/>
      <c r="DGC28" s="3281"/>
      <c r="DGD28" s="3281"/>
      <c r="DGE28" s="3281"/>
      <c r="DGF28" s="3281"/>
      <c r="DGG28" s="3281"/>
      <c r="DGH28" s="3281"/>
      <c r="DGI28" s="3281"/>
      <c r="DGJ28" s="3281"/>
      <c r="DGK28" s="3281"/>
      <c r="DGL28" s="3281"/>
      <c r="DGM28" s="3281"/>
      <c r="DGN28" s="3281"/>
      <c r="DGO28" s="3281"/>
      <c r="DGP28" s="3281"/>
      <c r="DGQ28" s="3281"/>
      <c r="DGR28" s="3281"/>
      <c r="DGS28" s="3281"/>
      <c r="DGT28" s="3281"/>
      <c r="DGU28" s="3281"/>
      <c r="DGV28" s="3281"/>
      <c r="DGW28" s="3281"/>
      <c r="DGX28" s="3281"/>
      <c r="DGY28" s="3281"/>
      <c r="DGZ28" s="3281"/>
      <c r="DHA28" s="3281"/>
      <c r="DHB28" s="3281"/>
      <c r="DHC28" s="3281"/>
      <c r="DHD28" s="3281"/>
      <c r="DHE28" s="3281"/>
      <c r="DHF28" s="3281"/>
      <c r="DHG28" s="3281"/>
      <c r="DHH28" s="3281"/>
      <c r="DHI28" s="3281"/>
      <c r="DHJ28" s="3281"/>
      <c r="DHK28" s="3281"/>
      <c r="DHL28" s="3281"/>
      <c r="DHM28" s="3281"/>
      <c r="DHN28" s="3281"/>
      <c r="DHO28" s="3281"/>
      <c r="DHP28" s="3281"/>
      <c r="DHQ28" s="3281"/>
      <c r="DHR28" s="3281"/>
      <c r="DHS28" s="3281"/>
      <c r="DHT28" s="3281"/>
      <c r="DHU28" s="3281"/>
      <c r="DHV28" s="3281"/>
      <c r="DHW28" s="3281"/>
      <c r="DHX28" s="3281"/>
      <c r="DHY28" s="3281"/>
      <c r="DHZ28" s="3281"/>
      <c r="DIA28" s="3281"/>
      <c r="DIB28" s="3281"/>
      <c r="DIC28" s="3281"/>
      <c r="DID28" s="3281"/>
      <c r="DIE28" s="3281"/>
      <c r="DIF28" s="3281"/>
      <c r="DIG28" s="3281"/>
      <c r="DIH28" s="3281"/>
      <c r="DII28" s="3281"/>
      <c r="DIJ28" s="3281"/>
      <c r="DIK28" s="3281"/>
      <c r="DIL28" s="3281"/>
      <c r="DIM28" s="3281"/>
      <c r="DIN28" s="3281"/>
      <c r="DIO28" s="3281"/>
      <c r="DIP28" s="3281"/>
      <c r="DIQ28" s="3281"/>
      <c r="DIR28" s="3281"/>
      <c r="DIS28" s="3281"/>
      <c r="DIT28" s="3281"/>
      <c r="DIU28" s="3281"/>
      <c r="DIV28" s="3281"/>
      <c r="DIW28" s="3281"/>
      <c r="DIX28" s="3281"/>
      <c r="DIY28" s="3281"/>
      <c r="DIZ28" s="3281"/>
      <c r="DJA28" s="3281"/>
      <c r="DJB28" s="3281"/>
      <c r="DJC28" s="3281"/>
      <c r="DJD28" s="3281"/>
      <c r="DJE28" s="3281"/>
      <c r="DJF28" s="3281"/>
      <c r="DJG28" s="3281"/>
      <c r="DJH28" s="3281"/>
      <c r="DJI28" s="3281"/>
      <c r="DJJ28" s="3281"/>
      <c r="DJK28" s="3281"/>
      <c r="DJL28" s="3281"/>
      <c r="DJM28" s="3281"/>
      <c r="DJN28" s="3281"/>
      <c r="DJO28" s="3281"/>
      <c r="DJP28" s="3281"/>
      <c r="DJQ28" s="3281"/>
      <c r="DJR28" s="3281"/>
      <c r="DJS28" s="3281"/>
      <c r="DJT28" s="3281"/>
      <c r="DJU28" s="3281"/>
      <c r="DJV28" s="3281"/>
      <c r="DJW28" s="3281"/>
      <c r="DJX28" s="3281"/>
      <c r="DJY28" s="3281"/>
      <c r="DJZ28" s="3281"/>
      <c r="DKA28" s="3281"/>
      <c r="DKB28" s="3281"/>
      <c r="DKC28" s="3281"/>
      <c r="DKD28" s="3281"/>
      <c r="DKE28" s="3281"/>
      <c r="DKF28" s="3281"/>
      <c r="DKG28" s="3281"/>
      <c r="DKH28" s="3281"/>
      <c r="DKI28" s="3281"/>
      <c r="DKJ28" s="3281"/>
      <c r="DKK28" s="3281"/>
      <c r="DKL28" s="3281"/>
      <c r="DKM28" s="3281"/>
      <c r="DKN28" s="3281"/>
      <c r="DKO28" s="3281"/>
      <c r="DKP28" s="3281"/>
      <c r="DKQ28" s="3281"/>
      <c r="DKR28" s="3281"/>
      <c r="DKS28" s="3281"/>
      <c r="DKT28" s="3281"/>
      <c r="DKU28" s="3281"/>
      <c r="DKV28" s="3281"/>
      <c r="DKW28" s="3281"/>
      <c r="DKX28" s="3281"/>
      <c r="DKY28" s="3281"/>
      <c r="DKZ28" s="3281"/>
      <c r="DLA28" s="3281"/>
      <c r="DLB28" s="3281"/>
      <c r="DLC28" s="3281"/>
      <c r="DLD28" s="3281"/>
      <c r="DLE28" s="3281"/>
      <c r="DLF28" s="3281"/>
      <c r="DLG28" s="3281"/>
      <c r="DLH28" s="3281"/>
      <c r="DLI28" s="3281"/>
      <c r="DLJ28" s="3281"/>
      <c r="DLK28" s="3281"/>
      <c r="DLL28" s="3281"/>
      <c r="DLM28" s="3281"/>
      <c r="DLN28" s="3281"/>
      <c r="DLO28" s="3281"/>
      <c r="DLP28" s="3281"/>
      <c r="DLQ28" s="3281"/>
      <c r="DLR28" s="3281"/>
      <c r="DLS28" s="3281"/>
      <c r="DLT28" s="3281"/>
      <c r="DLU28" s="3281"/>
      <c r="DLV28" s="3281"/>
      <c r="DLW28" s="3281"/>
      <c r="DLX28" s="3281"/>
      <c r="DLY28" s="3281"/>
      <c r="DLZ28" s="3281"/>
      <c r="DMA28" s="3281"/>
      <c r="DMB28" s="3281"/>
      <c r="DMC28" s="3281"/>
      <c r="DMD28" s="3281"/>
      <c r="DME28" s="3281"/>
      <c r="DMF28" s="3281"/>
      <c r="DMG28" s="3281"/>
      <c r="DMH28" s="3281"/>
      <c r="DMI28" s="3281"/>
      <c r="DMJ28" s="3281"/>
      <c r="DMK28" s="3281"/>
      <c r="DML28" s="3281"/>
      <c r="DMM28" s="3281"/>
      <c r="DMN28" s="3281"/>
      <c r="DMO28" s="3281"/>
      <c r="DMP28" s="3281"/>
      <c r="DMQ28" s="3281"/>
      <c r="DMR28" s="3281"/>
      <c r="DMS28" s="3281"/>
      <c r="DMT28" s="3281"/>
      <c r="DMU28" s="3281"/>
      <c r="DMV28" s="3281"/>
      <c r="DMW28" s="3281"/>
      <c r="DMX28" s="3281"/>
      <c r="DMY28" s="3281"/>
      <c r="DMZ28" s="3281"/>
      <c r="DNA28" s="3281"/>
      <c r="DNB28" s="3281"/>
      <c r="DNC28" s="3281"/>
      <c r="DND28" s="3281"/>
      <c r="DNE28" s="3281"/>
      <c r="DNF28" s="3281"/>
      <c r="DNG28" s="3281"/>
      <c r="DNH28" s="3281"/>
      <c r="DNI28" s="3281"/>
      <c r="DNJ28" s="3281"/>
      <c r="DNK28" s="3281"/>
      <c r="DNL28" s="3281"/>
      <c r="DNM28" s="3281"/>
      <c r="DNN28" s="3281"/>
      <c r="DNO28" s="3281"/>
      <c r="DNP28" s="3281"/>
      <c r="DNQ28" s="3281"/>
      <c r="DNR28" s="3281"/>
      <c r="DNS28" s="3281"/>
      <c r="DNT28" s="3281"/>
      <c r="DNU28" s="3281"/>
      <c r="DNV28" s="3281"/>
      <c r="DNW28" s="3281"/>
      <c r="DNX28" s="3281"/>
      <c r="DNY28" s="3281"/>
      <c r="DNZ28" s="3281"/>
      <c r="DOA28" s="3281"/>
      <c r="DOB28" s="3281"/>
      <c r="DOC28" s="3281"/>
      <c r="DOD28" s="3281"/>
      <c r="DOE28" s="3281"/>
      <c r="DOF28" s="3281"/>
      <c r="DOG28" s="3281"/>
      <c r="DOH28" s="3281"/>
      <c r="DOI28" s="3281"/>
      <c r="DOJ28" s="3281"/>
      <c r="DOK28" s="3281"/>
      <c r="DOL28" s="3281"/>
      <c r="DOM28" s="3281"/>
      <c r="DON28" s="3281"/>
      <c r="DOO28" s="3281"/>
      <c r="DOP28" s="3281"/>
      <c r="DOQ28" s="3281"/>
      <c r="DOR28" s="3281"/>
      <c r="DOS28" s="3281"/>
      <c r="DOT28" s="3281"/>
      <c r="DOU28" s="3281"/>
      <c r="DOV28" s="3281"/>
      <c r="DOW28" s="3281"/>
      <c r="DOX28" s="3281"/>
      <c r="DOY28" s="3281"/>
      <c r="DOZ28" s="3281"/>
      <c r="DPA28" s="3281"/>
      <c r="DPB28" s="3281"/>
      <c r="DPC28" s="3281"/>
      <c r="DPD28" s="3281"/>
      <c r="DPE28" s="3281"/>
      <c r="DPF28" s="3281"/>
      <c r="DPG28" s="3281"/>
      <c r="DPH28" s="3281"/>
      <c r="DPI28" s="3281"/>
      <c r="DPJ28" s="3281"/>
      <c r="DPK28" s="3281"/>
      <c r="DPL28" s="3281"/>
      <c r="DPM28" s="3281"/>
      <c r="DPN28" s="3281"/>
      <c r="DPO28" s="3281"/>
      <c r="DPP28" s="3281"/>
      <c r="DPQ28" s="3281"/>
      <c r="DPR28" s="3281"/>
      <c r="DPS28" s="3281"/>
      <c r="DPT28" s="3281"/>
      <c r="DPU28" s="3281"/>
      <c r="DPV28" s="3281"/>
      <c r="DPW28" s="3281"/>
      <c r="DPX28" s="3281"/>
      <c r="DPY28" s="3281"/>
      <c r="DPZ28" s="3281"/>
      <c r="DQA28" s="3281"/>
      <c r="DQB28" s="3281"/>
      <c r="DQC28" s="3281"/>
      <c r="DQD28" s="3281"/>
      <c r="DQE28" s="3281"/>
      <c r="DQF28" s="3281"/>
      <c r="DQG28" s="3281"/>
      <c r="DQH28" s="3281"/>
      <c r="DQI28" s="3281"/>
      <c r="DQJ28" s="3281"/>
      <c r="DQK28" s="3281"/>
      <c r="DQL28" s="3281"/>
      <c r="DQM28" s="3281"/>
      <c r="DQN28" s="3281"/>
      <c r="DQO28" s="3281"/>
      <c r="DQP28" s="3281"/>
      <c r="DQQ28" s="3281"/>
      <c r="DQR28" s="3281"/>
      <c r="DQS28" s="3281"/>
      <c r="DQT28" s="3281"/>
      <c r="DQU28" s="3281"/>
      <c r="DQV28" s="3281"/>
      <c r="DQW28" s="3281"/>
      <c r="DQX28" s="3281"/>
      <c r="DQY28" s="3281"/>
      <c r="DQZ28" s="3281"/>
      <c r="DRA28" s="3281"/>
      <c r="DRB28" s="3281"/>
      <c r="DRC28" s="3281"/>
      <c r="DRD28" s="3281"/>
      <c r="DRE28" s="3281"/>
      <c r="DRF28" s="3281"/>
      <c r="DRG28" s="3281"/>
      <c r="DRH28" s="3281"/>
      <c r="DRI28" s="3281"/>
      <c r="DRJ28" s="3281"/>
      <c r="DRK28" s="3281"/>
      <c r="DRL28" s="3281"/>
      <c r="DRM28" s="3281"/>
      <c r="DRN28" s="3281"/>
      <c r="DRO28" s="3281"/>
      <c r="DRP28" s="3281"/>
      <c r="DRQ28" s="3281"/>
      <c r="DRR28" s="3281"/>
      <c r="DRS28" s="3281"/>
      <c r="DRT28" s="3281"/>
      <c r="DRU28" s="3281"/>
      <c r="DRV28" s="3281"/>
      <c r="DRW28" s="3281"/>
      <c r="DRX28" s="3281"/>
      <c r="DRY28" s="3281"/>
      <c r="DRZ28" s="3281"/>
      <c r="DSA28" s="3281"/>
      <c r="DSB28" s="3281"/>
      <c r="DSC28" s="3281"/>
      <c r="DSD28" s="3281"/>
      <c r="DSE28" s="3281"/>
      <c r="DSF28" s="3281"/>
      <c r="DSG28" s="3281"/>
      <c r="DSH28" s="3281"/>
      <c r="DSI28" s="3281"/>
      <c r="DSJ28" s="3281"/>
      <c r="DSK28" s="3281"/>
      <c r="DSL28" s="3281"/>
      <c r="DSM28" s="3281"/>
      <c r="DSN28" s="3281"/>
      <c r="DSO28" s="3281"/>
      <c r="DSP28" s="3281"/>
      <c r="DSQ28" s="3281"/>
      <c r="DSR28" s="3281"/>
      <c r="DSS28" s="3281"/>
      <c r="DST28" s="3281"/>
      <c r="DSU28" s="3281"/>
      <c r="DSV28" s="3281"/>
      <c r="DSW28" s="3281"/>
      <c r="DSX28" s="3281"/>
      <c r="DSY28" s="3281"/>
      <c r="DSZ28" s="3281"/>
      <c r="DTA28" s="3281"/>
      <c r="DTB28" s="3281"/>
      <c r="DTC28" s="3281"/>
      <c r="DTD28" s="3281"/>
      <c r="DTE28" s="3281"/>
      <c r="DTF28" s="3281"/>
      <c r="DTG28" s="3281"/>
      <c r="DTH28" s="3281"/>
      <c r="DTI28" s="3281"/>
      <c r="DTJ28" s="3281"/>
      <c r="DTK28" s="3281"/>
      <c r="DTL28" s="3281"/>
      <c r="DTM28" s="3281"/>
      <c r="DTN28" s="3281"/>
      <c r="DTO28" s="3281"/>
      <c r="DTP28" s="3281"/>
      <c r="DTQ28" s="3281"/>
      <c r="DTR28" s="3281"/>
      <c r="DTS28" s="3281"/>
      <c r="DTT28" s="3281"/>
      <c r="DTU28" s="3281"/>
      <c r="DTV28" s="3281"/>
      <c r="DTW28" s="3281"/>
      <c r="DTX28" s="3281"/>
      <c r="DTY28" s="3281"/>
      <c r="DTZ28" s="3281"/>
      <c r="DUA28" s="3281"/>
      <c r="DUB28" s="3281"/>
      <c r="DUC28" s="3281"/>
      <c r="DUD28" s="3281"/>
      <c r="DUE28" s="3281"/>
      <c r="DUF28" s="3281"/>
      <c r="DUG28" s="3281"/>
      <c r="DUH28" s="3281"/>
      <c r="DUI28" s="3281"/>
      <c r="DUJ28" s="3281"/>
      <c r="DUK28" s="3281"/>
      <c r="DUL28" s="3281"/>
      <c r="DUM28" s="3281"/>
      <c r="DUN28" s="3281"/>
      <c r="DUO28" s="3281"/>
      <c r="DUP28" s="3281"/>
      <c r="DUQ28" s="3281"/>
      <c r="DUR28" s="3281"/>
      <c r="DUS28" s="3281"/>
      <c r="DUT28" s="3281"/>
      <c r="DUU28" s="3281"/>
      <c r="DUV28" s="3281"/>
      <c r="DUW28" s="3281"/>
      <c r="DUX28" s="3281"/>
      <c r="DUY28" s="3281"/>
      <c r="DUZ28" s="3281"/>
      <c r="DVA28" s="3281"/>
      <c r="DVB28" s="3281"/>
      <c r="DVC28" s="3281"/>
      <c r="DVD28" s="3281"/>
      <c r="DVE28" s="3281"/>
      <c r="DVF28" s="3281"/>
      <c r="DVG28" s="3281"/>
      <c r="DVH28" s="3281"/>
      <c r="DVI28" s="3281"/>
      <c r="DVJ28" s="3281"/>
      <c r="DVK28" s="3281"/>
      <c r="DVL28" s="3281"/>
      <c r="DVM28" s="3281"/>
      <c r="DVN28" s="3281"/>
      <c r="DVO28" s="3281"/>
      <c r="DVP28" s="3281"/>
      <c r="DVQ28" s="3281"/>
      <c r="DVR28" s="3281"/>
      <c r="DVS28" s="3281"/>
      <c r="DVT28" s="3281"/>
      <c r="DVU28" s="3281"/>
      <c r="DVV28" s="3281"/>
      <c r="DVW28" s="3281"/>
      <c r="DVX28" s="3281"/>
      <c r="DVY28" s="3281"/>
      <c r="DVZ28" s="3281"/>
      <c r="DWA28" s="3281"/>
      <c r="DWB28" s="3281"/>
      <c r="DWC28" s="3281"/>
      <c r="DWD28" s="3281"/>
      <c r="DWE28" s="3281"/>
      <c r="DWF28" s="3281"/>
      <c r="DWG28" s="3281"/>
      <c r="DWH28" s="3281"/>
      <c r="DWI28" s="3281"/>
      <c r="DWJ28" s="3281"/>
      <c r="DWK28" s="3281"/>
      <c r="DWL28" s="3281"/>
      <c r="DWM28" s="3281"/>
      <c r="DWN28" s="3281"/>
      <c r="DWO28" s="3281"/>
      <c r="DWP28" s="3281"/>
      <c r="DWQ28" s="3281"/>
      <c r="DWR28" s="3281"/>
      <c r="DWS28" s="3281"/>
      <c r="DWT28" s="3281"/>
      <c r="DWU28" s="3281"/>
      <c r="DWV28" s="3281"/>
      <c r="DWW28" s="3281"/>
      <c r="DWX28" s="3281"/>
      <c r="DWY28" s="3281"/>
      <c r="DWZ28" s="3281"/>
      <c r="DXA28" s="3281"/>
      <c r="DXB28" s="3281"/>
      <c r="DXC28" s="3281"/>
      <c r="DXD28" s="3281"/>
      <c r="DXE28" s="3281"/>
      <c r="DXF28" s="3281"/>
      <c r="DXG28" s="3281"/>
      <c r="DXH28" s="3281"/>
      <c r="DXI28" s="3281"/>
      <c r="DXJ28" s="3281"/>
      <c r="DXK28" s="3281"/>
      <c r="DXL28" s="3281"/>
      <c r="DXM28" s="3281"/>
      <c r="DXN28" s="3281"/>
      <c r="DXO28" s="3281"/>
      <c r="DXP28" s="3281"/>
      <c r="DXQ28" s="3281"/>
      <c r="DXR28" s="3281"/>
      <c r="DXS28" s="3281"/>
      <c r="DXT28" s="3281"/>
      <c r="DXU28" s="3281"/>
      <c r="DXV28" s="3281"/>
      <c r="DXW28" s="3281"/>
      <c r="DXX28" s="3281"/>
      <c r="DXY28" s="3281"/>
      <c r="DXZ28" s="3281"/>
      <c r="DYA28" s="3281"/>
      <c r="DYB28" s="3281"/>
      <c r="DYC28" s="3281"/>
      <c r="DYD28" s="3281"/>
      <c r="DYE28" s="3281"/>
      <c r="DYF28" s="3281"/>
      <c r="DYG28" s="3281"/>
      <c r="DYH28" s="3281"/>
      <c r="DYI28" s="3281"/>
      <c r="DYJ28" s="3281"/>
      <c r="DYK28" s="3281"/>
      <c r="DYL28" s="3281"/>
      <c r="DYM28" s="3281"/>
      <c r="DYN28" s="3281"/>
      <c r="DYO28" s="3281"/>
      <c r="DYP28" s="3281"/>
      <c r="DYQ28" s="3281"/>
      <c r="DYR28" s="3281"/>
      <c r="DYS28" s="3281"/>
      <c r="DYT28" s="3281"/>
      <c r="DYU28" s="3281"/>
      <c r="DYV28" s="3281"/>
      <c r="DYW28" s="3281"/>
      <c r="DYX28" s="3281"/>
      <c r="DYY28" s="3281"/>
      <c r="DYZ28" s="3281"/>
      <c r="DZA28" s="3281"/>
      <c r="DZB28" s="3281"/>
      <c r="DZC28" s="3281"/>
      <c r="DZD28" s="3281"/>
      <c r="DZE28" s="3281"/>
      <c r="DZF28" s="3281"/>
      <c r="DZG28" s="3281"/>
      <c r="DZH28" s="3281"/>
      <c r="DZI28" s="3281"/>
      <c r="DZJ28" s="3281"/>
      <c r="DZK28" s="3281"/>
      <c r="DZL28" s="3281"/>
      <c r="DZM28" s="3281"/>
      <c r="DZN28" s="3281"/>
      <c r="DZO28" s="3281"/>
      <c r="DZP28" s="3281"/>
      <c r="DZQ28" s="3281"/>
      <c r="DZR28" s="3281"/>
      <c r="DZS28" s="3281"/>
      <c r="DZT28" s="3281"/>
      <c r="DZU28" s="3281"/>
      <c r="DZV28" s="3281"/>
      <c r="DZW28" s="3281"/>
      <c r="DZX28" s="3281"/>
      <c r="DZY28" s="3281"/>
      <c r="DZZ28" s="3281"/>
      <c r="EAA28" s="3281"/>
      <c r="EAB28" s="3281"/>
      <c r="EAC28" s="3281"/>
      <c r="EAD28" s="3281"/>
      <c r="EAE28" s="3281"/>
      <c r="EAF28" s="3281"/>
      <c r="EAG28" s="3281"/>
      <c r="EAH28" s="3281"/>
      <c r="EAI28" s="3281"/>
      <c r="EAJ28" s="3281"/>
      <c r="EAK28" s="3281"/>
      <c r="EAL28" s="3281"/>
      <c r="EAM28" s="3281"/>
      <c r="EAN28" s="3281"/>
      <c r="EAO28" s="3281"/>
      <c r="EAP28" s="3281"/>
      <c r="EAQ28" s="3281"/>
      <c r="EAR28" s="3281"/>
      <c r="EAS28" s="3281"/>
      <c r="EAT28" s="3281"/>
      <c r="EAU28" s="3281"/>
      <c r="EAV28" s="3281"/>
      <c r="EAW28" s="3281"/>
      <c r="EAX28" s="3281"/>
      <c r="EAY28" s="3281"/>
      <c r="EAZ28" s="3281"/>
      <c r="EBA28" s="3281"/>
      <c r="EBB28" s="3281"/>
      <c r="EBC28" s="3281"/>
      <c r="EBD28" s="3281"/>
      <c r="EBE28" s="3281"/>
      <c r="EBF28" s="3281"/>
      <c r="EBG28" s="3281"/>
      <c r="EBH28" s="3281"/>
      <c r="EBI28" s="3281"/>
      <c r="EBJ28" s="3281"/>
      <c r="EBK28" s="3281"/>
      <c r="EBL28" s="3281"/>
      <c r="EBM28" s="3281"/>
      <c r="EBN28" s="3281"/>
      <c r="EBO28" s="3281"/>
      <c r="EBP28" s="3281"/>
      <c r="EBQ28" s="3281"/>
      <c r="EBR28" s="3281"/>
      <c r="EBS28" s="3281"/>
      <c r="EBT28" s="3281"/>
      <c r="EBU28" s="3281"/>
      <c r="EBV28" s="3281"/>
      <c r="EBW28" s="3281"/>
      <c r="EBX28" s="3281"/>
      <c r="EBY28" s="3281"/>
      <c r="EBZ28" s="3281"/>
      <c r="ECA28" s="3281"/>
      <c r="ECB28" s="3281"/>
      <c r="ECC28" s="3281"/>
      <c r="ECD28" s="3281"/>
      <c r="ECE28" s="3281"/>
      <c r="ECF28" s="3281"/>
      <c r="ECG28" s="3281"/>
      <c r="ECH28" s="3281"/>
      <c r="ECI28" s="3281"/>
      <c r="ECJ28" s="3281"/>
      <c r="ECK28" s="3281"/>
      <c r="ECL28" s="3281"/>
      <c r="ECM28" s="3281"/>
      <c r="ECN28" s="3281"/>
      <c r="ECO28" s="3281"/>
      <c r="ECP28" s="3281"/>
      <c r="ECQ28" s="3281"/>
      <c r="ECR28" s="3281"/>
      <c r="ECS28" s="3281"/>
      <c r="ECT28" s="3281"/>
      <c r="ECU28" s="3281"/>
      <c r="ECV28" s="3281"/>
      <c r="ECW28" s="3281"/>
      <c r="ECX28" s="3281"/>
      <c r="ECY28" s="3281"/>
      <c r="ECZ28" s="3281"/>
      <c r="EDA28" s="3281"/>
      <c r="EDB28" s="3281"/>
      <c r="EDC28" s="3281"/>
      <c r="EDD28" s="3281"/>
      <c r="EDE28" s="3281"/>
      <c r="EDF28" s="3281"/>
      <c r="EDG28" s="3281"/>
      <c r="EDH28" s="3281"/>
      <c r="EDI28" s="3281"/>
      <c r="EDJ28" s="3281"/>
      <c r="EDK28" s="3281"/>
      <c r="EDL28" s="3281"/>
      <c r="EDM28" s="3281"/>
      <c r="EDN28" s="3281"/>
      <c r="EDO28" s="3281"/>
      <c r="EDP28" s="3281"/>
      <c r="EDQ28" s="3281"/>
      <c r="EDR28" s="3281"/>
      <c r="EDS28" s="3281"/>
      <c r="EDT28" s="3281"/>
      <c r="EDU28" s="3281"/>
      <c r="EDV28" s="3281"/>
      <c r="EDW28" s="3281"/>
      <c r="EDX28" s="3281"/>
      <c r="EDY28" s="3281"/>
      <c r="EDZ28" s="3281"/>
      <c r="EEA28" s="3281"/>
      <c r="EEB28" s="3281"/>
      <c r="EEC28" s="3281"/>
      <c r="EED28" s="3281"/>
      <c r="EEE28" s="3281"/>
      <c r="EEF28" s="3281"/>
      <c r="EEG28" s="3281"/>
      <c r="EEH28" s="3281"/>
      <c r="EEI28" s="3281"/>
      <c r="EEJ28" s="3281"/>
      <c r="EEK28" s="3281"/>
      <c r="EEL28" s="3281"/>
      <c r="EEM28" s="3281"/>
      <c r="EEN28" s="3281"/>
      <c r="EEO28" s="3281"/>
      <c r="EEP28" s="3281"/>
      <c r="EEQ28" s="3281"/>
      <c r="EER28" s="3281"/>
      <c r="EES28" s="3281"/>
      <c r="EET28" s="3281"/>
      <c r="EEU28" s="3281"/>
      <c r="EEV28" s="3281"/>
      <c r="EEW28" s="3281"/>
      <c r="EEX28" s="3281"/>
      <c r="EEY28" s="3281"/>
      <c r="EEZ28" s="3281"/>
      <c r="EFA28" s="3281"/>
      <c r="EFB28" s="3281"/>
      <c r="EFC28" s="3281"/>
      <c r="EFD28" s="3281"/>
      <c r="EFE28" s="3281"/>
      <c r="EFF28" s="3281"/>
      <c r="EFG28" s="3281"/>
      <c r="EFH28" s="3281"/>
      <c r="EFI28" s="3281"/>
      <c r="EFJ28" s="3281"/>
      <c r="EFK28" s="3281"/>
      <c r="EFL28" s="3281"/>
      <c r="EFM28" s="3281"/>
      <c r="EFN28" s="3281"/>
      <c r="EFO28" s="3281"/>
      <c r="EFP28" s="3281"/>
      <c r="EFQ28" s="3281"/>
      <c r="EFR28" s="3281"/>
      <c r="EFS28" s="3281"/>
      <c r="EFT28" s="3281"/>
      <c r="EFU28" s="3281"/>
      <c r="EFV28" s="3281"/>
      <c r="EFW28" s="3281"/>
      <c r="EFX28" s="3281"/>
      <c r="EFY28" s="3281"/>
      <c r="EFZ28" s="3281"/>
      <c r="EGA28" s="3281"/>
      <c r="EGB28" s="3281"/>
      <c r="EGC28" s="3281"/>
      <c r="EGD28" s="3281"/>
      <c r="EGE28" s="3281"/>
      <c r="EGF28" s="3281"/>
      <c r="EGG28" s="3281"/>
      <c r="EGH28" s="3281"/>
      <c r="EGI28" s="3281"/>
      <c r="EGJ28" s="3281"/>
      <c r="EGK28" s="3281"/>
      <c r="EGL28" s="3281"/>
      <c r="EGM28" s="3281"/>
      <c r="EGN28" s="3281"/>
      <c r="EGO28" s="3281"/>
      <c r="EGP28" s="3281"/>
      <c r="EGQ28" s="3281"/>
      <c r="EGR28" s="3281"/>
      <c r="EGS28" s="3281"/>
      <c r="EGT28" s="3281"/>
      <c r="EGU28" s="3281"/>
      <c r="EGV28" s="3281"/>
      <c r="EGW28" s="3281"/>
      <c r="EGX28" s="3281"/>
      <c r="EGY28" s="3281"/>
      <c r="EGZ28" s="3281"/>
      <c r="EHA28" s="3281"/>
      <c r="EHB28" s="3281"/>
      <c r="EHC28" s="3281"/>
      <c r="EHD28" s="3281"/>
      <c r="EHE28" s="3281"/>
      <c r="EHF28" s="3281"/>
      <c r="EHG28" s="3281"/>
      <c r="EHH28" s="3281"/>
      <c r="EHI28" s="3281"/>
      <c r="EHJ28" s="3281"/>
      <c r="EHK28" s="3281"/>
      <c r="EHL28" s="3281"/>
      <c r="EHM28" s="3281"/>
      <c r="EHN28" s="3281"/>
      <c r="EHO28" s="3281"/>
      <c r="EHP28" s="3281"/>
      <c r="EHQ28" s="3281"/>
      <c r="EHR28" s="3281"/>
      <c r="EHS28" s="3281"/>
      <c r="EHT28" s="3281"/>
      <c r="EHU28" s="3281"/>
      <c r="EHV28" s="3281"/>
      <c r="EHW28" s="3281"/>
      <c r="EHX28" s="3281"/>
      <c r="EHY28" s="3281"/>
      <c r="EHZ28" s="3281"/>
      <c r="EIA28" s="3281"/>
      <c r="EIB28" s="3281"/>
      <c r="EIC28" s="3281"/>
      <c r="EID28" s="3281"/>
      <c r="EIE28" s="3281"/>
      <c r="EIF28" s="3281"/>
      <c r="EIG28" s="3281"/>
      <c r="EIH28" s="3281"/>
      <c r="EII28" s="3281"/>
      <c r="EIJ28" s="3281"/>
      <c r="EIK28" s="3281"/>
      <c r="EIL28" s="3281"/>
      <c r="EIM28" s="3281"/>
      <c r="EIN28" s="3281"/>
      <c r="EIO28" s="3281"/>
      <c r="EIP28" s="3281"/>
      <c r="EIQ28" s="3281"/>
      <c r="EIR28" s="3281"/>
      <c r="EIS28" s="3281"/>
      <c r="EIT28" s="3281"/>
      <c r="EIU28" s="3281"/>
      <c r="EIV28" s="3281"/>
      <c r="EIW28" s="3281"/>
      <c r="EIX28" s="3281"/>
      <c r="EIY28" s="3281"/>
      <c r="EIZ28" s="3281"/>
      <c r="EJA28" s="3281"/>
      <c r="EJB28" s="3281"/>
      <c r="EJC28" s="3281"/>
      <c r="EJD28" s="3281"/>
      <c r="EJE28" s="3281"/>
      <c r="EJF28" s="3281"/>
      <c r="EJG28" s="3281"/>
      <c r="EJH28" s="3281"/>
      <c r="EJI28" s="3281"/>
      <c r="EJJ28" s="3281"/>
      <c r="EJK28" s="3281"/>
      <c r="EJL28" s="3281"/>
      <c r="EJM28" s="3281"/>
      <c r="EJN28" s="3281"/>
      <c r="EJO28" s="3281"/>
      <c r="EJP28" s="3281"/>
      <c r="EJQ28" s="3281"/>
      <c r="EJR28" s="3281"/>
      <c r="EJS28" s="3281"/>
      <c r="EJT28" s="3281"/>
      <c r="EJU28" s="3281"/>
      <c r="EJV28" s="3281"/>
      <c r="EJW28" s="3281"/>
      <c r="EJX28" s="3281"/>
      <c r="EJY28" s="3281"/>
      <c r="EJZ28" s="3281"/>
      <c r="EKA28" s="3281"/>
      <c r="EKB28" s="3281"/>
      <c r="EKC28" s="3281"/>
      <c r="EKD28" s="3281"/>
      <c r="EKE28" s="3281"/>
      <c r="EKF28" s="3281"/>
      <c r="EKG28" s="3281"/>
      <c r="EKH28" s="3281"/>
      <c r="EKI28" s="3281"/>
      <c r="EKJ28" s="3281"/>
      <c r="EKK28" s="3281"/>
      <c r="EKL28" s="3281"/>
      <c r="EKM28" s="3281"/>
      <c r="EKN28" s="3281"/>
      <c r="EKO28" s="3281"/>
      <c r="EKP28" s="3281"/>
      <c r="EKQ28" s="3281"/>
      <c r="EKR28" s="3281"/>
      <c r="EKS28" s="3281"/>
      <c r="EKT28" s="3281"/>
      <c r="EKU28" s="3281"/>
      <c r="EKV28" s="3281"/>
      <c r="EKW28" s="3281"/>
      <c r="EKX28" s="3281"/>
      <c r="EKY28" s="3281"/>
      <c r="EKZ28" s="3281"/>
      <c r="ELA28" s="3281"/>
      <c r="ELB28" s="3281"/>
      <c r="ELC28" s="3281"/>
      <c r="ELD28" s="3281"/>
      <c r="ELE28" s="3281"/>
      <c r="ELF28" s="3281"/>
      <c r="ELG28" s="3281"/>
      <c r="ELH28" s="3281"/>
      <c r="ELI28" s="3281"/>
      <c r="ELJ28" s="3281"/>
      <c r="ELK28" s="3281"/>
      <c r="ELL28" s="3281"/>
      <c r="ELM28" s="3281"/>
      <c r="ELN28" s="3281"/>
      <c r="ELO28" s="3281"/>
      <c r="ELP28" s="3281"/>
      <c r="ELQ28" s="3281"/>
      <c r="ELR28" s="3281"/>
      <c r="ELS28" s="3281"/>
      <c r="ELT28" s="3281"/>
      <c r="ELU28" s="3281"/>
      <c r="ELV28" s="3281"/>
      <c r="ELW28" s="3281"/>
      <c r="ELX28" s="3281"/>
      <c r="ELY28" s="3281"/>
      <c r="ELZ28" s="3281"/>
      <c r="EMA28" s="3281"/>
      <c r="EMB28" s="3281"/>
      <c r="EMC28" s="3281"/>
      <c r="EMD28" s="3281"/>
      <c r="EME28" s="3281"/>
      <c r="EMF28" s="3281"/>
      <c r="EMG28" s="3281"/>
      <c r="EMH28" s="3281"/>
      <c r="EMI28" s="3281"/>
      <c r="EMJ28" s="3281"/>
      <c r="EMK28" s="3281"/>
      <c r="EML28" s="3281"/>
      <c r="EMM28" s="3281"/>
      <c r="EMN28" s="3281"/>
      <c r="EMO28" s="3281"/>
      <c r="EMP28" s="3281"/>
      <c r="EMQ28" s="3281"/>
      <c r="EMR28" s="3281"/>
      <c r="EMS28" s="3281"/>
      <c r="EMT28" s="3281"/>
      <c r="EMU28" s="3281"/>
      <c r="EMV28" s="3281"/>
      <c r="EMW28" s="3281"/>
      <c r="EMX28" s="3281"/>
      <c r="EMY28" s="3281"/>
      <c r="EMZ28" s="3281"/>
      <c r="ENA28" s="3281"/>
      <c r="ENB28" s="3281"/>
      <c r="ENC28" s="3281"/>
      <c r="END28" s="3281"/>
      <c r="ENE28" s="3281"/>
      <c r="ENF28" s="3281"/>
      <c r="ENG28" s="3281"/>
      <c r="ENH28" s="3281"/>
      <c r="ENI28" s="3281"/>
      <c r="ENJ28" s="3281"/>
      <c r="ENK28" s="3281"/>
      <c r="ENL28" s="3281"/>
      <c r="ENM28" s="3281"/>
      <c r="ENN28" s="3281"/>
      <c r="ENO28" s="3281"/>
      <c r="ENP28" s="3281"/>
      <c r="ENQ28" s="3281"/>
      <c r="ENR28" s="3281"/>
      <c r="ENS28" s="3281"/>
      <c r="ENT28" s="3281"/>
      <c r="ENU28" s="3281"/>
      <c r="ENV28" s="3281"/>
      <c r="ENW28" s="3281"/>
      <c r="ENX28" s="3281"/>
      <c r="ENY28" s="3281"/>
      <c r="ENZ28" s="3281"/>
      <c r="EOA28" s="3281"/>
      <c r="EOB28" s="3281"/>
      <c r="EOC28" s="3281"/>
      <c r="EOD28" s="3281"/>
      <c r="EOE28" s="3281"/>
      <c r="EOF28" s="3281"/>
      <c r="EOG28" s="3281"/>
      <c r="EOH28" s="3281"/>
      <c r="EOI28" s="3281"/>
      <c r="EOJ28" s="3281"/>
      <c r="EOK28" s="3281"/>
      <c r="EOL28" s="3281"/>
      <c r="EOM28" s="3281"/>
      <c r="EON28" s="3281"/>
      <c r="EOO28" s="3281"/>
      <c r="EOP28" s="3281"/>
      <c r="EOQ28" s="3281"/>
      <c r="EOR28" s="3281"/>
      <c r="EOS28" s="3281"/>
      <c r="EOT28" s="3281"/>
      <c r="EOU28" s="3281"/>
      <c r="EOV28" s="3281"/>
      <c r="EOW28" s="3281"/>
      <c r="EOX28" s="3281"/>
      <c r="EOY28" s="3281"/>
      <c r="EOZ28" s="3281"/>
      <c r="EPA28" s="3281"/>
      <c r="EPB28" s="3281"/>
      <c r="EPC28" s="3281"/>
      <c r="EPD28" s="3281"/>
      <c r="EPE28" s="3281"/>
      <c r="EPF28" s="3281"/>
      <c r="EPG28" s="3281"/>
      <c r="EPH28" s="3281"/>
      <c r="EPI28" s="3281"/>
      <c r="EPJ28" s="3281"/>
      <c r="EPK28" s="3281"/>
      <c r="EPL28" s="3281"/>
      <c r="EPM28" s="3281"/>
      <c r="EPN28" s="3281"/>
      <c r="EPO28" s="3281"/>
      <c r="EPP28" s="3281"/>
      <c r="EPQ28" s="3281"/>
      <c r="EPR28" s="3281"/>
      <c r="EPS28" s="3281"/>
      <c r="EPT28" s="3281"/>
      <c r="EPU28" s="3281"/>
      <c r="EPV28" s="3281"/>
      <c r="EPW28" s="3281"/>
      <c r="EPX28" s="3281"/>
      <c r="EPY28" s="3281"/>
      <c r="EPZ28" s="3281"/>
      <c r="EQA28" s="3281"/>
      <c r="EQB28" s="3281"/>
      <c r="EQC28" s="3281"/>
      <c r="EQD28" s="3281"/>
      <c r="EQE28" s="3281"/>
      <c r="EQF28" s="3281"/>
      <c r="EQG28" s="3281"/>
      <c r="EQH28" s="3281"/>
      <c r="EQI28" s="3281"/>
      <c r="EQJ28" s="3281"/>
      <c r="EQK28" s="3281"/>
      <c r="EQL28" s="3281"/>
      <c r="EQM28" s="3281"/>
      <c r="EQN28" s="3281"/>
      <c r="EQO28" s="3281"/>
      <c r="EQP28" s="3281"/>
      <c r="EQQ28" s="3281"/>
      <c r="EQR28" s="3281"/>
      <c r="EQS28" s="3281"/>
      <c r="EQT28" s="3281"/>
      <c r="EQU28" s="3281"/>
      <c r="EQV28" s="3281"/>
      <c r="EQW28" s="3281"/>
      <c r="EQX28" s="3281"/>
      <c r="EQY28" s="3281"/>
      <c r="EQZ28" s="3281"/>
      <c r="ERA28" s="3281"/>
      <c r="ERB28" s="3281"/>
      <c r="ERC28" s="3281"/>
      <c r="ERD28" s="3281"/>
      <c r="ERE28" s="3281"/>
      <c r="ERF28" s="3281"/>
      <c r="ERG28" s="3281"/>
      <c r="ERH28" s="3281"/>
      <c r="ERI28" s="3281"/>
      <c r="ERJ28" s="3281"/>
      <c r="ERK28" s="3281"/>
      <c r="ERL28" s="3281"/>
      <c r="ERM28" s="3281"/>
      <c r="ERN28" s="3281"/>
      <c r="ERO28" s="3281"/>
      <c r="ERP28" s="3281"/>
      <c r="ERQ28" s="3281"/>
      <c r="ERR28" s="3281"/>
      <c r="ERS28" s="3281"/>
      <c r="ERT28" s="3281"/>
      <c r="ERU28" s="3281"/>
      <c r="ERV28" s="3281"/>
      <c r="ERW28" s="3281"/>
      <c r="ERX28" s="3281"/>
      <c r="ERY28" s="3281"/>
      <c r="ERZ28" s="3281"/>
      <c r="ESA28" s="3281"/>
      <c r="ESB28" s="3281"/>
      <c r="ESC28" s="3281"/>
      <c r="ESD28" s="3281"/>
      <c r="ESE28" s="3281"/>
      <c r="ESF28" s="3281"/>
      <c r="ESG28" s="3281"/>
      <c r="ESH28" s="3281"/>
      <c r="ESI28" s="3281"/>
      <c r="ESJ28" s="3281"/>
      <c r="ESK28" s="3281"/>
      <c r="ESL28" s="3281"/>
      <c r="ESM28" s="3281"/>
      <c r="ESN28" s="3281"/>
      <c r="ESO28" s="3281"/>
      <c r="ESP28" s="3281"/>
      <c r="ESQ28" s="3281"/>
      <c r="ESR28" s="3281"/>
      <c r="ESS28" s="3281"/>
      <c r="EST28" s="3281"/>
      <c r="ESU28" s="3281"/>
      <c r="ESV28" s="3281"/>
      <c r="ESW28" s="3281"/>
      <c r="ESX28" s="3281"/>
      <c r="ESY28" s="3281"/>
      <c r="ESZ28" s="3281"/>
      <c r="ETA28" s="3281"/>
      <c r="ETB28" s="3281"/>
      <c r="ETC28" s="3281"/>
      <c r="ETD28" s="3281"/>
      <c r="ETE28" s="3281"/>
      <c r="ETF28" s="3281"/>
      <c r="ETG28" s="3281"/>
      <c r="ETH28" s="3281"/>
      <c r="ETI28" s="3281"/>
      <c r="ETJ28" s="3281"/>
      <c r="ETK28" s="3281"/>
      <c r="ETL28" s="3281"/>
      <c r="ETM28" s="3281"/>
      <c r="ETN28" s="3281"/>
      <c r="ETO28" s="3281"/>
      <c r="ETP28" s="3281"/>
      <c r="ETQ28" s="3281"/>
      <c r="ETR28" s="3281"/>
      <c r="ETS28" s="3281"/>
      <c r="ETT28" s="3281"/>
      <c r="ETU28" s="3281"/>
      <c r="ETV28" s="3281"/>
      <c r="ETW28" s="3281"/>
      <c r="ETX28" s="3281"/>
      <c r="ETY28" s="3281"/>
      <c r="ETZ28" s="3281"/>
      <c r="EUA28" s="3281"/>
      <c r="EUB28" s="3281"/>
      <c r="EUC28" s="3281"/>
      <c r="EUD28" s="3281"/>
      <c r="EUE28" s="3281"/>
      <c r="EUF28" s="3281"/>
      <c r="EUG28" s="3281"/>
      <c r="EUH28" s="3281"/>
      <c r="EUI28" s="3281"/>
      <c r="EUJ28" s="3281"/>
      <c r="EUK28" s="3281"/>
      <c r="EUL28" s="3281"/>
      <c r="EUM28" s="3281"/>
      <c r="EUN28" s="3281"/>
      <c r="EUO28" s="3281"/>
      <c r="EUP28" s="3281"/>
      <c r="EUQ28" s="3281"/>
      <c r="EUR28" s="3281"/>
      <c r="EUS28" s="3281"/>
      <c r="EUT28" s="3281"/>
      <c r="EUU28" s="3281"/>
      <c r="EUV28" s="3281"/>
      <c r="EUW28" s="3281"/>
      <c r="EUX28" s="3281"/>
      <c r="EUY28" s="3281"/>
      <c r="EUZ28" s="3281"/>
      <c r="EVA28" s="3281"/>
      <c r="EVB28" s="3281"/>
      <c r="EVC28" s="3281"/>
      <c r="EVD28" s="3281"/>
      <c r="EVE28" s="3281"/>
      <c r="EVF28" s="3281"/>
      <c r="EVG28" s="3281"/>
      <c r="EVH28" s="3281"/>
      <c r="EVI28" s="3281"/>
      <c r="EVJ28" s="3281"/>
      <c r="EVK28" s="3281"/>
      <c r="EVL28" s="3281"/>
      <c r="EVM28" s="3281"/>
      <c r="EVN28" s="3281"/>
      <c r="EVO28" s="3281"/>
      <c r="EVP28" s="3281"/>
      <c r="EVQ28" s="3281"/>
      <c r="EVR28" s="3281"/>
      <c r="EVS28" s="3281"/>
      <c r="EVT28" s="3281"/>
      <c r="EVU28" s="3281"/>
      <c r="EVV28" s="3281"/>
      <c r="EVW28" s="3281"/>
      <c r="EVX28" s="3281"/>
      <c r="EVY28" s="3281"/>
      <c r="EVZ28" s="3281"/>
      <c r="EWA28" s="3281"/>
      <c r="EWB28" s="3281"/>
      <c r="EWC28" s="3281"/>
      <c r="EWD28" s="3281"/>
      <c r="EWE28" s="3281"/>
      <c r="EWF28" s="3281"/>
      <c r="EWG28" s="3281"/>
      <c r="EWH28" s="3281"/>
      <c r="EWI28" s="3281"/>
      <c r="EWJ28" s="3281"/>
      <c r="EWK28" s="3281"/>
      <c r="EWL28" s="3281"/>
      <c r="EWM28" s="3281"/>
      <c r="EWN28" s="3281"/>
      <c r="EWO28" s="3281"/>
      <c r="EWP28" s="3281"/>
      <c r="EWQ28" s="3281"/>
      <c r="EWR28" s="3281"/>
      <c r="EWS28" s="3281"/>
      <c r="EWT28" s="3281"/>
      <c r="EWU28" s="3281"/>
      <c r="EWV28" s="3281"/>
      <c r="EWW28" s="3281"/>
      <c r="EWX28" s="3281"/>
      <c r="EWY28" s="3281"/>
      <c r="EWZ28" s="3281"/>
      <c r="EXA28" s="3281"/>
      <c r="EXB28" s="3281"/>
      <c r="EXC28" s="3281"/>
      <c r="EXD28" s="3281"/>
      <c r="EXE28" s="3281"/>
      <c r="EXF28" s="3281"/>
      <c r="EXG28" s="3281"/>
      <c r="EXH28" s="3281"/>
      <c r="EXI28" s="3281"/>
      <c r="EXJ28" s="3281"/>
      <c r="EXK28" s="3281"/>
      <c r="EXL28" s="3281"/>
      <c r="EXM28" s="3281"/>
      <c r="EXN28" s="3281"/>
      <c r="EXO28" s="3281"/>
      <c r="EXP28" s="3281"/>
      <c r="EXQ28" s="3281"/>
      <c r="EXR28" s="3281"/>
      <c r="EXS28" s="3281"/>
      <c r="EXT28" s="3281"/>
      <c r="EXU28" s="3281"/>
      <c r="EXV28" s="3281"/>
      <c r="EXW28" s="3281"/>
      <c r="EXX28" s="3281"/>
      <c r="EXY28" s="3281"/>
      <c r="EXZ28" s="3281"/>
      <c r="EYA28" s="3281"/>
      <c r="EYB28" s="3281"/>
      <c r="EYC28" s="3281"/>
      <c r="EYD28" s="3281"/>
      <c r="EYE28" s="3281"/>
      <c r="EYF28" s="3281"/>
      <c r="EYG28" s="3281"/>
      <c r="EYH28" s="3281"/>
      <c r="EYI28" s="3281"/>
      <c r="EYJ28" s="3281"/>
      <c r="EYK28" s="3281"/>
      <c r="EYL28" s="3281"/>
      <c r="EYM28" s="3281"/>
      <c r="EYN28" s="3281"/>
      <c r="EYO28" s="3281"/>
      <c r="EYP28" s="3281"/>
      <c r="EYQ28" s="3281"/>
      <c r="EYR28" s="3281"/>
      <c r="EYS28" s="3281"/>
      <c r="EYT28" s="3281"/>
      <c r="EYU28" s="3281"/>
      <c r="EYV28" s="3281"/>
      <c r="EYW28" s="3281"/>
      <c r="EYX28" s="3281"/>
      <c r="EYY28" s="3281"/>
      <c r="EYZ28" s="3281"/>
      <c r="EZA28" s="3281"/>
      <c r="EZB28" s="3281"/>
      <c r="EZC28" s="3281"/>
      <c r="EZD28" s="3281"/>
      <c r="EZE28" s="3281"/>
      <c r="EZF28" s="3281"/>
      <c r="EZG28" s="3281"/>
      <c r="EZH28" s="3281"/>
      <c r="EZI28" s="3281"/>
      <c r="EZJ28" s="3281"/>
      <c r="EZK28" s="3281"/>
      <c r="EZL28" s="3281"/>
      <c r="EZM28" s="3281"/>
      <c r="EZN28" s="3281"/>
      <c r="EZO28" s="3281"/>
      <c r="EZP28" s="3281"/>
      <c r="EZQ28" s="3281"/>
      <c r="EZR28" s="3281"/>
      <c r="EZS28" s="3281"/>
      <c r="EZT28" s="3281"/>
      <c r="EZU28" s="3281"/>
      <c r="EZV28" s="3281"/>
      <c r="EZW28" s="3281"/>
      <c r="EZX28" s="3281"/>
      <c r="EZY28" s="3281"/>
      <c r="EZZ28" s="3281"/>
      <c r="FAA28" s="3281"/>
      <c r="FAB28" s="3281"/>
      <c r="FAC28" s="3281"/>
      <c r="FAD28" s="3281"/>
      <c r="FAE28" s="3281"/>
      <c r="FAF28" s="3281"/>
      <c r="FAG28" s="3281"/>
      <c r="FAH28" s="3281"/>
      <c r="FAI28" s="3281"/>
      <c r="FAJ28" s="3281"/>
      <c r="FAK28" s="3281"/>
      <c r="FAL28" s="3281"/>
      <c r="FAM28" s="3281"/>
      <c r="FAN28" s="3281"/>
      <c r="FAO28" s="3281"/>
      <c r="FAP28" s="3281"/>
      <c r="FAQ28" s="3281"/>
      <c r="FAR28" s="3281"/>
      <c r="FAS28" s="3281"/>
      <c r="FAT28" s="3281"/>
      <c r="FAU28" s="3281"/>
      <c r="FAV28" s="3281"/>
      <c r="FAW28" s="3281"/>
      <c r="FAX28" s="3281"/>
      <c r="FAY28" s="3281"/>
      <c r="FAZ28" s="3281"/>
      <c r="FBA28" s="3281"/>
      <c r="FBB28" s="3281"/>
      <c r="FBC28" s="3281"/>
      <c r="FBD28" s="3281"/>
      <c r="FBE28" s="3281"/>
      <c r="FBF28" s="3281"/>
      <c r="FBG28" s="3281"/>
      <c r="FBH28" s="3281"/>
      <c r="FBI28" s="3281"/>
      <c r="FBJ28" s="3281"/>
      <c r="FBK28" s="3281"/>
      <c r="FBL28" s="3281"/>
      <c r="FBM28" s="3281"/>
      <c r="FBN28" s="3281"/>
      <c r="FBO28" s="3281"/>
      <c r="FBP28" s="3281"/>
      <c r="FBQ28" s="3281"/>
      <c r="FBR28" s="3281"/>
      <c r="FBS28" s="3281"/>
      <c r="FBT28" s="3281"/>
      <c r="FBU28" s="3281"/>
      <c r="FBV28" s="3281"/>
      <c r="FBW28" s="3281"/>
      <c r="FBX28" s="3281"/>
      <c r="FBY28" s="3281"/>
      <c r="FBZ28" s="3281"/>
      <c r="FCA28" s="3281"/>
      <c r="FCB28" s="3281"/>
      <c r="FCC28" s="3281"/>
      <c r="FCD28" s="3281"/>
      <c r="FCE28" s="3281"/>
      <c r="FCF28" s="3281"/>
      <c r="FCG28" s="3281"/>
      <c r="FCH28" s="3281"/>
      <c r="FCI28" s="3281"/>
      <c r="FCJ28" s="3281"/>
      <c r="FCK28" s="3281"/>
      <c r="FCL28" s="3281"/>
      <c r="FCM28" s="3281"/>
      <c r="FCN28" s="3281"/>
      <c r="FCO28" s="3281"/>
      <c r="FCP28" s="3281"/>
      <c r="FCQ28" s="3281"/>
      <c r="FCR28" s="3281"/>
      <c r="FCS28" s="3281"/>
      <c r="FCT28" s="3281"/>
      <c r="FCU28" s="3281"/>
      <c r="FCV28" s="3281"/>
      <c r="FCW28" s="3281"/>
      <c r="FCX28" s="3281"/>
      <c r="FCY28" s="3281"/>
      <c r="FCZ28" s="3281"/>
      <c r="FDA28" s="3281"/>
      <c r="FDB28" s="3281"/>
      <c r="FDC28" s="3281"/>
      <c r="FDD28" s="3281"/>
      <c r="FDE28" s="3281"/>
      <c r="FDF28" s="3281"/>
      <c r="FDG28" s="3281"/>
      <c r="FDH28" s="3281"/>
      <c r="FDI28" s="3281"/>
      <c r="FDJ28" s="3281"/>
      <c r="FDK28" s="3281"/>
      <c r="FDL28" s="3281"/>
      <c r="FDM28" s="3281"/>
      <c r="FDN28" s="3281"/>
      <c r="FDO28" s="3281"/>
      <c r="FDP28" s="3281"/>
      <c r="FDQ28" s="3281"/>
      <c r="FDR28" s="3281"/>
      <c r="FDS28" s="3281"/>
      <c r="FDT28" s="3281"/>
      <c r="FDU28" s="3281"/>
      <c r="FDV28" s="3281"/>
      <c r="FDW28" s="3281"/>
      <c r="FDX28" s="3281"/>
      <c r="FDY28" s="3281"/>
      <c r="FDZ28" s="3281"/>
      <c r="FEA28" s="3281"/>
      <c r="FEB28" s="3281"/>
      <c r="FEC28" s="3281"/>
      <c r="FED28" s="3281"/>
      <c r="FEE28" s="3281"/>
      <c r="FEF28" s="3281"/>
      <c r="FEG28" s="3281"/>
      <c r="FEH28" s="3281"/>
      <c r="FEI28" s="3281"/>
      <c r="FEJ28" s="3281"/>
      <c r="FEK28" s="3281"/>
      <c r="FEL28" s="3281"/>
      <c r="FEM28" s="3281"/>
      <c r="FEN28" s="3281"/>
      <c r="FEO28" s="3281"/>
      <c r="FEP28" s="3281"/>
      <c r="FEQ28" s="3281"/>
      <c r="FER28" s="3281"/>
      <c r="FES28" s="3281"/>
      <c r="FET28" s="3281"/>
      <c r="FEU28" s="3281"/>
      <c r="FEV28" s="3281"/>
      <c r="FEW28" s="3281"/>
      <c r="FEX28" s="3281"/>
      <c r="FEY28" s="3281"/>
      <c r="FEZ28" s="3281"/>
      <c r="FFA28" s="3281"/>
      <c r="FFB28" s="3281"/>
      <c r="FFC28" s="3281"/>
      <c r="FFD28" s="3281"/>
      <c r="FFE28" s="3281"/>
      <c r="FFF28" s="3281"/>
      <c r="FFG28" s="3281"/>
      <c r="FFH28" s="3281"/>
      <c r="FFI28" s="3281"/>
      <c r="FFJ28" s="3281"/>
      <c r="FFK28" s="3281"/>
      <c r="FFL28" s="3281"/>
      <c r="FFM28" s="3281"/>
      <c r="FFN28" s="3281"/>
      <c r="FFO28" s="3281"/>
      <c r="FFP28" s="3281"/>
      <c r="FFQ28" s="3281"/>
      <c r="FFR28" s="3281"/>
      <c r="FFS28" s="3281"/>
      <c r="FFT28" s="3281"/>
      <c r="FFU28" s="3281"/>
      <c r="FFV28" s="3281"/>
      <c r="FFW28" s="3281"/>
      <c r="FFX28" s="3281"/>
      <c r="FFY28" s="3281"/>
      <c r="FFZ28" s="3281"/>
      <c r="FGA28" s="3281"/>
      <c r="FGB28" s="3281"/>
      <c r="FGC28" s="3281"/>
      <c r="FGD28" s="3281"/>
      <c r="FGE28" s="3281"/>
      <c r="FGF28" s="3281"/>
      <c r="FGG28" s="3281"/>
      <c r="FGH28" s="3281"/>
      <c r="FGI28" s="3281"/>
      <c r="FGJ28" s="3281"/>
      <c r="FGK28" s="3281"/>
      <c r="FGL28" s="3281"/>
      <c r="FGM28" s="3281"/>
      <c r="FGN28" s="3281"/>
      <c r="FGO28" s="3281"/>
      <c r="FGP28" s="3281"/>
      <c r="FGQ28" s="3281"/>
      <c r="FGR28" s="3281"/>
      <c r="FGS28" s="3281"/>
      <c r="FGT28" s="3281"/>
      <c r="FGU28" s="3281"/>
      <c r="FGV28" s="3281"/>
      <c r="FGW28" s="3281"/>
      <c r="FGX28" s="3281"/>
      <c r="FGY28" s="3281"/>
      <c r="FGZ28" s="3281"/>
      <c r="FHA28" s="3281"/>
      <c r="FHB28" s="3281"/>
      <c r="FHC28" s="3281"/>
      <c r="FHD28" s="3281"/>
      <c r="FHE28" s="3281"/>
      <c r="FHF28" s="3281"/>
      <c r="FHG28" s="3281"/>
      <c r="FHH28" s="3281"/>
      <c r="FHI28" s="3281"/>
      <c r="FHJ28" s="3281"/>
      <c r="FHK28" s="3281"/>
      <c r="FHL28" s="3281"/>
      <c r="FHM28" s="3281"/>
      <c r="FHN28" s="3281"/>
      <c r="FHO28" s="3281"/>
      <c r="FHP28" s="3281"/>
      <c r="FHQ28" s="3281"/>
      <c r="FHR28" s="3281"/>
      <c r="FHS28" s="3281"/>
      <c r="FHT28" s="3281"/>
      <c r="FHU28" s="3281"/>
      <c r="FHV28" s="3281"/>
      <c r="FHW28" s="3281"/>
      <c r="FHX28" s="3281"/>
      <c r="FHY28" s="3281"/>
      <c r="FHZ28" s="3281"/>
      <c r="FIA28" s="3281"/>
      <c r="FIB28" s="3281"/>
      <c r="FIC28" s="3281"/>
      <c r="FID28" s="3281"/>
      <c r="FIE28" s="3281"/>
      <c r="FIF28" s="3281"/>
      <c r="FIG28" s="3281"/>
      <c r="FIH28" s="3281"/>
      <c r="FII28" s="3281"/>
      <c r="FIJ28" s="3281"/>
      <c r="FIK28" s="3281"/>
      <c r="FIL28" s="3281"/>
      <c r="FIM28" s="3281"/>
      <c r="FIN28" s="3281"/>
      <c r="FIO28" s="3281"/>
      <c r="FIP28" s="3281"/>
      <c r="FIQ28" s="3281"/>
      <c r="FIR28" s="3281"/>
      <c r="FIS28" s="3281"/>
      <c r="FIT28" s="3281"/>
      <c r="FIU28" s="3281"/>
      <c r="FIV28" s="3281"/>
      <c r="FIW28" s="3281"/>
      <c r="FIX28" s="3281"/>
      <c r="FIY28" s="3281"/>
      <c r="FIZ28" s="3281"/>
      <c r="FJA28" s="3281"/>
      <c r="FJB28" s="3281"/>
      <c r="FJC28" s="3281"/>
      <c r="FJD28" s="3281"/>
      <c r="FJE28" s="3281"/>
      <c r="FJF28" s="3281"/>
      <c r="FJG28" s="3281"/>
      <c r="FJH28" s="3281"/>
      <c r="FJI28" s="3281"/>
      <c r="FJJ28" s="3281"/>
      <c r="FJK28" s="3281"/>
      <c r="FJL28" s="3281"/>
      <c r="FJM28" s="3281"/>
      <c r="FJN28" s="3281"/>
      <c r="FJO28" s="3281"/>
      <c r="FJP28" s="3281"/>
      <c r="FJQ28" s="3281"/>
      <c r="FJR28" s="3281"/>
      <c r="FJS28" s="3281"/>
      <c r="FJT28" s="3281"/>
      <c r="FJU28" s="3281"/>
      <c r="FJV28" s="3281"/>
      <c r="FJW28" s="3281"/>
      <c r="FJX28" s="3281"/>
      <c r="FJY28" s="3281"/>
      <c r="FJZ28" s="3281"/>
      <c r="FKA28" s="3281"/>
      <c r="FKB28" s="3281"/>
      <c r="FKC28" s="3281"/>
      <c r="FKD28" s="3281"/>
      <c r="FKE28" s="3281"/>
      <c r="FKF28" s="3281"/>
      <c r="FKG28" s="3281"/>
      <c r="FKH28" s="3281"/>
      <c r="FKI28" s="3281"/>
      <c r="FKJ28" s="3281"/>
      <c r="FKK28" s="3281"/>
      <c r="FKL28" s="3281"/>
      <c r="FKM28" s="3281"/>
      <c r="FKN28" s="3281"/>
      <c r="FKO28" s="3281"/>
      <c r="FKP28" s="3281"/>
      <c r="FKQ28" s="3281"/>
      <c r="FKR28" s="3281"/>
      <c r="FKS28" s="3281"/>
      <c r="FKT28" s="3281"/>
      <c r="FKU28" s="3281"/>
      <c r="FKV28" s="3281"/>
      <c r="FKW28" s="3281"/>
      <c r="FKX28" s="3281"/>
      <c r="FKY28" s="3281"/>
      <c r="FKZ28" s="3281"/>
      <c r="FLA28" s="3281"/>
      <c r="FLB28" s="3281"/>
      <c r="FLC28" s="3281"/>
      <c r="FLD28" s="3281"/>
      <c r="FLE28" s="3281"/>
      <c r="FLF28" s="3281"/>
      <c r="FLG28" s="3281"/>
      <c r="FLH28" s="3281"/>
      <c r="FLI28" s="3281"/>
      <c r="FLJ28" s="3281"/>
      <c r="FLK28" s="3281"/>
      <c r="FLL28" s="3281"/>
      <c r="FLM28" s="3281"/>
      <c r="FLN28" s="3281"/>
      <c r="FLO28" s="3281"/>
      <c r="FLP28" s="3281"/>
      <c r="FLQ28" s="3281"/>
      <c r="FLR28" s="3281"/>
      <c r="FLS28" s="3281"/>
      <c r="FLT28" s="3281"/>
      <c r="FLU28" s="3281"/>
      <c r="FLV28" s="3281"/>
      <c r="FLW28" s="3281"/>
      <c r="FLX28" s="3281"/>
      <c r="FLY28" s="3281"/>
      <c r="FLZ28" s="3281"/>
      <c r="FMA28" s="3281"/>
      <c r="FMB28" s="3281"/>
      <c r="FMC28" s="3281"/>
      <c r="FMD28" s="3281"/>
      <c r="FME28" s="3281"/>
      <c r="FMF28" s="3281"/>
      <c r="FMG28" s="3281"/>
      <c r="FMH28" s="3281"/>
      <c r="FMI28" s="3281"/>
      <c r="FMJ28" s="3281"/>
      <c r="FMK28" s="3281"/>
      <c r="FML28" s="3281"/>
      <c r="FMM28" s="3281"/>
      <c r="FMN28" s="3281"/>
      <c r="FMO28" s="3281"/>
      <c r="FMP28" s="3281"/>
      <c r="FMQ28" s="3281"/>
      <c r="FMR28" s="3281"/>
      <c r="FMS28" s="3281"/>
      <c r="FMT28" s="3281"/>
      <c r="FMU28" s="3281"/>
      <c r="FMV28" s="3281"/>
      <c r="FMW28" s="3281"/>
      <c r="FMX28" s="3281"/>
      <c r="FMY28" s="3281"/>
      <c r="FMZ28" s="3281"/>
      <c r="FNA28" s="3281"/>
      <c r="FNB28" s="3281"/>
      <c r="FNC28" s="3281"/>
      <c r="FND28" s="3281"/>
      <c r="FNE28" s="3281"/>
      <c r="FNF28" s="3281"/>
      <c r="FNG28" s="3281"/>
      <c r="FNH28" s="3281"/>
      <c r="FNI28" s="3281"/>
      <c r="FNJ28" s="3281"/>
      <c r="FNK28" s="3281"/>
      <c r="FNL28" s="3281"/>
      <c r="FNM28" s="3281"/>
      <c r="FNN28" s="3281"/>
      <c r="FNO28" s="3281"/>
      <c r="FNP28" s="3281"/>
      <c r="FNQ28" s="3281"/>
      <c r="FNR28" s="3281"/>
      <c r="FNS28" s="3281"/>
      <c r="FNT28" s="3281"/>
      <c r="FNU28" s="3281"/>
      <c r="FNV28" s="3281"/>
      <c r="FNW28" s="3281"/>
      <c r="FNX28" s="3281"/>
      <c r="FNY28" s="3281"/>
      <c r="FNZ28" s="3281"/>
      <c r="FOA28" s="3281"/>
      <c r="FOB28" s="3281"/>
      <c r="FOC28" s="3281"/>
      <c r="FOD28" s="3281"/>
      <c r="FOE28" s="3281"/>
      <c r="FOF28" s="3281"/>
      <c r="FOG28" s="3281"/>
      <c r="FOH28" s="3281"/>
      <c r="FOI28" s="3281"/>
      <c r="FOJ28" s="3281"/>
      <c r="FOK28" s="3281"/>
      <c r="FOL28" s="3281"/>
      <c r="FOM28" s="3281"/>
      <c r="FON28" s="3281"/>
      <c r="FOO28" s="3281"/>
      <c r="FOP28" s="3281"/>
      <c r="FOQ28" s="3281"/>
      <c r="FOR28" s="3281"/>
      <c r="FOS28" s="3281"/>
      <c r="FOT28" s="3281"/>
      <c r="FOU28" s="3281"/>
      <c r="FOV28" s="3281"/>
      <c r="FOW28" s="3281"/>
      <c r="FOX28" s="3281"/>
      <c r="FOY28" s="3281"/>
      <c r="FOZ28" s="3281"/>
      <c r="FPA28" s="3281"/>
      <c r="FPB28" s="3281"/>
      <c r="FPC28" s="3281"/>
      <c r="FPD28" s="3281"/>
      <c r="FPE28" s="3281"/>
      <c r="FPF28" s="3281"/>
      <c r="FPG28" s="3281"/>
      <c r="FPH28" s="3281"/>
      <c r="FPI28" s="3281"/>
      <c r="FPJ28" s="3281"/>
      <c r="FPK28" s="3281"/>
      <c r="FPL28" s="3281"/>
      <c r="FPM28" s="3281"/>
      <c r="FPN28" s="3281"/>
      <c r="FPO28" s="3281"/>
      <c r="FPP28" s="3281"/>
      <c r="FPQ28" s="3281"/>
      <c r="FPR28" s="3281"/>
      <c r="FPS28" s="3281"/>
      <c r="FPT28" s="3281"/>
      <c r="FPU28" s="3281"/>
      <c r="FPV28" s="3281"/>
      <c r="FPW28" s="3281"/>
      <c r="FPX28" s="3281"/>
      <c r="FPY28" s="3281"/>
      <c r="FPZ28" s="3281"/>
      <c r="FQA28" s="3281"/>
      <c r="FQB28" s="3281"/>
      <c r="FQC28" s="3281"/>
      <c r="FQD28" s="3281"/>
      <c r="FQE28" s="3281"/>
      <c r="FQF28" s="3281"/>
      <c r="FQG28" s="3281"/>
      <c r="FQH28" s="3281"/>
      <c r="FQI28" s="3281"/>
      <c r="FQJ28" s="3281"/>
      <c r="FQK28" s="3281"/>
      <c r="FQL28" s="3281"/>
      <c r="FQM28" s="3281"/>
      <c r="FQN28" s="3281"/>
      <c r="FQO28" s="3281"/>
      <c r="FQP28" s="3281"/>
      <c r="FQQ28" s="3281"/>
      <c r="FQR28" s="3281"/>
      <c r="FQS28" s="3281"/>
      <c r="FQT28" s="3281"/>
      <c r="FQU28" s="3281"/>
      <c r="FQV28" s="3281"/>
      <c r="FQW28" s="3281"/>
      <c r="FQX28" s="3281"/>
      <c r="FQY28" s="3281"/>
      <c r="FQZ28" s="3281"/>
      <c r="FRA28" s="3281"/>
      <c r="FRB28" s="3281"/>
      <c r="FRC28" s="3281"/>
      <c r="FRD28" s="3281"/>
      <c r="FRE28" s="3281"/>
      <c r="FRF28" s="3281"/>
      <c r="FRG28" s="3281"/>
      <c r="FRH28" s="3281"/>
      <c r="FRI28" s="3281"/>
      <c r="FRJ28" s="3281"/>
      <c r="FRK28" s="3281"/>
      <c r="FRL28" s="3281"/>
      <c r="FRM28" s="3281"/>
      <c r="FRN28" s="3281"/>
      <c r="FRO28" s="3281"/>
      <c r="FRP28" s="3281"/>
      <c r="FRQ28" s="3281"/>
      <c r="FRR28" s="3281"/>
      <c r="FRS28" s="3281"/>
      <c r="FRT28" s="3281"/>
      <c r="FRU28" s="3281"/>
      <c r="FRV28" s="3281"/>
      <c r="FRW28" s="3281"/>
      <c r="FRX28" s="3281"/>
      <c r="FRY28" s="3281"/>
      <c r="FRZ28" s="3281"/>
      <c r="FSA28" s="3281"/>
      <c r="FSB28" s="3281"/>
      <c r="FSC28" s="3281"/>
      <c r="FSD28" s="3281"/>
      <c r="FSE28" s="3281"/>
      <c r="FSF28" s="3281"/>
      <c r="FSG28" s="3281"/>
      <c r="FSH28" s="3281"/>
      <c r="FSI28" s="3281"/>
      <c r="FSJ28" s="3281"/>
      <c r="FSK28" s="3281"/>
      <c r="FSL28" s="3281"/>
      <c r="FSM28" s="3281"/>
      <c r="FSN28" s="3281"/>
      <c r="FSO28" s="3281"/>
      <c r="FSP28" s="3281"/>
      <c r="FSQ28" s="3281"/>
      <c r="FSR28" s="3281"/>
      <c r="FSS28" s="3281"/>
      <c r="FST28" s="3281"/>
      <c r="FSU28" s="3281"/>
      <c r="FSV28" s="3281"/>
      <c r="FSW28" s="3281"/>
      <c r="FSX28" s="3281"/>
      <c r="FSY28" s="3281"/>
      <c r="FSZ28" s="3281"/>
      <c r="FTA28" s="3281"/>
      <c r="FTB28" s="3281"/>
      <c r="FTC28" s="3281"/>
      <c r="FTD28" s="3281"/>
      <c r="FTE28" s="3281"/>
      <c r="FTF28" s="3281"/>
      <c r="FTG28" s="3281"/>
      <c r="FTH28" s="3281"/>
      <c r="FTI28" s="3281"/>
      <c r="FTJ28" s="3281"/>
      <c r="FTK28" s="3281"/>
      <c r="FTL28" s="3281"/>
      <c r="FTM28" s="3281"/>
      <c r="FTN28" s="3281"/>
      <c r="FTO28" s="3281"/>
      <c r="FTP28" s="3281"/>
      <c r="FTQ28" s="3281"/>
      <c r="FTR28" s="3281"/>
      <c r="FTS28" s="3281"/>
      <c r="FTT28" s="3281"/>
      <c r="FTU28" s="3281"/>
      <c r="FTV28" s="3281"/>
      <c r="FTW28" s="3281"/>
      <c r="FTX28" s="3281"/>
      <c r="FTY28" s="3281"/>
      <c r="FTZ28" s="3281"/>
      <c r="FUA28" s="3281"/>
      <c r="FUB28" s="3281"/>
      <c r="FUC28" s="3281"/>
      <c r="FUD28" s="3281"/>
      <c r="FUE28" s="3281"/>
      <c r="FUF28" s="3281"/>
      <c r="FUG28" s="3281"/>
      <c r="FUH28" s="3281"/>
      <c r="FUI28" s="3281"/>
      <c r="FUJ28" s="3281"/>
      <c r="FUK28" s="3281"/>
      <c r="FUL28" s="3281"/>
      <c r="FUM28" s="3281"/>
      <c r="FUN28" s="3281"/>
      <c r="FUO28" s="3281"/>
      <c r="FUP28" s="3281"/>
      <c r="FUQ28" s="3281"/>
      <c r="FUR28" s="3281"/>
      <c r="FUS28" s="3281"/>
      <c r="FUT28" s="3281"/>
      <c r="FUU28" s="3281"/>
      <c r="FUV28" s="3281"/>
      <c r="FUW28" s="3281"/>
      <c r="FUX28" s="3281"/>
      <c r="FUY28" s="3281"/>
      <c r="FUZ28" s="3281"/>
      <c r="FVA28" s="3281"/>
      <c r="FVB28" s="3281"/>
      <c r="FVC28" s="3281"/>
      <c r="FVD28" s="3281"/>
      <c r="FVE28" s="3281"/>
      <c r="FVF28" s="3281"/>
      <c r="FVG28" s="3281"/>
      <c r="FVH28" s="3281"/>
      <c r="FVI28" s="3281"/>
      <c r="FVJ28" s="3281"/>
      <c r="FVK28" s="3281"/>
      <c r="FVL28" s="3281"/>
      <c r="FVM28" s="3281"/>
      <c r="FVN28" s="3281"/>
      <c r="FVO28" s="3281"/>
      <c r="FVP28" s="3281"/>
      <c r="FVQ28" s="3281"/>
      <c r="FVR28" s="3281"/>
      <c r="FVS28" s="3281"/>
      <c r="FVT28" s="3281"/>
      <c r="FVU28" s="3281"/>
      <c r="FVV28" s="3281"/>
      <c r="FVW28" s="3281"/>
      <c r="FVX28" s="3281"/>
      <c r="FVY28" s="3281"/>
      <c r="FVZ28" s="3281"/>
      <c r="FWA28" s="3281"/>
      <c r="FWB28" s="3281"/>
      <c r="FWC28" s="3281"/>
      <c r="FWD28" s="3281"/>
      <c r="FWE28" s="3281"/>
      <c r="FWF28" s="3281"/>
      <c r="FWG28" s="3281"/>
      <c r="FWH28" s="3281"/>
      <c r="FWI28" s="3281"/>
      <c r="FWJ28" s="3281"/>
      <c r="FWK28" s="3281"/>
      <c r="FWL28" s="3281"/>
      <c r="FWM28" s="3281"/>
      <c r="FWN28" s="3281"/>
      <c r="FWO28" s="3281"/>
      <c r="FWP28" s="3281"/>
      <c r="FWQ28" s="3281"/>
      <c r="FWR28" s="3281"/>
      <c r="FWS28" s="3281"/>
      <c r="FWT28" s="3281"/>
      <c r="FWU28" s="3281"/>
      <c r="FWV28" s="3281"/>
      <c r="FWW28" s="3281"/>
      <c r="FWX28" s="3281"/>
      <c r="FWY28" s="3281"/>
      <c r="FWZ28" s="3281"/>
      <c r="FXA28" s="3281"/>
      <c r="FXB28" s="3281"/>
      <c r="FXC28" s="3281"/>
      <c r="FXD28" s="3281"/>
      <c r="FXE28" s="3281"/>
      <c r="FXF28" s="3281"/>
      <c r="FXG28" s="3281"/>
      <c r="FXH28" s="3281"/>
      <c r="FXI28" s="3281"/>
      <c r="FXJ28" s="3281"/>
      <c r="FXK28" s="3281"/>
      <c r="FXL28" s="3281"/>
      <c r="FXM28" s="3281"/>
      <c r="FXN28" s="3281"/>
      <c r="FXO28" s="3281"/>
      <c r="FXP28" s="3281"/>
      <c r="FXQ28" s="3281"/>
      <c r="FXR28" s="3281"/>
      <c r="FXS28" s="3281"/>
      <c r="FXT28" s="3281"/>
      <c r="FXU28" s="3281"/>
      <c r="FXV28" s="3281"/>
      <c r="FXW28" s="3281"/>
      <c r="FXX28" s="3281"/>
      <c r="FXY28" s="3281"/>
      <c r="FXZ28" s="3281"/>
      <c r="FYA28" s="3281"/>
      <c r="FYB28" s="3281"/>
      <c r="FYC28" s="3281"/>
      <c r="FYD28" s="3281"/>
      <c r="FYE28" s="3281"/>
      <c r="FYF28" s="3281"/>
      <c r="FYG28" s="3281"/>
      <c r="FYH28" s="3281"/>
      <c r="FYI28" s="3281"/>
      <c r="FYJ28" s="3281"/>
      <c r="FYK28" s="3281"/>
      <c r="FYL28" s="3281"/>
      <c r="FYM28" s="3281"/>
      <c r="FYN28" s="3281"/>
      <c r="FYO28" s="3281"/>
      <c r="FYP28" s="3281"/>
      <c r="FYQ28" s="3281"/>
      <c r="FYR28" s="3281"/>
      <c r="FYS28" s="3281"/>
      <c r="FYT28" s="3281"/>
      <c r="FYU28" s="3281"/>
      <c r="FYV28" s="3281"/>
      <c r="FYW28" s="3281"/>
      <c r="FYX28" s="3281"/>
      <c r="FYY28" s="3281"/>
      <c r="FYZ28" s="3281"/>
      <c r="FZA28" s="3281"/>
      <c r="FZB28" s="3281"/>
      <c r="FZC28" s="3281"/>
      <c r="FZD28" s="3281"/>
      <c r="FZE28" s="3281"/>
      <c r="FZF28" s="3281"/>
      <c r="FZG28" s="3281"/>
      <c r="FZH28" s="3281"/>
      <c r="FZI28" s="3281"/>
      <c r="FZJ28" s="3281"/>
      <c r="FZK28" s="3281"/>
      <c r="FZL28" s="3281"/>
      <c r="FZM28" s="3281"/>
      <c r="FZN28" s="3281"/>
      <c r="FZO28" s="3281"/>
      <c r="FZP28" s="3281"/>
      <c r="FZQ28" s="3281"/>
      <c r="FZR28" s="3281"/>
      <c r="FZS28" s="3281"/>
      <c r="FZT28" s="3281"/>
      <c r="FZU28" s="3281"/>
      <c r="FZV28" s="3281"/>
      <c r="FZW28" s="3281"/>
      <c r="FZX28" s="3281"/>
      <c r="FZY28" s="3281"/>
      <c r="FZZ28" s="3281"/>
      <c r="GAA28" s="3281"/>
      <c r="GAB28" s="3281"/>
      <c r="GAC28" s="3281"/>
      <c r="GAD28" s="3281"/>
      <c r="GAE28" s="3281"/>
      <c r="GAF28" s="3281"/>
      <c r="GAG28" s="3281"/>
      <c r="GAH28" s="3281"/>
      <c r="GAI28" s="3281"/>
      <c r="GAJ28" s="3281"/>
      <c r="GAK28" s="3281"/>
      <c r="GAL28" s="3281"/>
      <c r="GAM28" s="3281"/>
      <c r="GAN28" s="3281"/>
      <c r="GAO28" s="3281"/>
      <c r="GAP28" s="3281"/>
      <c r="GAQ28" s="3281"/>
      <c r="GAR28" s="3281"/>
      <c r="GAS28" s="3281"/>
      <c r="GAT28" s="3281"/>
      <c r="GAU28" s="3281"/>
      <c r="GAV28" s="3281"/>
      <c r="GAW28" s="3281"/>
      <c r="GAX28" s="3281"/>
      <c r="GAY28" s="3281"/>
      <c r="GAZ28" s="3281"/>
      <c r="GBA28" s="3281"/>
      <c r="GBB28" s="3281"/>
      <c r="GBC28" s="3281"/>
      <c r="GBD28" s="3281"/>
      <c r="GBE28" s="3281"/>
      <c r="GBF28" s="3281"/>
      <c r="GBG28" s="3281"/>
      <c r="GBH28" s="3281"/>
      <c r="GBI28" s="3281"/>
      <c r="GBJ28" s="3281"/>
      <c r="GBK28" s="3281"/>
      <c r="GBL28" s="3281"/>
      <c r="GBM28" s="3281"/>
      <c r="GBN28" s="3281"/>
      <c r="GBO28" s="3281"/>
      <c r="GBP28" s="3281"/>
      <c r="GBQ28" s="3281"/>
      <c r="GBR28" s="3281"/>
      <c r="GBS28" s="3281"/>
      <c r="GBT28" s="3281"/>
      <c r="GBU28" s="3281"/>
      <c r="GBV28" s="3281"/>
      <c r="GBW28" s="3281"/>
      <c r="GBX28" s="3281"/>
      <c r="GBY28" s="3281"/>
      <c r="GBZ28" s="3281"/>
      <c r="GCA28" s="3281"/>
      <c r="GCB28" s="3281"/>
      <c r="GCC28" s="3281"/>
      <c r="GCD28" s="3281"/>
      <c r="GCE28" s="3281"/>
      <c r="GCF28" s="3281"/>
      <c r="GCG28" s="3281"/>
      <c r="GCH28" s="3281"/>
      <c r="GCI28" s="3281"/>
      <c r="GCJ28" s="3281"/>
      <c r="GCK28" s="3281"/>
      <c r="GCL28" s="3281"/>
      <c r="GCM28" s="3281"/>
      <c r="GCN28" s="3281"/>
      <c r="GCO28" s="3281"/>
      <c r="GCP28" s="3281"/>
      <c r="GCQ28" s="3281"/>
      <c r="GCR28" s="3281"/>
      <c r="GCS28" s="3281"/>
      <c r="GCT28" s="3281"/>
      <c r="GCU28" s="3281"/>
      <c r="GCV28" s="3281"/>
      <c r="GCW28" s="3281"/>
      <c r="GCX28" s="3281"/>
      <c r="GCY28" s="3281"/>
      <c r="GCZ28" s="3281"/>
      <c r="GDA28" s="3281"/>
      <c r="GDB28" s="3281"/>
      <c r="GDC28" s="3281"/>
      <c r="GDD28" s="3281"/>
      <c r="GDE28" s="3281"/>
      <c r="GDF28" s="3281"/>
      <c r="GDG28" s="3281"/>
      <c r="GDH28" s="3281"/>
      <c r="GDI28" s="3281"/>
      <c r="GDJ28" s="3281"/>
      <c r="GDK28" s="3281"/>
      <c r="GDL28" s="3281"/>
      <c r="GDM28" s="3281"/>
      <c r="GDN28" s="3281"/>
      <c r="GDO28" s="3281"/>
      <c r="GDP28" s="3281"/>
      <c r="GDQ28" s="3281"/>
      <c r="GDR28" s="3281"/>
      <c r="GDS28" s="3281"/>
      <c r="GDT28" s="3281"/>
      <c r="GDU28" s="3281"/>
      <c r="GDV28" s="3281"/>
      <c r="GDW28" s="3281"/>
      <c r="GDX28" s="3281"/>
      <c r="GDY28" s="3281"/>
      <c r="GDZ28" s="3281"/>
      <c r="GEA28" s="3281"/>
      <c r="GEB28" s="3281"/>
      <c r="GEC28" s="3281"/>
      <c r="GED28" s="3281"/>
      <c r="GEE28" s="3281"/>
      <c r="GEF28" s="3281"/>
      <c r="GEG28" s="3281"/>
      <c r="GEH28" s="3281"/>
      <c r="GEI28" s="3281"/>
      <c r="GEJ28" s="3281"/>
      <c r="GEK28" s="3281"/>
      <c r="GEL28" s="3281"/>
      <c r="GEM28" s="3281"/>
      <c r="GEN28" s="3281"/>
      <c r="GEO28" s="3281"/>
      <c r="GEP28" s="3281"/>
      <c r="GEQ28" s="3281"/>
      <c r="GER28" s="3281"/>
      <c r="GES28" s="3281"/>
      <c r="GET28" s="3281"/>
      <c r="GEU28" s="3281"/>
      <c r="GEV28" s="3281"/>
      <c r="GEW28" s="3281"/>
      <c r="GEX28" s="3281"/>
      <c r="GEY28" s="3281"/>
      <c r="GEZ28" s="3281"/>
      <c r="GFA28" s="3281"/>
      <c r="GFB28" s="3281"/>
      <c r="GFC28" s="3281"/>
      <c r="GFD28" s="3281"/>
      <c r="GFE28" s="3281"/>
      <c r="GFF28" s="3281"/>
      <c r="GFG28" s="3281"/>
      <c r="GFH28" s="3281"/>
      <c r="GFI28" s="3281"/>
      <c r="GFJ28" s="3281"/>
      <c r="GFK28" s="3281"/>
      <c r="GFL28" s="3281"/>
      <c r="GFM28" s="3281"/>
      <c r="GFN28" s="3281"/>
      <c r="GFO28" s="3281"/>
      <c r="GFP28" s="3281"/>
      <c r="GFQ28" s="3281"/>
      <c r="GFR28" s="3281"/>
      <c r="GFS28" s="3281"/>
      <c r="GFT28" s="3281"/>
      <c r="GFU28" s="3281"/>
      <c r="GFV28" s="3281"/>
      <c r="GFW28" s="3281"/>
      <c r="GFX28" s="3281"/>
      <c r="GFY28" s="3281"/>
      <c r="GFZ28" s="3281"/>
      <c r="GGA28" s="3281"/>
      <c r="GGB28" s="3281"/>
      <c r="GGC28" s="3281"/>
      <c r="GGD28" s="3281"/>
      <c r="GGE28" s="3281"/>
      <c r="GGF28" s="3281"/>
      <c r="GGG28" s="3281"/>
      <c r="GGH28" s="3281"/>
      <c r="GGI28" s="3281"/>
      <c r="GGJ28" s="3281"/>
      <c r="GGK28" s="3281"/>
      <c r="GGL28" s="3281"/>
      <c r="GGM28" s="3281"/>
      <c r="GGN28" s="3281"/>
      <c r="GGO28" s="3281"/>
      <c r="GGP28" s="3281"/>
      <c r="GGQ28" s="3281"/>
      <c r="GGR28" s="3281"/>
      <c r="GGS28" s="3281"/>
      <c r="GGT28" s="3281"/>
      <c r="GGU28" s="3281"/>
      <c r="GGV28" s="3281"/>
      <c r="GGW28" s="3281"/>
      <c r="GGX28" s="3281"/>
      <c r="GGY28" s="3281"/>
      <c r="GGZ28" s="3281"/>
      <c r="GHA28" s="3281"/>
      <c r="GHB28" s="3281"/>
      <c r="GHC28" s="3281"/>
      <c r="GHD28" s="3281"/>
      <c r="GHE28" s="3281"/>
      <c r="GHF28" s="3281"/>
      <c r="GHG28" s="3281"/>
      <c r="GHH28" s="3281"/>
      <c r="GHI28" s="3281"/>
      <c r="GHJ28" s="3281"/>
      <c r="GHK28" s="3281"/>
      <c r="GHL28" s="3281"/>
      <c r="GHM28" s="3281"/>
      <c r="GHN28" s="3281"/>
      <c r="GHO28" s="3281"/>
      <c r="GHP28" s="3281"/>
      <c r="GHQ28" s="3281"/>
      <c r="GHR28" s="3281"/>
      <c r="GHS28" s="3281"/>
      <c r="GHT28" s="3281"/>
      <c r="GHU28" s="3281"/>
      <c r="GHV28" s="3281"/>
      <c r="GHW28" s="3281"/>
      <c r="GHX28" s="3281"/>
      <c r="GHY28" s="3281"/>
      <c r="GHZ28" s="3281"/>
      <c r="GIA28" s="3281"/>
      <c r="GIB28" s="3281"/>
      <c r="GIC28" s="3281"/>
      <c r="GID28" s="3281"/>
      <c r="GIE28" s="3281"/>
      <c r="GIF28" s="3281"/>
      <c r="GIG28" s="3281"/>
      <c r="GIH28" s="3281"/>
      <c r="GII28" s="3281"/>
      <c r="GIJ28" s="3281"/>
      <c r="GIK28" s="3281"/>
      <c r="GIL28" s="3281"/>
      <c r="GIM28" s="3281"/>
      <c r="GIN28" s="3281"/>
      <c r="GIO28" s="3281"/>
      <c r="GIP28" s="3281"/>
      <c r="GIQ28" s="3281"/>
      <c r="GIR28" s="3281"/>
      <c r="GIS28" s="3281"/>
      <c r="GIT28" s="3281"/>
      <c r="GIU28" s="3281"/>
      <c r="GIV28" s="3281"/>
      <c r="GIW28" s="3281"/>
      <c r="GIX28" s="3281"/>
      <c r="GIY28" s="3281"/>
      <c r="GIZ28" s="3281"/>
      <c r="GJA28" s="3281"/>
      <c r="GJB28" s="3281"/>
      <c r="GJC28" s="3281"/>
      <c r="GJD28" s="3281"/>
      <c r="GJE28" s="3281"/>
      <c r="GJF28" s="3281"/>
      <c r="GJG28" s="3281"/>
      <c r="GJH28" s="3281"/>
      <c r="GJI28" s="3281"/>
      <c r="GJJ28" s="3281"/>
      <c r="GJK28" s="3281"/>
      <c r="GJL28" s="3281"/>
      <c r="GJM28" s="3281"/>
      <c r="GJN28" s="3281"/>
      <c r="GJO28" s="3281"/>
      <c r="GJP28" s="3281"/>
      <c r="GJQ28" s="3281"/>
      <c r="GJR28" s="3281"/>
      <c r="GJS28" s="3281"/>
      <c r="GJT28" s="3281"/>
      <c r="GJU28" s="3281"/>
      <c r="GJV28" s="3281"/>
      <c r="GJW28" s="3281"/>
      <c r="GJX28" s="3281"/>
      <c r="GJY28" s="3281"/>
      <c r="GJZ28" s="3281"/>
      <c r="GKA28" s="3281"/>
      <c r="GKB28" s="3281"/>
      <c r="GKC28" s="3281"/>
      <c r="GKD28" s="3281"/>
      <c r="GKE28" s="3281"/>
      <c r="GKF28" s="3281"/>
      <c r="GKG28" s="3281"/>
      <c r="GKH28" s="3281"/>
      <c r="GKI28" s="3281"/>
      <c r="GKJ28" s="3281"/>
      <c r="GKK28" s="3281"/>
      <c r="GKL28" s="3281"/>
      <c r="GKM28" s="3281"/>
      <c r="GKN28" s="3281"/>
      <c r="GKO28" s="3281"/>
      <c r="GKP28" s="3281"/>
      <c r="GKQ28" s="3281"/>
      <c r="GKR28" s="3281"/>
      <c r="GKS28" s="3281"/>
      <c r="GKT28" s="3281"/>
      <c r="GKU28" s="3281"/>
      <c r="GKV28" s="3281"/>
      <c r="GKW28" s="3281"/>
      <c r="GKX28" s="3281"/>
      <c r="GKY28" s="3281"/>
      <c r="GKZ28" s="3281"/>
      <c r="GLA28" s="3281"/>
      <c r="GLB28" s="3281"/>
      <c r="GLC28" s="3281"/>
      <c r="GLD28" s="3281"/>
      <c r="GLE28" s="3281"/>
      <c r="GLF28" s="3281"/>
      <c r="GLG28" s="3281"/>
      <c r="GLH28" s="3281"/>
      <c r="GLI28" s="3281"/>
      <c r="GLJ28" s="3281"/>
      <c r="GLK28" s="3281"/>
      <c r="GLL28" s="3281"/>
      <c r="GLM28" s="3281"/>
      <c r="GLN28" s="3281"/>
      <c r="GLO28" s="3281"/>
      <c r="GLP28" s="3281"/>
      <c r="GLQ28" s="3281"/>
      <c r="GLR28" s="3281"/>
      <c r="GLS28" s="3281"/>
      <c r="GLT28" s="3281"/>
      <c r="GLU28" s="3281"/>
      <c r="GLV28" s="3281"/>
      <c r="GLW28" s="3281"/>
      <c r="GLX28" s="3281"/>
      <c r="GLY28" s="3281"/>
      <c r="GLZ28" s="3281"/>
      <c r="GMA28" s="3281"/>
      <c r="GMB28" s="3281"/>
      <c r="GMC28" s="3281"/>
      <c r="GMD28" s="3281"/>
      <c r="GME28" s="3281"/>
      <c r="GMF28" s="3281"/>
      <c r="GMG28" s="3281"/>
      <c r="GMH28" s="3281"/>
      <c r="GMI28" s="3281"/>
      <c r="GMJ28" s="3281"/>
      <c r="GMK28" s="3281"/>
      <c r="GML28" s="3281"/>
      <c r="GMM28" s="3281"/>
      <c r="GMN28" s="3281"/>
      <c r="GMO28" s="3281"/>
      <c r="GMP28" s="3281"/>
      <c r="GMQ28" s="3281"/>
      <c r="GMR28" s="3281"/>
      <c r="GMS28" s="3281"/>
      <c r="GMT28" s="3281"/>
      <c r="GMU28" s="3281"/>
      <c r="GMV28" s="3281"/>
      <c r="GMW28" s="3281"/>
      <c r="GMX28" s="3281"/>
      <c r="GMY28" s="3281"/>
      <c r="GMZ28" s="3281"/>
      <c r="GNA28" s="3281"/>
      <c r="GNB28" s="3281"/>
      <c r="GNC28" s="3281"/>
      <c r="GND28" s="3281"/>
      <c r="GNE28" s="3281"/>
      <c r="GNF28" s="3281"/>
      <c r="GNG28" s="3281"/>
      <c r="GNH28" s="3281"/>
      <c r="GNI28" s="3281"/>
      <c r="GNJ28" s="3281"/>
      <c r="GNK28" s="3281"/>
      <c r="GNL28" s="3281"/>
      <c r="GNM28" s="3281"/>
      <c r="GNN28" s="3281"/>
      <c r="GNO28" s="3281"/>
      <c r="GNP28" s="3281"/>
      <c r="GNQ28" s="3281"/>
      <c r="GNR28" s="3281"/>
      <c r="GNS28" s="3281"/>
      <c r="GNT28" s="3281"/>
      <c r="GNU28" s="3281"/>
      <c r="GNV28" s="3281"/>
      <c r="GNW28" s="3281"/>
      <c r="GNX28" s="3281"/>
      <c r="GNY28" s="3281"/>
      <c r="GNZ28" s="3281"/>
      <c r="GOA28" s="3281"/>
      <c r="GOB28" s="3281"/>
      <c r="GOC28" s="3281"/>
      <c r="GOD28" s="3281"/>
      <c r="GOE28" s="3281"/>
      <c r="GOF28" s="3281"/>
      <c r="GOG28" s="3281"/>
      <c r="GOH28" s="3281"/>
      <c r="GOI28" s="3281"/>
      <c r="GOJ28" s="3281"/>
      <c r="GOK28" s="3281"/>
      <c r="GOL28" s="3281"/>
      <c r="GOM28" s="3281"/>
      <c r="GON28" s="3281"/>
      <c r="GOO28" s="3281"/>
      <c r="GOP28" s="3281"/>
      <c r="GOQ28" s="3281"/>
      <c r="GOR28" s="3281"/>
      <c r="GOS28" s="3281"/>
      <c r="GOT28" s="3281"/>
      <c r="GOU28" s="3281"/>
      <c r="GOV28" s="3281"/>
      <c r="GOW28" s="3281"/>
      <c r="GOX28" s="3281"/>
      <c r="GOY28" s="3281"/>
      <c r="GOZ28" s="3281"/>
      <c r="GPA28" s="3281"/>
      <c r="GPB28" s="3281"/>
      <c r="GPC28" s="3281"/>
      <c r="GPD28" s="3281"/>
      <c r="GPE28" s="3281"/>
      <c r="GPF28" s="3281"/>
      <c r="GPG28" s="3281"/>
      <c r="GPH28" s="3281"/>
      <c r="GPI28" s="3281"/>
      <c r="GPJ28" s="3281"/>
      <c r="GPK28" s="3281"/>
      <c r="GPL28" s="3281"/>
      <c r="GPM28" s="3281"/>
      <c r="GPN28" s="3281"/>
      <c r="GPO28" s="3281"/>
      <c r="GPP28" s="3281"/>
      <c r="GPQ28" s="3281"/>
      <c r="GPR28" s="3281"/>
      <c r="GPS28" s="3281"/>
      <c r="GPT28" s="3281"/>
      <c r="GPU28" s="3281"/>
      <c r="GPV28" s="3281"/>
      <c r="GPW28" s="3281"/>
      <c r="GPX28" s="3281"/>
      <c r="GPY28" s="3281"/>
      <c r="GPZ28" s="3281"/>
      <c r="GQA28" s="3281"/>
      <c r="GQB28" s="3281"/>
      <c r="GQC28" s="3281"/>
      <c r="GQD28" s="3281"/>
      <c r="GQE28" s="3281"/>
      <c r="GQF28" s="3281"/>
      <c r="GQG28" s="3281"/>
      <c r="GQH28" s="3281"/>
      <c r="GQI28" s="3281"/>
      <c r="GQJ28" s="3281"/>
      <c r="GQK28" s="3281"/>
      <c r="GQL28" s="3281"/>
      <c r="GQM28" s="3281"/>
      <c r="GQN28" s="3281"/>
      <c r="GQO28" s="3281"/>
      <c r="GQP28" s="3281"/>
      <c r="GQQ28" s="3281"/>
      <c r="GQR28" s="3281"/>
      <c r="GQS28" s="3281"/>
      <c r="GQT28" s="3281"/>
      <c r="GQU28" s="3281"/>
      <c r="GQV28" s="3281"/>
      <c r="GQW28" s="3281"/>
      <c r="GQX28" s="3281"/>
      <c r="GQY28" s="3281"/>
      <c r="GQZ28" s="3281"/>
      <c r="GRA28" s="3281"/>
      <c r="GRB28" s="3281"/>
      <c r="GRC28" s="3281"/>
      <c r="GRD28" s="3281"/>
      <c r="GRE28" s="3281"/>
      <c r="GRF28" s="3281"/>
      <c r="GRG28" s="3281"/>
      <c r="GRH28" s="3281"/>
      <c r="GRI28" s="3281"/>
      <c r="GRJ28" s="3281"/>
      <c r="GRK28" s="3281"/>
      <c r="GRL28" s="3281"/>
      <c r="GRM28" s="3281"/>
      <c r="GRN28" s="3281"/>
      <c r="GRO28" s="3281"/>
      <c r="GRP28" s="3281"/>
      <c r="GRQ28" s="3281"/>
      <c r="GRR28" s="3281"/>
      <c r="GRS28" s="3281"/>
      <c r="GRT28" s="3281"/>
      <c r="GRU28" s="3281"/>
      <c r="GRV28" s="3281"/>
      <c r="GRW28" s="3281"/>
      <c r="GRX28" s="3281"/>
      <c r="GRY28" s="3281"/>
      <c r="GRZ28" s="3281"/>
      <c r="GSA28" s="3281"/>
      <c r="GSB28" s="3281"/>
      <c r="GSC28" s="3281"/>
      <c r="GSD28" s="3281"/>
      <c r="GSE28" s="3281"/>
      <c r="GSF28" s="3281"/>
      <c r="GSG28" s="3281"/>
      <c r="GSH28" s="3281"/>
      <c r="GSI28" s="3281"/>
      <c r="GSJ28" s="3281"/>
      <c r="GSK28" s="3281"/>
      <c r="GSL28" s="3281"/>
      <c r="GSM28" s="3281"/>
      <c r="GSN28" s="3281"/>
      <c r="GSO28" s="3281"/>
      <c r="GSP28" s="3281"/>
      <c r="GSQ28" s="3281"/>
      <c r="GSR28" s="3281"/>
      <c r="GSS28" s="3281"/>
      <c r="GST28" s="3281"/>
      <c r="GSU28" s="3281"/>
      <c r="GSV28" s="3281"/>
      <c r="GSW28" s="3281"/>
      <c r="GSX28" s="3281"/>
      <c r="GSY28" s="3281"/>
      <c r="GSZ28" s="3281"/>
      <c r="GTA28" s="3281"/>
      <c r="GTB28" s="3281"/>
      <c r="GTC28" s="3281"/>
      <c r="GTD28" s="3281"/>
      <c r="GTE28" s="3281"/>
      <c r="GTF28" s="3281"/>
      <c r="GTG28" s="3281"/>
      <c r="GTH28" s="3281"/>
      <c r="GTI28" s="3281"/>
      <c r="GTJ28" s="3281"/>
      <c r="GTK28" s="3281"/>
      <c r="GTL28" s="3281"/>
      <c r="GTM28" s="3281"/>
      <c r="GTN28" s="3281"/>
      <c r="GTO28" s="3281"/>
      <c r="GTP28" s="3281"/>
      <c r="GTQ28" s="3281"/>
      <c r="GTR28" s="3281"/>
      <c r="GTS28" s="3281"/>
      <c r="GTT28" s="3281"/>
      <c r="GTU28" s="3281"/>
      <c r="GTV28" s="3281"/>
      <c r="GTW28" s="3281"/>
      <c r="GTX28" s="3281"/>
      <c r="GTY28" s="3281"/>
      <c r="GTZ28" s="3281"/>
      <c r="GUA28" s="3281"/>
      <c r="GUB28" s="3281"/>
      <c r="GUC28" s="3281"/>
      <c r="GUD28" s="3281"/>
      <c r="GUE28" s="3281"/>
      <c r="GUF28" s="3281"/>
      <c r="GUG28" s="3281"/>
      <c r="GUH28" s="3281"/>
      <c r="GUI28" s="3281"/>
      <c r="GUJ28" s="3281"/>
      <c r="GUK28" s="3281"/>
      <c r="GUL28" s="3281"/>
      <c r="GUM28" s="3281"/>
      <c r="GUN28" s="3281"/>
      <c r="GUO28" s="3281"/>
      <c r="GUP28" s="3281"/>
      <c r="GUQ28" s="3281"/>
      <c r="GUR28" s="3281"/>
      <c r="GUS28" s="3281"/>
      <c r="GUT28" s="3281"/>
      <c r="GUU28" s="3281"/>
      <c r="GUV28" s="3281"/>
      <c r="GUW28" s="3281"/>
      <c r="GUX28" s="3281"/>
      <c r="GUY28" s="3281"/>
      <c r="GUZ28" s="3281"/>
      <c r="GVA28" s="3281"/>
      <c r="GVB28" s="3281"/>
      <c r="GVC28" s="3281"/>
      <c r="GVD28" s="3281"/>
      <c r="GVE28" s="3281"/>
      <c r="GVF28" s="3281"/>
      <c r="GVG28" s="3281"/>
      <c r="GVH28" s="3281"/>
      <c r="GVI28" s="3281"/>
      <c r="GVJ28" s="3281"/>
      <c r="GVK28" s="3281"/>
      <c r="GVL28" s="3281"/>
      <c r="GVM28" s="3281"/>
      <c r="GVN28" s="3281"/>
      <c r="GVO28" s="3281"/>
      <c r="GVP28" s="3281"/>
      <c r="GVQ28" s="3281"/>
      <c r="GVR28" s="3281"/>
      <c r="GVS28" s="3281"/>
      <c r="GVT28" s="3281"/>
      <c r="GVU28" s="3281"/>
      <c r="GVV28" s="3281"/>
      <c r="GVW28" s="3281"/>
      <c r="GVX28" s="3281"/>
      <c r="GVY28" s="3281"/>
      <c r="GVZ28" s="3281"/>
      <c r="GWA28" s="3281"/>
      <c r="GWB28" s="3281"/>
      <c r="GWC28" s="3281"/>
      <c r="GWD28" s="3281"/>
      <c r="GWE28" s="3281"/>
      <c r="GWF28" s="3281"/>
      <c r="GWG28" s="3281"/>
      <c r="GWH28" s="3281"/>
      <c r="GWI28" s="3281"/>
      <c r="GWJ28" s="3281"/>
      <c r="GWK28" s="3281"/>
      <c r="GWL28" s="3281"/>
      <c r="GWM28" s="3281"/>
      <c r="GWN28" s="3281"/>
      <c r="GWO28" s="3281"/>
      <c r="GWP28" s="3281"/>
      <c r="GWQ28" s="3281"/>
      <c r="GWR28" s="3281"/>
      <c r="GWS28" s="3281"/>
      <c r="GWT28" s="3281"/>
      <c r="GWU28" s="3281"/>
      <c r="GWV28" s="3281"/>
      <c r="GWW28" s="3281"/>
      <c r="GWX28" s="3281"/>
      <c r="GWY28" s="3281"/>
      <c r="GWZ28" s="3281"/>
      <c r="GXA28" s="3281"/>
      <c r="GXB28" s="3281"/>
      <c r="GXC28" s="3281"/>
      <c r="GXD28" s="3281"/>
      <c r="GXE28" s="3281"/>
      <c r="GXF28" s="3281"/>
      <c r="GXG28" s="3281"/>
      <c r="GXH28" s="3281"/>
      <c r="GXI28" s="3281"/>
      <c r="GXJ28" s="3281"/>
      <c r="GXK28" s="3281"/>
      <c r="GXL28" s="3281"/>
      <c r="GXM28" s="3281"/>
      <c r="GXN28" s="3281"/>
      <c r="GXO28" s="3281"/>
      <c r="GXP28" s="3281"/>
      <c r="GXQ28" s="3281"/>
      <c r="GXR28" s="3281"/>
      <c r="GXS28" s="3281"/>
      <c r="GXT28" s="3281"/>
      <c r="GXU28" s="3281"/>
      <c r="GXV28" s="3281"/>
      <c r="GXW28" s="3281"/>
      <c r="GXX28" s="3281"/>
      <c r="GXY28" s="3281"/>
      <c r="GXZ28" s="3281"/>
      <c r="GYA28" s="3281"/>
      <c r="GYB28" s="3281"/>
      <c r="GYC28" s="3281"/>
      <c r="GYD28" s="3281"/>
      <c r="GYE28" s="3281"/>
      <c r="GYF28" s="3281"/>
      <c r="GYG28" s="3281"/>
      <c r="GYH28" s="3281"/>
      <c r="GYI28" s="3281"/>
      <c r="GYJ28" s="3281"/>
      <c r="GYK28" s="3281"/>
      <c r="GYL28" s="3281"/>
      <c r="GYM28" s="3281"/>
      <c r="GYN28" s="3281"/>
      <c r="GYO28" s="3281"/>
      <c r="GYP28" s="3281"/>
      <c r="GYQ28" s="3281"/>
      <c r="GYR28" s="3281"/>
      <c r="GYS28" s="3281"/>
      <c r="GYT28" s="3281"/>
      <c r="GYU28" s="3281"/>
      <c r="GYV28" s="3281"/>
      <c r="GYW28" s="3281"/>
      <c r="GYX28" s="3281"/>
      <c r="GYY28" s="3281"/>
      <c r="GYZ28" s="3281"/>
      <c r="GZA28" s="3281"/>
      <c r="GZB28" s="3281"/>
      <c r="GZC28" s="3281"/>
      <c r="GZD28" s="3281"/>
      <c r="GZE28" s="3281"/>
      <c r="GZF28" s="3281"/>
      <c r="GZG28" s="3281"/>
      <c r="GZH28" s="3281"/>
      <c r="GZI28" s="3281"/>
      <c r="GZJ28" s="3281"/>
      <c r="GZK28" s="3281"/>
      <c r="GZL28" s="3281"/>
      <c r="GZM28" s="3281"/>
      <c r="GZN28" s="3281"/>
      <c r="GZO28" s="3281"/>
      <c r="GZP28" s="3281"/>
      <c r="GZQ28" s="3281"/>
      <c r="GZR28" s="3281"/>
      <c r="GZS28" s="3281"/>
      <c r="GZT28" s="3281"/>
      <c r="GZU28" s="3281"/>
      <c r="GZV28" s="3281"/>
      <c r="GZW28" s="3281"/>
      <c r="GZX28" s="3281"/>
      <c r="GZY28" s="3281"/>
      <c r="GZZ28" s="3281"/>
      <c r="HAA28" s="3281"/>
      <c r="HAB28" s="3281"/>
      <c r="HAC28" s="3281"/>
      <c r="HAD28" s="3281"/>
      <c r="HAE28" s="3281"/>
      <c r="HAF28" s="3281"/>
      <c r="HAG28" s="3281"/>
      <c r="HAH28" s="3281"/>
      <c r="HAI28" s="3281"/>
      <c r="HAJ28" s="3281"/>
      <c r="HAK28" s="3281"/>
      <c r="HAL28" s="3281"/>
      <c r="HAM28" s="3281"/>
      <c r="HAN28" s="3281"/>
      <c r="HAO28" s="3281"/>
      <c r="HAP28" s="3281"/>
      <c r="HAQ28" s="3281"/>
      <c r="HAR28" s="3281"/>
      <c r="HAS28" s="3281"/>
      <c r="HAT28" s="3281"/>
      <c r="HAU28" s="3281"/>
      <c r="HAV28" s="3281"/>
      <c r="HAW28" s="3281"/>
      <c r="HAX28" s="3281"/>
      <c r="HAY28" s="3281"/>
      <c r="HAZ28" s="3281"/>
      <c r="HBA28" s="3281"/>
      <c r="HBB28" s="3281"/>
      <c r="HBC28" s="3281"/>
      <c r="HBD28" s="3281"/>
      <c r="HBE28" s="3281"/>
      <c r="HBF28" s="3281"/>
      <c r="HBG28" s="3281"/>
      <c r="HBH28" s="3281"/>
      <c r="HBI28" s="3281"/>
      <c r="HBJ28" s="3281"/>
      <c r="HBK28" s="3281"/>
      <c r="HBL28" s="3281"/>
      <c r="HBM28" s="3281"/>
      <c r="HBN28" s="3281"/>
      <c r="HBO28" s="3281"/>
      <c r="HBP28" s="3281"/>
      <c r="HBQ28" s="3281"/>
      <c r="HBR28" s="3281"/>
      <c r="HBS28" s="3281"/>
      <c r="HBT28" s="3281"/>
      <c r="HBU28" s="3281"/>
      <c r="HBV28" s="3281"/>
      <c r="HBW28" s="3281"/>
      <c r="HBX28" s="3281"/>
      <c r="HBY28" s="3281"/>
      <c r="HBZ28" s="3281"/>
      <c r="HCA28" s="3281"/>
      <c r="HCB28" s="3281"/>
      <c r="HCC28" s="3281"/>
      <c r="HCD28" s="3281"/>
      <c r="HCE28" s="3281"/>
      <c r="HCF28" s="3281"/>
      <c r="HCG28" s="3281"/>
      <c r="HCH28" s="3281"/>
      <c r="HCI28" s="3281"/>
      <c r="HCJ28" s="3281"/>
      <c r="HCK28" s="3281"/>
      <c r="HCL28" s="3281"/>
      <c r="HCM28" s="3281"/>
      <c r="HCN28" s="3281"/>
      <c r="HCO28" s="3281"/>
      <c r="HCP28" s="3281"/>
      <c r="HCQ28" s="3281"/>
      <c r="HCR28" s="3281"/>
      <c r="HCS28" s="3281"/>
      <c r="HCT28" s="3281"/>
      <c r="HCU28" s="3281"/>
      <c r="HCV28" s="3281"/>
      <c r="HCW28" s="3281"/>
      <c r="HCX28" s="3281"/>
      <c r="HCY28" s="3281"/>
      <c r="HCZ28" s="3281"/>
      <c r="HDA28" s="3281"/>
      <c r="HDB28" s="3281"/>
      <c r="HDC28" s="3281"/>
      <c r="HDD28" s="3281"/>
      <c r="HDE28" s="3281"/>
      <c r="HDF28" s="3281"/>
      <c r="HDG28" s="3281"/>
      <c r="HDH28" s="3281"/>
      <c r="HDI28" s="3281"/>
      <c r="HDJ28" s="3281"/>
      <c r="HDK28" s="3281"/>
      <c r="HDL28" s="3281"/>
      <c r="HDM28" s="3281"/>
      <c r="HDN28" s="3281"/>
      <c r="HDO28" s="3281"/>
      <c r="HDP28" s="3281"/>
      <c r="HDQ28" s="3281"/>
      <c r="HDR28" s="3281"/>
      <c r="HDS28" s="3281"/>
      <c r="HDT28" s="3281"/>
      <c r="HDU28" s="3281"/>
      <c r="HDV28" s="3281"/>
      <c r="HDW28" s="3281"/>
      <c r="HDX28" s="3281"/>
      <c r="HDY28" s="3281"/>
      <c r="HDZ28" s="3281"/>
      <c r="HEA28" s="3281"/>
      <c r="HEB28" s="3281"/>
      <c r="HEC28" s="3281"/>
      <c r="HED28" s="3281"/>
      <c r="HEE28" s="3281"/>
      <c r="HEF28" s="3281"/>
      <c r="HEG28" s="3281"/>
      <c r="HEH28" s="3281"/>
      <c r="HEI28" s="3281"/>
      <c r="HEJ28" s="3281"/>
      <c r="HEK28" s="3281"/>
      <c r="HEL28" s="3281"/>
      <c r="HEM28" s="3281"/>
      <c r="HEN28" s="3281"/>
      <c r="HEO28" s="3281"/>
      <c r="HEP28" s="3281"/>
      <c r="HEQ28" s="3281"/>
      <c r="HER28" s="3281"/>
      <c r="HES28" s="3281"/>
      <c r="HET28" s="3281"/>
      <c r="HEU28" s="3281"/>
      <c r="HEV28" s="3281"/>
      <c r="HEW28" s="3281"/>
      <c r="HEX28" s="3281"/>
      <c r="HEY28" s="3281"/>
      <c r="HEZ28" s="3281"/>
      <c r="HFA28" s="3281"/>
      <c r="HFB28" s="3281"/>
      <c r="HFC28" s="3281"/>
      <c r="HFD28" s="3281"/>
      <c r="HFE28" s="3281"/>
      <c r="HFF28" s="3281"/>
      <c r="HFG28" s="3281"/>
      <c r="HFH28" s="3281"/>
      <c r="HFI28" s="3281"/>
      <c r="HFJ28" s="3281"/>
      <c r="HFK28" s="3281"/>
      <c r="HFL28" s="3281"/>
      <c r="HFM28" s="3281"/>
      <c r="HFN28" s="3281"/>
      <c r="HFO28" s="3281"/>
      <c r="HFP28" s="3281"/>
      <c r="HFQ28" s="3281"/>
      <c r="HFR28" s="3281"/>
      <c r="HFS28" s="3281"/>
      <c r="HFT28" s="3281"/>
      <c r="HFU28" s="3281"/>
      <c r="HFV28" s="3281"/>
      <c r="HFW28" s="3281"/>
      <c r="HFX28" s="3281"/>
      <c r="HFY28" s="3281"/>
      <c r="HFZ28" s="3281"/>
      <c r="HGA28" s="3281"/>
      <c r="HGB28" s="3281"/>
      <c r="HGC28" s="3281"/>
      <c r="HGD28" s="3281"/>
      <c r="HGE28" s="3281"/>
      <c r="HGF28" s="3281"/>
      <c r="HGG28" s="3281"/>
      <c r="HGH28" s="3281"/>
      <c r="HGI28" s="3281"/>
      <c r="HGJ28" s="3281"/>
      <c r="HGK28" s="3281"/>
      <c r="HGL28" s="3281"/>
      <c r="HGM28" s="3281"/>
      <c r="HGN28" s="3281"/>
      <c r="HGO28" s="3281"/>
      <c r="HGP28" s="3281"/>
      <c r="HGQ28" s="3281"/>
      <c r="HGR28" s="3281"/>
      <c r="HGS28" s="3281"/>
      <c r="HGT28" s="3281"/>
      <c r="HGU28" s="3281"/>
      <c r="HGV28" s="3281"/>
      <c r="HGW28" s="3281"/>
      <c r="HGX28" s="3281"/>
      <c r="HGY28" s="3281"/>
      <c r="HGZ28" s="3281"/>
      <c r="HHA28" s="3281"/>
      <c r="HHB28" s="3281"/>
      <c r="HHC28" s="3281"/>
      <c r="HHD28" s="3281"/>
      <c r="HHE28" s="3281"/>
      <c r="HHF28" s="3281"/>
      <c r="HHG28" s="3281"/>
      <c r="HHH28" s="3281"/>
      <c r="HHI28" s="3281"/>
      <c r="HHJ28" s="3281"/>
      <c r="HHK28" s="3281"/>
      <c r="HHL28" s="3281"/>
      <c r="HHM28" s="3281"/>
      <c r="HHN28" s="3281"/>
      <c r="HHO28" s="3281"/>
      <c r="HHP28" s="3281"/>
      <c r="HHQ28" s="3281"/>
      <c r="HHR28" s="3281"/>
      <c r="HHS28" s="3281"/>
      <c r="HHT28" s="3281"/>
      <c r="HHU28" s="3281"/>
      <c r="HHV28" s="3281"/>
      <c r="HHW28" s="3281"/>
      <c r="HHX28" s="3281"/>
      <c r="HHY28" s="3281"/>
      <c r="HHZ28" s="3281"/>
      <c r="HIA28" s="3281"/>
      <c r="HIB28" s="3281"/>
      <c r="HIC28" s="3281"/>
      <c r="HID28" s="3281"/>
      <c r="HIE28" s="3281"/>
      <c r="HIF28" s="3281"/>
      <c r="HIG28" s="3281"/>
      <c r="HIH28" s="3281"/>
      <c r="HII28" s="3281"/>
      <c r="HIJ28" s="3281"/>
      <c r="HIK28" s="3281"/>
      <c r="HIL28" s="3281"/>
      <c r="HIM28" s="3281"/>
      <c r="HIN28" s="3281"/>
      <c r="HIO28" s="3281"/>
      <c r="HIP28" s="3281"/>
      <c r="HIQ28" s="3281"/>
      <c r="HIR28" s="3281"/>
      <c r="HIS28" s="3281"/>
      <c r="HIT28" s="3281"/>
      <c r="HIU28" s="3281"/>
      <c r="HIV28" s="3281"/>
      <c r="HIW28" s="3281"/>
      <c r="HIX28" s="3281"/>
      <c r="HIY28" s="3281"/>
      <c r="HIZ28" s="3281"/>
      <c r="HJA28" s="3281"/>
      <c r="HJB28" s="3281"/>
      <c r="HJC28" s="3281"/>
      <c r="HJD28" s="3281"/>
      <c r="HJE28" s="3281"/>
      <c r="HJF28" s="3281"/>
      <c r="HJG28" s="3281"/>
      <c r="HJH28" s="3281"/>
      <c r="HJI28" s="3281"/>
      <c r="HJJ28" s="3281"/>
      <c r="HJK28" s="3281"/>
      <c r="HJL28" s="3281"/>
      <c r="HJM28" s="3281"/>
      <c r="HJN28" s="3281"/>
      <c r="HJO28" s="3281"/>
      <c r="HJP28" s="3281"/>
      <c r="HJQ28" s="3281"/>
      <c r="HJR28" s="3281"/>
      <c r="HJS28" s="3281"/>
      <c r="HJT28" s="3281"/>
      <c r="HJU28" s="3281"/>
      <c r="HJV28" s="3281"/>
      <c r="HJW28" s="3281"/>
      <c r="HJX28" s="3281"/>
      <c r="HJY28" s="3281"/>
      <c r="HJZ28" s="3281"/>
      <c r="HKA28" s="3281"/>
      <c r="HKB28" s="3281"/>
      <c r="HKC28" s="3281"/>
      <c r="HKD28" s="3281"/>
      <c r="HKE28" s="3281"/>
      <c r="HKF28" s="3281"/>
      <c r="HKG28" s="3281"/>
      <c r="HKH28" s="3281"/>
      <c r="HKI28" s="3281"/>
      <c r="HKJ28" s="3281"/>
      <c r="HKK28" s="3281"/>
      <c r="HKL28" s="3281"/>
      <c r="HKM28" s="3281"/>
      <c r="HKN28" s="3281"/>
      <c r="HKO28" s="3281"/>
      <c r="HKP28" s="3281"/>
      <c r="HKQ28" s="3281"/>
      <c r="HKR28" s="3281"/>
      <c r="HKS28" s="3281"/>
      <c r="HKT28" s="3281"/>
      <c r="HKU28" s="3281"/>
      <c r="HKV28" s="3281"/>
      <c r="HKW28" s="3281"/>
      <c r="HKX28" s="3281"/>
      <c r="HKY28" s="3281"/>
      <c r="HKZ28" s="3281"/>
      <c r="HLA28" s="3281"/>
      <c r="HLB28" s="3281"/>
      <c r="HLC28" s="3281"/>
      <c r="HLD28" s="3281"/>
      <c r="HLE28" s="3281"/>
      <c r="HLF28" s="3281"/>
      <c r="HLG28" s="3281"/>
      <c r="HLH28" s="3281"/>
      <c r="HLI28" s="3281"/>
      <c r="HLJ28" s="3281"/>
      <c r="HLK28" s="3281"/>
      <c r="HLL28" s="3281"/>
      <c r="HLM28" s="3281"/>
      <c r="HLN28" s="3281"/>
      <c r="HLO28" s="3281"/>
      <c r="HLP28" s="3281"/>
      <c r="HLQ28" s="3281"/>
      <c r="HLR28" s="3281"/>
      <c r="HLS28" s="3281"/>
      <c r="HLT28" s="3281"/>
      <c r="HLU28" s="3281"/>
      <c r="HLV28" s="3281"/>
      <c r="HLW28" s="3281"/>
      <c r="HLX28" s="3281"/>
      <c r="HLY28" s="3281"/>
      <c r="HLZ28" s="3281"/>
      <c r="HMA28" s="3281"/>
      <c r="HMB28" s="3281"/>
      <c r="HMC28" s="3281"/>
      <c r="HMD28" s="3281"/>
      <c r="HME28" s="3281"/>
      <c r="HMF28" s="3281"/>
      <c r="HMG28" s="3281"/>
      <c r="HMH28" s="3281"/>
      <c r="HMI28" s="3281"/>
      <c r="HMJ28" s="3281"/>
      <c r="HMK28" s="3281"/>
      <c r="HML28" s="3281"/>
      <c r="HMM28" s="3281"/>
      <c r="HMN28" s="3281"/>
      <c r="HMO28" s="3281"/>
      <c r="HMP28" s="3281"/>
      <c r="HMQ28" s="3281"/>
      <c r="HMR28" s="3281"/>
      <c r="HMS28" s="3281"/>
      <c r="HMT28" s="3281"/>
      <c r="HMU28" s="3281"/>
      <c r="HMV28" s="3281"/>
      <c r="HMW28" s="3281"/>
      <c r="HMX28" s="3281"/>
      <c r="HMY28" s="3281"/>
      <c r="HMZ28" s="3281"/>
      <c r="HNA28" s="3281"/>
      <c r="HNB28" s="3281"/>
      <c r="HNC28" s="3281"/>
      <c r="HND28" s="3281"/>
      <c r="HNE28" s="3281"/>
      <c r="HNF28" s="3281"/>
      <c r="HNG28" s="3281"/>
      <c r="HNH28" s="3281"/>
      <c r="HNI28" s="3281"/>
      <c r="HNJ28" s="3281"/>
      <c r="HNK28" s="3281"/>
      <c r="HNL28" s="3281"/>
      <c r="HNM28" s="3281"/>
      <c r="HNN28" s="3281"/>
      <c r="HNO28" s="3281"/>
      <c r="HNP28" s="3281"/>
      <c r="HNQ28" s="3281"/>
      <c r="HNR28" s="3281"/>
      <c r="HNS28" s="3281"/>
      <c r="HNT28" s="3281"/>
      <c r="HNU28" s="3281"/>
      <c r="HNV28" s="3281"/>
      <c r="HNW28" s="3281"/>
      <c r="HNX28" s="3281"/>
      <c r="HNY28" s="3281"/>
      <c r="HNZ28" s="3281"/>
      <c r="HOA28" s="3281"/>
      <c r="HOB28" s="3281"/>
      <c r="HOC28" s="3281"/>
      <c r="HOD28" s="3281"/>
      <c r="HOE28" s="3281"/>
      <c r="HOF28" s="3281"/>
      <c r="HOG28" s="3281"/>
      <c r="HOH28" s="3281"/>
      <c r="HOI28" s="3281"/>
      <c r="HOJ28" s="3281"/>
      <c r="HOK28" s="3281"/>
      <c r="HOL28" s="3281"/>
      <c r="HOM28" s="3281"/>
      <c r="HON28" s="3281"/>
      <c r="HOO28" s="3281"/>
      <c r="HOP28" s="3281"/>
      <c r="HOQ28" s="3281"/>
      <c r="HOR28" s="3281"/>
      <c r="HOS28" s="3281"/>
      <c r="HOT28" s="3281"/>
      <c r="HOU28" s="3281"/>
      <c r="HOV28" s="3281"/>
      <c r="HOW28" s="3281"/>
      <c r="HOX28" s="3281"/>
      <c r="HOY28" s="3281"/>
      <c r="HOZ28" s="3281"/>
      <c r="HPA28" s="3281"/>
      <c r="HPB28" s="3281"/>
      <c r="HPC28" s="3281"/>
      <c r="HPD28" s="3281"/>
      <c r="HPE28" s="3281"/>
      <c r="HPF28" s="3281"/>
      <c r="HPG28" s="3281"/>
      <c r="HPH28" s="3281"/>
      <c r="HPI28" s="3281"/>
      <c r="HPJ28" s="3281"/>
      <c r="HPK28" s="3281"/>
      <c r="HPL28" s="3281"/>
      <c r="HPM28" s="3281"/>
      <c r="HPN28" s="3281"/>
      <c r="HPO28" s="3281"/>
      <c r="HPP28" s="3281"/>
      <c r="HPQ28" s="3281"/>
      <c r="HPR28" s="3281"/>
      <c r="HPS28" s="3281"/>
      <c r="HPT28" s="3281"/>
      <c r="HPU28" s="3281"/>
      <c r="HPV28" s="3281"/>
      <c r="HPW28" s="3281"/>
      <c r="HPX28" s="3281"/>
      <c r="HPY28" s="3281"/>
      <c r="HPZ28" s="3281"/>
      <c r="HQA28" s="3281"/>
      <c r="HQB28" s="3281"/>
      <c r="HQC28" s="3281"/>
      <c r="HQD28" s="3281"/>
      <c r="HQE28" s="3281"/>
      <c r="HQF28" s="3281"/>
      <c r="HQG28" s="3281"/>
      <c r="HQH28" s="3281"/>
      <c r="HQI28" s="3281"/>
      <c r="HQJ28" s="3281"/>
      <c r="HQK28" s="3281"/>
      <c r="HQL28" s="3281"/>
      <c r="HQM28" s="3281"/>
      <c r="HQN28" s="3281"/>
      <c r="HQO28" s="3281"/>
      <c r="HQP28" s="3281"/>
      <c r="HQQ28" s="3281"/>
      <c r="HQR28" s="3281"/>
      <c r="HQS28" s="3281"/>
      <c r="HQT28" s="3281"/>
      <c r="HQU28" s="3281"/>
      <c r="HQV28" s="3281"/>
      <c r="HQW28" s="3281"/>
      <c r="HQX28" s="3281"/>
      <c r="HQY28" s="3281"/>
      <c r="HQZ28" s="3281"/>
      <c r="HRA28" s="3281"/>
      <c r="HRB28" s="3281"/>
      <c r="HRC28" s="3281"/>
      <c r="HRD28" s="3281"/>
      <c r="HRE28" s="3281"/>
      <c r="HRF28" s="3281"/>
      <c r="HRG28" s="3281"/>
      <c r="HRH28" s="3281"/>
      <c r="HRI28" s="3281"/>
      <c r="HRJ28" s="3281"/>
      <c r="HRK28" s="3281"/>
      <c r="HRL28" s="3281"/>
      <c r="HRM28" s="3281"/>
      <c r="HRN28" s="3281"/>
      <c r="HRO28" s="3281"/>
      <c r="HRP28" s="3281"/>
      <c r="HRQ28" s="3281"/>
      <c r="HRR28" s="3281"/>
      <c r="HRS28" s="3281"/>
      <c r="HRT28" s="3281"/>
      <c r="HRU28" s="3281"/>
      <c r="HRV28" s="3281"/>
      <c r="HRW28" s="3281"/>
      <c r="HRX28" s="3281"/>
      <c r="HRY28" s="3281"/>
      <c r="HRZ28" s="3281"/>
      <c r="HSA28" s="3281"/>
      <c r="HSB28" s="3281"/>
      <c r="HSC28" s="3281"/>
      <c r="HSD28" s="3281"/>
      <c r="HSE28" s="3281"/>
      <c r="HSF28" s="3281"/>
      <c r="HSG28" s="3281"/>
      <c r="HSH28" s="3281"/>
      <c r="HSI28" s="3281"/>
      <c r="HSJ28" s="3281"/>
      <c r="HSK28" s="3281"/>
      <c r="HSL28" s="3281"/>
      <c r="HSM28" s="3281"/>
      <c r="HSN28" s="3281"/>
      <c r="HSO28" s="3281"/>
      <c r="HSP28" s="3281"/>
      <c r="HSQ28" s="3281"/>
      <c r="HSR28" s="3281"/>
      <c r="HSS28" s="3281"/>
      <c r="HST28" s="3281"/>
      <c r="HSU28" s="3281"/>
      <c r="HSV28" s="3281"/>
      <c r="HSW28" s="3281"/>
      <c r="HSX28" s="3281"/>
      <c r="HSY28" s="3281"/>
      <c r="HSZ28" s="3281"/>
      <c r="HTA28" s="3281"/>
      <c r="HTB28" s="3281"/>
      <c r="HTC28" s="3281"/>
      <c r="HTD28" s="3281"/>
      <c r="HTE28" s="3281"/>
      <c r="HTF28" s="3281"/>
      <c r="HTG28" s="3281"/>
      <c r="HTH28" s="3281"/>
      <c r="HTI28" s="3281"/>
      <c r="HTJ28" s="3281"/>
      <c r="HTK28" s="3281"/>
      <c r="HTL28" s="3281"/>
      <c r="HTM28" s="3281"/>
      <c r="HTN28" s="3281"/>
      <c r="HTO28" s="3281"/>
      <c r="HTP28" s="3281"/>
      <c r="HTQ28" s="3281"/>
      <c r="HTR28" s="3281"/>
      <c r="HTS28" s="3281"/>
      <c r="HTT28" s="3281"/>
      <c r="HTU28" s="3281"/>
      <c r="HTV28" s="3281"/>
      <c r="HTW28" s="3281"/>
      <c r="HTX28" s="3281"/>
      <c r="HTY28" s="3281"/>
      <c r="HTZ28" s="3281"/>
      <c r="HUA28" s="3281"/>
      <c r="HUB28" s="3281"/>
      <c r="HUC28" s="3281"/>
      <c r="HUD28" s="3281"/>
      <c r="HUE28" s="3281"/>
      <c r="HUF28" s="3281"/>
      <c r="HUG28" s="3281"/>
      <c r="HUH28" s="3281"/>
      <c r="HUI28" s="3281"/>
      <c r="HUJ28" s="3281"/>
      <c r="HUK28" s="3281"/>
      <c r="HUL28" s="3281"/>
      <c r="HUM28" s="3281"/>
      <c r="HUN28" s="3281"/>
      <c r="HUO28" s="3281"/>
      <c r="HUP28" s="3281"/>
      <c r="HUQ28" s="3281"/>
      <c r="HUR28" s="3281"/>
      <c r="HUS28" s="3281"/>
      <c r="HUT28" s="3281"/>
      <c r="HUU28" s="3281"/>
      <c r="HUV28" s="3281"/>
      <c r="HUW28" s="3281"/>
      <c r="HUX28" s="3281"/>
      <c r="HUY28" s="3281"/>
      <c r="HUZ28" s="3281"/>
      <c r="HVA28" s="3281"/>
      <c r="HVB28" s="3281"/>
      <c r="HVC28" s="3281"/>
      <c r="HVD28" s="3281"/>
      <c r="HVE28" s="3281"/>
      <c r="HVF28" s="3281"/>
      <c r="HVG28" s="3281"/>
      <c r="HVH28" s="3281"/>
      <c r="HVI28" s="3281"/>
      <c r="HVJ28" s="3281"/>
      <c r="HVK28" s="3281"/>
      <c r="HVL28" s="3281"/>
      <c r="HVM28" s="3281"/>
      <c r="HVN28" s="3281"/>
      <c r="HVO28" s="3281"/>
      <c r="HVP28" s="3281"/>
      <c r="HVQ28" s="3281"/>
      <c r="HVR28" s="3281"/>
      <c r="HVS28" s="3281"/>
      <c r="HVT28" s="3281"/>
      <c r="HVU28" s="3281"/>
      <c r="HVV28" s="3281"/>
      <c r="HVW28" s="3281"/>
      <c r="HVX28" s="3281"/>
      <c r="HVY28" s="3281"/>
      <c r="HVZ28" s="3281"/>
      <c r="HWA28" s="3281"/>
      <c r="HWB28" s="3281"/>
      <c r="HWC28" s="3281"/>
      <c r="HWD28" s="3281"/>
      <c r="HWE28" s="3281"/>
      <c r="HWF28" s="3281"/>
      <c r="HWG28" s="3281"/>
      <c r="HWH28" s="3281"/>
      <c r="HWI28" s="3281"/>
      <c r="HWJ28" s="3281"/>
      <c r="HWK28" s="3281"/>
      <c r="HWL28" s="3281"/>
      <c r="HWM28" s="3281"/>
      <c r="HWN28" s="3281"/>
      <c r="HWO28" s="3281"/>
      <c r="HWP28" s="3281"/>
      <c r="HWQ28" s="3281"/>
      <c r="HWR28" s="3281"/>
      <c r="HWS28" s="3281"/>
      <c r="HWT28" s="3281"/>
      <c r="HWU28" s="3281"/>
      <c r="HWV28" s="3281"/>
      <c r="HWW28" s="3281"/>
      <c r="HWX28" s="3281"/>
      <c r="HWY28" s="3281"/>
      <c r="HWZ28" s="3281"/>
      <c r="HXA28" s="3281"/>
      <c r="HXB28" s="3281"/>
      <c r="HXC28" s="3281"/>
      <c r="HXD28" s="3281"/>
      <c r="HXE28" s="3281"/>
      <c r="HXF28" s="3281"/>
      <c r="HXG28" s="3281"/>
      <c r="HXH28" s="3281"/>
      <c r="HXI28" s="3281"/>
      <c r="HXJ28" s="3281"/>
      <c r="HXK28" s="3281"/>
      <c r="HXL28" s="3281"/>
      <c r="HXM28" s="3281"/>
      <c r="HXN28" s="3281"/>
      <c r="HXO28" s="3281"/>
      <c r="HXP28" s="3281"/>
      <c r="HXQ28" s="3281"/>
      <c r="HXR28" s="3281"/>
      <c r="HXS28" s="3281"/>
      <c r="HXT28" s="3281"/>
      <c r="HXU28" s="3281"/>
      <c r="HXV28" s="3281"/>
      <c r="HXW28" s="3281"/>
      <c r="HXX28" s="3281"/>
      <c r="HXY28" s="3281"/>
      <c r="HXZ28" s="3281"/>
      <c r="HYA28" s="3281"/>
      <c r="HYB28" s="3281"/>
      <c r="HYC28" s="3281"/>
      <c r="HYD28" s="3281"/>
      <c r="HYE28" s="3281"/>
      <c r="HYF28" s="3281"/>
      <c r="HYG28" s="3281"/>
      <c r="HYH28" s="3281"/>
      <c r="HYI28" s="3281"/>
      <c r="HYJ28" s="3281"/>
      <c r="HYK28" s="3281"/>
      <c r="HYL28" s="3281"/>
      <c r="HYM28" s="3281"/>
      <c r="HYN28" s="3281"/>
      <c r="HYO28" s="3281"/>
      <c r="HYP28" s="3281"/>
      <c r="HYQ28" s="3281"/>
      <c r="HYR28" s="3281"/>
      <c r="HYS28" s="3281"/>
      <c r="HYT28" s="3281"/>
      <c r="HYU28" s="3281"/>
      <c r="HYV28" s="3281"/>
      <c r="HYW28" s="3281"/>
      <c r="HYX28" s="3281"/>
      <c r="HYY28" s="3281"/>
      <c r="HYZ28" s="3281"/>
      <c r="HZA28" s="3281"/>
      <c r="HZB28" s="3281"/>
      <c r="HZC28" s="3281"/>
      <c r="HZD28" s="3281"/>
      <c r="HZE28" s="3281"/>
      <c r="HZF28" s="3281"/>
      <c r="HZG28" s="3281"/>
      <c r="HZH28" s="3281"/>
      <c r="HZI28" s="3281"/>
      <c r="HZJ28" s="3281"/>
      <c r="HZK28" s="3281"/>
      <c r="HZL28" s="3281"/>
      <c r="HZM28" s="3281"/>
      <c r="HZN28" s="3281"/>
      <c r="HZO28" s="3281"/>
      <c r="HZP28" s="3281"/>
      <c r="HZQ28" s="3281"/>
      <c r="HZR28" s="3281"/>
      <c r="HZS28" s="3281"/>
      <c r="HZT28" s="3281"/>
      <c r="HZU28" s="3281"/>
      <c r="HZV28" s="3281"/>
      <c r="HZW28" s="3281"/>
      <c r="HZX28" s="3281"/>
      <c r="HZY28" s="3281"/>
      <c r="HZZ28" s="3281"/>
      <c r="IAA28" s="3281"/>
      <c r="IAB28" s="3281"/>
      <c r="IAC28" s="3281"/>
      <c r="IAD28" s="3281"/>
      <c r="IAE28" s="3281"/>
      <c r="IAF28" s="3281"/>
      <c r="IAG28" s="3281"/>
      <c r="IAH28" s="3281"/>
      <c r="IAI28" s="3281"/>
      <c r="IAJ28" s="3281"/>
      <c r="IAK28" s="3281"/>
      <c r="IAL28" s="3281"/>
      <c r="IAM28" s="3281"/>
      <c r="IAN28" s="3281"/>
      <c r="IAO28" s="3281"/>
      <c r="IAP28" s="3281"/>
      <c r="IAQ28" s="3281"/>
      <c r="IAR28" s="3281"/>
      <c r="IAS28" s="3281"/>
      <c r="IAT28" s="3281"/>
      <c r="IAU28" s="3281"/>
      <c r="IAV28" s="3281"/>
      <c r="IAW28" s="3281"/>
      <c r="IAX28" s="3281"/>
      <c r="IAY28" s="3281"/>
      <c r="IAZ28" s="3281"/>
      <c r="IBA28" s="3281"/>
      <c r="IBB28" s="3281"/>
      <c r="IBC28" s="3281"/>
      <c r="IBD28" s="3281"/>
      <c r="IBE28" s="3281"/>
      <c r="IBF28" s="3281"/>
      <c r="IBG28" s="3281"/>
      <c r="IBH28" s="3281"/>
      <c r="IBI28" s="3281"/>
      <c r="IBJ28" s="3281"/>
      <c r="IBK28" s="3281"/>
      <c r="IBL28" s="3281"/>
      <c r="IBM28" s="3281"/>
      <c r="IBN28" s="3281"/>
      <c r="IBO28" s="3281"/>
      <c r="IBP28" s="3281"/>
      <c r="IBQ28" s="3281"/>
      <c r="IBR28" s="3281"/>
      <c r="IBS28" s="3281"/>
      <c r="IBT28" s="3281"/>
      <c r="IBU28" s="3281"/>
      <c r="IBV28" s="3281"/>
      <c r="IBW28" s="3281"/>
      <c r="IBX28" s="3281"/>
      <c r="IBY28" s="3281"/>
      <c r="IBZ28" s="3281"/>
      <c r="ICA28" s="3281"/>
      <c r="ICB28" s="3281"/>
      <c r="ICC28" s="3281"/>
      <c r="ICD28" s="3281"/>
      <c r="ICE28" s="3281"/>
      <c r="ICF28" s="3281"/>
      <c r="ICG28" s="3281"/>
      <c r="ICH28" s="3281"/>
      <c r="ICI28" s="3281"/>
      <c r="ICJ28" s="3281"/>
      <c r="ICK28" s="3281"/>
      <c r="ICL28" s="3281"/>
      <c r="ICM28" s="3281"/>
      <c r="ICN28" s="3281"/>
      <c r="ICO28" s="3281"/>
      <c r="ICP28" s="3281"/>
      <c r="ICQ28" s="3281"/>
      <c r="ICR28" s="3281"/>
      <c r="ICS28" s="3281"/>
      <c r="ICT28" s="3281"/>
      <c r="ICU28" s="3281"/>
      <c r="ICV28" s="3281"/>
      <c r="ICW28" s="3281"/>
      <c r="ICX28" s="3281"/>
      <c r="ICY28" s="3281"/>
      <c r="ICZ28" s="3281"/>
      <c r="IDA28" s="3281"/>
      <c r="IDB28" s="3281"/>
      <c r="IDC28" s="3281"/>
      <c r="IDD28" s="3281"/>
      <c r="IDE28" s="3281"/>
      <c r="IDF28" s="3281"/>
      <c r="IDG28" s="3281"/>
      <c r="IDH28" s="3281"/>
      <c r="IDI28" s="3281"/>
      <c r="IDJ28" s="3281"/>
      <c r="IDK28" s="3281"/>
      <c r="IDL28" s="3281"/>
      <c r="IDM28" s="3281"/>
      <c r="IDN28" s="3281"/>
      <c r="IDO28" s="3281"/>
      <c r="IDP28" s="3281"/>
      <c r="IDQ28" s="3281"/>
      <c r="IDR28" s="3281"/>
      <c r="IDS28" s="3281"/>
      <c r="IDT28" s="3281"/>
      <c r="IDU28" s="3281"/>
      <c r="IDV28" s="3281"/>
      <c r="IDW28" s="3281"/>
      <c r="IDX28" s="3281"/>
      <c r="IDY28" s="3281"/>
      <c r="IDZ28" s="3281"/>
      <c r="IEA28" s="3281"/>
      <c r="IEB28" s="3281"/>
      <c r="IEC28" s="3281"/>
      <c r="IED28" s="3281"/>
      <c r="IEE28" s="3281"/>
      <c r="IEF28" s="3281"/>
      <c r="IEG28" s="3281"/>
      <c r="IEH28" s="3281"/>
      <c r="IEI28" s="3281"/>
      <c r="IEJ28" s="3281"/>
      <c r="IEK28" s="3281"/>
      <c r="IEL28" s="3281"/>
      <c r="IEM28" s="3281"/>
      <c r="IEN28" s="3281"/>
      <c r="IEO28" s="3281"/>
      <c r="IEP28" s="3281"/>
      <c r="IEQ28" s="3281"/>
      <c r="IER28" s="3281"/>
      <c r="IES28" s="3281"/>
      <c r="IET28" s="3281"/>
      <c r="IEU28" s="3281"/>
      <c r="IEV28" s="3281"/>
      <c r="IEW28" s="3281"/>
      <c r="IEX28" s="3281"/>
      <c r="IEY28" s="3281"/>
      <c r="IEZ28" s="3281"/>
      <c r="IFA28" s="3281"/>
      <c r="IFB28" s="3281"/>
      <c r="IFC28" s="3281"/>
      <c r="IFD28" s="3281"/>
      <c r="IFE28" s="3281"/>
      <c r="IFF28" s="3281"/>
      <c r="IFG28" s="3281"/>
      <c r="IFH28" s="3281"/>
      <c r="IFI28" s="3281"/>
      <c r="IFJ28" s="3281"/>
      <c r="IFK28" s="3281"/>
      <c r="IFL28" s="3281"/>
      <c r="IFM28" s="3281"/>
      <c r="IFN28" s="3281"/>
      <c r="IFO28" s="3281"/>
      <c r="IFP28" s="3281"/>
      <c r="IFQ28" s="3281"/>
      <c r="IFR28" s="3281"/>
      <c r="IFS28" s="3281"/>
      <c r="IFT28" s="3281"/>
      <c r="IFU28" s="3281"/>
      <c r="IFV28" s="3281"/>
      <c r="IFW28" s="3281"/>
      <c r="IFX28" s="3281"/>
      <c r="IFY28" s="3281"/>
      <c r="IFZ28" s="3281"/>
      <c r="IGA28" s="3281"/>
      <c r="IGB28" s="3281"/>
      <c r="IGC28" s="3281"/>
      <c r="IGD28" s="3281"/>
      <c r="IGE28" s="3281"/>
      <c r="IGF28" s="3281"/>
      <c r="IGG28" s="3281"/>
      <c r="IGH28" s="3281"/>
      <c r="IGI28" s="3281"/>
      <c r="IGJ28" s="3281"/>
      <c r="IGK28" s="3281"/>
      <c r="IGL28" s="3281"/>
      <c r="IGM28" s="3281"/>
      <c r="IGN28" s="3281"/>
      <c r="IGO28" s="3281"/>
      <c r="IGP28" s="3281"/>
      <c r="IGQ28" s="3281"/>
      <c r="IGR28" s="3281"/>
      <c r="IGS28" s="3281"/>
      <c r="IGT28" s="3281"/>
      <c r="IGU28" s="3281"/>
      <c r="IGV28" s="3281"/>
      <c r="IGW28" s="3281"/>
      <c r="IGX28" s="3281"/>
      <c r="IGY28" s="3281"/>
      <c r="IGZ28" s="3281"/>
      <c r="IHA28" s="3281"/>
      <c r="IHB28" s="3281"/>
      <c r="IHC28" s="3281"/>
      <c r="IHD28" s="3281"/>
      <c r="IHE28" s="3281"/>
      <c r="IHF28" s="3281"/>
      <c r="IHG28" s="3281"/>
      <c r="IHH28" s="3281"/>
      <c r="IHI28" s="3281"/>
      <c r="IHJ28" s="3281"/>
      <c r="IHK28" s="3281"/>
      <c r="IHL28" s="3281"/>
      <c r="IHM28" s="3281"/>
      <c r="IHN28" s="3281"/>
      <c r="IHO28" s="3281"/>
      <c r="IHP28" s="3281"/>
      <c r="IHQ28" s="3281"/>
      <c r="IHR28" s="3281"/>
      <c r="IHS28" s="3281"/>
      <c r="IHT28" s="3281"/>
      <c r="IHU28" s="3281"/>
      <c r="IHV28" s="3281"/>
      <c r="IHW28" s="3281"/>
      <c r="IHX28" s="3281"/>
      <c r="IHY28" s="3281"/>
      <c r="IHZ28" s="3281"/>
      <c r="IIA28" s="3281"/>
      <c r="IIB28" s="3281"/>
      <c r="IIC28" s="3281"/>
      <c r="IID28" s="3281"/>
      <c r="IIE28" s="3281"/>
      <c r="IIF28" s="3281"/>
      <c r="IIG28" s="3281"/>
      <c r="IIH28" s="3281"/>
      <c r="III28" s="3281"/>
      <c r="IIJ28" s="3281"/>
      <c r="IIK28" s="3281"/>
      <c r="IIL28" s="3281"/>
      <c r="IIM28" s="3281"/>
      <c r="IIN28" s="3281"/>
      <c r="IIO28" s="3281"/>
      <c r="IIP28" s="3281"/>
      <c r="IIQ28" s="3281"/>
      <c r="IIR28" s="3281"/>
      <c r="IIS28" s="3281"/>
      <c r="IIT28" s="3281"/>
      <c r="IIU28" s="3281"/>
      <c r="IIV28" s="3281"/>
      <c r="IIW28" s="3281"/>
      <c r="IIX28" s="3281"/>
      <c r="IIY28" s="3281"/>
      <c r="IIZ28" s="3281"/>
      <c r="IJA28" s="3281"/>
      <c r="IJB28" s="3281"/>
      <c r="IJC28" s="3281"/>
      <c r="IJD28" s="3281"/>
      <c r="IJE28" s="3281"/>
      <c r="IJF28" s="3281"/>
      <c r="IJG28" s="3281"/>
      <c r="IJH28" s="3281"/>
      <c r="IJI28" s="3281"/>
      <c r="IJJ28" s="3281"/>
      <c r="IJK28" s="3281"/>
      <c r="IJL28" s="3281"/>
      <c r="IJM28" s="3281"/>
      <c r="IJN28" s="3281"/>
      <c r="IJO28" s="3281"/>
      <c r="IJP28" s="3281"/>
      <c r="IJQ28" s="3281"/>
      <c r="IJR28" s="3281"/>
      <c r="IJS28" s="3281"/>
      <c r="IJT28" s="3281"/>
      <c r="IJU28" s="3281"/>
      <c r="IJV28" s="3281"/>
      <c r="IJW28" s="3281"/>
      <c r="IJX28" s="3281"/>
      <c r="IJY28" s="3281"/>
      <c r="IJZ28" s="3281"/>
      <c r="IKA28" s="3281"/>
      <c r="IKB28" s="3281"/>
      <c r="IKC28" s="3281"/>
      <c r="IKD28" s="3281"/>
      <c r="IKE28" s="3281"/>
      <c r="IKF28" s="3281"/>
      <c r="IKG28" s="3281"/>
      <c r="IKH28" s="3281"/>
      <c r="IKI28" s="3281"/>
      <c r="IKJ28" s="3281"/>
      <c r="IKK28" s="3281"/>
      <c r="IKL28" s="3281"/>
      <c r="IKM28" s="3281"/>
      <c r="IKN28" s="3281"/>
      <c r="IKO28" s="3281"/>
      <c r="IKP28" s="3281"/>
      <c r="IKQ28" s="3281"/>
      <c r="IKR28" s="3281"/>
      <c r="IKS28" s="3281"/>
      <c r="IKT28" s="3281"/>
      <c r="IKU28" s="3281"/>
      <c r="IKV28" s="3281"/>
      <c r="IKW28" s="3281"/>
      <c r="IKX28" s="3281"/>
      <c r="IKY28" s="3281"/>
      <c r="IKZ28" s="3281"/>
      <c r="ILA28" s="3281"/>
      <c r="ILB28" s="3281"/>
      <c r="ILC28" s="3281"/>
      <c r="ILD28" s="3281"/>
      <c r="ILE28" s="3281"/>
      <c r="ILF28" s="3281"/>
      <c r="ILG28" s="3281"/>
      <c r="ILH28" s="3281"/>
      <c r="ILI28" s="3281"/>
      <c r="ILJ28" s="3281"/>
      <c r="ILK28" s="3281"/>
      <c r="ILL28" s="3281"/>
      <c r="ILM28" s="3281"/>
      <c r="ILN28" s="3281"/>
      <c r="ILO28" s="3281"/>
      <c r="ILP28" s="3281"/>
      <c r="ILQ28" s="3281"/>
      <c r="ILR28" s="3281"/>
      <c r="ILS28" s="3281"/>
      <c r="ILT28" s="3281"/>
      <c r="ILU28" s="3281"/>
      <c r="ILV28" s="3281"/>
      <c r="ILW28" s="3281"/>
      <c r="ILX28" s="3281"/>
      <c r="ILY28" s="3281"/>
      <c r="ILZ28" s="3281"/>
      <c r="IMA28" s="3281"/>
      <c r="IMB28" s="3281"/>
      <c r="IMC28" s="3281"/>
      <c r="IMD28" s="3281"/>
      <c r="IME28" s="3281"/>
      <c r="IMF28" s="3281"/>
      <c r="IMG28" s="3281"/>
      <c r="IMH28" s="3281"/>
      <c r="IMI28" s="3281"/>
      <c r="IMJ28" s="3281"/>
      <c r="IMK28" s="3281"/>
      <c r="IML28" s="3281"/>
      <c r="IMM28" s="3281"/>
      <c r="IMN28" s="3281"/>
      <c r="IMO28" s="3281"/>
      <c r="IMP28" s="3281"/>
      <c r="IMQ28" s="3281"/>
      <c r="IMR28" s="3281"/>
      <c r="IMS28" s="3281"/>
      <c r="IMT28" s="3281"/>
      <c r="IMU28" s="3281"/>
      <c r="IMV28" s="3281"/>
      <c r="IMW28" s="3281"/>
      <c r="IMX28" s="3281"/>
      <c r="IMY28" s="3281"/>
      <c r="IMZ28" s="3281"/>
      <c r="INA28" s="3281"/>
      <c r="INB28" s="3281"/>
      <c r="INC28" s="3281"/>
      <c r="IND28" s="3281"/>
      <c r="INE28" s="3281"/>
      <c r="INF28" s="3281"/>
      <c r="ING28" s="3281"/>
      <c r="INH28" s="3281"/>
      <c r="INI28" s="3281"/>
      <c r="INJ28" s="3281"/>
      <c r="INK28" s="3281"/>
      <c r="INL28" s="3281"/>
      <c r="INM28" s="3281"/>
      <c r="INN28" s="3281"/>
      <c r="INO28" s="3281"/>
      <c r="INP28" s="3281"/>
      <c r="INQ28" s="3281"/>
      <c r="INR28" s="3281"/>
      <c r="INS28" s="3281"/>
      <c r="INT28" s="3281"/>
      <c r="INU28" s="3281"/>
      <c r="INV28" s="3281"/>
      <c r="INW28" s="3281"/>
      <c r="INX28" s="3281"/>
      <c r="INY28" s="3281"/>
      <c r="INZ28" s="3281"/>
      <c r="IOA28" s="3281"/>
      <c r="IOB28" s="3281"/>
      <c r="IOC28" s="3281"/>
      <c r="IOD28" s="3281"/>
      <c r="IOE28" s="3281"/>
      <c r="IOF28" s="3281"/>
      <c r="IOG28" s="3281"/>
      <c r="IOH28" s="3281"/>
      <c r="IOI28" s="3281"/>
      <c r="IOJ28" s="3281"/>
      <c r="IOK28" s="3281"/>
      <c r="IOL28" s="3281"/>
      <c r="IOM28" s="3281"/>
      <c r="ION28" s="3281"/>
      <c r="IOO28" s="3281"/>
      <c r="IOP28" s="3281"/>
      <c r="IOQ28" s="3281"/>
      <c r="IOR28" s="3281"/>
      <c r="IOS28" s="3281"/>
      <c r="IOT28" s="3281"/>
      <c r="IOU28" s="3281"/>
      <c r="IOV28" s="3281"/>
      <c r="IOW28" s="3281"/>
      <c r="IOX28" s="3281"/>
      <c r="IOY28" s="3281"/>
      <c r="IOZ28" s="3281"/>
      <c r="IPA28" s="3281"/>
      <c r="IPB28" s="3281"/>
      <c r="IPC28" s="3281"/>
      <c r="IPD28" s="3281"/>
      <c r="IPE28" s="3281"/>
      <c r="IPF28" s="3281"/>
      <c r="IPG28" s="3281"/>
      <c r="IPH28" s="3281"/>
      <c r="IPI28" s="3281"/>
      <c r="IPJ28" s="3281"/>
      <c r="IPK28" s="3281"/>
      <c r="IPL28" s="3281"/>
      <c r="IPM28" s="3281"/>
      <c r="IPN28" s="3281"/>
      <c r="IPO28" s="3281"/>
      <c r="IPP28" s="3281"/>
      <c r="IPQ28" s="3281"/>
      <c r="IPR28" s="3281"/>
      <c r="IPS28" s="3281"/>
      <c r="IPT28" s="3281"/>
      <c r="IPU28" s="3281"/>
      <c r="IPV28" s="3281"/>
      <c r="IPW28" s="3281"/>
      <c r="IPX28" s="3281"/>
      <c r="IPY28" s="3281"/>
      <c r="IPZ28" s="3281"/>
      <c r="IQA28" s="3281"/>
      <c r="IQB28" s="3281"/>
      <c r="IQC28" s="3281"/>
      <c r="IQD28" s="3281"/>
      <c r="IQE28" s="3281"/>
      <c r="IQF28" s="3281"/>
      <c r="IQG28" s="3281"/>
      <c r="IQH28" s="3281"/>
      <c r="IQI28" s="3281"/>
      <c r="IQJ28" s="3281"/>
      <c r="IQK28" s="3281"/>
      <c r="IQL28" s="3281"/>
      <c r="IQM28" s="3281"/>
      <c r="IQN28" s="3281"/>
      <c r="IQO28" s="3281"/>
      <c r="IQP28" s="3281"/>
      <c r="IQQ28" s="3281"/>
      <c r="IQR28" s="3281"/>
      <c r="IQS28" s="3281"/>
      <c r="IQT28" s="3281"/>
      <c r="IQU28" s="3281"/>
      <c r="IQV28" s="3281"/>
      <c r="IQW28" s="3281"/>
      <c r="IQX28" s="3281"/>
      <c r="IQY28" s="3281"/>
      <c r="IQZ28" s="3281"/>
      <c r="IRA28" s="3281"/>
      <c r="IRB28" s="3281"/>
      <c r="IRC28" s="3281"/>
      <c r="IRD28" s="3281"/>
      <c r="IRE28" s="3281"/>
      <c r="IRF28" s="3281"/>
      <c r="IRG28" s="3281"/>
      <c r="IRH28" s="3281"/>
      <c r="IRI28" s="3281"/>
      <c r="IRJ28" s="3281"/>
      <c r="IRK28" s="3281"/>
      <c r="IRL28" s="3281"/>
      <c r="IRM28" s="3281"/>
      <c r="IRN28" s="3281"/>
      <c r="IRO28" s="3281"/>
      <c r="IRP28" s="3281"/>
      <c r="IRQ28" s="3281"/>
      <c r="IRR28" s="3281"/>
      <c r="IRS28" s="3281"/>
      <c r="IRT28" s="3281"/>
      <c r="IRU28" s="3281"/>
      <c r="IRV28" s="3281"/>
      <c r="IRW28" s="3281"/>
      <c r="IRX28" s="3281"/>
      <c r="IRY28" s="3281"/>
      <c r="IRZ28" s="3281"/>
      <c r="ISA28" s="3281"/>
      <c r="ISB28" s="3281"/>
      <c r="ISC28" s="3281"/>
      <c r="ISD28" s="3281"/>
      <c r="ISE28" s="3281"/>
      <c r="ISF28" s="3281"/>
      <c r="ISG28" s="3281"/>
      <c r="ISH28" s="3281"/>
      <c r="ISI28" s="3281"/>
      <c r="ISJ28" s="3281"/>
      <c r="ISK28" s="3281"/>
      <c r="ISL28" s="3281"/>
      <c r="ISM28" s="3281"/>
      <c r="ISN28" s="3281"/>
      <c r="ISO28" s="3281"/>
      <c r="ISP28" s="3281"/>
      <c r="ISQ28" s="3281"/>
      <c r="ISR28" s="3281"/>
      <c r="ISS28" s="3281"/>
      <c r="IST28" s="3281"/>
      <c r="ISU28" s="3281"/>
      <c r="ISV28" s="3281"/>
      <c r="ISW28" s="3281"/>
      <c r="ISX28" s="3281"/>
      <c r="ISY28" s="3281"/>
      <c r="ISZ28" s="3281"/>
      <c r="ITA28" s="3281"/>
      <c r="ITB28" s="3281"/>
      <c r="ITC28" s="3281"/>
      <c r="ITD28" s="3281"/>
      <c r="ITE28" s="3281"/>
      <c r="ITF28" s="3281"/>
      <c r="ITG28" s="3281"/>
      <c r="ITH28" s="3281"/>
      <c r="ITI28" s="3281"/>
      <c r="ITJ28" s="3281"/>
      <c r="ITK28" s="3281"/>
      <c r="ITL28" s="3281"/>
      <c r="ITM28" s="3281"/>
      <c r="ITN28" s="3281"/>
      <c r="ITO28" s="3281"/>
      <c r="ITP28" s="3281"/>
      <c r="ITQ28" s="3281"/>
      <c r="ITR28" s="3281"/>
      <c r="ITS28" s="3281"/>
      <c r="ITT28" s="3281"/>
      <c r="ITU28" s="3281"/>
      <c r="ITV28" s="3281"/>
      <c r="ITW28" s="3281"/>
      <c r="ITX28" s="3281"/>
      <c r="ITY28" s="3281"/>
      <c r="ITZ28" s="3281"/>
      <c r="IUA28" s="3281"/>
      <c r="IUB28" s="3281"/>
      <c r="IUC28" s="3281"/>
      <c r="IUD28" s="3281"/>
      <c r="IUE28" s="3281"/>
      <c r="IUF28" s="3281"/>
      <c r="IUG28" s="3281"/>
      <c r="IUH28" s="3281"/>
      <c r="IUI28" s="3281"/>
      <c r="IUJ28" s="3281"/>
      <c r="IUK28" s="3281"/>
      <c r="IUL28" s="3281"/>
      <c r="IUM28" s="3281"/>
      <c r="IUN28" s="3281"/>
      <c r="IUO28" s="3281"/>
      <c r="IUP28" s="3281"/>
      <c r="IUQ28" s="3281"/>
      <c r="IUR28" s="3281"/>
      <c r="IUS28" s="3281"/>
      <c r="IUT28" s="3281"/>
      <c r="IUU28" s="3281"/>
      <c r="IUV28" s="3281"/>
      <c r="IUW28" s="3281"/>
      <c r="IUX28" s="3281"/>
      <c r="IUY28" s="3281"/>
      <c r="IUZ28" s="3281"/>
      <c r="IVA28" s="3281"/>
      <c r="IVB28" s="3281"/>
      <c r="IVC28" s="3281"/>
      <c r="IVD28" s="3281"/>
      <c r="IVE28" s="3281"/>
      <c r="IVF28" s="3281"/>
      <c r="IVG28" s="3281"/>
      <c r="IVH28" s="3281"/>
      <c r="IVI28" s="3281"/>
      <c r="IVJ28" s="3281"/>
      <c r="IVK28" s="3281"/>
      <c r="IVL28" s="3281"/>
      <c r="IVM28" s="3281"/>
      <c r="IVN28" s="3281"/>
      <c r="IVO28" s="3281"/>
      <c r="IVP28" s="3281"/>
      <c r="IVQ28" s="3281"/>
      <c r="IVR28" s="3281"/>
      <c r="IVS28" s="3281"/>
      <c r="IVT28" s="3281"/>
      <c r="IVU28" s="3281"/>
      <c r="IVV28" s="3281"/>
      <c r="IVW28" s="3281"/>
      <c r="IVX28" s="3281"/>
      <c r="IVY28" s="3281"/>
      <c r="IVZ28" s="3281"/>
      <c r="IWA28" s="3281"/>
      <c r="IWB28" s="3281"/>
      <c r="IWC28" s="3281"/>
      <c r="IWD28" s="3281"/>
      <c r="IWE28" s="3281"/>
      <c r="IWF28" s="3281"/>
      <c r="IWG28" s="3281"/>
      <c r="IWH28" s="3281"/>
      <c r="IWI28" s="3281"/>
      <c r="IWJ28" s="3281"/>
      <c r="IWK28" s="3281"/>
      <c r="IWL28" s="3281"/>
      <c r="IWM28" s="3281"/>
      <c r="IWN28" s="3281"/>
      <c r="IWO28" s="3281"/>
      <c r="IWP28" s="3281"/>
      <c r="IWQ28" s="3281"/>
      <c r="IWR28" s="3281"/>
      <c r="IWS28" s="3281"/>
      <c r="IWT28" s="3281"/>
      <c r="IWU28" s="3281"/>
      <c r="IWV28" s="3281"/>
      <c r="IWW28" s="3281"/>
      <c r="IWX28" s="3281"/>
      <c r="IWY28" s="3281"/>
      <c r="IWZ28" s="3281"/>
      <c r="IXA28" s="3281"/>
      <c r="IXB28" s="3281"/>
      <c r="IXC28" s="3281"/>
      <c r="IXD28" s="3281"/>
      <c r="IXE28" s="3281"/>
      <c r="IXF28" s="3281"/>
      <c r="IXG28" s="3281"/>
      <c r="IXH28" s="3281"/>
      <c r="IXI28" s="3281"/>
      <c r="IXJ28" s="3281"/>
      <c r="IXK28" s="3281"/>
      <c r="IXL28" s="3281"/>
      <c r="IXM28" s="3281"/>
      <c r="IXN28" s="3281"/>
      <c r="IXO28" s="3281"/>
      <c r="IXP28" s="3281"/>
      <c r="IXQ28" s="3281"/>
      <c r="IXR28" s="3281"/>
      <c r="IXS28" s="3281"/>
      <c r="IXT28" s="3281"/>
      <c r="IXU28" s="3281"/>
      <c r="IXV28" s="3281"/>
      <c r="IXW28" s="3281"/>
      <c r="IXX28" s="3281"/>
      <c r="IXY28" s="3281"/>
      <c r="IXZ28" s="3281"/>
      <c r="IYA28" s="3281"/>
      <c r="IYB28" s="3281"/>
      <c r="IYC28" s="3281"/>
      <c r="IYD28" s="3281"/>
      <c r="IYE28" s="3281"/>
      <c r="IYF28" s="3281"/>
      <c r="IYG28" s="3281"/>
      <c r="IYH28" s="3281"/>
      <c r="IYI28" s="3281"/>
      <c r="IYJ28" s="3281"/>
      <c r="IYK28" s="3281"/>
      <c r="IYL28" s="3281"/>
      <c r="IYM28" s="3281"/>
      <c r="IYN28" s="3281"/>
      <c r="IYO28" s="3281"/>
      <c r="IYP28" s="3281"/>
      <c r="IYQ28" s="3281"/>
      <c r="IYR28" s="3281"/>
      <c r="IYS28" s="3281"/>
      <c r="IYT28" s="3281"/>
      <c r="IYU28" s="3281"/>
      <c r="IYV28" s="3281"/>
      <c r="IYW28" s="3281"/>
      <c r="IYX28" s="3281"/>
      <c r="IYY28" s="3281"/>
      <c r="IYZ28" s="3281"/>
      <c r="IZA28" s="3281"/>
      <c r="IZB28" s="3281"/>
      <c r="IZC28" s="3281"/>
      <c r="IZD28" s="3281"/>
      <c r="IZE28" s="3281"/>
      <c r="IZF28" s="3281"/>
      <c r="IZG28" s="3281"/>
      <c r="IZH28" s="3281"/>
      <c r="IZI28" s="3281"/>
      <c r="IZJ28" s="3281"/>
      <c r="IZK28" s="3281"/>
      <c r="IZL28" s="3281"/>
      <c r="IZM28" s="3281"/>
      <c r="IZN28" s="3281"/>
      <c r="IZO28" s="3281"/>
      <c r="IZP28" s="3281"/>
      <c r="IZQ28" s="3281"/>
      <c r="IZR28" s="3281"/>
      <c r="IZS28" s="3281"/>
      <c r="IZT28" s="3281"/>
      <c r="IZU28" s="3281"/>
      <c r="IZV28" s="3281"/>
      <c r="IZW28" s="3281"/>
      <c r="IZX28" s="3281"/>
      <c r="IZY28" s="3281"/>
      <c r="IZZ28" s="3281"/>
      <c r="JAA28" s="3281"/>
      <c r="JAB28" s="3281"/>
      <c r="JAC28" s="3281"/>
      <c r="JAD28" s="3281"/>
      <c r="JAE28" s="3281"/>
      <c r="JAF28" s="3281"/>
      <c r="JAG28" s="3281"/>
      <c r="JAH28" s="3281"/>
      <c r="JAI28" s="3281"/>
      <c r="JAJ28" s="3281"/>
      <c r="JAK28" s="3281"/>
      <c r="JAL28" s="3281"/>
      <c r="JAM28" s="3281"/>
      <c r="JAN28" s="3281"/>
      <c r="JAO28" s="3281"/>
      <c r="JAP28" s="3281"/>
      <c r="JAQ28" s="3281"/>
      <c r="JAR28" s="3281"/>
      <c r="JAS28" s="3281"/>
      <c r="JAT28" s="3281"/>
      <c r="JAU28" s="3281"/>
      <c r="JAV28" s="3281"/>
      <c r="JAW28" s="3281"/>
      <c r="JAX28" s="3281"/>
      <c r="JAY28" s="3281"/>
      <c r="JAZ28" s="3281"/>
      <c r="JBA28" s="3281"/>
      <c r="JBB28" s="3281"/>
      <c r="JBC28" s="3281"/>
      <c r="JBD28" s="3281"/>
      <c r="JBE28" s="3281"/>
      <c r="JBF28" s="3281"/>
      <c r="JBG28" s="3281"/>
      <c r="JBH28" s="3281"/>
      <c r="JBI28" s="3281"/>
      <c r="JBJ28" s="3281"/>
      <c r="JBK28" s="3281"/>
      <c r="JBL28" s="3281"/>
      <c r="JBM28" s="3281"/>
      <c r="JBN28" s="3281"/>
      <c r="JBO28" s="3281"/>
      <c r="JBP28" s="3281"/>
      <c r="JBQ28" s="3281"/>
      <c r="JBR28" s="3281"/>
      <c r="JBS28" s="3281"/>
      <c r="JBT28" s="3281"/>
      <c r="JBU28" s="3281"/>
      <c r="JBV28" s="3281"/>
      <c r="JBW28" s="3281"/>
      <c r="JBX28" s="3281"/>
      <c r="JBY28" s="3281"/>
      <c r="JBZ28" s="3281"/>
      <c r="JCA28" s="3281"/>
      <c r="JCB28" s="3281"/>
      <c r="JCC28" s="3281"/>
      <c r="JCD28" s="3281"/>
      <c r="JCE28" s="3281"/>
      <c r="JCF28" s="3281"/>
      <c r="JCG28" s="3281"/>
      <c r="JCH28" s="3281"/>
      <c r="JCI28" s="3281"/>
      <c r="JCJ28" s="3281"/>
      <c r="JCK28" s="3281"/>
      <c r="JCL28" s="3281"/>
      <c r="JCM28" s="3281"/>
      <c r="JCN28" s="3281"/>
      <c r="JCO28" s="3281"/>
      <c r="JCP28" s="3281"/>
      <c r="JCQ28" s="3281"/>
      <c r="JCR28" s="3281"/>
      <c r="JCS28" s="3281"/>
      <c r="JCT28" s="3281"/>
      <c r="JCU28" s="3281"/>
      <c r="JCV28" s="3281"/>
      <c r="JCW28" s="3281"/>
      <c r="JCX28" s="3281"/>
      <c r="JCY28" s="3281"/>
      <c r="JCZ28" s="3281"/>
      <c r="JDA28" s="3281"/>
      <c r="JDB28" s="3281"/>
      <c r="JDC28" s="3281"/>
      <c r="JDD28" s="3281"/>
      <c r="JDE28" s="3281"/>
      <c r="JDF28" s="3281"/>
      <c r="JDG28" s="3281"/>
      <c r="JDH28" s="3281"/>
      <c r="JDI28" s="3281"/>
      <c r="JDJ28" s="3281"/>
      <c r="JDK28" s="3281"/>
      <c r="JDL28" s="3281"/>
      <c r="JDM28" s="3281"/>
      <c r="JDN28" s="3281"/>
      <c r="JDO28" s="3281"/>
      <c r="JDP28" s="3281"/>
      <c r="JDQ28" s="3281"/>
      <c r="JDR28" s="3281"/>
      <c r="JDS28" s="3281"/>
      <c r="JDT28" s="3281"/>
      <c r="JDU28" s="3281"/>
      <c r="JDV28" s="3281"/>
      <c r="JDW28" s="3281"/>
      <c r="JDX28" s="3281"/>
      <c r="JDY28" s="3281"/>
      <c r="JDZ28" s="3281"/>
      <c r="JEA28" s="3281"/>
      <c r="JEB28" s="3281"/>
      <c r="JEC28" s="3281"/>
      <c r="JED28" s="3281"/>
      <c r="JEE28" s="3281"/>
      <c r="JEF28" s="3281"/>
      <c r="JEG28" s="3281"/>
      <c r="JEH28" s="3281"/>
      <c r="JEI28" s="3281"/>
      <c r="JEJ28" s="3281"/>
      <c r="JEK28" s="3281"/>
      <c r="JEL28" s="3281"/>
      <c r="JEM28" s="3281"/>
      <c r="JEN28" s="3281"/>
      <c r="JEO28" s="3281"/>
      <c r="JEP28" s="3281"/>
      <c r="JEQ28" s="3281"/>
      <c r="JER28" s="3281"/>
      <c r="JES28" s="3281"/>
      <c r="JET28" s="3281"/>
      <c r="JEU28" s="3281"/>
      <c r="JEV28" s="3281"/>
      <c r="JEW28" s="3281"/>
      <c r="JEX28" s="3281"/>
      <c r="JEY28" s="3281"/>
      <c r="JEZ28" s="3281"/>
      <c r="JFA28" s="3281"/>
      <c r="JFB28" s="3281"/>
      <c r="JFC28" s="3281"/>
      <c r="JFD28" s="3281"/>
      <c r="JFE28" s="3281"/>
      <c r="JFF28" s="3281"/>
      <c r="JFG28" s="3281"/>
      <c r="JFH28" s="3281"/>
      <c r="JFI28" s="3281"/>
      <c r="JFJ28" s="3281"/>
      <c r="JFK28" s="3281"/>
      <c r="JFL28" s="3281"/>
      <c r="JFM28" s="3281"/>
      <c r="JFN28" s="3281"/>
      <c r="JFO28" s="3281"/>
      <c r="JFP28" s="3281"/>
      <c r="JFQ28" s="3281"/>
      <c r="JFR28" s="3281"/>
      <c r="JFS28" s="3281"/>
      <c r="JFT28" s="3281"/>
      <c r="JFU28" s="3281"/>
      <c r="JFV28" s="3281"/>
      <c r="JFW28" s="3281"/>
      <c r="JFX28" s="3281"/>
      <c r="JFY28" s="3281"/>
      <c r="JFZ28" s="3281"/>
      <c r="JGA28" s="3281"/>
      <c r="JGB28" s="3281"/>
      <c r="JGC28" s="3281"/>
      <c r="JGD28" s="3281"/>
      <c r="JGE28" s="3281"/>
      <c r="JGF28" s="3281"/>
      <c r="JGG28" s="3281"/>
      <c r="JGH28" s="3281"/>
      <c r="JGI28" s="3281"/>
      <c r="JGJ28" s="3281"/>
      <c r="JGK28" s="3281"/>
      <c r="JGL28" s="3281"/>
      <c r="JGM28" s="3281"/>
      <c r="JGN28" s="3281"/>
      <c r="JGO28" s="3281"/>
      <c r="JGP28" s="3281"/>
      <c r="JGQ28" s="3281"/>
      <c r="JGR28" s="3281"/>
      <c r="JGS28" s="3281"/>
      <c r="JGT28" s="3281"/>
      <c r="JGU28" s="3281"/>
      <c r="JGV28" s="3281"/>
      <c r="JGW28" s="3281"/>
      <c r="JGX28" s="3281"/>
      <c r="JGY28" s="3281"/>
      <c r="JGZ28" s="3281"/>
      <c r="JHA28" s="3281"/>
      <c r="JHB28" s="3281"/>
      <c r="JHC28" s="3281"/>
      <c r="JHD28" s="3281"/>
      <c r="JHE28" s="3281"/>
      <c r="JHF28" s="3281"/>
      <c r="JHG28" s="3281"/>
      <c r="JHH28" s="3281"/>
      <c r="JHI28" s="3281"/>
      <c r="JHJ28" s="3281"/>
      <c r="JHK28" s="3281"/>
      <c r="JHL28" s="3281"/>
      <c r="JHM28" s="3281"/>
      <c r="JHN28" s="3281"/>
      <c r="JHO28" s="3281"/>
      <c r="JHP28" s="3281"/>
      <c r="JHQ28" s="3281"/>
      <c r="JHR28" s="3281"/>
      <c r="JHS28" s="3281"/>
      <c r="JHT28" s="3281"/>
      <c r="JHU28" s="3281"/>
      <c r="JHV28" s="3281"/>
      <c r="JHW28" s="3281"/>
      <c r="JHX28" s="3281"/>
      <c r="JHY28" s="3281"/>
      <c r="JHZ28" s="3281"/>
      <c r="JIA28" s="3281"/>
      <c r="JIB28" s="3281"/>
      <c r="JIC28" s="3281"/>
      <c r="JID28" s="3281"/>
      <c r="JIE28" s="3281"/>
      <c r="JIF28" s="3281"/>
      <c r="JIG28" s="3281"/>
      <c r="JIH28" s="3281"/>
      <c r="JII28" s="3281"/>
      <c r="JIJ28" s="3281"/>
      <c r="JIK28" s="3281"/>
      <c r="JIL28" s="3281"/>
      <c r="JIM28" s="3281"/>
      <c r="JIN28" s="3281"/>
      <c r="JIO28" s="3281"/>
      <c r="JIP28" s="3281"/>
      <c r="JIQ28" s="3281"/>
      <c r="JIR28" s="3281"/>
      <c r="JIS28" s="3281"/>
      <c r="JIT28" s="3281"/>
      <c r="JIU28" s="3281"/>
      <c r="JIV28" s="3281"/>
      <c r="JIW28" s="3281"/>
      <c r="JIX28" s="3281"/>
      <c r="JIY28" s="3281"/>
      <c r="JIZ28" s="3281"/>
      <c r="JJA28" s="3281"/>
      <c r="JJB28" s="3281"/>
      <c r="JJC28" s="3281"/>
      <c r="JJD28" s="3281"/>
      <c r="JJE28" s="3281"/>
      <c r="JJF28" s="3281"/>
      <c r="JJG28" s="3281"/>
      <c r="JJH28" s="3281"/>
      <c r="JJI28" s="3281"/>
      <c r="JJJ28" s="3281"/>
      <c r="JJK28" s="3281"/>
      <c r="JJL28" s="3281"/>
      <c r="JJM28" s="3281"/>
      <c r="JJN28" s="3281"/>
      <c r="JJO28" s="3281"/>
      <c r="JJP28" s="3281"/>
      <c r="JJQ28" s="3281"/>
      <c r="JJR28" s="3281"/>
      <c r="JJS28" s="3281"/>
      <c r="JJT28" s="3281"/>
      <c r="JJU28" s="3281"/>
      <c r="JJV28" s="3281"/>
      <c r="JJW28" s="3281"/>
      <c r="JJX28" s="3281"/>
      <c r="JJY28" s="3281"/>
      <c r="JJZ28" s="3281"/>
      <c r="JKA28" s="3281"/>
      <c r="JKB28" s="3281"/>
      <c r="JKC28" s="3281"/>
      <c r="JKD28" s="3281"/>
      <c r="JKE28" s="3281"/>
      <c r="JKF28" s="3281"/>
      <c r="JKG28" s="3281"/>
      <c r="JKH28" s="3281"/>
      <c r="JKI28" s="3281"/>
      <c r="JKJ28" s="3281"/>
      <c r="JKK28" s="3281"/>
      <c r="JKL28" s="3281"/>
      <c r="JKM28" s="3281"/>
      <c r="JKN28" s="3281"/>
      <c r="JKO28" s="3281"/>
      <c r="JKP28" s="3281"/>
      <c r="JKQ28" s="3281"/>
      <c r="JKR28" s="3281"/>
      <c r="JKS28" s="3281"/>
      <c r="JKT28" s="3281"/>
      <c r="JKU28" s="3281"/>
      <c r="JKV28" s="3281"/>
      <c r="JKW28" s="3281"/>
      <c r="JKX28" s="3281"/>
      <c r="JKY28" s="3281"/>
      <c r="JKZ28" s="3281"/>
      <c r="JLA28" s="3281"/>
      <c r="JLB28" s="3281"/>
      <c r="JLC28" s="3281"/>
      <c r="JLD28" s="3281"/>
      <c r="JLE28" s="3281"/>
      <c r="JLF28" s="3281"/>
      <c r="JLG28" s="3281"/>
      <c r="JLH28" s="3281"/>
      <c r="JLI28" s="3281"/>
      <c r="JLJ28" s="3281"/>
      <c r="JLK28" s="3281"/>
      <c r="JLL28" s="3281"/>
      <c r="JLM28" s="3281"/>
      <c r="JLN28" s="3281"/>
      <c r="JLO28" s="3281"/>
      <c r="JLP28" s="3281"/>
      <c r="JLQ28" s="3281"/>
      <c r="JLR28" s="3281"/>
      <c r="JLS28" s="3281"/>
      <c r="JLT28" s="3281"/>
      <c r="JLU28" s="3281"/>
      <c r="JLV28" s="3281"/>
      <c r="JLW28" s="3281"/>
      <c r="JLX28" s="3281"/>
      <c r="JLY28" s="3281"/>
      <c r="JLZ28" s="3281"/>
      <c r="JMA28" s="3281"/>
      <c r="JMB28" s="3281"/>
      <c r="JMC28" s="3281"/>
      <c r="JMD28" s="3281"/>
      <c r="JME28" s="3281"/>
      <c r="JMF28" s="3281"/>
      <c r="JMG28" s="3281"/>
      <c r="JMH28" s="3281"/>
      <c r="JMI28" s="3281"/>
      <c r="JMJ28" s="3281"/>
      <c r="JMK28" s="3281"/>
      <c r="JML28" s="3281"/>
      <c r="JMM28" s="3281"/>
      <c r="JMN28" s="3281"/>
      <c r="JMO28" s="3281"/>
      <c r="JMP28" s="3281"/>
      <c r="JMQ28" s="3281"/>
      <c r="JMR28" s="3281"/>
      <c r="JMS28" s="3281"/>
      <c r="JMT28" s="3281"/>
      <c r="JMU28" s="3281"/>
      <c r="JMV28" s="3281"/>
      <c r="JMW28" s="3281"/>
      <c r="JMX28" s="3281"/>
      <c r="JMY28" s="3281"/>
      <c r="JMZ28" s="3281"/>
      <c r="JNA28" s="3281"/>
      <c r="JNB28" s="3281"/>
      <c r="JNC28" s="3281"/>
      <c r="JND28" s="3281"/>
      <c r="JNE28" s="3281"/>
      <c r="JNF28" s="3281"/>
      <c r="JNG28" s="3281"/>
      <c r="JNH28" s="3281"/>
      <c r="JNI28" s="3281"/>
      <c r="JNJ28" s="3281"/>
      <c r="JNK28" s="3281"/>
      <c r="JNL28" s="3281"/>
      <c r="JNM28" s="3281"/>
      <c r="JNN28" s="3281"/>
      <c r="JNO28" s="3281"/>
      <c r="JNP28" s="3281"/>
      <c r="JNQ28" s="3281"/>
      <c r="JNR28" s="3281"/>
      <c r="JNS28" s="3281"/>
      <c r="JNT28" s="3281"/>
      <c r="JNU28" s="3281"/>
      <c r="JNV28" s="3281"/>
      <c r="JNW28" s="3281"/>
      <c r="JNX28" s="3281"/>
      <c r="JNY28" s="3281"/>
      <c r="JNZ28" s="3281"/>
      <c r="JOA28" s="3281"/>
      <c r="JOB28" s="3281"/>
      <c r="JOC28" s="3281"/>
      <c r="JOD28" s="3281"/>
      <c r="JOE28" s="3281"/>
      <c r="JOF28" s="3281"/>
      <c r="JOG28" s="3281"/>
      <c r="JOH28" s="3281"/>
      <c r="JOI28" s="3281"/>
      <c r="JOJ28" s="3281"/>
      <c r="JOK28" s="3281"/>
      <c r="JOL28" s="3281"/>
      <c r="JOM28" s="3281"/>
      <c r="JON28" s="3281"/>
      <c r="JOO28" s="3281"/>
      <c r="JOP28" s="3281"/>
      <c r="JOQ28" s="3281"/>
      <c r="JOR28" s="3281"/>
      <c r="JOS28" s="3281"/>
      <c r="JOT28" s="3281"/>
      <c r="JOU28" s="3281"/>
      <c r="JOV28" s="3281"/>
      <c r="JOW28" s="3281"/>
      <c r="JOX28" s="3281"/>
      <c r="JOY28" s="3281"/>
      <c r="JOZ28" s="3281"/>
      <c r="JPA28" s="3281"/>
      <c r="JPB28" s="3281"/>
      <c r="JPC28" s="3281"/>
      <c r="JPD28" s="3281"/>
      <c r="JPE28" s="3281"/>
      <c r="JPF28" s="3281"/>
      <c r="JPG28" s="3281"/>
      <c r="JPH28" s="3281"/>
      <c r="JPI28" s="3281"/>
      <c r="JPJ28" s="3281"/>
      <c r="JPK28" s="3281"/>
      <c r="JPL28" s="3281"/>
      <c r="JPM28" s="3281"/>
      <c r="JPN28" s="3281"/>
      <c r="JPO28" s="3281"/>
      <c r="JPP28" s="3281"/>
      <c r="JPQ28" s="3281"/>
      <c r="JPR28" s="3281"/>
      <c r="JPS28" s="3281"/>
      <c r="JPT28" s="3281"/>
      <c r="JPU28" s="3281"/>
      <c r="JPV28" s="3281"/>
      <c r="JPW28" s="3281"/>
      <c r="JPX28" s="3281"/>
      <c r="JPY28" s="3281"/>
      <c r="JPZ28" s="3281"/>
      <c r="JQA28" s="3281"/>
      <c r="JQB28" s="3281"/>
      <c r="JQC28" s="3281"/>
      <c r="JQD28" s="3281"/>
      <c r="JQE28" s="3281"/>
      <c r="JQF28" s="3281"/>
      <c r="JQG28" s="3281"/>
      <c r="JQH28" s="3281"/>
      <c r="JQI28" s="3281"/>
      <c r="JQJ28" s="3281"/>
      <c r="JQK28" s="3281"/>
      <c r="JQL28" s="3281"/>
      <c r="JQM28" s="3281"/>
      <c r="JQN28" s="3281"/>
      <c r="JQO28" s="3281"/>
      <c r="JQP28" s="3281"/>
      <c r="JQQ28" s="3281"/>
      <c r="JQR28" s="3281"/>
      <c r="JQS28" s="3281"/>
      <c r="JQT28" s="3281"/>
      <c r="JQU28" s="3281"/>
      <c r="JQV28" s="3281"/>
      <c r="JQW28" s="3281"/>
      <c r="JQX28" s="3281"/>
      <c r="JQY28" s="3281"/>
      <c r="JQZ28" s="3281"/>
      <c r="JRA28" s="3281"/>
      <c r="JRB28" s="3281"/>
      <c r="JRC28" s="3281"/>
      <c r="JRD28" s="3281"/>
      <c r="JRE28" s="3281"/>
      <c r="JRF28" s="3281"/>
      <c r="JRG28" s="3281"/>
      <c r="JRH28" s="3281"/>
      <c r="JRI28" s="3281"/>
      <c r="JRJ28" s="3281"/>
      <c r="JRK28" s="3281"/>
      <c r="JRL28" s="3281"/>
      <c r="JRM28" s="3281"/>
      <c r="JRN28" s="3281"/>
      <c r="JRO28" s="3281"/>
      <c r="JRP28" s="3281"/>
      <c r="JRQ28" s="3281"/>
      <c r="JRR28" s="3281"/>
      <c r="JRS28" s="3281"/>
      <c r="JRT28" s="3281"/>
      <c r="JRU28" s="3281"/>
      <c r="JRV28" s="3281"/>
      <c r="JRW28" s="3281"/>
      <c r="JRX28" s="3281"/>
      <c r="JRY28" s="3281"/>
      <c r="JRZ28" s="3281"/>
      <c r="JSA28" s="3281"/>
      <c r="JSB28" s="3281"/>
      <c r="JSC28" s="3281"/>
      <c r="JSD28" s="3281"/>
      <c r="JSE28" s="3281"/>
      <c r="JSF28" s="3281"/>
      <c r="JSG28" s="3281"/>
      <c r="JSH28" s="3281"/>
      <c r="JSI28" s="3281"/>
      <c r="JSJ28" s="3281"/>
      <c r="JSK28" s="3281"/>
      <c r="JSL28" s="3281"/>
      <c r="JSM28" s="3281"/>
      <c r="JSN28" s="3281"/>
      <c r="JSO28" s="3281"/>
      <c r="JSP28" s="3281"/>
      <c r="JSQ28" s="3281"/>
      <c r="JSR28" s="3281"/>
      <c r="JSS28" s="3281"/>
      <c r="JST28" s="3281"/>
      <c r="JSU28" s="3281"/>
      <c r="JSV28" s="3281"/>
      <c r="JSW28" s="3281"/>
      <c r="JSX28" s="3281"/>
      <c r="JSY28" s="3281"/>
      <c r="JSZ28" s="3281"/>
      <c r="JTA28" s="3281"/>
      <c r="JTB28" s="3281"/>
      <c r="JTC28" s="3281"/>
      <c r="JTD28" s="3281"/>
      <c r="JTE28" s="3281"/>
      <c r="JTF28" s="3281"/>
      <c r="JTG28" s="3281"/>
      <c r="JTH28" s="3281"/>
      <c r="JTI28" s="3281"/>
      <c r="JTJ28" s="3281"/>
      <c r="JTK28" s="3281"/>
      <c r="JTL28" s="3281"/>
      <c r="JTM28" s="3281"/>
      <c r="JTN28" s="3281"/>
      <c r="JTO28" s="3281"/>
      <c r="JTP28" s="3281"/>
      <c r="JTQ28" s="3281"/>
      <c r="JTR28" s="3281"/>
      <c r="JTS28" s="3281"/>
      <c r="JTT28" s="3281"/>
      <c r="JTU28" s="3281"/>
      <c r="JTV28" s="3281"/>
      <c r="JTW28" s="3281"/>
      <c r="JTX28" s="3281"/>
      <c r="JTY28" s="3281"/>
      <c r="JTZ28" s="3281"/>
      <c r="JUA28" s="3281"/>
      <c r="JUB28" s="3281"/>
      <c r="JUC28" s="3281"/>
      <c r="JUD28" s="3281"/>
      <c r="JUE28" s="3281"/>
      <c r="JUF28" s="3281"/>
      <c r="JUG28" s="3281"/>
      <c r="JUH28" s="3281"/>
      <c r="JUI28" s="3281"/>
      <c r="JUJ28" s="3281"/>
      <c r="JUK28" s="3281"/>
      <c r="JUL28" s="3281"/>
      <c r="JUM28" s="3281"/>
      <c r="JUN28" s="3281"/>
      <c r="JUO28" s="3281"/>
      <c r="JUP28" s="3281"/>
      <c r="JUQ28" s="3281"/>
      <c r="JUR28" s="3281"/>
      <c r="JUS28" s="3281"/>
      <c r="JUT28" s="3281"/>
      <c r="JUU28" s="3281"/>
      <c r="JUV28" s="3281"/>
      <c r="JUW28" s="3281"/>
      <c r="JUX28" s="3281"/>
      <c r="JUY28" s="3281"/>
      <c r="JUZ28" s="3281"/>
      <c r="JVA28" s="3281"/>
      <c r="JVB28" s="3281"/>
      <c r="JVC28" s="3281"/>
      <c r="JVD28" s="3281"/>
      <c r="JVE28" s="3281"/>
      <c r="JVF28" s="3281"/>
      <c r="JVG28" s="3281"/>
      <c r="JVH28" s="3281"/>
      <c r="JVI28" s="3281"/>
      <c r="JVJ28" s="3281"/>
      <c r="JVK28" s="3281"/>
      <c r="JVL28" s="3281"/>
      <c r="JVM28" s="3281"/>
      <c r="JVN28" s="3281"/>
      <c r="JVO28" s="3281"/>
      <c r="JVP28" s="3281"/>
      <c r="JVQ28" s="3281"/>
      <c r="JVR28" s="3281"/>
      <c r="JVS28" s="3281"/>
      <c r="JVT28" s="3281"/>
      <c r="JVU28" s="3281"/>
      <c r="JVV28" s="3281"/>
      <c r="JVW28" s="3281"/>
      <c r="JVX28" s="3281"/>
      <c r="JVY28" s="3281"/>
      <c r="JVZ28" s="3281"/>
      <c r="JWA28" s="3281"/>
      <c r="JWB28" s="3281"/>
      <c r="JWC28" s="3281"/>
      <c r="JWD28" s="3281"/>
      <c r="JWE28" s="3281"/>
      <c r="JWF28" s="3281"/>
      <c r="JWG28" s="3281"/>
      <c r="JWH28" s="3281"/>
      <c r="JWI28" s="3281"/>
      <c r="JWJ28" s="3281"/>
      <c r="JWK28" s="3281"/>
      <c r="JWL28" s="3281"/>
      <c r="JWM28" s="3281"/>
      <c r="JWN28" s="3281"/>
      <c r="JWO28" s="3281"/>
      <c r="JWP28" s="3281"/>
      <c r="JWQ28" s="3281"/>
      <c r="JWR28" s="3281"/>
      <c r="JWS28" s="3281"/>
      <c r="JWT28" s="3281"/>
      <c r="JWU28" s="3281"/>
      <c r="JWV28" s="3281"/>
      <c r="JWW28" s="3281"/>
      <c r="JWX28" s="3281"/>
      <c r="JWY28" s="3281"/>
      <c r="JWZ28" s="3281"/>
      <c r="JXA28" s="3281"/>
      <c r="JXB28" s="3281"/>
      <c r="JXC28" s="3281"/>
      <c r="JXD28" s="3281"/>
      <c r="JXE28" s="3281"/>
      <c r="JXF28" s="3281"/>
      <c r="JXG28" s="3281"/>
      <c r="JXH28" s="3281"/>
      <c r="JXI28" s="3281"/>
      <c r="JXJ28" s="3281"/>
      <c r="JXK28" s="3281"/>
      <c r="JXL28" s="3281"/>
      <c r="JXM28" s="3281"/>
      <c r="JXN28" s="3281"/>
      <c r="JXO28" s="3281"/>
      <c r="JXP28" s="3281"/>
      <c r="JXQ28" s="3281"/>
      <c r="JXR28" s="3281"/>
      <c r="JXS28" s="3281"/>
      <c r="JXT28" s="3281"/>
      <c r="JXU28" s="3281"/>
      <c r="JXV28" s="3281"/>
      <c r="JXW28" s="3281"/>
      <c r="JXX28" s="3281"/>
      <c r="JXY28" s="3281"/>
      <c r="JXZ28" s="3281"/>
      <c r="JYA28" s="3281"/>
      <c r="JYB28" s="3281"/>
      <c r="JYC28" s="3281"/>
      <c r="JYD28" s="3281"/>
      <c r="JYE28" s="3281"/>
      <c r="JYF28" s="3281"/>
      <c r="JYG28" s="3281"/>
      <c r="JYH28" s="3281"/>
      <c r="JYI28" s="3281"/>
      <c r="JYJ28" s="3281"/>
      <c r="JYK28" s="3281"/>
      <c r="JYL28" s="3281"/>
      <c r="JYM28" s="3281"/>
      <c r="JYN28" s="3281"/>
      <c r="JYO28" s="3281"/>
      <c r="JYP28" s="3281"/>
      <c r="JYQ28" s="3281"/>
      <c r="JYR28" s="3281"/>
      <c r="JYS28" s="3281"/>
      <c r="JYT28" s="3281"/>
      <c r="JYU28" s="3281"/>
      <c r="JYV28" s="3281"/>
      <c r="JYW28" s="3281"/>
      <c r="JYX28" s="3281"/>
      <c r="JYY28" s="3281"/>
      <c r="JYZ28" s="3281"/>
      <c r="JZA28" s="3281"/>
      <c r="JZB28" s="3281"/>
      <c r="JZC28" s="3281"/>
      <c r="JZD28" s="3281"/>
      <c r="JZE28" s="3281"/>
      <c r="JZF28" s="3281"/>
      <c r="JZG28" s="3281"/>
      <c r="JZH28" s="3281"/>
      <c r="JZI28" s="3281"/>
      <c r="JZJ28" s="3281"/>
      <c r="JZK28" s="3281"/>
      <c r="JZL28" s="3281"/>
      <c r="JZM28" s="3281"/>
      <c r="JZN28" s="3281"/>
      <c r="JZO28" s="3281"/>
      <c r="JZP28" s="3281"/>
      <c r="JZQ28" s="3281"/>
      <c r="JZR28" s="3281"/>
      <c r="JZS28" s="3281"/>
      <c r="JZT28" s="3281"/>
      <c r="JZU28" s="3281"/>
      <c r="JZV28" s="3281"/>
      <c r="JZW28" s="3281"/>
      <c r="JZX28" s="3281"/>
      <c r="JZY28" s="3281"/>
      <c r="JZZ28" s="3281"/>
      <c r="KAA28" s="3281"/>
      <c r="KAB28" s="3281"/>
      <c r="KAC28" s="3281"/>
      <c r="KAD28" s="3281"/>
      <c r="KAE28" s="3281"/>
      <c r="KAF28" s="3281"/>
      <c r="KAG28" s="3281"/>
      <c r="KAH28" s="3281"/>
      <c r="KAI28" s="3281"/>
      <c r="KAJ28" s="3281"/>
      <c r="KAK28" s="3281"/>
      <c r="KAL28" s="3281"/>
      <c r="KAM28" s="3281"/>
      <c r="KAN28" s="3281"/>
      <c r="KAO28" s="3281"/>
      <c r="KAP28" s="3281"/>
      <c r="KAQ28" s="3281"/>
      <c r="KAR28" s="3281"/>
      <c r="KAS28" s="3281"/>
      <c r="KAT28" s="3281"/>
      <c r="KAU28" s="3281"/>
      <c r="KAV28" s="3281"/>
      <c r="KAW28" s="3281"/>
      <c r="KAX28" s="3281"/>
      <c r="KAY28" s="3281"/>
      <c r="KAZ28" s="3281"/>
      <c r="KBA28" s="3281"/>
      <c r="KBB28" s="3281"/>
      <c r="KBC28" s="3281"/>
      <c r="KBD28" s="3281"/>
      <c r="KBE28" s="3281"/>
      <c r="KBF28" s="3281"/>
      <c r="KBG28" s="3281"/>
      <c r="KBH28" s="3281"/>
      <c r="KBI28" s="3281"/>
      <c r="KBJ28" s="3281"/>
      <c r="KBK28" s="3281"/>
      <c r="KBL28" s="3281"/>
      <c r="KBM28" s="3281"/>
      <c r="KBN28" s="3281"/>
      <c r="KBO28" s="3281"/>
      <c r="KBP28" s="3281"/>
      <c r="KBQ28" s="3281"/>
      <c r="KBR28" s="3281"/>
      <c r="KBS28" s="3281"/>
      <c r="KBT28" s="3281"/>
      <c r="KBU28" s="3281"/>
      <c r="KBV28" s="3281"/>
      <c r="KBW28" s="3281"/>
      <c r="KBX28" s="3281"/>
      <c r="KBY28" s="3281"/>
      <c r="KBZ28" s="3281"/>
      <c r="KCA28" s="3281"/>
      <c r="KCB28" s="3281"/>
      <c r="KCC28" s="3281"/>
      <c r="KCD28" s="3281"/>
      <c r="KCE28" s="3281"/>
      <c r="KCF28" s="3281"/>
      <c r="KCG28" s="3281"/>
      <c r="KCH28" s="3281"/>
      <c r="KCI28" s="3281"/>
      <c r="KCJ28" s="3281"/>
      <c r="KCK28" s="3281"/>
      <c r="KCL28" s="3281"/>
      <c r="KCM28" s="3281"/>
      <c r="KCN28" s="3281"/>
      <c r="KCO28" s="3281"/>
      <c r="KCP28" s="3281"/>
      <c r="KCQ28" s="3281"/>
      <c r="KCR28" s="3281"/>
      <c r="KCS28" s="3281"/>
      <c r="KCT28" s="3281"/>
      <c r="KCU28" s="3281"/>
      <c r="KCV28" s="3281"/>
      <c r="KCW28" s="3281"/>
      <c r="KCX28" s="3281"/>
      <c r="KCY28" s="3281"/>
      <c r="KCZ28" s="3281"/>
      <c r="KDA28" s="3281"/>
      <c r="KDB28" s="3281"/>
      <c r="KDC28" s="3281"/>
      <c r="KDD28" s="3281"/>
      <c r="KDE28" s="3281"/>
      <c r="KDF28" s="3281"/>
      <c r="KDG28" s="3281"/>
      <c r="KDH28" s="3281"/>
      <c r="KDI28" s="3281"/>
      <c r="KDJ28" s="3281"/>
      <c r="KDK28" s="3281"/>
      <c r="KDL28" s="3281"/>
      <c r="KDM28" s="3281"/>
      <c r="KDN28" s="3281"/>
      <c r="KDO28" s="3281"/>
      <c r="KDP28" s="3281"/>
      <c r="KDQ28" s="3281"/>
      <c r="KDR28" s="3281"/>
      <c r="KDS28" s="3281"/>
      <c r="KDT28" s="3281"/>
      <c r="KDU28" s="3281"/>
      <c r="KDV28" s="3281"/>
      <c r="KDW28" s="3281"/>
      <c r="KDX28" s="3281"/>
      <c r="KDY28" s="3281"/>
      <c r="KDZ28" s="3281"/>
      <c r="KEA28" s="3281"/>
      <c r="KEB28" s="3281"/>
      <c r="KEC28" s="3281"/>
      <c r="KED28" s="3281"/>
      <c r="KEE28" s="3281"/>
      <c r="KEF28" s="3281"/>
      <c r="KEG28" s="3281"/>
      <c r="KEH28" s="3281"/>
      <c r="KEI28" s="3281"/>
      <c r="KEJ28" s="3281"/>
      <c r="KEK28" s="3281"/>
      <c r="KEL28" s="3281"/>
      <c r="KEM28" s="3281"/>
      <c r="KEN28" s="3281"/>
      <c r="KEO28" s="3281"/>
      <c r="KEP28" s="3281"/>
      <c r="KEQ28" s="3281"/>
      <c r="KER28" s="3281"/>
      <c r="KES28" s="3281"/>
      <c r="KET28" s="3281"/>
      <c r="KEU28" s="3281"/>
      <c r="KEV28" s="3281"/>
      <c r="KEW28" s="3281"/>
      <c r="KEX28" s="3281"/>
      <c r="KEY28" s="3281"/>
      <c r="KEZ28" s="3281"/>
      <c r="KFA28" s="3281"/>
      <c r="KFB28" s="3281"/>
      <c r="KFC28" s="3281"/>
      <c r="KFD28" s="3281"/>
      <c r="KFE28" s="3281"/>
      <c r="KFF28" s="3281"/>
      <c r="KFG28" s="3281"/>
      <c r="KFH28" s="3281"/>
      <c r="KFI28" s="3281"/>
      <c r="KFJ28" s="3281"/>
      <c r="KFK28" s="3281"/>
      <c r="KFL28" s="3281"/>
      <c r="KFM28" s="3281"/>
      <c r="KFN28" s="3281"/>
      <c r="KFO28" s="3281"/>
      <c r="KFP28" s="3281"/>
      <c r="KFQ28" s="3281"/>
      <c r="KFR28" s="3281"/>
      <c r="KFS28" s="3281"/>
      <c r="KFT28" s="3281"/>
      <c r="KFU28" s="3281"/>
      <c r="KFV28" s="3281"/>
      <c r="KFW28" s="3281"/>
      <c r="KFX28" s="3281"/>
      <c r="KFY28" s="3281"/>
      <c r="KFZ28" s="3281"/>
      <c r="KGA28" s="3281"/>
      <c r="KGB28" s="3281"/>
      <c r="KGC28" s="3281"/>
      <c r="KGD28" s="3281"/>
      <c r="KGE28" s="3281"/>
      <c r="KGF28" s="3281"/>
      <c r="KGG28" s="3281"/>
      <c r="KGH28" s="3281"/>
      <c r="KGI28" s="3281"/>
      <c r="KGJ28" s="3281"/>
      <c r="KGK28" s="3281"/>
      <c r="KGL28" s="3281"/>
      <c r="KGM28" s="3281"/>
      <c r="KGN28" s="3281"/>
      <c r="KGO28" s="3281"/>
      <c r="KGP28" s="3281"/>
      <c r="KGQ28" s="3281"/>
      <c r="KGR28" s="3281"/>
      <c r="KGS28" s="3281"/>
      <c r="KGT28" s="3281"/>
      <c r="KGU28" s="3281"/>
      <c r="KGV28" s="3281"/>
      <c r="KGW28" s="3281"/>
      <c r="KGX28" s="3281"/>
      <c r="KGY28" s="3281"/>
      <c r="KGZ28" s="3281"/>
      <c r="KHA28" s="3281"/>
      <c r="KHB28" s="3281"/>
      <c r="KHC28" s="3281"/>
      <c r="KHD28" s="3281"/>
      <c r="KHE28" s="3281"/>
      <c r="KHF28" s="3281"/>
      <c r="KHG28" s="3281"/>
      <c r="KHH28" s="3281"/>
      <c r="KHI28" s="3281"/>
      <c r="KHJ28" s="3281"/>
      <c r="KHK28" s="3281"/>
      <c r="KHL28" s="3281"/>
      <c r="KHM28" s="3281"/>
      <c r="KHN28" s="3281"/>
      <c r="KHO28" s="3281"/>
      <c r="KHP28" s="3281"/>
      <c r="KHQ28" s="3281"/>
      <c r="KHR28" s="3281"/>
      <c r="KHS28" s="3281"/>
      <c r="KHT28" s="3281"/>
      <c r="KHU28" s="3281"/>
      <c r="KHV28" s="3281"/>
      <c r="KHW28" s="3281"/>
      <c r="KHX28" s="3281"/>
      <c r="KHY28" s="3281"/>
      <c r="KHZ28" s="3281"/>
      <c r="KIA28" s="3281"/>
      <c r="KIB28" s="3281"/>
      <c r="KIC28" s="3281"/>
      <c r="KID28" s="3281"/>
      <c r="KIE28" s="3281"/>
      <c r="KIF28" s="3281"/>
      <c r="KIG28" s="3281"/>
      <c r="KIH28" s="3281"/>
      <c r="KII28" s="3281"/>
      <c r="KIJ28" s="3281"/>
      <c r="KIK28" s="3281"/>
      <c r="KIL28" s="3281"/>
      <c r="KIM28" s="3281"/>
      <c r="KIN28" s="3281"/>
      <c r="KIO28" s="3281"/>
      <c r="KIP28" s="3281"/>
      <c r="KIQ28" s="3281"/>
      <c r="KIR28" s="3281"/>
      <c r="KIS28" s="3281"/>
      <c r="KIT28" s="3281"/>
      <c r="KIU28" s="3281"/>
      <c r="KIV28" s="3281"/>
      <c r="KIW28" s="3281"/>
      <c r="KIX28" s="3281"/>
      <c r="KIY28" s="3281"/>
      <c r="KIZ28" s="3281"/>
      <c r="KJA28" s="3281"/>
      <c r="KJB28" s="3281"/>
      <c r="KJC28" s="3281"/>
      <c r="KJD28" s="3281"/>
      <c r="KJE28" s="3281"/>
      <c r="KJF28" s="3281"/>
      <c r="KJG28" s="3281"/>
      <c r="KJH28" s="3281"/>
      <c r="KJI28" s="3281"/>
      <c r="KJJ28" s="3281"/>
      <c r="KJK28" s="3281"/>
      <c r="KJL28" s="3281"/>
      <c r="KJM28" s="3281"/>
      <c r="KJN28" s="3281"/>
      <c r="KJO28" s="3281"/>
      <c r="KJP28" s="3281"/>
      <c r="KJQ28" s="3281"/>
      <c r="KJR28" s="3281"/>
      <c r="KJS28" s="3281"/>
      <c r="KJT28" s="3281"/>
      <c r="KJU28" s="3281"/>
      <c r="KJV28" s="3281"/>
      <c r="KJW28" s="3281"/>
      <c r="KJX28" s="3281"/>
      <c r="KJY28" s="3281"/>
      <c r="KJZ28" s="3281"/>
      <c r="KKA28" s="3281"/>
      <c r="KKB28" s="3281"/>
      <c r="KKC28" s="3281"/>
      <c r="KKD28" s="3281"/>
      <c r="KKE28" s="3281"/>
      <c r="KKF28" s="3281"/>
      <c r="KKG28" s="3281"/>
      <c r="KKH28" s="3281"/>
      <c r="KKI28" s="3281"/>
      <c r="KKJ28" s="3281"/>
      <c r="KKK28" s="3281"/>
      <c r="KKL28" s="3281"/>
      <c r="KKM28" s="3281"/>
      <c r="KKN28" s="3281"/>
      <c r="KKO28" s="3281"/>
      <c r="KKP28" s="3281"/>
      <c r="KKQ28" s="3281"/>
      <c r="KKR28" s="3281"/>
      <c r="KKS28" s="3281"/>
      <c r="KKT28" s="3281"/>
      <c r="KKU28" s="3281"/>
      <c r="KKV28" s="3281"/>
      <c r="KKW28" s="3281"/>
      <c r="KKX28" s="3281"/>
      <c r="KKY28" s="3281"/>
      <c r="KKZ28" s="3281"/>
      <c r="KLA28" s="3281"/>
      <c r="KLB28" s="3281"/>
      <c r="KLC28" s="3281"/>
      <c r="KLD28" s="3281"/>
      <c r="KLE28" s="3281"/>
      <c r="KLF28" s="3281"/>
      <c r="KLG28" s="3281"/>
      <c r="KLH28" s="3281"/>
      <c r="KLI28" s="3281"/>
      <c r="KLJ28" s="3281"/>
      <c r="KLK28" s="3281"/>
      <c r="KLL28" s="3281"/>
      <c r="KLM28" s="3281"/>
      <c r="KLN28" s="3281"/>
      <c r="KLO28" s="3281"/>
      <c r="KLP28" s="3281"/>
      <c r="KLQ28" s="3281"/>
      <c r="KLR28" s="3281"/>
      <c r="KLS28" s="3281"/>
      <c r="KLT28" s="3281"/>
      <c r="KLU28" s="3281"/>
      <c r="KLV28" s="3281"/>
      <c r="KLW28" s="3281"/>
      <c r="KLX28" s="3281"/>
      <c r="KLY28" s="3281"/>
      <c r="KLZ28" s="3281"/>
      <c r="KMA28" s="3281"/>
      <c r="KMB28" s="3281"/>
      <c r="KMC28" s="3281"/>
      <c r="KMD28" s="3281"/>
      <c r="KME28" s="3281"/>
      <c r="KMF28" s="3281"/>
      <c r="KMG28" s="3281"/>
      <c r="KMH28" s="3281"/>
      <c r="KMI28" s="3281"/>
      <c r="KMJ28" s="3281"/>
      <c r="KMK28" s="3281"/>
      <c r="KML28" s="3281"/>
      <c r="KMM28" s="3281"/>
      <c r="KMN28" s="3281"/>
      <c r="KMO28" s="3281"/>
      <c r="KMP28" s="3281"/>
      <c r="KMQ28" s="3281"/>
      <c r="KMR28" s="3281"/>
      <c r="KMS28" s="3281"/>
      <c r="KMT28" s="3281"/>
      <c r="KMU28" s="3281"/>
      <c r="KMV28" s="3281"/>
      <c r="KMW28" s="3281"/>
      <c r="KMX28" s="3281"/>
      <c r="KMY28" s="3281"/>
      <c r="KMZ28" s="3281"/>
      <c r="KNA28" s="3281"/>
      <c r="KNB28" s="3281"/>
      <c r="KNC28" s="3281"/>
      <c r="KND28" s="3281"/>
      <c r="KNE28" s="3281"/>
      <c r="KNF28" s="3281"/>
      <c r="KNG28" s="3281"/>
      <c r="KNH28" s="3281"/>
      <c r="KNI28" s="3281"/>
      <c r="KNJ28" s="3281"/>
      <c r="KNK28" s="3281"/>
      <c r="KNL28" s="3281"/>
      <c r="KNM28" s="3281"/>
      <c r="KNN28" s="3281"/>
      <c r="KNO28" s="3281"/>
      <c r="KNP28" s="3281"/>
      <c r="KNQ28" s="3281"/>
      <c r="KNR28" s="3281"/>
      <c r="KNS28" s="3281"/>
      <c r="KNT28" s="3281"/>
      <c r="KNU28" s="3281"/>
      <c r="KNV28" s="3281"/>
      <c r="KNW28" s="3281"/>
      <c r="KNX28" s="3281"/>
      <c r="KNY28" s="3281"/>
      <c r="KNZ28" s="3281"/>
      <c r="KOA28" s="3281"/>
      <c r="KOB28" s="3281"/>
      <c r="KOC28" s="3281"/>
      <c r="KOD28" s="3281"/>
      <c r="KOE28" s="3281"/>
      <c r="KOF28" s="3281"/>
      <c r="KOG28" s="3281"/>
      <c r="KOH28" s="3281"/>
      <c r="KOI28" s="3281"/>
      <c r="KOJ28" s="3281"/>
      <c r="KOK28" s="3281"/>
      <c r="KOL28" s="3281"/>
      <c r="KOM28" s="3281"/>
      <c r="KON28" s="3281"/>
      <c r="KOO28" s="3281"/>
      <c r="KOP28" s="3281"/>
      <c r="KOQ28" s="3281"/>
      <c r="KOR28" s="3281"/>
      <c r="KOS28" s="3281"/>
      <c r="KOT28" s="3281"/>
      <c r="KOU28" s="3281"/>
      <c r="KOV28" s="3281"/>
      <c r="KOW28" s="3281"/>
      <c r="KOX28" s="3281"/>
      <c r="KOY28" s="3281"/>
      <c r="KOZ28" s="3281"/>
      <c r="KPA28" s="3281"/>
      <c r="KPB28" s="3281"/>
      <c r="KPC28" s="3281"/>
      <c r="KPD28" s="3281"/>
      <c r="KPE28" s="3281"/>
      <c r="KPF28" s="3281"/>
      <c r="KPG28" s="3281"/>
      <c r="KPH28" s="3281"/>
      <c r="KPI28" s="3281"/>
      <c r="KPJ28" s="3281"/>
      <c r="KPK28" s="3281"/>
      <c r="KPL28" s="3281"/>
      <c r="KPM28" s="3281"/>
      <c r="KPN28" s="3281"/>
      <c r="KPO28" s="3281"/>
      <c r="KPP28" s="3281"/>
      <c r="KPQ28" s="3281"/>
      <c r="KPR28" s="3281"/>
      <c r="KPS28" s="3281"/>
      <c r="KPT28" s="3281"/>
      <c r="KPU28" s="3281"/>
      <c r="KPV28" s="3281"/>
      <c r="KPW28" s="3281"/>
      <c r="KPX28" s="3281"/>
      <c r="KPY28" s="3281"/>
      <c r="KPZ28" s="3281"/>
      <c r="KQA28" s="3281"/>
      <c r="KQB28" s="3281"/>
      <c r="KQC28" s="3281"/>
      <c r="KQD28" s="3281"/>
      <c r="KQE28" s="3281"/>
      <c r="KQF28" s="3281"/>
      <c r="KQG28" s="3281"/>
      <c r="KQH28" s="3281"/>
      <c r="KQI28" s="3281"/>
      <c r="KQJ28" s="3281"/>
      <c r="KQK28" s="3281"/>
      <c r="KQL28" s="3281"/>
      <c r="KQM28" s="3281"/>
      <c r="KQN28" s="3281"/>
      <c r="KQO28" s="3281"/>
      <c r="KQP28" s="3281"/>
      <c r="KQQ28" s="3281"/>
      <c r="KQR28" s="3281"/>
      <c r="KQS28" s="3281"/>
      <c r="KQT28" s="3281"/>
      <c r="KQU28" s="3281"/>
      <c r="KQV28" s="3281"/>
      <c r="KQW28" s="3281"/>
      <c r="KQX28" s="3281"/>
      <c r="KQY28" s="3281"/>
      <c r="KQZ28" s="3281"/>
      <c r="KRA28" s="3281"/>
      <c r="KRB28" s="3281"/>
      <c r="KRC28" s="3281"/>
      <c r="KRD28" s="3281"/>
      <c r="KRE28" s="3281"/>
      <c r="KRF28" s="3281"/>
      <c r="KRG28" s="3281"/>
      <c r="KRH28" s="3281"/>
      <c r="KRI28" s="3281"/>
      <c r="KRJ28" s="3281"/>
      <c r="KRK28" s="3281"/>
      <c r="KRL28" s="3281"/>
      <c r="KRM28" s="3281"/>
      <c r="KRN28" s="3281"/>
      <c r="KRO28" s="3281"/>
      <c r="KRP28" s="3281"/>
      <c r="KRQ28" s="3281"/>
      <c r="KRR28" s="3281"/>
      <c r="KRS28" s="3281"/>
      <c r="KRT28" s="3281"/>
      <c r="KRU28" s="3281"/>
      <c r="KRV28" s="3281"/>
      <c r="KRW28" s="3281"/>
      <c r="KRX28" s="3281"/>
      <c r="KRY28" s="3281"/>
      <c r="KRZ28" s="3281"/>
      <c r="KSA28" s="3281"/>
      <c r="KSB28" s="3281"/>
      <c r="KSC28" s="3281"/>
      <c r="KSD28" s="3281"/>
      <c r="KSE28" s="3281"/>
      <c r="KSF28" s="3281"/>
      <c r="KSG28" s="3281"/>
      <c r="KSH28" s="3281"/>
      <c r="KSI28" s="3281"/>
      <c r="KSJ28" s="3281"/>
      <c r="KSK28" s="3281"/>
      <c r="KSL28" s="3281"/>
      <c r="KSM28" s="3281"/>
      <c r="KSN28" s="3281"/>
      <c r="KSO28" s="3281"/>
      <c r="KSP28" s="3281"/>
      <c r="KSQ28" s="3281"/>
      <c r="KSR28" s="3281"/>
      <c r="KSS28" s="3281"/>
      <c r="KST28" s="3281"/>
      <c r="KSU28" s="3281"/>
      <c r="KSV28" s="3281"/>
      <c r="KSW28" s="3281"/>
      <c r="KSX28" s="3281"/>
      <c r="KSY28" s="3281"/>
      <c r="KSZ28" s="3281"/>
      <c r="KTA28" s="3281"/>
      <c r="KTB28" s="3281"/>
      <c r="KTC28" s="3281"/>
      <c r="KTD28" s="3281"/>
      <c r="KTE28" s="3281"/>
      <c r="KTF28" s="3281"/>
      <c r="KTG28" s="3281"/>
      <c r="KTH28" s="3281"/>
      <c r="KTI28" s="3281"/>
      <c r="KTJ28" s="3281"/>
      <c r="KTK28" s="3281"/>
      <c r="KTL28" s="3281"/>
      <c r="KTM28" s="3281"/>
      <c r="KTN28" s="3281"/>
      <c r="KTO28" s="3281"/>
      <c r="KTP28" s="3281"/>
      <c r="KTQ28" s="3281"/>
      <c r="KTR28" s="3281"/>
      <c r="KTS28" s="3281"/>
      <c r="KTT28" s="3281"/>
      <c r="KTU28" s="3281"/>
      <c r="KTV28" s="3281"/>
      <c r="KTW28" s="3281"/>
      <c r="KTX28" s="3281"/>
      <c r="KTY28" s="3281"/>
      <c r="KTZ28" s="3281"/>
      <c r="KUA28" s="3281"/>
      <c r="KUB28" s="3281"/>
      <c r="KUC28" s="3281"/>
      <c r="KUD28" s="3281"/>
      <c r="KUE28" s="3281"/>
      <c r="KUF28" s="3281"/>
      <c r="KUG28" s="3281"/>
      <c r="KUH28" s="3281"/>
      <c r="KUI28" s="3281"/>
      <c r="KUJ28" s="3281"/>
      <c r="KUK28" s="3281"/>
      <c r="KUL28" s="3281"/>
      <c r="KUM28" s="3281"/>
      <c r="KUN28" s="3281"/>
      <c r="KUO28" s="3281"/>
      <c r="KUP28" s="3281"/>
      <c r="KUQ28" s="3281"/>
      <c r="KUR28" s="3281"/>
      <c r="KUS28" s="3281"/>
      <c r="KUT28" s="3281"/>
      <c r="KUU28" s="3281"/>
      <c r="KUV28" s="3281"/>
      <c r="KUW28" s="3281"/>
      <c r="KUX28" s="3281"/>
      <c r="KUY28" s="3281"/>
      <c r="KUZ28" s="3281"/>
      <c r="KVA28" s="3281"/>
      <c r="KVB28" s="3281"/>
      <c r="KVC28" s="3281"/>
      <c r="KVD28" s="3281"/>
      <c r="KVE28" s="3281"/>
      <c r="KVF28" s="3281"/>
      <c r="KVG28" s="3281"/>
      <c r="KVH28" s="3281"/>
      <c r="KVI28" s="3281"/>
      <c r="KVJ28" s="3281"/>
      <c r="KVK28" s="3281"/>
      <c r="KVL28" s="3281"/>
      <c r="KVM28" s="3281"/>
      <c r="KVN28" s="3281"/>
      <c r="KVO28" s="3281"/>
      <c r="KVP28" s="3281"/>
      <c r="KVQ28" s="3281"/>
      <c r="KVR28" s="3281"/>
      <c r="KVS28" s="3281"/>
      <c r="KVT28" s="3281"/>
      <c r="KVU28" s="3281"/>
      <c r="KVV28" s="3281"/>
      <c r="KVW28" s="3281"/>
      <c r="KVX28" s="3281"/>
      <c r="KVY28" s="3281"/>
      <c r="KVZ28" s="3281"/>
      <c r="KWA28" s="3281"/>
      <c r="KWB28" s="3281"/>
      <c r="KWC28" s="3281"/>
      <c r="KWD28" s="3281"/>
      <c r="KWE28" s="3281"/>
      <c r="KWF28" s="3281"/>
      <c r="KWG28" s="3281"/>
      <c r="KWH28" s="3281"/>
      <c r="KWI28" s="3281"/>
      <c r="KWJ28" s="3281"/>
      <c r="KWK28" s="3281"/>
      <c r="KWL28" s="3281"/>
      <c r="KWM28" s="3281"/>
      <c r="KWN28" s="3281"/>
      <c r="KWO28" s="3281"/>
      <c r="KWP28" s="3281"/>
      <c r="KWQ28" s="3281"/>
      <c r="KWR28" s="3281"/>
      <c r="KWS28" s="3281"/>
      <c r="KWT28" s="3281"/>
      <c r="KWU28" s="3281"/>
      <c r="KWV28" s="3281"/>
      <c r="KWW28" s="3281"/>
      <c r="KWX28" s="3281"/>
      <c r="KWY28" s="3281"/>
      <c r="KWZ28" s="3281"/>
      <c r="KXA28" s="3281"/>
      <c r="KXB28" s="3281"/>
      <c r="KXC28" s="3281"/>
      <c r="KXD28" s="3281"/>
      <c r="KXE28" s="3281"/>
      <c r="KXF28" s="3281"/>
      <c r="KXG28" s="3281"/>
      <c r="KXH28" s="3281"/>
      <c r="KXI28" s="3281"/>
      <c r="KXJ28" s="3281"/>
      <c r="KXK28" s="3281"/>
      <c r="KXL28" s="3281"/>
      <c r="KXM28" s="3281"/>
      <c r="KXN28" s="3281"/>
      <c r="KXO28" s="3281"/>
      <c r="KXP28" s="3281"/>
      <c r="KXQ28" s="3281"/>
      <c r="KXR28" s="3281"/>
      <c r="KXS28" s="3281"/>
      <c r="KXT28" s="3281"/>
      <c r="KXU28" s="3281"/>
      <c r="KXV28" s="3281"/>
      <c r="KXW28" s="3281"/>
      <c r="KXX28" s="3281"/>
      <c r="KXY28" s="3281"/>
      <c r="KXZ28" s="3281"/>
      <c r="KYA28" s="3281"/>
      <c r="KYB28" s="3281"/>
      <c r="KYC28" s="3281"/>
      <c r="KYD28" s="3281"/>
      <c r="KYE28" s="3281"/>
      <c r="KYF28" s="3281"/>
      <c r="KYG28" s="3281"/>
      <c r="KYH28" s="3281"/>
      <c r="KYI28" s="3281"/>
      <c r="KYJ28" s="3281"/>
      <c r="KYK28" s="3281"/>
      <c r="KYL28" s="3281"/>
      <c r="KYM28" s="3281"/>
      <c r="KYN28" s="3281"/>
      <c r="KYO28" s="3281"/>
      <c r="KYP28" s="3281"/>
      <c r="KYQ28" s="3281"/>
      <c r="KYR28" s="3281"/>
      <c r="KYS28" s="3281"/>
      <c r="KYT28" s="3281"/>
      <c r="KYU28" s="3281"/>
      <c r="KYV28" s="3281"/>
      <c r="KYW28" s="3281"/>
      <c r="KYX28" s="3281"/>
      <c r="KYY28" s="3281"/>
      <c r="KYZ28" s="3281"/>
      <c r="KZA28" s="3281"/>
      <c r="KZB28" s="3281"/>
      <c r="KZC28" s="3281"/>
      <c r="KZD28" s="3281"/>
      <c r="KZE28" s="3281"/>
      <c r="KZF28" s="3281"/>
      <c r="KZG28" s="3281"/>
      <c r="KZH28" s="3281"/>
      <c r="KZI28" s="3281"/>
      <c r="KZJ28" s="3281"/>
      <c r="KZK28" s="3281"/>
      <c r="KZL28" s="3281"/>
      <c r="KZM28" s="3281"/>
      <c r="KZN28" s="3281"/>
      <c r="KZO28" s="3281"/>
      <c r="KZP28" s="3281"/>
      <c r="KZQ28" s="3281"/>
      <c r="KZR28" s="3281"/>
      <c r="KZS28" s="3281"/>
      <c r="KZT28" s="3281"/>
      <c r="KZU28" s="3281"/>
      <c r="KZV28" s="3281"/>
      <c r="KZW28" s="3281"/>
      <c r="KZX28" s="3281"/>
      <c r="KZY28" s="3281"/>
      <c r="KZZ28" s="3281"/>
      <c r="LAA28" s="3281"/>
      <c r="LAB28" s="3281"/>
      <c r="LAC28" s="3281"/>
      <c r="LAD28" s="3281"/>
      <c r="LAE28" s="3281"/>
      <c r="LAF28" s="3281"/>
      <c r="LAG28" s="3281"/>
      <c r="LAH28" s="3281"/>
      <c r="LAI28" s="3281"/>
      <c r="LAJ28" s="3281"/>
      <c r="LAK28" s="3281"/>
      <c r="LAL28" s="3281"/>
      <c r="LAM28" s="3281"/>
      <c r="LAN28" s="3281"/>
      <c r="LAO28" s="3281"/>
      <c r="LAP28" s="3281"/>
      <c r="LAQ28" s="3281"/>
      <c r="LAR28" s="3281"/>
      <c r="LAS28" s="3281"/>
      <c r="LAT28" s="3281"/>
      <c r="LAU28" s="3281"/>
      <c r="LAV28" s="3281"/>
      <c r="LAW28" s="3281"/>
      <c r="LAX28" s="3281"/>
      <c r="LAY28" s="3281"/>
      <c r="LAZ28" s="3281"/>
      <c r="LBA28" s="3281"/>
      <c r="LBB28" s="3281"/>
      <c r="LBC28" s="3281"/>
      <c r="LBD28" s="3281"/>
      <c r="LBE28" s="3281"/>
      <c r="LBF28" s="3281"/>
      <c r="LBG28" s="3281"/>
      <c r="LBH28" s="3281"/>
      <c r="LBI28" s="3281"/>
      <c r="LBJ28" s="3281"/>
      <c r="LBK28" s="3281"/>
      <c r="LBL28" s="3281"/>
      <c r="LBM28" s="3281"/>
      <c r="LBN28" s="3281"/>
      <c r="LBO28" s="3281"/>
      <c r="LBP28" s="3281"/>
      <c r="LBQ28" s="3281"/>
      <c r="LBR28" s="3281"/>
      <c r="LBS28" s="3281"/>
      <c r="LBT28" s="3281"/>
      <c r="LBU28" s="3281"/>
      <c r="LBV28" s="3281"/>
      <c r="LBW28" s="3281"/>
      <c r="LBX28" s="3281"/>
      <c r="LBY28" s="3281"/>
      <c r="LBZ28" s="3281"/>
      <c r="LCA28" s="3281"/>
      <c r="LCB28" s="3281"/>
      <c r="LCC28" s="3281"/>
      <c r="LCD28" s="3281"/>
      <c r="LCE28" s="3281"/>
      <c r="LCF28" s="3281"/>
      <c r="LCG28" s="3281"/>
      <c r="LCH28" s="3281"/>
      <c r="LCI28" s="3281"/>
      <c r="LCJ28" s="3281"/>
      <c r="LCK28" s="3281"/>
      <c r="LCL28" s="3281"/>
      <c r="LCM28" s="3281"/>
      <c r="LCN28" s="3281"/>
      <c r="LCO28" s="3281"/>
      <c r="LCP28" s="3281"/>
      <c r="LCQ28" s="3281"/>
      <c r="LCR28" s="3281"/>
      <c r="LCS28" s="3281"/>
      <c r="LCT28" s="3281"/>
      <c r="LCU28" s="3281"/>
      <c r="LCV28" s="3281"/>
      <c r="LCW28" s="3281"/>
      <c r="LCX28" s="3281"/>
      <c r="LCY28" s="3281"/>
      <c r="LCZ28" s="3281"/>
      <c r="LDA28" s="3281"/>
      <c r="LDB28" s="3281"/>
      <c r="LDC28" s="3281"/>
      <c r="LDD28" s="3281"/>
      <c r="LDE28" s="3281"/>
      <c r="LDF28" s="3281"/>
      <c r="LDG28" s="3281"/>
      <c r="LDH28" s="3281"/>
      <c r="LDI28" s="3281"/>
      <c r="LDJ28" s="3281"/>
      <c r="LDK28" s="3281"/>
      <c r="LDL28" s="3281"/>
      <c r="LDM28" s="3281"/>
      <c r="LDN28" s="3281"/>
      <c r="LDO28" s="3281"/>
      <c r="LDP28" s="3281"/>
      <c r="LDQ28" s="3281"/>
      <c r="LDR28" s="3281"/>
      <c r="LDS28" s="3281"/>
      <c r="LDT28" s="3281"/>
      <c r="LDU28" s="3281"/>
      <c r="LDV28" s="3281"/>
      <c r="LDW28" s="3281"/>
      <c r="LDX28" s="3281"/>
      <c r="LDY28" s="3281"/>
      <c r="LDZ28" s="3281"/>
      <c r="LEA28" s="3281"/>
      <c r="LEB28" s="3281"/>
      <c r="LEC28" s="3281"/>
      <c r="LED28" s="3281"/>
      <c r="LEE28" s="3281"/>
      <c r="LEF28" s="3281"/>
      <c r="LEG28" s="3281"/>
      <c r="LEH28" s="3281"/>
      <c r="LEI28" s="3281"/>
      <c r="LEJ28" s="3281"/>
      <c r="LEK28" s="3281"/>
      <c r="LEL28" s="3281"/>
      <c r="LEM28" s="3281"/>
      <c r="LEN28" s="3281"/>
      <c r="LEO28" s="3281"/>
      <c r="LEP28" s="3281"/>
      <c r="LEQ28" s="3281"/>
      <c r="LER28" s="3281"/>
      <c r="LES28" s="3281"/>
      <c r="LET28" s="3281"/>
      <c r="LEU28" s="3281"/>
      <c r="LEV28" s="3281"/>
      <c r="LEW28" s="3281"/>
      <c r="LEX28" s="3281"/>
      <c r="LEY28" s="3281"/>
      <c r="LEZ28" s="3281"/>
      <c r="LFA28" s="3281"/>
      <c r="LFB28" s="3281"/>
      <c r="LFC28" s="3281"/>
      <c r="LFD28" s="3281"/>
      <c r="LFE28" s="3281"/>
      <c r="LFF28" s="3281"/>
      <c r="LFG28" s="3281"/>
      <c r="LFH28" s="3281"/>
      <c r="LFI28" s="3281"/>
      <c r="LFJ28" s="3281"/>
      <c r="LFK28" s="3281"/>
      <c r="LFL28" s="3281"/>
      <c r="LFM28" s="3281"/>
      <c r="LFN28" s="3281"/>
      <c r="LFO28" s="3281"/>
      <c r="LFP28" s="3281"/>
      <c r="LFQ28" s="3281"/>
      <c r="LFR28" s="3281"/>
      <c r="LFS28" s="3281"/>
      <c r="LFT28" s="3281"/>
      <c r="LFU28" s="3281"/>
      <c r="LFV28" s="3281"/>
      <c r="LFW28" s="3281"/>
      <c r="LFX28" s="3281"/>
      <c r="LFY28" s="3281"/>
      <c r="LFZ28" s="3281"/>
      <c r="LGA28" s="3281"/>
      <c r="LGB28" s="3281"/>
      <c r="LGC28" s="3281"/>
      <c r="LGD28" s="3281"/>
      <c r="LGE28" s="3281"/>
      <c r="LGF28" s="3281"/>
      <c r="LGG28" s="3281"/>
      <c r="LGH28" s="3281"/>
      <c r="LGI28" s="3281"/>
      <c r="LGJ28" s="3281"/>
      <c r="LGK28" s="3281"/>
      <c r="LGL28" s="3281"/>
      <c r="LGM28" s="3281"/>
      <c r="LGN28" s="3281"/>
      <c r="LGO28" s="3281"/>
      <c r="LGP28" s="3281"/>
      <c r="LGQ28" s="3281"/>
      <c r="LGR28" s="3281"/>
      <c r="LGS28" s="3281"/>
      <c r="LGT28" s="3281"/>
      <c r="LGU28" s="3281"/>
      <c r="LGV28" s="3281"/>
      <c r="LGW28" s="3281"/>
      <c r="LGX28" s="3281"/>
      <c r="LGY28" s="3281"/>
      <c r="LGZ28" s="3281"/>
      <c r="LHA28" s="3281"/>
      <c r="LHB28" s="3281"/>
      <c r="LHC28" s="3281"/>
      <c r="LHD28" s="3281"/>
      <c r="LHE28" s="3281"/>
      <c r="LHF28" s="3281"/>
      <c r="LHG28" s="3281"/>
      <c r="LHH28" s="3281"/>
      <c r="LHI28" s="3281"/>
      <c r="LHJ28" s="3281"/>
      <c r="LHK28" s="3281"/>
      <c r="LHL28" s="3281"/>
      <c r="LHM28" s="3281"/>
      <c r="LHN28" s="3281"/>
      <c r="LHO28" s="3281"/>
      <c r="LHP28" s="3281"/>
      <c r="LHQ28" s="3281"/>
      <c r="LHR28" s="3281"/>
      <c r="LHS28" s="3281"/>
      <c r="LHT28" s="3281"/>
      <c r="LHU28" s="3281"/>
      <c r="LHV28" s="3281"/>
      <c r="LHW28" s="3281"/>
      <c r="LHX28" s="3281"/>
      <c r="LHY28" s="3281"/>
      <c r="LHZ28" s="3281"/>
      <c r="LIA28" s="3281"/>
      <c r="LIB28" s="3281"/>
      <c r="LIC28" s="3281"/>
      <c r="LID28" s="3281"/>
      <c r="LIE28" s="3281"/>
      <c r="LIF28" s="3281"/>
      <c r="LIG28" s="3281"/>
      <c r="LIH28" s="3281"/>
      <c r="LII28" s="3281"/>
      <c r="LIJ28" s="3281"/>
      <c r="LIK28" s="3281"/>
      <c r="LIL28" s="3281"/>
      <c r="LIM28" s="3281"/>
      <c r="LIN28" s="3281"/>
      <c r="LIO28" s="3281"/>
      <c r="LIP28" s="3281"/>
      <c r="LIQ28" s="3281"/>
      <c r="LIR28" s="3281"/>
      <c r="LIS28" s="3281"/>
      <c r="LIT28" s="3281"/>
      <c r="LIU28" s="3281"/>
      <c r="LIV28" s="3281"/>
      <c r="LIW28" s="3281"/>
      <c r="LIX28" s="3281"/>
      <c r="LIY28" s="3281"/>
      <c r="LIZ28" s="3281"/>
      <c r="LJA28" s="3281"/>
      <c r="LJB28" s="3281"/>
      <c r="LJC28" s="3281"/>
      <c r="LJD28" s="3281"/>
      <c r="LJE28" s="3281"/>
      <c r="LJF28" s="3281"/>
      <c r="LJG28" s="3281"/>
      <c r="LJH28" s="3281"/>
      <c r="LJI28" s="3281"/>
      <c r="LJJ28" s="3281"/>
      <c r="LJK28" s="3281"/>
      <c r="LJL28" s="3281"/>
      <c r="LJM28" s="3281"/>
      <c r="LJN28" s="3281"/>
      <c r="LJO28" s="3281"/>
      <c r="LJP28" s="3281"/>
      <c r="LJQ28" s="3281"/>
      <c r="LJR28" s="3281"/>
      <c r="LJS28" s="3281"/>
      <c r="LJT28" s="3281"/>
      <c r="LJU28" s="3281"/>
      <c r="LJV28" s="3281"/>
      <c r="LJW28" s="3281"/>
      <c r="LJX28" s="3281"/>
      <c r="LJY28" s="3281"/>
      <c r="LJZ28" s="3281"/>
      <c r="LKA28" s="3281"/>
      <c r="LKB28" s="3281"/>
      <c r="LKC28" s="3281"/>
      <c r="LKD28" s="3281"/>
      <c r="LKE28" s="3281"/>
      <c r="LKF28" s="3281"/>
      <c r="LKG28" s="3281"/>
      <c r="LKH28" s="3281"/>
      <c r="LKI28" s="3281"/>
      <c r="LKJ28" s="3281"/>
      <c r="LKK28" s="3281"/>
      <c r="LKL28" s="3281"/>
      <c r="LKM28" s="3281"/>
      <c r="LKN28" s="3281"/>
      <c r="LKO28" s="3281"/>
      <c r="LKP28" s="3281"/>
      <c r="LKQ28" s="3281"/>
      <c r="LKR28" s="3281"/>
      <c r="LKS28" s="3281"/>
      <c r="LKT28" s="3281"/>
      <c r="LKU28" s="3281"/>
      <c r="LKV28" s="3281"/>
      <c r="LKW28" s="3281"/>
      <c r="LKX28" s="3281"/>
      <c r="LKY28" s="3281"/>
      <c r="LKZ28" s="3281"/>
      <c r="LLA28" s="3281"/>
      <c r="LLB28" s="3281"/>
      <c r="LLC28" s="3281"/>
      <c r="LLD28" s="3281"/>
      <c r="LLE28" s="3281"/>
      <c r="LLF28" s="3281"/>
      <c r="LLG28" s="3281"/>
      <c r="LLH28" s="3281"/>
      <c r="LLI28" s="3281"/>
      <c r="LLJ28" s="3281"/>
      <c r="LLK28" s="3281"/>
      <c r="LLL28" s="3281"/>
      <c r="LLM28" s="3281"/>
      <c r="LLN28" s="3281"/>
      <c r="LLO28" s="3281"/>
      <c r="LLP28" s="3281"/>
      <c r="LLQ28" s="3281"/>
      <c r="LLR28" s="3281"/>
      <c r="LLS28" s="3281"/>
      <c r="LLT28" s="3281"/>
      <c r="LLU28" s="3281"/>
      <c r="LLV28" s="3281"/>
      <c r="LLW28" s="3281"/>
      <c r="LLX28" s="3281"/>
      <c r="LLY28" s="3281"/>
      <c r="LLZ28" s="3281"/>
      <c r="LMA28" s="3281"/>
      <c r="LMB28" s="3281"/>
      <c r="LMC28" s="3281"/>
      <c r="LMD28" s="3281"/>
      <c r="LME28" s="3281"/>
      <c r="LMF28" s="3281"/>
      <c r="LMG28" s="3281"/>
      <c r="LMH28" s="3281"/>
      <c r="LMI28" s="3281"/>
      <c r="LMJ28" s="3281"/>
      <c r="LMK28" s="3281"/>
      <c r="LML28" s="3281"/>
      <c r="LMM28" s="3281"/>
      <c r="LMN28" s="3281"/>
      <c r="LMO28" s="3281"/>
      <c r="LMP28" s="3281"/>
      <c r="LMQ28" s="3281"/>
      <c r="LMR28" s="3281"/>
      <c r="LMS28" s="3281"/>
      <c r="LMT28" s="3281"/>
      <c r="LMU28" s="3281"/>
      <c r="LMV28" s="3281"/>
      <c r="LMW28" s="3281"/>
      <c r="LMX28" s="3281"/>
      <c r="LMY28" s="3281"/>
      <c r="LMZ28" s="3281"/>
      <c r="LNA28" s="3281"/>
      <c r="LNB28" s="3281"/>
      <c r="LNC28" s="3281"/>
      <c r="LND28" s="3281"/>
      <c r="LNE28" s="3281"/>
      <c r="LNF28" s="3281"/>
      <c r="LNG28" s="3281"/>
      <c r="LNH28" s="3281"/>
      <c r="LNI28" s="3281"/>
      <c r="LNJ28" s="3281"/>
      <c r="LNK28" s="3281"/>
      <c r="LNL28" s="3281"/>
      <c r="LNM28" s="3281"/>
      <c r="LNN28" s="3281"/>
      <c r="LNO28" s="3281"/>
      <c r="LNP28" s="3281"/>
      <c r="LNQ28" s="3281"/>
      <c r="LNR28" s="3281"/>
      <c r="LNS28" s="3281"/>
      <c r="LNT28" s="3281"/>
      <c r="LNU28" s="3281"/>
      <c r="LNV28" s="3281"/>
      <c r="LNW28" s="3281"/>
      <c r="LNX28" s="3281"/>
      <c r="LNY28" s="3281"/>
      <c r="LNZ28" s="3281"/>
      <c r="LOA28" s="3281"/>
      <c r="LOB28" s="3281"/>
      <c r="LOC28" s="3281"/>
      <c r="LOD28" s="3281"/>
      <c r="LOE28" s="3281"/>
      <c r="LOF28" s="3281"/>
      <c r="LOG28" s="3281"/>
      <c r="LOH28" s="3281"/>
      <c r="LOI28" s="3281"/>
      <c r="LOJ28" s="3281"/>
      <c r="LOK28" s="3281"/>
      <c r="LOL28" s="3281"/>
      <c r="LOM28" s="3281"/>
      <c r="LON28" s="3281"/>
      <c r="LOO28" s="3281"/>
      <c r="LOP28" s="3281"/>
      <c r="LOQ28" s="3281"/>
      <c r="LOR28" s="3281"/>
      <c r="LOS28" s="3281"/>
      <c r="LOT28" s="3281"/>
      <c r="LOU28" s="3281"/>
      <c r="LOV28" s="3281"/>
      <c r="LOW28" s="3281"/>
      <c r="LOX28" s="3281"/>
      <c r="LOY28" s="3281"/>
      <c r="LOZ28" s="3281"/>
      <c r="LPA28" s="3281"/>
      <c r="LPB28" s="3281"/>
      <c r="LPC28" s="3281"/>
      <c r="LPD28" s="3281"/>
      <c r="LPE28" s="3281"/>
      <c r="LPF28" s="3281"/>
      <c r="LPG28" s="3281"/>
      <c r="LPH28" s="3281"/>
      <c r="LPI28" s="3281"/>
      <c r="LPJ28" s="3281"/>
      <c r="LPK28" s="3281"/>
      <c r="LPL28" s="3281"/>
      <c r="LPM28" s="3281"/>
      <c r="LPN28" s="3281"/>
      <c r="LPO28" s="3281"/>
      <c r="LPP28" s="3281"/>
      <c r="LPQ28" s="3281"/>
      <c r="LPR28" s="3281"/>
      <c r="LPS28" s="3281"/>
      <c r="LPT28" s="3281"/>
      <c r="LPU28" s="3281"/>
      <c r="LPV28" s="3281"/>
      <c r="LPW28" s="3281"/>
      <c r="LPX28" s="3281"/>
      <c r="LPY28" s="3281"/>
      <c r="LPZ28" s="3281"/>
      <c r="LQA28" s="3281"/>
      <c r="LQB28" s="3281"/>
      <c r="LQC28" s="3281"/>
      <c r="LQD28" s="3281"/>
      <c r="LQE28" s="3281"/>
      <c r="LQF28" s="3281"/>
      <c r="LQG28" s="3281"/>
      <c r="LQH28" s="3281"/>
      <c r="LQI28" s="3281"/>
      <c r="LQJ28" s="3281"/>
      <c r="LQK28" s="3281"/>
      <c r="LQL28" s="3281"/>
      <c r="LQM28" s="3281"/>
      <c r="LQN28" s="3281"/>
      <c r="LQO28" s="3281"/>
      <c r="LQP28" s="3281"/>
      <c r="LQQ28" s="3281"/>
      <c r="LQR28" s="3281"/>
      <c r="LQS28" s="3281"/>
      <c r="LQT28" s="3281"/>
      <c r="LQU28" s="3281"/>
      <c r="LQV28" s="3281"/>
      <c r="LQW28" s="3281"/>
      <c r="LQX28" s="3281"/>
      <c r="LQY28" s="3281"/>
      <c r="LQZ28" s="3281"/>
      <c r="LRA28" s="3281"/>
      <c r="LRB28" s="3281"/>
      <c r="LRC28" s="3281"/>
      <c r="LRD28" s="3281"/>
      <c r="LRE28" s="3281"/>
      <c r="LRF28" s="3281"/>
      <c r="LRG28" s="3281"/>
      <c r="LRH28" s="3281"/>
      <c r="LRI28" s="3281"/>
      <c r="LRJ28" s="3281"/>
      <c r="LRK28" s="3281"/>
      <c r="LRL28" s="3281"/>
      <c r="LRM28" s="3281"/>
      <c r="LRN28" s="3281"/>
      <c r="LRO28" s="3281"/>
      <c r="LRP28" s="3281"/>
      <c r="LRQ28" s="3281"/>
      <c r="LRR28" s="3281"/>
      <c r="LRS28" s="3281"/>
      <c r="LRT28" s="3281"/>
      <c r="LRU28" s="3281"/>
      <c r="LRV28" s="3281"/>
      <c r="LRW28" s="3281"/>
      <c r="LRX28" s="3281"/>
      <c r="LRY28" s="3281"/>
      <c r="LRZ28" s="3281"/>
      <c r="LSA28" s="3281"/>
      <c r="LSB28" s="3281"/>
      <c r="LSC28" s="3281"/>
      <c r="LSD28" s="3281"/>
      <c r="LSE28" s="3281"/>
      <c r="LSF28" s="3281"/>
      <c r="LSG28" s="3281"/>
      <c r="LSH28" s="3281"/>
      <c r="LSI28" s="3281"/>
      <c r="LSJ28" s="3281"/>
      <c r="LSK28" s="3281"/>
      <c r="LSL28" s="3281"/>
      <c r="LSM28" s="3281"/>
      <c r="LSN28" s="3281"/>
      <c r="LSO28" s="3281"/>
      <c r="LSP28" s="3281"/>
      <c r="LSQ28" s="3281"/>
      <c r="LSR28" s="3281"/>
      <c r="LSS28" s="3281"/>
      <c r="LST28" s="3281"/>
      <c r="LSU28" s="3281"/>
      <c r="LSV28" s="3281"/>
      <c r="LSW28" s="3281"/>
      <c r="LSX28" s="3281"/>
      <c r="LSY28" s="3281"/>
      <c r="LSZ28" s="3281"/>
      <c r="LTA28" s="3281"/>
      <c r="LTB28" s="3281"/>
      <c r="LTC28" s="3281"/>
      <c r="LTD28" s="3281"/>
      <c r="LTE28" s="3281"/>
      <c r="LTF28" s="3281"/>
      <c r="LTG28" s="3281"/>
      <c r="LTH28" s="3281"/>
      <c r="LTI28" s="3281"/>
      <c r="LTJ28" s="3281"/>
      <c r="LTK28" s="3281"/>
      <c r="LTL28" s="3281"/>
      <c r="LTM28" s="3281"/>
      <c r="LTN28" s="3281"/>
      <c r="LTO28" s="3281"/>
      <c r="LTP28" s="3281"/>
      <c r="LTQ28" s="3281"/>
      <c r="LTR28" s="3281"/>
      <c r="LTS28" s="3281"/>
      <c r="LTT28" s="3281"/>
      <c r="LTU28" s="3281"/>
      <c r="LTV28" s="3281"/>
      <c r="LTW28" s="3281"/>
      <c r="LTX28" s="3281"/>
      <c r="LTY28" s="3281"/>
      <c r="LTZ28" s="3281"/>
      <c r="LUA28" s="3281"/>
      <c r="LUB28" s="3281"/>
      <c r="LUC28" s="3281"/>
      <c r="LUD28" s="3281"/>
      <c r="LUE28" s="3281"/>
      <c r="LUF28" s="3281"/>
      <c r="LUG28" s="3281"/>
      <c r="LUH28" s="3281"/>
      <c r="LUI28" s="3281"/>
      <c r="LUJ28" s="3281"/>
      <c r="LUK28" s="3281"/>
      <c r="LUL28" s="3281"/>
      <c r="LUM28" s="3281"/>
      <c r="LUN28" s="3281"/>
      <c r="LUO28" s="3281"/>
      <c r="LUP28" s="3281"/>
      <c r="LUQ28" s="3281"/>
      <c r="LUR28" s="3281"/>
      <c r="LUS28" s="3281"/>
      <c r="LUT28" s="3281"/>
      <c r="LUU28" s="3281"/>
      <c r="LUV28" s="3281"/>
      <c r="LUW28" s="3281"/>
      <c r="LUX28" s="3281"/>
      <c r="LUY28" s="3281"/>
      <c r="LUZ28" s="3281"/>
      <c r="LVA28" s="3281"/>
      <c r="LVB28" s="3281"/>
      <c r="LVC28" s="3281"/>
      <c r="LVD28" s="3281"/>
      <c r="LVE28" s="3281"/>
      <c r="LVF28" s="3281"/>
      <c r="LVG28" s="3281"/>
      <c r="LVH28" s="3281"/>
      <c r="LVI28" s="3281"/>
      <c r="LVJ28" s="3281"/>
      <c r="LVK28" s="3281"/>
      <c r="LVL28" s="3281"/>
      <c r="LVM28" s="3281"/>
      <c r="LVN28" s="3281"/>
      <c r="LVO28" s="3281"/>
      <c r="LVP28" s="3281"/>
      <c r="LVQ28" s="3281"/>
      <c r="LVR28" s="3281"/>
      <c r="LVS28" s="3281"/>
      <c r="LVT28" s="3281"/>
      <c r="LVU28" s="3281"/>
      <c r="LVV28" s="3281"/>
      <c r="LVW28" s="3281"/>
      <c r="LVX28" s="3281"/>
      <c r="LVY28" s="3281"/>
      <c r="LVZ28" s="3281"/>
      <c r="LWA28" s="3281"/>
      <c r="LWB28" s="3281"/>
      <c r="LWC28" s="3281"/>
      <c r="LWD28" s="3281"/>
      <c r="LWE28" s="3281"/>
      <c r="LWF28" s="3281"/>
      <c r="LWG28" s="3281"/>
      <c r="LWH28" s="3281"/>
      <c r="LWI28" s="3281"/>
      <c r="LWJ28" s="3281"/>
      <c r="LWK28" s="3281"/>
      <c r="LWL28" s="3281"/>
      <c r="LWM28" s="3281"/>
      <c r="LWN28" s="3281"/>
      <c r="LWO28" s="3281"/>
      <c r="LWP28" s="3281"/>
      <c r="LWQ28" s="3281"/>
      <c r="LWR28" s="3281"/>
      <c r="LWS28" s="3281"/>
      <c r="LWT28" s="3281"/>
      <c r="LWU28" s="3281"/>
      <c r="LWV28" s="3281"/>
      <c r="LWW28" s="3281"/>
      <c r="LWX28" s="3281"/>
      <c r="LWY28" s="3281"/>
      <c r="LWZ28" s="3281"/>
      <c r="LXA28" s="3281"/>
      <c r="LXB28" s="3281"/>
      <c r="LXC28" s="3281"/>
      <c r="LXD28" s="3281"/>
      <c r="LXE28" s="3281"/>
      <c r="LXF28" s="3281"/>
      <c r="LXG28" s="3281"/>
      <c r="LXH28" s="3281"/>
      <c r="LXI28" s="3281"/>
      <c r="LXJ28" s="3281"/>
      <c r="LXK28" s="3281"/>
      <c r="LXL28" s="3281"/>
      <c r="LXM28" s="3281"/>
      <c r="LXN28" s="3281"/>
      <c r="LXO28" s="3281"/>
      <c r="LXP28" s="3281"/>
      <c r="LXQ28" s="3281"/>
      <c r="LXR28" s="3281"/>
      <c r="LXS28" s="3281"/>
      <c r="LXT28" s="3281"/>
      <c r="LXU28" s="3281"/>
      <c r="LXV28" s="3281"/>
      <c r="LXW28" s="3281"/>
      <c r="LXX28" s="3281"/>
      <c r="LXY28" s="3281"/>
      <c r="LXZ28" s="3281"/>
      <c r="LYA28" s="3281"/>
      <c r="LYB28" s="3281"/>
      <c r="LYC28" s="3281"/>
      <c r="LYD28" s="3281"/>
      <c r="LYE28" s="3281"/>
      <c r="LYF28" s="3281"/>
      <c r="LYG28" s="3281"/>
      <c r="LYH28" s="3281"/>
      <c r="LYI28" s="3281"/>
      <c r="LYJ28" s="3281"/>
      <c r="LYK28" s="3281"/>
      <c r="LYL28" s="3281"/>
      <c r="LYM28" s="3281"/>
      <c r="LYN28" s="3281"/>
      <c r="LYO28" s="3281"/>
      <c r="LYP28" s="3281"/>
      <c r="LYQ28" s="3281"/>
      <c r="LYR28" s="3281"/>
      <c r="LYS28" s="3281"/>
      <c r="LYT28" s="3281"/>
      <c r="LYU28" s="3281"/>
      <c r="LYV28" s="3281"/>
      <c r="LYW28" s="3281"/>
      <c r="LYX28" s="3281"/>
      <c r="LYY28" s="3281"/>
      <c r="LYZ28" s="3281"/>
      <c r="LZA28" s="3281"/>
      <c r="LZB28" s="3281"/>
      <c r="LZC28" s="3281"/>
      <c r="LZD28" s="3281"/>
      <c r="LZE28" s="3281"/>
      <c r="LZF28" s="3281"/>
      <c r="LZG28" s="3281"/>
      <c r="LZH28" s="3281"/>
      <c r="LZI28" s="3281"/>
      <c r="LZJ28" s="3281"/>
      <c r="LZK28" s="3281"/>
      <c r="LZL28" s="3281"/>
      <c r="LZM28" s="3281"/>
      <c r="LZN28" s="3281"/>
      <c r="LZO28" s="3281"/>
      <c r="LZP28" s="3281"/>
      <c r="LZQ28" s="3281"/>
      <c r="LZR28" s="3281"/>
      <c r="LZS28" s="3281"/>
      <c r="LZT28" s="3281"/>
      <c r="LZU28" s="3281"/>
      <c r="LZV28" s="3281"/>
      <c r="LZW28" s="3281"/>
      <c r="LZX28" s="3281"/>
      <c r="LZY28" s="3281"/>
      <c r="LZZ28" s="3281"/>
      <c r="MAA28" s="3281"/>
      <c r="MAB28" s="3281"/>
      <c r="MAC28" s="3281"/>
      <c r="MAD28" s="3281"/>
      <c r="MAE28" s="3281"/>
      <c r="MAF28" s="3281"/>
      <c r="MAG28" s="3281"/>
      <c r="MAH28" s="3281"/>
      <c r="MAI28" s="3281"/>
      <c r="MAJ28" s="3281"/>
      <c r="MAK28" s="3281"/>
      <c r="MAL28" s="3281"/>
      <c r="MAM28" s="3281"/>
      <c r="MAN28" s="3281"/>
      <c r="MAO28" s="3281"/>
      <c r="MAP28" s="3281"/>
      <c r="MAQ28" s="3281"/>
      <c r="MAR28" s="3281"/>
      <c r="MAS28" s="3281"/>
      <c r="MAT28" s="3281"/>
      <c r="MAU28" s="3281"/>
      <c r="MAV28" s="3281"/>
      <c r="MAW28" s="3281"/>
      <c r="MAX28" s="3281"/>
      <c r="MAY28" s="3281"/>
      <c r="MAZ28" s="3281"/>
      <c r="MBA28" s="3281"/>
      <c r="MBB28" s="3281"/>
      <c r="MBC28" s="3281"/>
      <c r="MBD28" s="3281"/>
      <c r="MBE28" s="3281"/>
      <c r="MBF28" s="3281"/>
      <c r="MBG28" s="3281"/>
      <c r="MBH28" s="3281"/>
      <c r="MBI28" s="3281"/>
      <c r="MBJ28" s="3281"/>
      <c r="MBK28" s="3281"/>
      <c r="MBL28" s="3281"/>
      <c r="MBM28" s="3281"/>
      <c r="MBN28" s="3281"/>
      <c r="MBO28" s="3281"/>
      <c r="MBP28" s="3281"/>
      <c r="MBQ28" s="3281"/>
      <c r="MBR28" s="3281"/>
      <c r="MBS28" s="3281"/>
      <c r="MBT28" s="3281"/>
      <c r="MBU28" s="3281"/>
      <c r="MBV28" s="3281"/>
      <c r="MBW28" s="3281"/>
      <c r="MBX28" s="3281"/>
      <c r="MBY28" s="3281"/>
      <c r="MBZ28" s="3281"/>
      <c r="MCA28" s="3281"/>
      <c r="MCB28" s="3281"/>
      <c r="MCC28" s="3281"/>
      <c r="MCD28" s="3281"/>
      <c r="MCE28" s="3281"/>
      <c r="MCF28" s="3281"/>
      <c r="MCG28" s="3281"/>
      <c r="MCH28" s="3281"/>
      <c r="MCI28" s="3281"/>
      <c r="MCJ28" s="3281"/>
      <c r="MCK28" s="3281"/>
      <c r="MCL28" s="3281"/>
      <c r="MCM28" s="3281"/>
      <c r="MCN28" s="3281"/>
      <c r="MCO28" s="3281"/>
      <c r="MCP28" s="3281"/>
      <c r="MCQ28" s="3281"/>
      <c r="MCR28" s="3281"/>
      <c r="MCS28" s="3281"/>
      <c r="MCT28" s="3281"/>
      <c r="MCU28" s="3281"/>
      <c r="MCV28" s="3281"/>
      <c r="MCW28" s="3281"/>
      <c r="MCX28" s="3281"/>
      <c r="MCY28" s="3281"/>
      <c r="MCZ28" s="3281"/>
      <c r="MDA28" s="3281"/>
      <c r="MDB28" s="3281"/>
      <c r="MDC28" s="3281"/>
      <c r="MDD28" s="3281"/>
      <c r="MDE28" s="3281"/>
      <c r="MDF28" s="3281"/>
      <c r="MDG28" s="3281"/>
      <c r="MDH28" s="3281"/>
      <c r="MDI28" s="3281"/>
      <c r="MDJ28" s="3281"/>
      <c r="MDK28" s="3281"/>
      <c r="MDL28" s="3281"/>
      <c r="MDM28" s="3281"/>
      <c r="MDN28" s="3281"/>
      <c r="MDO28" s="3281"/>
      <c r="MDP28" s="3281"/>
      <c r="MDQ28" s="3281"/>
      <c r="MDR28" s="3281"/>
      <c r="MDS28" s="3281"/>
      <c r="MDT28" s="3281"/>
      <c r="MDU28" s="3281"/>
      <c r="MDV28" s="3281"/>
      <c r="MDW28" s="3281"/>
      <c r="MDX28" s="3281"/>
      <c r="MDY28" s="3281"/>
      <c r="MDZ28" s="3281"/>
      <c r="MEA28" s="3281"/>
      <c r="MEB28" s="3281"/>
      <c r="MEC28" s="3281"/>
      <c r="MED28" s="3281"/>
      <c r="MEE28" s="3281"/>
      <c r="MEF28" s="3281"/>
      <c r="MEG28" s="3281"/>
      <c r="MEH28" s="3281"/>
      <c r="MEI28" s="3281"/>
      <c r="MEJ28" s="3281"/>
      <c r="MEK28" s="3281"/>
      <c r="MEL28" s="3281"/>
      <c r="MEM28" s="3281"/>
      <c r="MEN28" s="3281"/>
      <c r="MEO28" s="3281"/>
      <c r="MEP28" s="3281"/>
      <c r="MEQ28" s="3281"/>
      <c r="MER28" s="3281"/>
      <c r="MES28" s="3281"/>
      <c r="MET28" s="3281"/>
      <c r="MEU28" s="3281"/>
      <c r="MEV28" s="3281"/>
      <c r="MEW28" s="3281"/>
      <c r="MEX28" s="3281"/>
      <c r="MEY28" s="3281"/>
      <c r="MEZ28" s="3281"/>
      <c r="MFA28" s="3281"/>
      <c r="MFB28" s="3281"/>
      <c r="MFC28" s="3281"/>
      <c r="MFD28" s="3281"/>
      <c r="MFE28" s="3281"/>
      <c r="MFF28" s="3281"/>
      <c r="MFG28" s="3281"/>
      <c r="MFH28" s="3281"/>
      <c r="MFI28" s="3281"/>
      <c r="MFJ28" s="3281"/>
      <c r="MFK28" s="3281"/>
      <c r="MFL28" s="3281"/>
      <c r="MFM28" s="3281"/>
      <c r="MFN28" s="3281"/>
      <c r="MFO28" s="3281"/>
      <c r="MFP28" s="3281"/>
      <c r="MFQ28" s="3281"/>
      <c r="MFR28" s="3281"/>
      <c r="MFS28" s="3281"/>
      <c r="MFT28" s="3281"/>
      <c r="MFU28" s="3281"/>
      <c r="MFV28" s="3281"/>
      <c r="MFW28" s="3281"/>
      <c r="MFX28" s="3281"/>
      <c r="MFY28" s="3281"/>
      <c r="MFZ28" s="3281"/>
      <c r="MGA28" s="3281"/>
      <c r="MGB28" s="3281"/>
      <c r="MGC28" s="3281"/>
      <c r="MGD28" s="3281"/>
      <c r="MGE28" s="3281"/>
      <c r="MGF28" s="3281"/>
      <c r="MGG28" s="3281"/>
      <c r="MGH28" s="3281"/>
      <c r="MGI28" s="3281"/>
      <c r="MGJ28" s="3281"/>
      <c r="MGK28" s="3281"/>
      <c r="MGL28" s="3281"/>
      <c r="MGM28" s="3281"/>
      <c r="MGN28" s="3281"/>
      <c r="MGO28" s="3281"/>
      <c r="MGP28" s="3281"/>
      <c r="MGQ28" s="3281"/>
      <c r="MGR28" s="3281"/>
      <c r="MGS28" s="3281"/>
      <c r="MGT28" s="3281"/>
      <c r="MGU28" s="3281"/>
      <c r="MGV28" s="3281"/>
      <c r="MGW28" s="3281"/>
      <c r="MGX28" s="3281"/>
      <c r="MGY28" s="3281"/>
      <c r="MGZ28" s="3281"/>
      <c r="MHA28" s="3281"/>
      <c r="MHB28" s="3281"/>
      <c r="MHC28" s="3281"/>
      <c r="MHD28" s="3281"/>
      <c r="MHE28" s="3281"/>
      <c r="MHF28" s="3281"/>
      <c r="MHG28" s="3281"/>
      <c r="MHH28" s="3281"/>
      <c r="MHI28" s="3281"/>
      <c r="MHJ28" s="3281"/>
      <c r="MHK28" s="3281"/>
      <c r="MHL28" s="3281"/>
      <c r="MHM28" s="3281"/>
      <c r="MHN28" s="3281"/>
      <c r="MHO28" s="3281"/>
      <c r="MHP28" s="3281"/>
      <c r="MHQ28" s="3281"/>
      <c r="MHR28" s="3281"/>
      <c r="MHS28" s="3281"/>
      <c r="MHT28" s="3281"/>
      <c r="MHU28" s="3281"/>
      <c r="MHV28" s="3281"/>
      <c r="MHW28" s="3281"/>
      <c r="MHX28" s="3281"/>
      <c r="MHY28" s="3281"/>
      <c r="MHZ28" s="3281"/>
      <c r="MIA28" s="3281"/>
      <c r="MIB28" s="3281"/>
      <c r="MIC28" s="3281"/>
      <c r="MID28" s="3281"/>
      <c r="MIE28" s="3281"/>
      <c r="MIF28" s="3281"/>
      <c r="MIG28" s="3281"/>
      <c r="MIH28" s="3281"/>
      <c r="MII28" s="3281"/>
      <c r="MIJ28" s="3281"/>
      <c r="MIK28" s="3281"/>
      <c r="MIL28" s="3281"/>
      <c r="MIM28" s="3281"/>
      <c r="MIN28" s="3281"/>
      <c r="MIO28" s="3281"/>
      <c r="MIP28" s="3281"/>
      <c r="MIQ28" s="3281"/>
      <c r="MIR28" s="3281"/>
      <c r="MIS28" s="3281"/>
      <c r="MIT28" s="3281"/>
      <c r="MIU28" s="3281"/>
      <c r="MIV28" s="3281"/>
      <c r="MIW28" s="3281"/>
      <c r="MIX28" s="3281"/>
      <c r="MIY28" s="3281"/>
      <c r="MIZ28" s="3281"/>
      <c r="MJA28" s="3281"/>
      <c r="MJB28" s="3281"/>
      <c r="MJC28" s="3281"/>
      <c r="MJD28" s="3281"/>
      <c r="MJE28" s="3281"/>
      <c r="MJF28" s="3281"/>
      <c r="MJG28" s="3281"/>
      <c r="MJH28" s="3281"/>
      <c r="MJI28" s="3281"/>
      <c r="MJJ28" s="3281"/>
      <c r="MJK28" s="3281"/>
      <c r="MJL28" s="3281"/>
      <c r="MJM28" s="3281"/>
      <c r="MJN28" s="3281"/>
      <c r="MJO28" s="3281"/>
      <c r="MJP28" s="3281"/>
      <c r="MJQ28" s="3281"/>
      <c r="MJR28" s="3281"/>
      <c r="MJS28" s="3281"/>
      <c r="MJT28" s="3281"/>
      <c r="MJU28" s="3281"/>
      <c r="MJV28" s="3281"/>
      <c r="MJW28" s="3281"/>
      <c r="MJX28" s="3281"/>
      <c r="MJY28" s="3281"/>
      <c r="MJZ28" s="3281"/>
      <c r="MKA28" s="3281"/>
      <c r="MKB28" s="3281"/>
      <c r="MKC28" s="3281"/>
      <c r="MKD28" s="3281"/>
      <c r="MKE28" s="3281"/>
      <c r="MKF28" s="3281"/>
      <c r="MKG28" s="3281"/>
      <c r="MKH28" s="3281"/>
      <c r="MKI28" s="3281"/>
      <c r="MKJ28" s="3281"/>
      <c r="MKK28" s="3281"/>
      <c r="MKL28" s="3281"/>
      <c r="MKM28" s="3281"/>
      <c r="MKN28" s="3281"/>
      <c r="MKO28" s="3281"/>
      <c r="MKP28" s="3281"/>
      <c r="MKQ28" s="3281"/>
      <c r="MKR28" s="3281"/>
      <c r="MKS28" s="3281"/>
      <c r="MKT28" s="3281"/>
      <c r="MKU28" s="3281"/>
      <c r="MKV28" s="3281"/>
      <c r="MKW28" s="3281"/>
      <c r="MKX28" s="3281"/>
      <c r="MKY28" s="3281"/>
      <c r="MKZ28" s="3281"/>
      <c r="MLA28" s="3281"/>
      <c r="MLB28" s="3281"/>
      <c r="MLC28" s="3281"/>
      <c r="MLD28" s="3281"/>
      <c r="MLE28" s="3281"/>
      <c r="MLF28" s="3281"/>
      <c r="MLG28" s="3281"/>
      <c r="MLH28" s="3281"/>
      <c r="MLI28" s="3281"/>
      <c r="MLJ28" s="3281"/>
      <c r="MLK28" s="3281"/>
      <c r="MLL28" s="3281"/>
      <c r="MLM28" s="3281"/>
      <c r="MLN28" s="3281"/>
      <c r="MLO28" s="3281"/>
      <c r="MLP28" s="3281"/>
      <c r="MLQ28" s="3281"/>
      <c r="MLR28" s="3281"/>
      <c r="MLS28" s="3281"/>
      <c r="MLT28" s="3281"/>
      <c r="MLU28" s="3281"/>
      <c r="MLV28" s="3281"/>
      <c r="MLW28" s="3281"/>
      <c r="MLX28" s="3281"/>
      <c r="MLY28" s="3281"/>
      <c r="MLZ28" s="3281"/>
      <c r="MMA28" s="3281"/>
      <c r="MMB28" s="3281"/>
      <c r="MMC28" s="3281"/>
      <c r="MMD28" s="3281"/>
      <c r="MME28" s="3281"/>
      <c r="MMF28" s="3281"/>
      <c r="MMG28" s="3281"/>
      <c r="MMH28" s="3281"/>
      <c r="MMI28" s="3281"/>
      <c r="MMJ28" s="3281"/>
      <c r="MMK28" s="3281"/>
      <c r="MML28" s="3281"/>
      <c r="MMM28" s="3281"/>
      <c r="MMN28" s="3281"/>
      <c r="MMO28" s="3281"/>
      <c r="MMP28" s="3281"/>
      <c r="MMQ28" s="3281"/>
      <c r="MMR28" s="3281"/>
      <c r="MMS28" s="3281"/>
      <c r="MMT28" s="3281"/>
      <c r="MMU28" s="3281"/>
      <c r="MMV28" s="3281"/>
      <c r="MMW28" s="3281"/>
      <c r="MMX28" s="3281"/>
      <c r="MMY28" s="3281"/>
      <c r="MMZ28" s="3281"/>
      <c r="MNA28" s="3281"/>
      <c r="MNB28" s="3281"/>
      <c r="MNC28" s="3281"/>
      <c r="MND28" s="3281"/>
      <c r="MNE28" s="3281"/>
      <c r="MNF28" s="3281"/>
      <c r="MNG28" s="3281"/>
      <c r="MNH28" s="3281"/>
      <c r="MNI28" s="3281"/>
      <c r="MNJ28" s="3281"/>
      <c r="MNK28" s="3281"/>
      <c r="MNL28" s="3281"/>
      <c r="MNM28" s="3281"/>
      <c r="MNN28" s="3281"/>
      <c r="MNO28" s="3281"/>
      <c r="MNP28" s="3281"/>
      <c r="MNQ28" s="3281"/>
      <c r="MNR28" s="3281"/>
      <c r="MNS28" s="3281"/>
      <c r="MNT28" s="3281"/>
      <c r="MNU28" s="3281"/>
      <c r="MNV28" s="3281"/>
      <c r="MNW28" s="3281"/>
      <c r="MNX28" s="3281"/>
      <c r="MNY28" s="3281"/>
      <c r="MNZ28" s="3281"/>
      <c r="MOA28" s="3281"/>
      <c r="MOB28" s="3281"/>
      <c r="MOC28" s="3281"/>
      <c r="MOD28" s="3281"/>
      <c r="MOE28" s="3281"/>
      <c r="MOF28" s="3281"/>
      <c r="MOG28" s="3281"/>
      <c r="MOH28" s="3281"/>
      <c r="MOI28" s="3281"/>
      <c r="MOJ28" s="3281"/>
      <c r="MOK28" s="3281"/>
      <c r="MOL28" s="3281"/>
      <c r="MOM28" s="3281"/>
      <c r="MON28" s="3281"/>
      <c r="MOO28" s="3281"/>
      <c r="MOP28" s="3281"/>
      <c r="MOQ28" s="3281"/>
      <c r="MOR28" s="3281"/>
      <c r="MOS28" s="3281"/>
      <c r="MOT28" s="3281"/>
      <c r="MOU28" s="3281"/>
      <c r="MOV28" s="3281"/>
      <c r="MOW28" s="3281"/>
      <c r="MOX28" s="3281"/>
      <c r="MOY28" s="3281"/>
      <c r="MOZ28" s="3281"/>
      <c r="MPA28" s="3281"/>
      <c r="MPB28" s="3281"/>
      <c r="MPC28" s="3281"/>
      <c r="MPD28" s="3281"/>
      <c r="MPE28" s="3281"/>
      <c r="MPF28" s="3281"/>
      <c r="MPG28" s="3281"/>
      <c r="MPH28" s="3281"/>
      <c r="MPI28" s="3281"/>
      <c r="MPJ28" s="3281"/>
      <c r="MPK28" s="3281"/>
      <c r="MPL28" s="3281"/>
      <c r="MPM28" s="3281"/>
      <c r="MPN28" s="3281"/>
      <c r="MPO28" s="3281"/>
      <c r="MPP28" s="3281"/>
      <c r="MPQ28" s="3281"/>
      <c r="MPR28" s="3281"/>
      <c r="MPS28" s="3281"/>
      <c r="MPT28" s="3281"/>
      <c r="MPU28" s="3281"/>
      <c r="MPV28" s="3281"/>
      <c r="MPW28" s="3281"/>
      <c r="MPX28" s="3281"/>
      <c r="MPY28" s="3281"/>
      <c r="MPZ28" s="3281"/>
      <c r="MQA28" s="3281"/>
      <c r="MQB28" s="3281"/>
      <c r="MQC28" s="3281"/>
      <c r="MQD28" s="3281"/>
      <c r="MQE28" s="3281"/>
      <c r="MQF28" s="3281"/>
      <c r="MQG28" s="3281"/>
      <c r="MQH28" s="3281"/>
      <c r="MQI28" s="3281"/>
      <c r="MQJ28" s="3281"/>
      <c r="MQK28" s="3281"/>
      <c r="MQL28" s="3281"/>
      <c r="MQM28" s="3281"/>
      <c r="MQN28" s="3281"/>
      <c r="MQO28" s="3281"/>
      <c r="MQP28" s="3281"/>
      <c r="MQQ28" s="3281"/>
      <c r="MQR28" s="3281"/>
      <c r="MQS28" s="3281"/>
      <c r="MQT28" s="3281"/>
      <c r="MQU28" s="3281"/>
      <c r="MQV28" s="3281"/>
      <c r="MQW28" s="3281"/>
      <c r="MQX28" s="3281"/>
      <c r="MQY28" s="3281"/>
      <c r="MQZ28" s="3281"/>
      <c r="MRA28" s="3281"/>
      <c r="MRB28" s="3281"/>
      <c r="MRC28" s="3281"/>
      <c r="MRD28" s="3281"/>
      <c r="MRE28" s="3281"/>
      <c r="MRF28" s="3281"/>
      <c r="MRG28" s="3281"/>
      <c r="MRH28" s="3281"/>
      <c r="MRI28" s="3281"/>
      <c r="MRJ28" s="3281"/>
      <c r="MRK28" s="3281"/>
      <c r="MRL28" s="3281"/>
      <c r="MRM28" s="3281"/>
      <c r="MRN28" s="3281"/>
      <c r="MRO28" s="3281"/>
      <c r="MRP28" s="3281"/>
      <c r="MRQ28" s="3281"/>
      <c r="MRR28" s="3281"/>
      <c r="MRS28" s="3281"/>
      <c r="MRT28" s="3281"/>
      <c r="MRU28" s="3281"/>
      <c r="MRV28" s="3281"/>
      <c r="MRW28" s="3281"/>
      <c r="MRX28" s="3281"/>
      <c r="MRY28" s="3281"/>
      <c r="MRZ28" s="3281"/>
      <c r="MSA28" s="3281"/>
      <c r="MSB28" s="3281"/>
      <c r="MSC28" s="3281"/>
      <c r="MSD28" s="3281"/>
      <c r="MSE28" s="3281"/>
      <c r="MSF28" s="3281"/>
      <c r="MSG28" s="3281"/>
      <c r="MSH28" s="3281"/>
      <c r="MSI28" s="3281"/>
      <c r="MSJ28" s="3281"/>
      <c r="MSK28" s="3281"/>
      <c r="MSL28" s="3281"/>
      <c r="MSM28" s="3281"/>
      <c r="MSN28" s="3281"/>
      <c r="MSO28" s="3281"/>
      <c r="MSP28" s="3281"/>
      <c r="MSQ28" s="3281"/>
      <c r="MSR28" s="3281"/>
      <c r="MSS28" s="3281"/>
      <c r="MST28" s="3281"/>
      <c r="MSU28" s="3281"/>
      <c r="MSV28" s="3281"/>
      <c r="MSW28" s="3281"/>
      <c r="MSX28" s="3281"/>
      <c r="MSY28" s="3281"/>
      <c r="MSZ28" s="3281"/>
      <c r="MTA28" s="3281"/>
      <c r="MTB28" s="3281"/>
      <c r="MTC28" s="3281"/>
      <c r="MTD28" s="3281"/>
      <c r="MTE28" s="3281"/>
      <c r="MTF28" s="3281"/>
      <c r="MTG28" s="3281"/>
      <c r="MTH28" s="3281"/>
      <c r="MTI28" s="3281"/>
      <c r="MTJ28" s="3281"/>
      <c r="MTK28" s="3281"/>
      <c r="MTL28" s="3281"/>
      <c r="MTM28" s="3281"/>
      <c r="MTN28" s="3281"/>
      <c r="MTO28" s="3281"/>
      <c r="MTP28" s="3281"/>
      <c r="MTQ28" s="3281"/>
      <c r="MTR28" s="3281"/>
      <c r="MTS28" s="3281"/>
      <c r="MTT28" s="3281"/>
      <c r="MTU28" s="3281"/>
      <c r="MTV28" s="3281"/>
      <c r="MTW28" s="3281"/>
      <c r="MTX28" s="3281"/>
      <c r="MTY28" s="3281"/>
      <c r="MTZ28" s="3281"/>
      <c r="MUA28" s="3281"/>
      <c r="MUB28" s="3281"/>
      <c r="MUC28" s="3281"/>
      <c r="MUD28" s="3281"/>
      <c r="MUE28" s="3281"/>
      <c r="MUF28" s="3281"/>
      <c r="MUG28" s="3281"/>
      <c r="MUH28" s="3281"/>
      <c r="MUI28" s="3281"/>
      <c r="MUJ28" s="3281"/>
      <c r="MUK28" s="3281"/>
      <c r="MUL28" s="3281"/>
      <c r="MUM28" s="3281"/>
      <c r="MUN28" s="3281"/>
      <c r="MUO28" s="3281"/>
      <c r="MUP28" s="3281"/>
      <c r="MUQ28" s="3281"/>
      <c r="MUR28" s="3281"/>
      <c r="MUS28" s="3281"/>
      <c r="MUT28" s="3281"/>
      <c r="MUU28" s="3281"/>
      <c r="MUV28" s="3281"/>
      <c r="MUW28" s="3281"/>
      <c r="MUX28" s="3281"/>
      <c r="MUY28" s="3281"/>
      <c r="MUZ28" s="3281"/>
      <c r="MVA28" s="3281"/>
      <c r="MVB28" s="3281"/>
      <c r="MVC28" s="3281"/>
      <c r="MVD28" s="3281"/>
      <c r="MVE28" s="3281"/>
      <c r="MVF28" s="3281"/>
      <c r="MVG28" s="3281"/>
      <c r="MVH28" s="3281"/>
      <c r="MVI28" s="3281"/>
      <c r="MVJ28" s="3281"/>
      <c r="MVK28" s="3281"/>
      <c r="MVL28" s="3281"/>
      <c r="MVM28" s="3281"/>
      <c r="MVN28" s="3281"/>
      <c r="MVO28" s="3281"/>
      <c r="MVP28" s="3281"/>
      <c r="MVQ28" s="3281"/>
      <c r="MVR28" s="3281"/>
      <c r="MVS28" s="3281"/>
      <c r="MVT28" s="3281"/>
      <c r="MVU28" s="3281"/>
      <c r="MVV28" s="3281"/>
      <c r="MVW28" s="3281"/>
      <c r="MVX28" s="3281"/>
      <c r="MVY28" s="3281"/>
      <c r="MVZ28" s="3281"/>
      <c r="MWA28" s="3281"/>
      <c r="MWB28" s="3281"/>
      <c r="MWC28" s="3281"/>
      <c r="MWD28" s="3281"/>
      <c r="MWE28" s="3281"/>
      <c r="MWF28" s="3281"/>
      <c r="MWG28" s="3281"/>
      <c r="MWH28" s="3281"/>
      <c r="MWI28" s="3281"/>
      <c r="MWJ28" s="3281"/>
      <c r="MWK28" s="3281"/>
      <c r="MWL28" s="3281"/>
      <c r="MWM28" s="3281"/>
      <c r="MWN28" s="3281"/>
      <c r="MWO28" s="3281"/>
      <c r="MWP28" s="3281"/>
      <c r="MWQ28" s="3281"/>
      <c r="MWR28" s="3281"/>
      <c r="MWS28" s="3281"/>
      <c r="MWT28" s="3281"/>
      <c r="MWU28" s="3281"/>
      <c r="MWV28" s="3281"/>
      <c r="MWW28" s="3281"/>
      <c r="MWX28" s="3281"/>
      <c r="MWY28" s="3281"/>
      <c r="MWZ28" s="3281"/>
      <c r="MXA28" s="3281"/>
      <c r="MXB28" s="3281"/>
      <c r="MXC28" s="3281"/>
      <c r="MXD28" s="3281"/>
      <c r="MXE28" s="3281"/>
      <c r="MXF28" s="3281"/>
      <c r="MXG28" s="3281"/>
      <c r="MXH28" s="3281"/>
      <c r="MXI28" s="3281"/>
      <c r="MXJ28" s="3281"/>
      <c r="MXK28" s="3281"/>
      <c r="MXL28" s="3281"/>
      <c r="MXM28" s="3281"/>
      <c r="MXN28" s="3281"/>
      <c r="MXO28" s="3281"/>
      <c r="MXP28" s="3281"/>
      <c r="MXQ28" s="3281"/>
      <c r="MXR28" s="3281"/>
      <c r="MXS28" s="3281"/>
      <c r="MXT28" s="3281"/>
      <c r="MXU28" s="3281"/>
      <c r="MXV28" s="3281"/>
      <c r="MXW28" s="3281"/>
      <c r="MXX28" s="3281"/>
      <c r="MXY28" s="3281"/>
      <c r="MXZ28" s="3281"/>
      <c r="MYA28" s="3281"/>
      <c r="MYB28" s="3281"/>
      <c r="MYC28" s="3281"/>
      <c r="MYD28" s="3281"/>
      <c r="MYE28" s="3281"/>
      <c r="MYF28" s="3281"/>
      <c r="MYG28" s="3281"/>
      <c r="MYH28" s="3281"/>
      <c r="MYI28" s="3281"/>
      <c r="MYJ28" s="3281"/>
      <c r="MYK28" s="3281"/>
      <c r="MYL28" s="3281"/>
      <c r="MYM28" s="3281"/>
      <c r="MYN28" s="3281"/>
      <c r="MYO28" s="3281"/>
      <c r="MYP28" s="3281"/>
      <c r="MYQ28" s="3281"/>
      <c r="MYR28" s="3281"/>
      <c r="MYS28" s="3281"/>
      <c r="MYT28" s="3281"/>
      <c r="MYU28" s="3281"/>
      <c r="MYV28" s="3281"/>
      <c r="MYW28" s="3281"/>
      <c r="MYX28" s="3281"/>
      <c r="MYY28" s="3281"/>
      <c r="MYZ28" s="3281"/>
      <c r="MZA28" s="3281"/>
      <c r="MZB28" s="3281"/>
      <c r="MZC28" s="3281"/>
      <c r="MZD28" s="3281"/>
      <c r="MZE28" s="3281"/>
      <c r="MZF28" s="3281"/>
      <c r="MZG28" s="3281"/>
      <c r="MZH28" s="3281"/>
      <c r="MZI28" s="3281"/>
      <c r="MZJ28" s="3281"/>
      <c r="MZK28" s="3281"/>
      <c r="MZL28" s="3281"/>
      <c r="MZM28" s="3281"/>
      <c r="MZN28" s="3281"/>
      <c r="MZO28" s="3281"/>
      <c r="MZP28" s="3281"/>
      <c r="MZQ28" s="3281"/>
      <c r="MZR28" s="3281"/>
      <c r="MZS28" s="3281"/>
      <c r="MZT28" s="3281"/>
      <c r="MZU28" s="3281"/>
      <c r="MZV28" s="3281"/>
      <c r="MZW28" s="3281"/>
      <c r="MZX28" s="3281"/>
      <c r="MZY28" s="3281"/>
      <c r="MZZ28" s="3281"/>
      <c r="NAA28" s="3281"/>
      <c r="NAB28" s="3281"/>
      <c r="NAC28" s="3281"/>
      <c r="NAD28" s="3281"/>
      <c r="NAE28" s="3281"/>
      <c r="NAF28" s="3281"/>
      <c r="NAG28" s="3281"/>
      <c r="NAH28" s="3281"/>
      <c r="NAI28" s="3281"/>
      <c r="NAJ28" s="3281"/>
      <c r="NAK28" s="3281"/>
      <c r="NAL28" s="3281"/>
      <c r="NAM28" s="3281"/>
      <c r="NAN28" s="3281"/>
      <c r="NAO28" s="3281"/>
      <c r="NAP28" s="3281"/>
      <c r="NAQ28" s="3281"/>
      <c r="NAR28" s="3281"/>
      <c r="NAS28" s="3281"/>
      <c r="NAT28" s="3281"/>
      <c r="NAU28" s="3281"/>
      <c r="NAV28" s="3281"/>
      <c r="NAW28" s="3281"/>
      <c r="NAX28" s="3281"/>
      <c r="NAY28" s="3281"/>
      <c r="NAZ28" s="3281"/>
      <c r="NBA28" s="3281"/>
      <c r="NBB28" s="3281"/>
      <c r="NBC28" s="3281"/>
      <c r="NBD28" s="3281"/>
      <c r="NBE28" s="3281"/>
      <c r="NBF28" s="3281"/>
      <c r="NBG28" s="3281"/>
      <c r="NBH28" s="3281"/>
      <c r="NBI28" s="3281"/>
      <c r="NBJ28" s="3281"/>
      <c r="NBK28" s="3281"/>
      <c r="NBL28" s="3281"/>
      <c r="NBM28" s="3281"/>
      <c r="NBN28" s="3281"/>
      <c r="NBO28" s="3281"/>
      <c r="NBP28" s="3281"/>
      <c r="NBQ28" s="3281"/>
      <c r="NBR28" s="3281"/>
      <c r="NBS28" s="3281"/>
      <c r="NBT28" s="3281"/>
      <c r="NBU28" s="3281"/>
      <c r="NBV28" s="3281"/>
      <c r="NBW28" s="3281"/>
      <c r="NBX28" s="3281"/>
      <c r="NBY28" s="3281"/>
      <c r="NBZ28" s="3281"/>
      <c r="NCA28" s="3281"/>
      <c r="NCB28" s="3281"/>
      <c r="NCC28" s="3281"/>
      <c r="NCD28" s="3281"/>
      <c r="NCE28" s="3281"/>
      <c r="NCF28" s="3281"/>
      <c r="NCG28" s="3281"/>
      <c r="NCH28" s="3281"/>
      <c r="NCI28" s="3281"/>
      <c r="NCJ28" s="3281"/>
      <c r="NCK28" s="3281"/>
      <c r="NCL28" s="3281"/>
      <c r="NCM28" s="3281"/>
      <c r="NCN28" s="3281"/>
      <c r="NCO28" s="3281"/>
      <c r="NCP28" s="3281"/>
      <c r="NCQ28" s="3281"/>
      <c r="NCR28" s="3281"/>
      <c r="NCS28" s="3281"/>
      <c r="NCT28" s="3281"/>
      <c r="NCU28" s="3281"/>
      <c r="NCV28" s="3281"/>
      <c r="NCW28" s="3281"/>
      <c r="NCX28" s="3281"/>
      <c r="NCY28" s="3281"/>
      <c r="NCZ28" s="3281"/>
      <c r="NDA28" s="3281"/>
      <c r="NDB28" s="3281"/>
      <c r="NDC28" s="3281"/>
      <c r="NDD28" s="3281"/>
      <c r="NDE28" s="3281"/>
      <c r="NDF28" s="3281"/>
      <c r="NDG28" s="3281"/>
      <c r="NDH28" s="3281"/>
      <c r="NDI28" s="3281"/>
      <c r="NDJ28" s="3281"/>
      <c r="NDK28" s="3281"/>
      <c r="NDL28" s="3281"/>
      <c r="NDM28" s="3281"/>
      <c r="NDN28" s="3281"/>
      <c r="NDO28" s="3281"/>
      <c r="NDP28" s="3281"/>
      <c r="NDQ28" s="3281"/>
      <c r="NDR28" s="3281"/>
      <c r="NDS28" s="3281"/>
      <c r="NDT28" s="3281"/>
      <c r="NDU28" s="3281"/>
      <c r="NDV28" s="3281"/>
      <c r="NDW28" s="3281"/>
      <c r="NDX28" s="3281"/>
      <c r="NDY28" s="3281"/>
      <c r="NDZ28" s="3281"/>
      <c r="NEA28" s="3281"/>
      <c r="NEB28" s="3281"/>
      <c r="NEC28" s="3281"/>
      <c r="NED28" s="3281"/>
      <c r="NEE28" s="3281"/>
      <c r="NEF28" s="3281"/>
      <c r="NEG28" s="3281"/>
      <c r="NEH28" s="3281"/>
      <c r="NEI28" s="3281"/>
      <c r="NEJ28" s="3281"/>
      <c r="NEK28" s="3281"/>
      <c r="NEL28" s="3281"/>
      <c r="NEM28" s="3281"/>
      <c r="NEN28" s="3281"/>
      <c r="NEO28" s="3281"/>
      <c r="NEP28" s="3281"/>
      <c r="NEQ28" s="3281"/>
      <c r="NER28" s="3281"/>
      <c r="NES28" s="3281"/>
      <c r="NET28" s="3281"/>
      <c r="NEU28" s="3281"/>
      <c r="NEV28" s="3281"/>
      <c r="NEW28" s="3281"/>
      <c r="NEX28" s="3281"/>
      <c r="NEY28" s="3281"/>
      <c r="NEZ28" s="3281"/>
      <c r="NFA28" s="3281"/>
      <c r="NFB28" s="3281"/>
      <c r="NFC28" s="3281"/>
      <c r="NFD28" s="3281"/>
      <c r="NFE28" s="3281"/>
      <c r="NFF28" s="3281"/>
      <c r="NFG28" s="3281"/>
      <c r="NFH28" s="3281"/>
      <c r="NFI28" s="3281"/>
      <c r="NFJ28" s="3281"/>
      <c r="NFK28" s="3281"/>
      <c r="NFL28" s="3281"/>
      <c r="NFM28" s="3281"/>
      <c r="NFN28" s="3281"/>
      <c r="NFO28" s="3281"/>
      <c r="NFP28" s="3281"/>
      <c r="NFQ28" s="3281"/>
      <c r="NFR28" s="3281"/>
      <c r="NFS28" s="3281"/>
      <c r="NFT28" s="3281"/>
      <c r="NFU28" s="3281"/>
      <c r="NFV28" s="3281"/>
      <c r="NFW28" s="3281"/>
      <c r="NFX28" s="3281"/>
      <c r="NFY28" s="3281"/>
      <c r="NFZ28" s="3281"/>
      <c r="NGA28" s="3281"/>
      <c r="NGB28" s="3281"/>
      <c r="NGC28" s="3281"/>
      <c r="NGD28" s="3281"/>
      <c r="NGE28" s="3281"/>
      <c r="NGF28" s="3281"/>
      <c r="NGG28" s="3281"/>
      <c r="NGH28" s="3281"/>
      <c r="NGI28" s="3281"/>
      <c r="NGJ28" s="3281"/>
      <c r="NGK28" s="3281"/>
      <c r="NGL28" s="3281"/>
      <c r="NGM28" s="3281"/>
      <c r="NGN28" s="3281"/>
      <c r="NGO28" s="3281"/>
      <c r="NGP28" s="3281"/>
      <c r="NGQ28" s="3281"/>
      <c r="NGR28" s="3281"/>
      <c r="NGS28" s="3281"/>
      <c r="NGT28" s="3281"/>
      <c r="NGU28" s="3281"/>
      <c r="NGV28" s="3281"/>
      <c r="NGW28" s="3281"/>
      <c r="NGX28" s="3281"/>
      <c r="NGY28" s="3281"/>
      <c r="NGZ28" s="3281"/>
      <c r="NHA28" s="3281"/>
      <c r="NHB28" s="3281"/>
      <c r="NHC28" s="3281"/>
      <c r="NHD28" s="3281"/>
      <c r="NHE28" s="3281"/>
      <c r="NHF28" s="3281"/>
      <c r="NHG28" s="3281"/>
      <c r="NHH28" s="3281"/>
      <c r="NHI28" s="3281"/>
      <c r="NHJ28" s="3281"/>
      <c r="NHK28" s="3281"/>
      <c r="NHL28" s="3281"/>
      <c r="NHM28" s="3281"/>
      <c r="NHN28" s="3281"/>
      <c r="NHO28" s="3281"/>
      <c r="NHP28" s="3281"/>
      <c r="NHQ28" s="3281"/>
      <c r="NHR28" s="3281"/>
      <c r="NHS28" s="3281"/>
      <c r="NHT28" s="3281"/>
      <c r="NHU28" s="3281"/>
      <c r="NHV28" s="3281"/>
      <c r="NHW28" s="3281"/>
      <c r="NHX28" s="3281"/>
      <c r="NHY28" s="3281"/>
      <c r="NHZ28" s="3281"/>
      <c r="NIA28" s="3281"/>
      <c r="NIB28" s="3281"/>
      <c r="NIC28" s="3281"/>
      <c r="NID28" s="3281"/>
      <c r="NIE28" s="3281"/>
      <c r="NIF28" s="3281"/>
      <c r="NIG28" s="3281"/>
      <c r="NIH28" s="3281"/>
      <c r="NII28" s="3281"/>
      <c r="NIJ28" s="3281"/>
      <c r="NIK28" s="3281"/>
      <c r="NIL28" s="3281"/>
      <c r="NIM28" s="3281"/>
      <c r="NIN28" s="3281"/>
      <c r="NIO28" s="3281"/>
      <c r="NIP28" s="3281"/>
      <c r="NIQ28" s="3281"/>
      <c r="NIR28" s="3281"/>
      <c r="NIS28" s="3281"/>
      <c r="NIT28" s="3281"/>
      <c r="NIU28" s="3281"/>
      <c r="NIV28" s="3281"/>
      <c r="NIW28" s="3281"/>
      <c r="NIX28" s="3281"/>
      <c r="NIY28" s="3281"/>
      <c r="NIZ28" s="3281"/>
      <c r="NJA28" s="3281"/>
      <c r="NJB28" s="3281"/>
      <c r="NJC28" s="3281"/>
      <c r="NJD28" s="3281"/>
      <c r="NJE28" s="3281"/>
      <c r="NJF28" s="3281"/>
      <c r="NJG28" s="3281"/>
      <c r="NJH28" s="3281"/>
      <c r="NJI28" s="3281"/>
      <c r="NJJ28" s="3281"/>
      <c r="NJK28" s="3281"/>
      <c r="NJL28" s="3281"/>
      <c r="NJM28" s="3281"/>
      <c r="NJN28" s="3281"/>
      <c r="NJO28" s="3281"/>
      <c r="NJP28" s="3281"/>
      <c r="NJQ28" s="3281"/>
      <c r="NJR28" s="3281"/>
      <c r="NJS28" s="3281"/>
      <c r="NJT28" s="3281"/>
      <c r="NJU28" s="3281"/>
      <c r="NJV28" s="3281"/>
      <c r="NJW28" s="3281"/>
      <c r="NJX28" s="3281"/>
      <c r="NJY28" s="3281"/>
      <c r="NJZ28" s="3281"/>
      <c r="NKA28" s="3281"/>
      <c r="NKB28" s="3281"/>
      <c r="NKC28" s="3281"/>
      <c r="NKD28" s="3281"/>
      <c r="NKE28" s="3281"/>
      <c r="NKF28" s="3281"/>
      <c r="NKG28" s="3281"/>
      <c r="NKH28" s="3281"/>
      <c r="NKI28" s="3281"/>
      <c r="NKJ28" s="3281"/>
      <c r="NKK28" s="3281"/>
      <c r="NKL28" s="3281"/>
      <c r="NKM28" s="3281"/>
      <c r="NKN28" s="3281"/>
      <c r="NKO28" s="3281"/>
      <c r="NKP28" s="3281"/>
      <c r="NKQ28" s="3281"/>
      <c r="NKR28" s="3281"/>
      <c r="NKS28" s="3281"/>
      <c r="NKT28" s="3281"/>
      <c r="NKU28" s="3281"/>
      <c r="NKV28" s="3281"/>
      <c r="NKW28" s="3281"/>
      <c r="NKX28" s="3281"/>
      <c r="NKY28" s="3281"/>
      <c r="NKZ28" s="3281"/>
      <c r="NLA28" s="3281"/>
      <c r="NLB28" s="3281"/>
      <c r="NLC28" s="3281"/>
      <c r="NLD28" s="3281"/>
      <c r="NLE28" s="3281"/>
      <c r="NLF28" s="3281"/>
      <c r="NLG28" s="3281"/>
      <c r="NLH28" s="3281"/>
      <c r="NLI28" s="3281"/>
      <c r="NLJ28" s="3281"/>
      <c r="NLK28" s="3281"/>
      <c r="NLL28" s="3281"/>
      <c r="NLM28" s="3281"/>
      <c r="NLN28" s="3281"/>
      <c r="NLO28" s="3281"/>
      <c r="NLP28" s="3281"/>
      <c r="NLQ28" s="3281"/>
      <c r="NLR28" s="3281"/>
      <c r="NLS28" s="3281"/>
      <c r="NLT28" s="3281"/>
      <c r="NLU28" s="3281"/>
      <c r="NLV28" s="3281"/>
      <c r="NLW28" s="3281"/>
      <c r="NLX28" s="3281"/>
      <c r="NLY28" s="3281"/>
      <c r="NLZ28" s="3281"/>
      <c r="NMA28" s="3281"/>
      <c r="NMB28" s="3281"/>
      <c r="NMC28" s="3281"/>
      <c r="NMD28" s="3281"/>
      <c r="NME28" s="3281"/>
      <c r="NMF28" s="3281"/>
      <c r="NMG28" s="3281"/>
      <c r="NMH28" s="3281"/>
      <c r="NMI28" s="3281"/>
      <c r="NMJ28" s="3281"/>
      <c r="NMK28" s="3281"/>
      <c r="NML28" s="3281"/>
      <c r="NMM28" s="3281"/>
      <c r="NMN28" s="3281"/>
      <c r="NMO28" s="3281"/>
      <c r="NMP28" s="3281"/>
      <c r="NMQ28" s="3281"/>
      <c r="NMR28" s="3281"/>
      <c r="NMS28" s="3281"/>
      <c r="NMT28" s="3281"/>
      <c r="NMU28" s="3281"/>
      <c r="NMV28" s="3281"/>
      <c r="NMW28" s="3281"/>
      <c r="NMX28" s="3281"/>
      <c r="NMY28" s="3281"/>
      <c r="NMZ28" s="3281"/>
      <c r="NNA28" s="3281"/>
      <c r="NNB28" s="3281"/>
      <c r="NNC28" s="3281"/>
      <c r="NND28" s="3281"/>
      <c r="NNE28" s="3281"/>
      <c r="NNF28" s="3281"/>
      <c r="NNG28" s="3281"/>
      <c r="NNH28" s="3281"/>
      <c r="NNI28" s="3281"/>
      <c r="NNJ28" s="3281"/>
      <c r="NNK28" s="3281"/>
      <c r="NNL28" s="3281"/>
      <c r="NNM28" s="3281"/>
      <c r="NNN28" s="3281"/>
      <c r="NNO28" s="3281"/>
      <c r="NNP28" s="3281"/>
      <c r="NNQ28" s="3281"/>
      <c r="NNR28" s="3281"/>
      <c r="NNS28" s="3281"/>
      <c r="NNT28" s="3281"/>
      <c r="NNU28" s="3281"/>
      <c r="NNV28" s="3281"/>
      <c r="NNW28" s="3281"/>
      <c r="NNX28" s="3281"/>
      <c r="NNY28" s="3281"/>
      <c r="NNZ28" s="3281"/>
      <c r="NOA28" s="3281"/>
      <c r="NOB28" s="3281"/>
      <c r="NOC28" s="3281"/>
      <c r="NOD28" s="3281"/>
      <c r="NOE28" s="3281"/>
      <c r="NOF28" s="3281"/>
      <c r="NOG28" s="3281"/>
      <c r="NOH28" s="3281"/>
      <c r="NOI28" s="3281"/>
      <c r="NOJ28" s="3281"/>
      <c r="NOK28" s="3281"/>
      <c r="NOL28" s="3281"/>
      <c r="NOM28" s="3281"/>
      <c r="NON28" s="3281"/>
      <c r="NOO28" s="3281"/>
      <c r="NOP28" s="3281"/>
      <c r="NOQ28" s="3281"/>
      <c r="NOR28" s="3281"/>
      <c r="NOS28" s="3281"/>
      <c r="NOT28" s="3281"/>
      <c r="NOU28" s="3281"/>
      <c r="NOV28" s="3281"/>
      <c r="NOW28" s="3281"/>
      <c r="NOX28" s="3281"/>
      <c r="NOY28" s="3281"/>
      <c r="NOZ28" s="3281"/>
      <c r="NPA28" s="3281"/>
      <c r="NPB28" s="3281"/>
      <c r="NPC28" s="3281"/>
      <c r="NPD28" s="3281"/>
      <c r="NPE28" s="3281"/>
      <c r="NPF28" s="3281"/>
      <c r="NPG28" s="3281"/>
      <c r="NPH28" s="3281"/>
      <c r="NPI28" s="3281"/>
      <c r="NPJ28" s="3281"/>
      <c r="NPK28" s="3281"/>
      <c r="NPL28" s="3281"/>
      <c r="NPM28" s="3281"/>
      <c r="NPN28" s="3281"/>
      <c r="NPO28" s="3281"/>
      <c r="NPP28" s="3281"/>
      <c r="NPQ28" s="3281"/>
      <c r="NPR28" s="3281"/>
      <c r="NPS28" s="3281"/>
      <c r="NPT28" s="3281"/>
      <c r="NPU28" s="3281"/>
      <c r="NPV28" s="3281"/>
      <c r="NPW28" s="3281"/>
      <c r="NPX28" s="3281"/>
      <c r="NPY28" s="3281"/>
      <c r="NPZ28" s="3281"/>
      <c r="NQA28" s="3281"/>
      <c r="NQB28" s="3281"/>
      <c r="NQC28" s="3281"/>
      <c r="NQD28" s="3281"/>
      <c r="NQE28" s="3281"/>
      <c r="NQF28" s="3281"/>
      <c r="NQG28" s="3281"/>
      <c r="NQH28" s="3281"/>
      <c r="NQI28" s="3281"/>
      <c r="NQJ28" s="3281"/>
      <c r="NQK28" s="3281"/>
      <c r="NQL28" s="3281"/>
      <c r="NQM28" s="3281"/>
      <c r="NQN28" s="3281"/>
      <c r="NQO28" s="3281"/>
      <c r="NQP28" s="3281"/>
      <c r="NQQ28" s="3281"/>
      <c r="NQR28" s="3281"/>
      <c r="NQS28" s="3281"/>
      <c r="NQT28" s="3281"/>
      <c r="NQU28" s="3281"/>
      <c r="NQV28" s="3281"/>
      <c r="NQW28" s="3281"/>
      <c r="NQX28" s="3281"/>
      <c r="NQY28" s="3281"/>
      <c r="NQZ28" s="3281"/>
      <c r="NRA28" s="3281"/>
      <c r="NRB28" s="3281"/>
      <c r="NRC28" s="3281"/>
      <c r="NRD28" s="3281"/>
      <c r="NRE28" s="3281"/>
      <c r="NRF28" s="3281"/>
      <c r="NRG28" s="3281"/>
      <c r="NRH28" s="3281"/>
      <c r="NRI28" s="3281"/>
      <c r="NRJ28" s="3281"/>
      <c r="NRK28" s="3281"/>
      <c r="NRL28" s="3281"/>
      <c r="NRM28" s="3281"/>
      <c r="NRN28" s="3281"/>
      <c r="NRO28" s="3281"/>
      <c r="NRP28" s="3281"/>
      <c r="NRQ28" s="3281"/>
      <c r="NRR28" s="3281"/>
      <c r="NRS28" s="3281"/>
      <c r="NRT28" s="3281"/>
      <c r="NRU28" s="3281"/>
      <c r="NRV28" s="3281"/>
      <c r="NRW28" s="3281"/>
      <c r="NRX28" s="3281"/>
      <c r="NRY28" s="3281"/>
      <c r="NRZ28" s="3281"/>
      <c r="NSA28" s="3281"/>
      <c r="NSB28" s="3281"/>
      <c r="NSC28" s="3281"/>
      <c r="NSD28" s="3281"/>
      <c r="NSE28" s="3281"/>
      <c r="NSF28" s="3281"/>
      <c r="NSG28" s="3281"/>
      <c r="NSH28" s="3281"/>
      <c r="NSI28" s="3281"/>
      <c r="NSJ28" s="3281"/>
      <c r="NSK28" s="3281"/>
      <c r="NSL28" s="3281"/>
      <c r="NSM28" s="3281"/>
      <c r="NSN28" s="3281"/>
      <c r="NSO28" s="3281"/>
      <c r="NSP28" s="3281"/>
      <c r="NSQ28" s="3281"/>
      <c r="NSR28" s="3281"/>
      <c r="NSS28" s="3281"/>
      <c r="NST28" s="3281"/>
      <c r="NSU28" s="3281"/>
      <c r="NSV28" s="3281"/>
      <c r="NSW28" s="3281"/>
      <c r="NSX28" s="3281"/>
      <c r="NSY28" s="3281"/>
      <c r="NSZ28" s="3281"/>
      <c r="NTA28" s="3281"/>
      <c r="NTB28" s="3281"/>
      <c r="NTC28" s="3281"/>
      <c r="NTD28" s="3281"/>
      <c r="NTE28" s="3281"/>
      <c r="NTF28" s="3281"/>
      <c r="NTG28" s="3281"/>
      <c r="NTH28" s="3281"/>
      <c r="NTI28" s="3281"/>
      <c r="NTJ28" s="3281"/>
      <c r="NTK28" s="3281"/>
      <c r="NTL28" s="3281"/>
      <c r="NTM28" s="3281"/>
      <c r="NTN28" s="3281"/>
      <c r="NTO28" s="3281"/>
      <c r="NTP28" s="3281"/>
      <c r="NTQ28" s="3281"/>
      <c r="NTR28" s="3281"/>
      <c r="NTS28" s="3281"/>
      <c r="NTT28" s="3281"/>
      <c r="NTU28" s="3281"/>
      <c r="NTV28" s="3281"/>
      <c r="NTW28" s="3281"/>
      <c r="NTX28" s="3281"/>
      <c r="NTY28" s="3281"/>
      <c r="NTZ28" s="3281"/>
      <c r="NUA28" s="3281"/>
      <c r="NUB28" s="3281"/>
      <c r="NUC28" s="3281"/>
      <c r="NUD28" s="3281"/>
      <c r="NUE28" s="3281"/>
      <c r="NUF28" s="3281"/>
      <c r="NUG28" s="3281"/>
      <c r="NUH28" s="3281"/>
      <c r="NUI28" s="3281"/>
      <c r="NUJ28" s="3281"/>
      <c r="NUK28" s="3281"/>
      <c r="NUL28" s="3281"/>
      <c r="NUM28" s="3281"/>
      <c r="NUN28" s="3281"/>
      <c r="NUO28" s="3281"/>
      <c r="NUP28" s="3281"/>
      <c r="NUQ28" s="3281"/>
      <c r="NUR28" s="3281"/>
      <c r="NUS28" s="3281"/>
      <c r="NUT28" s="3281"/>
      <c r="NUU28" s="3281"/>
      <c r="NUV28" s="3281"/>
      <c r="NUW28" s="3281"/>
      <c r="NUX28" s="3281"/>
      <c r="NUY28" s="3281"/>
      <c r="NUZ28" s="3281"/>
      <c r="NVA28" s="3281"/>
      <c r="NVB28" s="3281"/>
      <c r="NVC28" s="3281"/>
      <c r="NVD28" s="3281"/>
      <c r="NVE28" s="3281"/>
      <c r="NVF28" s="3281"/>
      <c r="NVG28" s="3281"/>
      <c r="NVH28" s="3281"/>
      <c r="NVI28" s="3281"/>
      <c r="NVJ28" s="3281"/>
      <c r="NVK28" s="3281"/>
      <c r="NVL28" s="3281"/>
      <c r="NVM28" s="3281"/>
      <c r="NVN28" s="3281"/>
      <c r="NVO28" s="3281"/>
      <c r="NVP28" s="3281"/>
      <c r="NVQ28" s="3281"/>
      <c r="NVR28" s="3281"/>
      <c r="NVS28" s="3281"/>
      <c r="NVT28" s="3281"/>
      <c r="NVU28" s="3281"/>
      <c r="NVV28" s="3281"/>
      <c r="NVW28" s="3281"/>
      <c r="NVX28" s="3281"/>
      <c r="NVY28" s="3281"/>
      <c r="NVZ28" s="3281"/>
      <c r="NWA28" s="3281"/>
      <c r="NWB28" s="3281"/>
      <c r="NWC28" s="3281"/>
      <c r="NWD28" s="3281"/>
      <c r="NWE28" s="3281"/>
      <c r="NWF28" s="3281"/>
      <c r="NWG28" s="3281"/>
      <c r="NWH28" s="3281"/>
      <c r="NWI28" s="3281"/>
      <c r="NWJ28" s="3281"/>
      <c r="NWK28" s="3281"/>
      <c r="NWL28" s="3281"/>
      <c r="NWM28" s="3281"/>
      <c r="NWN28" s="3281"/>
      <c r="NWO28" s="3281"/>
      <c r="NWP28" s="3281"/>
      <c r="NWQ28" s="3281"/>
      <c r="NWR28" s="3281"/>
      <c r="NWS28" s="3281"/>
      <c r="NWT28" s="3281"/>
      <c r="NWU28" s="3281"/>
      <c r="NWV28" s="3281"/>
      <c r="NWW28" s="3281"/>
      <c r="NWX28" s="3281"/>
      <c r="NWY28" s="3281"/>
      <c r="NWZ28" s="3281"/>
      <c r="NXA28" s="3281"/>
      <c r="NXB28" s="3281"/>
      <c r="NXC28" s="3281"/>
      <c r="NXD28" s="3281"/>
      <c r="NXE28" s="3281"/>
      <c r="NXF28" s="3281"/>
      <c r="NXG28" s="3281"/>
      <c r="NXH28" s="3281"/>
      <c r="NXI28" s="3281"/>
      <c r="NXJ28" s="3281"/>
      <c r="NXK28" s="3281"/>
      <c r="NXL28" s="3281"/>
      <c r="NXM28" s="3281"/>
      <c r="NXN28" s="3281"/>
      <c r="NXO28" s="3281"/>
      <c r="NXP28" s="3281"/>
      <c r="NXQ28" s="3281"/>
      <c r="NXR28" s="3281"/>
      <c r="NXS28" s="3281"/>
      <c r="NXT28" s="3281"/>
      <c r="NXU28" s="3281"/>
      <c r="NXV28" s="3281"/>
      <c r="NXW28" s="3281"/>
      <c r="NXX28" s="3281"/>
      <c r="NXY28" s="3281"/>
      <c r="NXZ28" s="3281"/>
      <c r="NYA28" s="3281"/>
      <c r="NYB28" s="3281"/>
      <c r="NYC28" s="3281"/>
      <c r="NYD28" s="3281"/>
      <c r="NYE28" s="3281"/>
      <c r="NYF28" s="3281"/>
      <c r="NYG28" s="3281"/>
      <c r="NYH28" s="3281"/>
      <c r="NYI28" s="3281"/>
      <c r="NYJ28" s="3281"/>
      <c r="NYK28" s="3281"/>
      <c r="NYL28" s="3281"/>
      <c r="NYM28" s="3281"/>
      <c r="NYN28" s="3281"/>
      <c r="NYO28" s="3281"/>
      <c r="NYP28" s="3281"/>
      <c r="NYQ28" s="3281"/>
      <c r="NYR28" s="3281"/>
      <c r="NYS28" s="3281"/>
      <c r="NYT28" s="3281"/>
      <c r="NYU28" s="3281"/>
      <c r="NYV28" s="3281"/>
      <c r="NYW28" s="3281"/>
      <c r="NYX28" s="3281"/>
      <c r="NYY28" s="3281"/>
      <c r="NYZ28" s="3281"/>
      <c r="NZA28" s="3281"/>
      <c r="NZB28" s="3281"/>
      <c r="NZC28" s="3281"/>
      <c r="NZD28" s="3281"/>
      <c r="NZE28" s="3281"/>
      <c r="NZF28" s="3281"/>
      <c r="NZG28" s="3281"/>
      <c r="NZH28" s="3281"/>
      <c r="NZI28" s="3281"/>
      <c r="NZJ28" s="3281"/>
      <c r="NZK28" s="3281"/>
      <c r="NZL28" s="3281"/>
      <c r="NZM28" s="3281"/>
      <c r="NZN28" s="3281"/>
      <c r="NZO28" s="3281"/>
      <c r="NZP28" s="3281"/>
      <c r="NZQ28" s="3281"/>
      <c r="NZR28" s="3281"/>
      <c r="NZS28" s="3281"/>
      <c r="NZT28" s="3281"/>
      <c r="NZU28" s="3281"/>
      <c r="NZV28" s="3281"/>
      <c r="NZW28" s="3281"/>
      <c r="NZX28" s="3281"/>
      <c r="NZY28" s="3281"/>
      <c r="NZZ28" s="3281"/>
      <c r="OAA28" s="3281"/>
      <c r="OAB28" s="3281"/>
      <c r="OAC28" s="3281"/>
      <c r="OAD28" s="3281"/>
      <c r="OAE28" s="3281"/>
      <c r="OAF28" s="3281"/>
      <c r="OAG28" s="3281"/>
      <c r="OAH28" s="3281"/>
      <c r="OAI28" s="3281"/>
      <c r="OAJ28" s="3281"/>
      <c r="OAK28" s="3281"/>
      <c r="OAL28" s="3281"/>
      <c r="OAM28" s="3281"/>
      <c r="OAN28" s="3281"/>
      <c r="OAO28" s="3281"/>
      <c r="OAP28" s="3281"/>
      <c r="OAQ28" s="3281"/>
      <c r="OAR28" s="3281"/>
      <c r="OAS28" s="3281"/>
      <c r="OAT28" s="3281"/>
      <c r="OAU28" s="3281"/>
      <c r="OAV28" s="3281"/>
      <c r="OAW28" s="3281"/>
      <c r="OAX28" s="3281"/>
      <c r="OAY28" s="3281"/>
      <c r="OAZ28" s="3281"/>
      <c r="OBA28" s="3281"/>
      <c r="OBB28" s="3281"/>
      <c r="OBC28" s="3281"/>
      <c r="OBD28" s="3281"/>
      <c r="OBE28" s="3281"/>
      <c r="OBF28" s="3281"/>
      <c r="OBG28" s="3281"/>
      <c r="OBH28" s="3281"/>
      <c r="OBI28" s="3281"/>
      <c r="OBJ28" s="3281"/>
      <c r="OBK28" s="3281"/>
      <c r="OBL28" s="3281"/>
      <c r="OBM28" s="3281"/>
      <c r="OBN28" s="3281"/>
      <c r="OBO28" s="3281"/>
      <c r="OBP28" s="3281"/>
      <c r="OBQ28" s="3281"/>
      <c r="OBR28" s="3281"/>
      <c r="OBS28" s="3281"/>
      <c r="OBT28" s="3281"/>
      <c r="OBU28" s="3281"/>
      <c r="OBV28" s="3281"/>
      <c r="OBW28" s="3281"/>
      <c r="OBX28" s="3281"/>
      <c r="OBY28" s="3281"/>
      <c r="OBZ28" s="3281"/>
      <c r="OCA28" s="3281"/>
      <c r="OCB28" s="3281"/>
      <c r="OCC28" s="3281"/>
      <c r="OCD28" s="3281"/>
      <c r="OCE28" s="3281"/>
      <c r="OCF28" s="3281"/>
      <c r="OCG28" s="3281"/>
      <c r="OCH28" s="3281"/>
      <c r="OCI28" s="3281"/>
      <c r="OCJ28" s="3281"/>
      <c r="OCK28" s="3281"/>
      <c r="OCL28" s="3281"/>
      <c r="OCM28" s="3281"/>
      <c r="OCN28" s="3281"/>
      <c r="OCO28" s="3281"/>
      <c r="OCP28" s="3281"/>
      <c r="OCQ28" s="3281"/>
      <c r="OCR28" s="3281"/>
      <c r="OCS28" s="3281"/>
      <c r="OCT28" s="3281"/>
      <c r="OCU28" s="3281"/>
      <c r="OCV28" s="3281"/>
      <c r="OCW28" s="3281"/>
      <c r="OCX28" s="3281"/>
      <c r="OCY28" s="3281"/>
      <c r="OCZ28" s="3281"/>
      <c r="ODA28" s="3281"/>
      <c r="ODB28" s="3281"/>
      <c r="ODC28" s="3281"/>
      <c r="ODD28" s="3281"/>
      <c r="ODE28" s="3281"/>
      <c r="ODF28" s="3281"/>
      <c r="ODG28" s="3281"/>
      <c r="ODH28" s="3281"/>
      <c r="ODI28" s="3281"/>
      <c r="ODJ28" s="3281"/>
      <c r="ODK28" s="3281"/>
      <c r="ODL28" s="3281"/>
      <c r="ODM28" s="3281"/>
      <c r="ODN28" s="3281"/>
      <c r="ODO28" s="3281"/>
      <c r="ODP28" s="3281"/>
      <c r="ODQ28" s="3281"/>
      <c r="ODR28" s="3281"/>
      <c r="ODS28" s="3281"/>
      <c r="ODT28" s="3281"/>
      <c r="ODU28" s="3281"/>
      <c r="ODV28" s="3281"/>
      <c r="ODW28" s="3281"/>
      <c r="ODX28" s="3281"/>
      <c r="ODY28" s="3281"/>
      <c r="ODZ28" s="3281"/>
      <c r="OEA28" s="3281"/>
      <c r="OEB28" s="3281"/>
      <c r="OEC28" s="3281"/>
      <c r="OED28" s="3281"/>
      <c r="OEE28" s="3281"/>
      <c r="OEF28" s="3281"/>
      <c r="OEG28" s="3281"/>
      <c r="OEH28" s="3281"/>
      <c r="OEI28" s="3281"/>
      <c r="OEJ28" s="3281"/>
      <c r="OEK28" s="3281"/>
      <c r="OEL28" s="3281"/>
      <c r="OEM28" s="3281"/>
      <c r="OEN28" s="3281"/>
      <c r="OEO28" s="3281"/>
      <c r="OEP28" s="3281"/>
      <c r="OEQ28" s="3281"/>
      <c r="OER28" s="3281"/>
      <c r="OES28" s="3281"/>
      <c r="OET28" s="3281"/>
      <c r="OEU28" s="3281"/>
      <c r="OEV28" s="3281"/>
      <c r="OEW28" s="3281"/>
      <c r="OEX28" s="3281"/>
      <c r="OEY28" s="3281"/>
      <c r="OEZ28" s="3281"/>
      <c r="OFA28" s="3281"/>
      <c r="OFB28" s="3281"/>
      <c r="OFC28" s="3281"/>
      <c r="OFD28" s="3281"/>
      <c r="OFE28" s="3281"/>
      <c r="OFF28" s="3281"/>
      <c r="OFG28" s="3281"/>
      <c r="OFH28" s="3281"/>
      <c r="OFI28" s="3281"/>
      <c r="OFJ28" s="3281"/>
      <c r="OFK28" s="3281"/>
      <c r="OFL28" s="3281"/>
      <c r="OFM28" s="3281"/>
      <c r="OFN28" s="3281"/>
      <c r="OFO28" s="3281"/>
      <c r="OFP28" s="3281"/>
      <c r="OFQ28" s="3281"/>
      <c r="OFR28" s="3281"/>
      <c r="OFS28" s="3281"/>
      <c r="OFT28" s="3281"/>
      <c r="OFU28" s="3281"/>
      <c r="OFV28" s="3281"/>
      <c r="OFW28" s="3281"/>
      <c r="OFX28" s="3281"/>
      <c r="OFY28" s="3281"/>
      <c r="OFZ28" s="3281"/>
      <c r="OGA28" s="3281"/>
      <c r="OGB28" s="3281"/>
      <c r="OGC28" s="3281"/>
      <c r="OGD28" s="3281"/>
      <c r="OGE28" s="3281"/>
      <c r="OGF28" s="3281"/>
      <c r="OGG28" s="3281"/>
      <c r="OGH28" s="3281"/>
      <c r="OGI28" s="3281"/>
      <c r="OGJ28" s="3281"/>
      <c r="OGK28" s="3281"/>
      <c r="OGL28" s="3281"/>
      <c r="OGM28" s="3281"/>
      <c r="OGN28" s="3281"/>
      <c r="OGO28" s="3281"/>
      <c r="OGP28" s="3281"/>
      <c r="OGQ28" s="3281"/>
      <c r="OGR28" s="3281"/>
      <c r="OGS28" s="3281"/>
      <c r="OGT28" s="3281"/>
      <c r="OGU28" s="3281"/>
      <c r="OGV28" s="3281"/>
      <c r="OGW28" s="3281"/>
      <c r="OGX28" s="3281"/>
      <c r="OGY28" s="3281"/>
      <c r="OGZ28" s="3281"/>
      <c r="OHA28" s="3281"/>
      <c r="OHB28" s="3281"/>
      <c r="OHC28" s="3281"/>
      <c r="OHD28" s="3281"/>
      <c r="OHE28" s="3281"/>
      <c r="OHF28" s="3281"/>
      <c r="OHG28" s="3281"/>
      <c r="OHH28" s="3281"/>
      <c r="OHI28" s="3281"/>
      <c r="OHJ28" s="3281"/>
      <c r="OHK28" s="3281"/>
      <c r="OHL28" s="3281"/>
      <c r="OHM28" s="3281"/>
      <c r="OHN28" s="3281"/>
      <c r="OHO28" s="3281"/>
      <c r="OHP28" s="3281"/>
      <c r="OHQ28" s="3281"/>
      <c r="OHR28" s="3281"/>
      <c r="OHS28" s="3281"/>
      <c r="OHT28" s="3281"/>
      <c r="OHU28" s="3281"/>
      <c r="OHV28" s="3281"/>
      <c r="OHW28" s="3281"/>
      <c r="OHX28" s="3281"/>
      <c r="OHY28" s="3281"/>
      <c r="OHZ28" s="3281"/>
      <c r="OIA28" s="3281"/>
      <c r="OIB28" s="3281"/>
      <c r="OIC28" s="3281"/>
      <c r="OID28" s="3281"/>
      <c r="OIE28" s="3281"/>
      <c r="OIF28" s="3281"/>
      <c r="OIG28" s="3281"/>
      <c r="OIH28" s="3281"/>
      <c r="OII28" s="3281"/>
      <c r="OIJ28" s="3281"/>
      <c r="OIK28" s="3281"/>
      <c r="OIL28" s="3281"/>
      <c r="OIM28" s="3281"/>
      <c r="OIN28" s="3281"/>
      <c r="OIO28" s="3281"/>
      <c r="OIP28" s="3281"/>
      <c r="OIQ28" s="3281"/>
      <c r="OIR28" s="3281"/>
      <c r="OIS28" s="3281"/>
      <c r="OIT28" s="3281"/>
      <c r="OIU28" s="3281"/>
      <c r="OIV28" s="3281"/>
      <c r="OIW28" s="3281"/>
      <c r="OIX28" s="3281"/>
      <c r="OIY28" s="3281"/>
      <c r="OIZ28" s="3281"/>
      <c r="OJA28" s="3281"/>
      <c r="OJB28" s="3281"/>
      <c r="OJC28" s="3281"/>
      <c r="OJD28" s="3281"/>
      <c r="OJE28" s="3281"/>
      <c r="OJF28" s="3281"/>
      <c r="OJG28" s="3281"/>
      <c r="OJH28" s="3281"/>
      <c r="OJI28" s="3281"/>
      <c r="OJJ28" s="3281"/>
      <c r="OJK28" s="3281"/>
      <c r="OJL28" s="3281"/>
      <c r="OJM28" s="3281"/>
      <c r="OJN28" s="3281"/>
      <c r="OJO28" s="3281"/>
      <c r="OJP28" s="3281"/>
      <c r="OJQ28" s="3281"/>
      <c r="OJR28" s="3281"/>
      <c r="OJS28" s="3281"/>
      <c r="OJT28" s="3281"/>
      <c r="OJU28" s="3281"/>
      <c r="OJV28" s="3281"/>
      <c r="OJW28" s="3281"/>
      <c r="OJX28" s="3281"/>
      <c r="OJY28" s="3281"/>
      <c r="OJZ28" s="3281"/>
      <c r="OKA28" s="3281"/>
      <c r="OKB28" s="3281"/>
      <c r="OKC28" s="3281"/>
      <c r="OKD28" s="3281"/>
      <c r="OKE28" s="3281"/>
      <c r="OKF28" s="3281"/>
      <c r="OKG28" s="3281"/>
      <c r="OKH28" s="3281"/>
      <c r="OKI28" s="3281"/>
      <c r="OKJ28" s="3281"/>
      <c r="OKK28" s="3281"/>
      <c r="OKL28" s="3281"/>
      <c r="OKM28" s="3281"/>
      <c r="OKN28" s="3281"/>
      <c r="OKO28" s="3281"/>
      <c r="OKP28" s="3281"/>
      <c r="OKQ28" s="3281"/>
      <c r="OKR28" s="3281"/>
      <c r="OKS28" s="3281"/>
      <c r="OKT28" s="3281"/>
      <c r="OKU28" s="3281"/>
      <c r="OKV28" s="3281"/>
      <c r="OKW28" s="3281"/>
      <c r="OKX28" s="3281"/>
      <c r="OKY28" s="3281"/>
      <c r="OKZ28" s="3281"/>
      <c r="OLA28" s="3281"/>
      <c r="OLB28" s="3281"/>
      <c r="OLC28" s="3281"/>
      <c r="OLD28" s="3281"/>
      <c r="OLE28" s="3281"/>
      <c r="OLF28" s="3281"/>
      <c r="OLG28" s="3281"/>
      <c r="OLH28" s="3281"/>
      <c r="OLI28" s="3281"/>
      <c r="OLJ28" s="3281"/>
      <c r="OLK28" s="3281"/>
      <c r="OLL28" s="3281"/>
      <c r="OLM28" s="3281"/>
      <c r="OLN28" s="3281"/>
      <c r="OLO28" s="3281"/>
      <c r="OLP28" s="3281"/>
      <c r="OLQ28" s="3281"/>
      <c r="OLR28" s="3281"/>
      <c r="OLS28" s="3281"/>
      <c r="OLT28" s="3281"/>
      <c r="OLU28" s="3281"/>
      <c r="OLV28" s="3281"/>
      <c r="OLW28" s="3281"/>
      <c r="OLX28" s="3281"/>
      <c r="OLY28" s="3281"/>
      <c r="OLZ28" s="3281"/>
      <c r="OMA28" s="3281"/>
      <c r="OMB28" s="3281"/>
      <c r="OMC28" s="3281"/>
      <c r="OMD28" s="3281"/>
      <c r="OME28" s="3281"/>
      <c r="OMF28" s="3281"/>
      <c r="OMG28" s="3281"/>
      <c r="OMH28" s="3281"/>
      <c r="OMI28" s="3281"/>
      <c r="OMJ28" s="3281"/>
      <c r="OMK28" s="3281"/>
      <c r="OML28" s="3281"/>
      <c r="OMM28" s="3281"/>
      <c r="OMN28" s="3281"/>
      <c r="OMO28" s="3281"/>
      <c r="OMP28" s="3281"/>
      <c r="OMQ28" s="3281"/>
      <c r="OMR28" s="3281"/>
      <c r="OMS28" s="3281"/>
      <c r="OMT28" s="3281"/>
      <c r="OMU28" s="3281"/>
      <c r="OMV28" s="3281"/>
      <c r="OMW28" s="3281"/>
      <c r="OMX28" s="3281"/>
      <c r="OMY28" s="3281"/>
      <c r="OMZ28" s="3281"/>
      <c r="ONA28" s="3281"/>
      <c r="ONB28" s="3281"/>
      <c r="ONC28" s="3281"/>
      <c r="OND28" s="3281"/>
      <c r="ONE28" s="3281"/>
      <c r="ONF28" s="3281"/>
      <c r="ONG28" s="3281"/>
      <c r="ONH28" s="3281"/>
      <c r="ONI28" s="3281"/>
      <c r="ONJ28" s="3281"/>
      <c r="ONK28" s="3281"/>
      <c r="ONL28" s="3281"/>
      <c r="ONM28" s="3281"/>
      <c r="ONN28" s="3281"/>
      <c r="ONO28" s="3281"/>
      <c r="ONP28" s="3281"/>
      <c r="ONQ28" s="3281"/>
      <c r="ONR28" s="3281"/>
      <c r="ONS28" s="3281"/>
      <c r="ONT28" s="3281"/>
      <c r="ONU28" s="3281"/>
      <c r="ONV28" s="3281"/>
      <c r="ONW28" s="3281"/>
      <c r="ONX28" s="3281"/>
      <c r="ONY28" s="3281"/>
      <c r="ONZ28" s="3281"/>
      <c r="OOA28" s="3281"/>
      <c r="OOB28" s="3281"/>
      <c r="OOC28" s="3281"/>
      <c r="OOD28" s="3281"/>
      <c r="OOE28" s="3281"/>
      <c r="OOF28" s="3281"/>
      <c r="OOG28" s="3281"/>
      <c r="OOH28" s="3281"/>
      <c r="OOI28" s="3281"/>
      <c r="OOJ28" s="3281"/>
      <c r="OOK28" s="3281"/>
      <c r="OOL28" s="3281"/>
      <c r="OOM28" s="3281"/>
      <c r="OON28" s="3281"/>
      <c r="OOO28" s="3281"/>
      <c r="OOP28" s="3281"/>
      <c r="OOQ28" s="3281"/>
      <c r="OOR28" s="3281"/>
      <c r="OOS28" s="3281"/>
      <c r="OOT28" s="3281"/>
      <c r="OOU28" s="3281"/>
      <c r="OOV28" s="3281"/>
      <c r="OOW28" s="3281"/>
      <c r="OOX28" s="3281"/>
      <c r="OOY28" s="3281"/>
      <c r="OOZ28" s="3281"/>
      <c r="OPA28" s="3281"/>
      <c r="OPB28" s="3281"/>
      <c r="OPC28" s="3281"/>
      <c r="OPD28" s="3281"/>
      <c r="OPE28" s="3281"/>
      <c r="OPF28" s="3281"/>
      <c r="OPG28" s="3281"/>
      <c r="OPH28" s="3281"/>
      <c r="OPI28" s="3281"/>
      <c r="OPJ28" s="3281"/>
      <c r="OPK28" s="3281"/>
      <c r="OPL28" s="3281"/>
      <c r="OPM28" s="3281"/>
      <c r="OPN28" s="3281"/>
      <c r="OPO28" s="3281"/>
      <c r="OPP28" s="3281"/>
      <c r="OPQ28" s="3281"/>
      <c r="OPR28" s="3281"/>
      <c r="OPS28" s="3281"/>
      <c r="OPT28" s="3281"/>
      <c r="OPU28" s="3281"/>
      <c r="OPV28" s="3281"/>
      <c r="OPW28" s="3281"/>
      <c r="OPX28" s="3281"/>
      <c r="OPY28" s="3281"/>
      <c r="OPZ28" s="3281"/>
      <c r="OQA28" s="3281"/>
      <c r="OQB28" s="3281"/>
      <c r="OQC28" s="3281"/>
      <c r="OQD28" s="3281"/>
      <c r="OQE28" s="3281"/>
      <c r="OQF28" s="3281"/>
      <c r="OQG28" s="3281"/>
      <c r="OQH28" s="3281"/>
      <c r="OQI28" s="3281"/>
      <c r="OQJ28" s="3281"/>
      <c r="OQK28" s="3281"/>
      <c r="OQL28" s="3281"/>
      <c r="OQM28" s="3281"/>
      <c r="OQN28" s="3281"/>
      <c r="OQO28" s="3281"/>
      <c r="OQP28" s="3281"/>
      <c r="OQQ28" s="3281"/>
      <c r="OQR28" s="3281"/>
      <c r="OQS28" s="3281"/>
      <c r="OQT28" s="3281"/>
      <c r="OQU28" s="3281"/>
      <c r="OQV28" s="3281"/>
      <c r="OQW28" s="3281"/>
      <c r="OQX28" s="3281"/>
      <c r="OQY28" s="3281"/>
      <c r="OQZ28" s="3281"/>
      <c r="ORA28" s="3281"/>
      <c r="ORB28" s="3281"/>
      <c r="ORC28" s="3281"/>
      <c r="ORD28" s="3281"/>
      <c r="ORE28" s="3281"/>
      <c r="ORF28" s="3281"/>
      <c r="ORG28" s="3281"/>
      <c r="ORH28" s="3281"/>
      <c r="ORI28" s="3281"/>
      <c r="ORJ28" s="3281"/>
      <c r="ORK28" s="3281"/>
      <c r="ORL28" s="3281"/>
      <c r="ORM28" s="3281"/>
      <c r="ORN28" s="3281"/>
      <c r="ORO28" s="3281"/>
      <c r="ORP28" s="3281"/>
      <c r="ORQ28" s="3281"/>
      <c r="ORR28" s="3281"/>
      <c r="ORS28" s="3281"/>
      <c r="ORT28" s="3281"/>
      <c r="ORU28" s="3281"/>
      <c r="ORV28" s="3281"/>
      <c r="ORW28" s="3281"/>
      <c r="ORX28" s="3281"/>
      <c r="ORY28" s="3281"/>
      <c r="ORZ28" s="3281"/>
      <c r="OSA28" s="3281"/>
      <c r="OSB28" s="3281"/>
      <c r="OSC28" s="3281"/>
      <c r="OSD28" s="3281"/>
      <c r="OSE28" s="3281"/>
      <c r="OSF28" s="3281"/>
      <c r="OSG28" s="3281"/>
      <c r="OSH28" s="3281"/>
      <c r="OSI28" s="3281"/>
      <c r="OSJ28" s="3281"/>
      <c r="OSK28" s="3281"/>
      <c r="OSL28" s="3281"/>
      <c r="OSM28" s="3281"/>
      <c r="OSN28" s="3281"/>
      <c r="OSO28" s="3281"/>
      <c r="OSP28" s="3281"/>
      <c r="OSQ28" s="3281"/>
      <c r="OSR28" s="3281"/>
      <c r="OSS28" s="3281"/>
      <c r="OST28" s="3281"/>
      <c r="OSU28" s="3281"/>
      <c r="OSV28" s="3281"/>
      <c r="OSW28" s="3281"/>
      <c r="OSX28" s="3281"/>
      <c r="OSY28" s="3281"/>
      <c r="OSZ28" s="3281"/>
      <c r="OTA28" s="3281"/>
      <c r="OTB28" s="3281"/>
      <c r="OTC28" s="3281"/>
      <c r="OTD28" s="3281"/>
      <c r="OTE28" s="3281"/>
      <c r="OTF28" s="3281"/>
      <c r="OTG28" s="3281"/>
      <c r="OTH28" s="3281"/>
      <c r="OTI28" s="3281"/>
      <c r="OTJ28" s="3281"/>
      <c r="OTK28" s="3281"/>
      <c r="OTL28" s="3281"/>
      <c r="OTM28" s="3281"/>
      <c r="OTN28" s="3281"/>
      <c r="OTO28" s="3281"/>
      <c r="OTP28" s="3281"/>
      <c r="OTQ28" s="3281"/>
      <c r="OTR28" s="3281"/>
      <c r="OTS28" s="3281"/>
      <c r="OTT28" s="3281"/>
      <c r="OTU28" s="3281"/>
      <c r="OTV28" s="3281"/>
      <c r="OTW28" s="3281"/>
      <c r="OTX28" s="3281"/>
      <c r="OTY28" s="3281"/>
      <c r="OTZ28" s="3281"/>
      <c r="OUA28" s="3281"/>
      <c r="OUB28" s="3281"/>
      <c r="OUC28" s="3281"/>
      <c r="OUD28" s="3281"/>
      <c r="OUE28" s="3281"/>
      <c r="OUF28" s="3281"/>
      <c r="OUG28" s="3281"/>
      <c r="OUH28" s="3281"/>
      <c r="OUI28" s="3281"/>
      <c r="OUJ28" s="3281"/>
      <c r="OUK28" s="3281"/>
      <c r="OUL28" s="3281"/>
      <c r="OUM28" s="3281"/>
      <c r="OUN28" s="3281"/>
      <c r="OUO28" s="3281"/>
      <c r="OUP28" s="3281"/>
      <c r="OUQ28" s="3281"/>
      <c r="OUR28" s="3281"/>
      <c r="OUS28" s="3281"/>
      <c r="OUT28" s="3281"/>
      <c r="OUU28" s="3281"/>
      <c r="OUV28" s="3281"/>
      <c r="OUW28" s="3281"/>
      <c r="OUX28" s="3281"/>
      <c r="OUY28" s="3281"/>
      <c r="OUZ28" s="3281"/>
      <c r="OVA28" s="3281"/>
      <c r="OVB28" s="3281"/>
      <c r="OVC28" s="3281"/>
      <c r="OVD28" s="3281"/>
      <c r="OVE28" s="3281"/>
      <c r="OVF28" s="3281"/>
      <c r="OVG28" s="3281"/>
      <c r="OVH28" s="3281"/>
      <c r="OVI28" s="3281"/>
      <c r="OVJ28" s="3281"/>
      <c r="OVK28" s="3281"/>
      <c r="OVL28" s="3281"/>
      <c r="OVM28" s="3281"/>
      <c r="OVN28" s="3281"/>
      <c r="OVO28" s="3281"/>
      <c r="OVP28" s="3281"/>
      <c r="OVQ28" s="3281"/>
      <c r="OVR28" s="3281"/>
      <c r="OVS28" s="3281"/>
      <c r="OVT28" s="3281"/>
      <c r="OVU28" s="3281"/>
      <c r="OVV28" s="3281"/>
      <c r="OVW28" s="3281"/>
      <c r="OVX28" s="3281"/>
      <c r="OVY28" s="3281"/>
      <c r="OVZ28" s="3281"/>
      <c r="OWA28" s="3281"/>
      <c r="OWB28" s="3281"/>
      <c r="OWC28" s="3281"/>
      <c r="OWD28" s="3281"/>
      <c r="OWE28" s="3281"/>
      <c r="OWF28" s="3281"/>
      <c r="OWG28" s="3281"/>
      <c r="OWH28" s="3281"/>
      <c r="OWI28" s="3281"/>
      <c r="OWJ28" s="3281"/>
      <c r="OWK28" s="3281"/>
      <c r="OWL28" s="3281"/>
      <c r="OWM28" s="3281"/>
      <c r="OWN28" s="3281"/>
      <c r="OWO28" s="3281"/>
      <c r="OWP28" s="3281"/>
      <c r="OWQ28" s="3281"/>
      <c r="OWR28" s="3281"/>
      <c r="OWS28" s="3281"/>
      <c r="OWT28" s="3281"/>
      <c r="OWU28" s="3281"/>
      <c r="OWV28" s="3281"/>
      <c r="OWW28" s="3281"/>
      <c r="OWX28" s="3281"/>
      <c r="OWY28" s="3281"/>
      <c r="OWZ28" s="3281"/>
      <c r="OXA28" s="3281"/>
      <c r="OXB28" s="3281"/>
      <c r="OXC28" s="3281"/>
      <c r="OXD28" s="3281"/>
      <c r="OXE28" s="3281"/>
      <c r="OXF28" s="3281"/>
      <c r="OXG28" s="3281"/>
      <c r="OXH28" s="3281"/>
      <c r="OXI28" s="3281"/>
      <c r="OXJ28" s="3281"/>
      <c r="OXK28" s="3281"/>
      <c r="OXL28" s="3281"/>
      <c r="OXM28" s="3281"/>
      <c r="OXN28" s="3281"/>
      <c r="OXO28" s="3281"/>
      <c r="OXP28" s="3281"/>
      <c r="OXQ28" s="3281"/>
      <c r="OXR28" s="3281"/>
      <c r="OXS28" s="3281"/>
      <c r="OXT28" s="3281"/>
      <c r="OXU28" s="3281"/>
      <c r="OXV28" s="3281"/>
      <c r="OXW28" s="3281"/>
      <c r="OXX28" s="3281"/>
      <c r="OXY28" s="3281"/>
      <c r="OXZ28" s="3281"/>
      <c r="OYA28" s="3281"/>
      <c r="OYB28" s="3281"/>
      <c r="OYC28" s="3281"/>
      <c r="OYD28" s="3281"/>
      <c r="OYE28" s="3281"/>
      <c r="OYF28" s="3281"/>
      <c r="OYG28" s="3281"/>
      <c r="OYH28" s="3281"/>
      <c r="OYI28" s="3281"/>
      <c r="OYJ28" s="3281"/>
      <c r="OYK28" s="3281"/>
      <c r="OYL28" s="3281"/>
      <c r="OYM28" s="3281"/>
      <c r="OYN28" s="3281"/>
      <c r="OYO28" s="3281"/>
      <c r="OYP28" s="3281"/>
      <c r="OYQ28" s="3281"/>
      <c r="OYR28" s="3281"/>
      <c r="OYS28" s="3281"/>
      <c r="OYT28" s="3281"/>
      <c r="OYU28" s="3281"/>
      <c r="OYV28" s="3281"/>
      <c r="OYW28" s="3281"/>
      <c r="OYX28" s="3281"/>
      <c r="OYY28" s="3281"/>
      <c r="OYZ28" s="3281"/>
      <c r="OZA28" s="3281"/>
      <c r="OZB28" s="3281"/>
      <c r="OZC28" s="3281"/>
      <c r="OZD28" s="3281"/>
      <c r="OZE28" s="3281"/>
      <c r="OZF28" s="3281"/>
      <c r="OZG28" s="3281"/>
      <c r="OZH28" s="3281"/>
      <c r="OZI28" s="3281"/>
      <c r="OZJ28" s="3281"/>
      <c r="OZK28" s="3281"/>
      <c r="OZL28" s="3281"/>
      <c r="OZM28" s="3281"/>
      <c r="OZN28" s="3281"/>
      <c r="OZO28" s="3281"/>
      <c r="OZP28" s="3281"/>
      <c r="OZQ28" s="3281"/>
      <c r="OZR28" s="3281"/>
      <c r="OZS28" s="3281"/>
      <c r="OZT28" s="3281"/>
      <c r="OZU28" s="3281"/>
      <c r="OZV28" s="3281"/>
      <c r="OZW28" s="3281"/>
      <c r="OZX28" s="3281"/>
      <c r="OZY28" s="3281"/>
      <c r="OZZ28" s="3281"/>
      <c r="PAA28" s="3281"/>
      <c r="PAB28" s="3281"/>
      <c r="PAC28" s="3281"/>
      <c r="PAD28" s="3281"/>
      <c r="PAE28" s="3281"/>
      <c r="PAF28" s="3281"/>
      <c r="PAG28" s="3281"/>
      <c r="PAH28" s="3281"/>
      <c r="PAI28" s="3281"/>
      <c r="PAJ28" s="3281"/>
      <c r="PAK28" s="3281"/>
      <c r="PAL28" s="3281"/>
      <c r="PAM28" s="3281"/>
      <c r="PAN28" s="3281"/>
      <c r="PAO28" s="3281"/>
      <c r="PAP28" s="3281"/>
      <c r="PAQ28" s="3281"/>
      <c r="PAR28" s="3281"/>
      <c r="PAS28" s="3281"/>
      <c r="PAT28" s="3281"/>
      <c r="PAU28" s="3281"/>
      <c r="PAV28" s="3281"/>
      <c r="PAW28" s="3281"/>
      <c r="PAX28" s="3281"/>
      <c r="PAY28" s="3281"/>
      <c r="PAZ28" s="3281"/>
      <c r="PBA28" s="3281"/>
      <c r="PBB28" s="3281"/>
      <c r="PBC28" s="3281"/>
      <c r="PBD28" s="3281"/>
      <c r="PBE28" s="3281"/>
      <c r="PBF28" s="3281"/>
      <c r="PBG28" s="3281"/>
      <c r="PBH28" s="3281"/>
      <c r="PBI28" s="3281"/>
      <c r="PBJ28" s="3281"/>
      <c r="PBK28" s="3281"/>
      <c r="PBL28" s="3281"/>
      <c r="PBM28" s="3281"/>
      <c r="PBN28" s="3281"/>
      <c r="PBO28" s="3281"/>
      <c r="PBP28" s="3281"/>
      <c r="PBQ28" s="3281"/>
      <c r="PBR28" s="3281"/>
      <c r="PBS28" s="3281"/>
      <c r="PBT28" s="3281"/>
      <c r="PBU28" s="3281"/>
      <c r="PBV28" s="3281"/>
      <c r="PBW28" s="3281"/>
      <c r="PBX28" s="3281"/>
      <c r="PBY28" s="3281"/>
      <c r="PBZ28" s="3281"/>
      <c r="PCA28" s="3281"/>
      <c r="PCB28" s="3281"/>
      <c r="PCC28" s="3281"/>
      <c r="PCD28" s="3281"/>
      <c r="PCE28" s="3281"/>
      <c r="PCF28" s="3281"/>
      <c r="PCG28" s="3281"/>
      <c r="PCH28" s="3281"/>
      <c r="PCI28" s="3281"/>
      <c r="PCJ28" s="3281"/>
      <c r="PCK28" s="3281"/>
      <c r="PCL28" s="3281"/>
      <c r="PCM28" s="3281"/>
      <c r="PCN28" s="3281"/>
      <c r="PCO28" s="3281"/>
      <c r="PCP28" s="3281"/>
      <c r="PCQ28" s="3281"/>
      <c r="PCR28" s="3281"/>
      <c r="PCS28" s="3281"/>
      <c r="PCT28" s="3281"/>
      <c r="PCU28" s="3281"/>
      <c r="PCV28" s="3281"/>
      <c r="PCW28" s="3281"/>
      <c r="PCX28" s="3281"/>
      <c r="PCY28" s="3281"/>
      <c r="PCZ28" s="3281"/>
      <c r="PDA28" s="3281"/>
      <c r="PDB28" s="3281"/>
      <c r="PDC28" s="3281"/>
      <c r="PDD28" s="3281"/>
      <c r="PDE28" s="3281"/>
      <c r="PDF28" s="3281"/>
      <c r="PDG28" s="3281"/>
      <c r="PDH28" s="3281"/>
      <c r="PDI28" s="3281"/>
      <c r="PDJ28" s="3281"/>
      <c r="PDK28" s="3281"/>
      <c r="PDL28" s="3281"/>
      <c r="PDM28" s="3281"/>
      <c r="PDN28" s="3281"/>
      <c r="PDO28" s="3281"/>
      <c r="PDP28" s="3281"/>
      <c r="PDQ28" s="3281"/>
      <c r="PDR28" s="3281"/>
      <c r="PDS28" s="3281"/>
      <c r="PDT28" s="3281"/>
      <c r="PDU28" s="3281"/>
      <c r="PDV28" s="3281"/>
      <c r="PDW28" s="3281"/>
      <c r="PDX28" s="3281"/>
      <c r="PDY28" s="3281"/>
      <c r="PDZ28" s="3281"/>
      <c r="PEA28" s="3281"/>
      <c r="PEB28" s="3281"/>
      <c r="PEC28" s="3281"/>
      <c r="PED28" s="3281"/>
      <c r="PEE28" s="3281"/>
      <c r="PEF28" s="3281"/>
      <c r="PEG28" s="3281"/>
      <c r="PEH28" s="3281"/>
      <c r="PEI28" s="3281"/>
      <c r="PEJ28" s="3281"/>
      <c r="PEK28" s="3281"/>
      <c r="PEL28" s="3281"/>
      <c r="PEM28" s="3281"/>
      <c r="PEN28" s="3281"/>
      <c r="PEO28" s="3281"/>
      <c r="PEP28" s="3281"/>
      <c r="PEQ28" s="3281"/>
      <c r="PER28" s="3281"/>
      <c r="PES28" s="3281"/>
      <c r="PET28" s="3281"/>
      <c r="PEU28" s="3281"/>
      <c r="PEV28" s="3281"/>
      <c r="PEW28" s="3281"/>
      <c r="PEX28" s="3281"/>
      <c r="PEY28" s="3281"/>
      <c r="PEZ28" s="3281"/>
      <c r="PFA28" s="3281"/>
      <c r="PFB28" s="3281"/>
      <c r="PFC28" s="3281"/>
      <c r="PFD28" s="3281"/>
      <c r="PFE28" s="3281"/>
      <c r="PFF28" s="3281"/>
      <c r="PFG28" s="3281"/>
      <c r="PFH28" s="3281"/>
      <c r="PFI28" s="3281"/>
      <c r="PFJ28" s="3281"/>
      <c r="PFK28" s="3281"/>
      <c r="PFL28" s="3281"/>
      <c r="PFM28" s="3281"/>
      <c r="PFN28" s="3281"/>
      <c r="PFO28" s="3281"/>
      <c r="PFP28" s="3281"/>
      <c r="PFQ28" s="3281"/>
      <c r="PFR28" s="3281"/>
      <c r="PFS28" s="3281"/>
      <c r="PFT28" s="3281"/>
      <c r="PFU28" s="3281"/>
      <c r="PFV28" s="3281"/>
      <c r="PFW28" s="3281"/>
      <c r="PFX28" s="3281"/>
      <c r="PFY28" s="3281"/>
      <c r="PFZ28" s="3281"/>
      <c r="PGA28" s="3281"/>
      <c r="PGB28" s="3281"/>
      <c r="PGC28" s="3281"/>
      <c r="PGD28" s="3281"/>
      <c r="PGE28" s="3281"/>
      <c r="PGF28" s="3281"/>
      <c r="PGG28" s="3281"/>
      <c r="PGH28" s="3281"/>
      <c r="PGI28" s="3281"/>
      <c r="PGJ28" s="3281"/>
      <c r="PGK28" s="3281"/>
      <c r="PGL28" s="3281"/>
      <c r="PGM28" s="3281"/>
      <c r="PGN28" s="3281"/>
      <c r="PGO28" s="3281"/>
      <c r="PGP28" s="3281"/>
      <c r="PGQ28" s="3281"/>
      <c r="PGR28" s="3281"/>
      <c r="PGS28" s="3281"/>
      <c r="PGT28" s="3281"/>
      <c r="PGU28" s="3281"/>
      <c r="PGV28" s="3281"/>
      <c r="PGW28" s="3281"/>
      <c r="PGX28" s="3281"/>
      <c r="PGY28" s="3281"/>
      <c r="PGZ28" s="3281"/>
      <c r="PHA28" s="3281"/>
      <c r="PHB28" s="3281"/>
      <c r="PHC28" s="3281"/>
      <c r="PHD28" s="3281"/>
      <c r="PHE28" s="3281"/>
      <c r="PHF28" s="3281"/>
      <c r="PHG28" s="3281"/>
      <c r="PHH28" s="3281"/>
      <c r="PHI28" s="3281"/>
      <c r="PHJ28" s="3281"/>
      <c r="PHK28" s="3281"/>
      <c r="PHL28" s="3281"/>
      <c r="PHM28" s="3281"/>
      <c r="PHN28" s="3281"/>
      <c r="PHO28" s="3281"/>
      <c r="PHP28" s="3281"/>
      <c r="PHQ28" s="3281"/>
      <c r="PHR28" s="3281"/>
      <c r="PHS28" s="3281"/>
      <c r="PHT28" s="3281"/>
      <c r="PHU28" s="3281"/>
      <c r="PHV28" s="3281"/>
      <c r="PHW28" s="3281"/>
      <c r="PHX28" s="3281"/>
      <c r="PHY28" s="3281"/>
      <c r="PHZ28" s="3281"/>
      <c r="PIA28" s="3281"/>
      <c r="PIB28" s="3281"/>
      <c r="PIC28" s="3281"/>
      <c r="PID28" s="3281"/>
      <c r="PIE28" s="3281"/>
      <c r="PIF28" s="3281"/>
      <c r="PIG28" s="3281"/>
      <c r="PIH28" s="3281"/>
      <c r="PII28" s="3281"/>
      <c r="PIJ28" s="3281"/>
      <c r="PIK28" s="3281"/>
      <c r="PIL28" s="3281"/>
      <c r="PIM28" s="3281"/>
      <c r="PIN28" s="3281"/>
      <c r="PIO28" s="3281"/>
      <c r="PIP28" s="3281"/>
      <c r="PIQ28" s="3281"/>
      <c r="PIR28" s="3281"/>
      <c r="PIS28" s="3281"/>
      <c r="PIT28" s="3281"/>
      <c r="PIU28" s="3281"/>
      <c r="PIV28" s="3281"/>
      <c r="PIW28" s="3281"/>
      <c r="PIX28" s="3281"/>
      <c r="PIY28" s="3281"/>
      <c r="PIZ28" s="3281"/>
      <c r="PJA28" s="3281"/>
      <c r="PJB28" s="3281"/>
      <c r="PJC28" s="3281"/>
      <c r="PJD28" s="3281"/>
      <c r="PJE28" s="3281"/>
      <c r="PJF28" s="3281"/>
      <c r="PJG28" s="3281"/>
      <c r="PJH28" s="3281"/>
      <c r="PJI28" s="3281"/>
      <c r="PJJ28" s="3281"/>
      <c r="PJK28" s="3281"/>
      <c r="PJL28" s="3281"/>
      <c r="PJM28" s="3281"/>
      <c r="PJN28" s="3281"/>
      <c r="PJO28" s="3281"/>
      <c r="PJP28" s="3281"/>
      <c r="PJQ28" s="3281"/>
      <c r="PJR28" s="3281"/>
      <c r="PJS28" s="3281"/>
      <c r="PJT28" s="3281"/>
      <c r="PJU28" s="3281"/>
      <c r="PJV28" s="3281"/>
      <c r="PJW28" s="3281"/>
      <c r="PJX28" s="3281"/>
      <c r="PJY28" s="3281"/>
      <c r="PJZ28" s="3281"/>
      <c r="PKA28" s="3281"/>
      <c r="PKB28" s="3281"/>
      <c r="PKC28" s="3281"/>
      <c r="PKD28" s="3281"/>
      <c r="PKE28" s="3281"/>
      <c r="PKF28" s="3281"/>
      <c r="PKG28" s="3281"/>
      <c r="PKH28" s="3281"/>
      <c r="PKI28" s="3281"/>
      <c r="PKJ28" s="3281"/>
      <c r="PKK28" s="3281"/>
      <c r="PKL28" s="3281"/>
      <c r="PKM28" s="3281"/>
      <c r="PKN28" s="3281"/>
      <c r="PKO28" s="3281"/>
      <c r="PKP28" s="3281"/>
      <c r="PKQ28" s="3281"/>
      <c r="PKR28" s="3281"/>
      <c r="PKS28" s="3281"/>
      <c r="PKT28" s="3281"/>
      <c r="PKU28" s="3281"/>
      <c r="PKV28" s="3281"/>
      <c r="PKW28" s="3281"/>
      <c r="PKX28" s="3281"/>
      <c r="PKY28" s="3281"/>
      <c r="PKZ28" s="3281"/>
      <c r="PLA28" s="3281"/>
      <c r="PLB28" s="3281"/>
      <c r="PLC28" s="3281"/>
      <c r="PLD28" s="3281"/>
      <c r="PLE28" s="3281"/>
      <c r="PLF28" s="3281"/>
      <c r="PLG28" s="3281"/>
      <c r="PLH28" s="3281"/>
      <c r="PLI28" s="3281"/>
      <c r="PLJ28" s="3281"/>
      <c r="PLK28" s="3281"/>
      <c r="PLL28" s="3281"/>
      <c r="PLM28" s="3281"/>
      <c r="PLN28" s="3281"/>
      <c r="PLO28" s="3281"/>
      <c r="PLP28" s="3281"/>
      <c r="PLQ28" s="3281"/>
      <c r="PLR28" s="3281"/>
      <c r="PLS28" s="3281"/>
      <c r="PLT28" s="3281"/>
      <c r="PLU28" s="3281"/>
      <c r="PLV28" s="3281"/>
      <c r="PLW28" s="3281"/>
      <c r="PLX28" s="3281"/>
      <c r="PLY28" s="3281"/>
      <c r="PLZ28" s="3281"/>
      <c r="PMA28" s="3281"/>
      <c r="PMB28" s="3281"/>
      <c r="PMC28" s="3281"/>
      <c r="PMD28" s="3281"/>
      <c r="PME28" s="3281"/>
      <c r="PMF28" s="3281"/>
      <c r="PMG28" s="3281"/>
      <c r="PMH28" s="3281"/>
      <c r="PMI28" s="3281"/>
      <c r="PMJ28" s="3281"/>
      <c r="PMK28" s="3281"/>
      <c r="PML28" s="3281"/>
      <c r="PMM28" s="3281"/>
      <c r="PMN28" s="3281"/>
      <c r="PMO28" s="3281"/>
      <c r="PMP28" s="3281"/>
      <c r="PMQ28" s="3281"/>
      <c r="PMR28" s="3281"/>
      <c r="PMS28" s="3281"/>
      <c r="PMT28" s="3281"/>
      <c r="PMU28" s="3281"/>
      <c r="PMV28" s="3281"/>
      <c r="PMW28" s="3281"/>
      <c r="PMX28" s="3281"/>
      <c r="PMY28" s="3281"/>
      <c r="PMZ28" s="3281"/>
      <c r="PNA28" s="3281"/>
      <c r="PNB28" s="3281"/>
      <c r="PNC28" s="3281"/>
      <c r="PND28" s="3281"/>
      <c r="PNE28" s="3281"/>
      <c r="PNF28" s="3281"/>
      <c r="PNG28" s="3281"/>
      <c r="PNH28" s="3281"/>
      <c r="PNI28" s="3281"/>
      <c r="PNJ28" s="3281"/>
      <c r="PNK28" s="3281"/>
      <c r="PNL28" s="3281"/>
      <c r="PNM28" s="3281"/>
      <c r="PNN28" s="3281"/>
      <c r="PNO28" s="3281"/>
      <c r="PNP28" s="3281"/>
      <c r="PNQ28" s="3281"/>
      <c r="PNR28" s="3281"/>
      <c r="PNS28" s="3281"/>
      <c r="PNT28" s="3281"/>
      <c r="PNU28" s="3281"/>
      <c r="PNV28" s="3281"/>
      <c r="PNW28" s="3281"/>
      <c r="PNX28" s="3281"/>
      <c r="PNY28" s="3281"/>
      <c r="PNZ28" s="3281"/>
      <c r="POA28" s="3281"/>
      <c r="POB28" s="3281"/>
      <c r="POC28" s="3281"/>
      <c r="POD28" s="3281"/>
      <c r="POE28" s="3281"/>
      <c r="POF28" s="3281"/>
      <c r="POG28" s="3281"/>
      <c r="POH28" s="3281"/>
      <c r="POI28" s="3281"/>
      <c r="POJ28" s="3281"/>
      <c r="POK28" s="3281"/>
      <c r="POL28" s="3281"/>
      <c r="POM28" s="3281"/>
      <c r="PON28" s="3281"/>
      <c r="POO28" s="3281"/>
      <c r="POP28" s="3281"/>
      <c r="POQ28" s="3281"/>
      <c r="POR28" s="3281"/>
      <c r="POS28" s="3281"/>
      <c r="POT28" s="3281"/>
      <c r="POU28" s="3281"/>
      <c r="POV28" s="3281"/>
      <c r="POW28" s="3281"/>
      <c r="POX28" s="3281"/>
      <c r="POY28" s="3281"/>
      <c r="POZ28" s="3281"/>
      <c r="PPA28" s="3281"/>
      <c r="PPB28" s="3281"/>
      <c r="PPC28" s="3281"/>
      <c r="PPD28" s="3281"/>
      <c r="PPE28" s="3281"/>
      <c r="PPF28" s="3281"/>
      <c r="PPG28" s="3281"/>
      <c r="PPH28" s="3281"/>
      <c r="PPI28" s="3281"/>
      <c r="PPJ28" s="3281"/>
      <c r="PPK28" s="3281"/>
      <c r="PPL28" s="3281"/>
      <c r="PPM28" s="3281"/>
      <c r="PPN28" s="3281"/>
      <c r="PPO28" s="3281"/>
      <c r="PPP28" s="3281"/>
      <c r="PPQ28" s="3281"/>
      <c r="PPR28" s="3281"/>
      <c r="PPS28" s="3281"/>
      <c r="PPT28" s="3281"/>
      <c r="PPU28" s="3281"/>
      <c r="PPV28" s="3281"/>
      <c r="PPW28" s="3281"/>
      <c r="PPX28" s="3281"/>
      <c r="PPY28" s="3281"/>
      <c r="PPZ28" s="3281"/>
      <c r="PQA28" s="3281"/>
      <c r="PQB28" s="3281"/>
      <c r="PQC28" s="3281"/>
      <c r="PQD28" s="3281"/>
      <c r="PQE28" s="3281"/>
      <c r="PQF28" s="3281"/>
      <c r="PQG28" s="3281"/>
      <c r="PQH28" s="3281"/>
      <c r="PQI28" s="3281"/>
      <c r="PQJ28" s="3281"/>
      <c r="PQK28" s="3281"/>
      <c r="PQL28" s="3281"/>
      <c r="PQM28" s="3281"/>
      <c r="PQN28" s="3281"/>
      <c r="PQO28" s="3281"/>
      <c r="PQP28" s="3281"/>
      <c r="PQQ28" s="3281"/>
      <c r="PQR28" s="3281"/>
      <c r="PQS28" s="3281"/>
      <c r="PQT28" s="3281"/>
      <c r="PQU28" s="3281"/>
      <c r="PQV28" s="3281"/>
      <c r="PQW28" s="3281"/>
      <c r="PQX28" s="3281"/>
      <c r="PQY28" s="3281"/>
      <c r="PQZ28" s="3281"/>
      <c r="PRA28" s="3281"/>
      <c r="PRB28" s="3281"/>
      <c r="PRC28" s="3281"/>
      <c r="PRD28" s="3281"/>
      <c r="PRE28" s="3281"/>
      <c r="PRF28" s="3281"/>
      <c r="PRG28" s="3281"/>
      <c r="PRH28" s="3281"/>
      <c r="PRI28" s="3281"/>
      <c r="PRJ28" s="3281"/>
      <c r="PRK28" s="3281"/>
      <c r="PRL28" s="3281"/>
      <c r="PRM28" s="3281"/>
      <c r="PRN28" s="3281"/>
      <c r="PRO28" s="3281"/>
      <c r="PRP28" s="3281"/>
      <c r="PRQ28" s="3281"/>
      <c r="PRR28" s="3281"/>
      <c r="PRS28" s="3281"/>
      <c r="PRT28" s="3281"/>
      <c r="PRU28" s="3281"/>
      <c r="PRV28" s="3281"/>
      <c r="PRW28" s="3281"/>
      <c r="PRX28" s="3281"/>
      <c r="PRY28" s="3281"/>
      <c r="PRZ28" s="3281"/>
      <c r="PSA28" s="3281"/>
      <c r="PSB28" s="3281"/>
      <c r="PSC28" s="3281"/>
      <c r="PSD28" s="3281"/>
      <c r="PSE28" s="3281"/>
      <c r="PSF28" s="3281"/>
      <c r="PSG28" s="3281"/>
      <c r="PSH28" s="3281"/>
      <c r="PSI28" s="3281"/>
      <c r="PSJ28" s="3281"/>
      <c r="PSK28" s="3281"/>
      <c r="PSL28" s="3281"/>
      <c r="PSM28" s="3281"/>
      <c r="PSN28" s="3281"/>
      <c r="PSO28" s="3281"/>
      <c r="PSP28" s="3281"/>
      <c r="PSQ28" s="3281"/>
      <c r="PSR28" s="3281"/>
      <c r="PSS28" s="3281"/>
      <c r="PST28" s="3281"/>
      <c r="PSU28" s="3281"/>
      <c r="PSV28" s="3281"/>
      <c r="PSW28" s="3281"/>
      <c r="PSX28" s="3281"/>
      <c r="PSY28" s="3281"/>
      <c r="PSZ28" s="3281"/>
      <c r="PTA28" s="3281"/>
      <c r="PTB28" s="3281"/>
      <c r="PTC28" s="3281"/>
      <c r="PTD28" s="3281"/>
      <c r="PTE28" s="3281"/>
      <c r="PTF28" s="3281"/>
      <c r="PTG28" s="3281"/>
      <c r="PTH28" s="3281"/>
      <c r="PTI28" s="3281"/>
      <c r="PTJ28" s="3281"/>
      <c r="PTK28" s="3281"/>
      <c r="PTL28" s="3281"/>
      <c r="PTM28" s="3281"/>
      <c r="PTN28" s="3281"/>
      <c r="PTO28" s="3281"/>
      <c r="PTP28" s="3281"/>
      <c r="PTQ28" s="3281"/>
      <c r="PTR28" s="3281"/>
      <c r="PTS28" s="3281"/>
      <c r="PTT28" s="3281"/>
      <c r="PTU28" s="3281"/>
      <c r="PTV28" s="3281"/>
      <c r="PTW28" s="3281"/>
      <c r="PTX28" s="3281"/>
      <c r="PTY28" s="3281"/>
      <c r="PTZ28" s="3281"/>
      <c r="PUA28" s="3281"/>
      <c r="PUB28" s="3281"/>
      <c r="PUC28" s="3281"/>
      <c r="PUD28" s="3281"/>
      <c r="PUE28" s="3281"/>
      <c r="PUF28" s="3281"/>
      <c r="PUG28" s="3281"/>
      <c r="PUH28" s="3281"/>
      <c r="PUI28" s="3281"/>
      <c r="PUJ28" s="3281"/>
      <c r="PUK28" s="3281"/>
      <c r="PUL28" s="3281"/>
      <c r="PUM28" s="3281"/>
      <c r="PUN28" s="3281"/>
      <c r="PUO28" s="3281"/>
      <c r="PUP28" s="3281"/>
      <c r="PUQ28" s="3281"/>
      <c r="PUR28" s="3281"/>
      <c r="PUS28" s="3281"/>
      <c r="PUT28" s="3281"/>
      <c r="PUU28" s="3281"/>
      <c r="PUV28" s="3281"/>
      <c r="PUW28" s="3281"/>
      <c r="PUX28" s="3281"/>
      <c r="PUY28" s="3281"/>
      <c r="PUZ28" s="3281"/>
      <c r="PVA28" s="3281"/>
      <c r="PVB28" s="3281"/>
      <c r="PVC28" s="3281"/>
      <c r="PVD28" s="3281"/>
      <c r="PVE28" s="3281"/>
      <c r="PVF28" s="3281"/>
      <c r="PVG28" s="3281"/>
      <c r="PVH28" s="3281"/>
      <c r="PVI28" s="3281"/>
      <c r="PVJ28" s="3281"/>
      <c r="PVK28" s="3281"/>
      <c r="PVL28" s="3281"/>
      <c r="PVM28" s="3281"/>
      <c r="PVN28" s="3281"/>
      <c r="PVO28" s="3281"/>
      <c r="PVP28" s="3281"/>
      <c r="PVQ28" s="3281"/>
      <c r="PVR28" s="3281"/>
      <c r="PVS28" s="3281"/>
      <c r="PVT28" s="3281"/>
      <c r="PVU28" s="3281"/>
      <c r="PVV28" s="3281"/>
      <c r="PVW28" s="3281"/>
      <c r="PVX28" s="3281"/>
      <c r="PVY28" s="3281"/>
      <c r="PVZ28" s="3281"/>
      <c r="PWA28" s="3281"/>
      <c r="PWB28" s="3281"/>
      <c r="PWC28" s="3281"/>
      <c r="PWD28" s="3281"/>
      <c r="PWE28" s="3281"/>
      <c r="PWF28" s="3281"/>
      <c r="PWG28" s="3281"/>
      <c r="PWH28" s="3281"/>
      <c r="PWI28" s="3281"/>
      <c r="PWJ28" s="3281"/>
      <c r="PWK28" s="3281"/>
      <c r="PWL28" s="3281"/>
      <c r="PWM28" s="3281"/>
      <c r="PWN28" s="3281"/>
      <c r="PWO28" s="3281"/>
      <c r="PWP28" s="3281"/>
      <c r="PWQ28" s="3281"/>
      <c r="PWR28" s="3281"/>
      <c r="PWS28" s="3281"/>
      <c r="PWT28" s="3281"/>
      <c r="PWU28" s="3281"/>
      <c r="PWV28" s="3281"/>
      <c r="PWW28" s="3281"/>
      <c r="PWX28" s="3281"/>
      <c r="PWY28" s="3281"/>
      <c r="PWZ28" s="3281"/>
      <c r="PXA28" s="3281"/>
      <c r="PXB28" s="3281"/>
      <c r="PXC28" s="3281"/>
      <c r="PXD28" s="3281"/>
      <c r="PXE28" s="3281"/>
      <c r="PXF28" s="3281"/>
      <c r="PXG28" s="3281"/>
      <c r="PXH28" s="3281"/>
      <c r="PXI28" s="3281"/>
      <c r="PXJ28" s="3281"/>
      <c r="PXK28" s="3281"/>
      <c r="PXL28" s="3281"/>
      <c r="PXM28" s="3281"/>
      <c r="PXN28" s="3281"/>
      <c r="PXO28" s="3281"/>
      <c r="PXP28" s="3281"/>
      <c r="PXQ28" s="3281"/>
      <c r="PXR28" s="3281"/>
      <c r="PXS28" s="3281"/>
      <c r="PXT28" s="3281"/>
      <c r="PXU28" s="3281"/>
      <c r="PXV28" s="3281"/>
      <c r="PXW28" s="3281"/>
      <c r="PXX28" s="3281"/>
      <c r="PXY28" s="3281"/>
      <c r="PXZ28" s="3281"/>
      <c r="PYA28" s="3281"/>
      <c r="PYB28" s="3281"/>
      <c r="PYC28" s="3281"/>
      <c r="PYD28" s="3281"/>
      <c r="PYE28" s="3281"/>
      <c r="PYF28" s="3281"/>
      <c r="PYG28" s="3281"/>
      <c r="PYH28" s="3281"/>
      <c r="PYI28" s="3281"/>
      <c r="PYJ28" s="3281"/>
      <c r="PYK28" s="3281"/>
      <c r="PYL28" s="3281"/>
      <c r="PYM28" s="3281"/>
      <c r="PYN28" s="3281"/>
      <c r="PYO28" s="3281"/>
      <c r="PYP28" s="3281"/>
      <c r="PYQ28" s="3281"/>
      <c r="PYR28" s="3281"/>
      <c r="PYS28" s="3281"/>
      <c r="PYT28" s="3281"/>
      <c r="PYU28" s="3281"/>
      <c r="PYV28" s="3281"/>
      <c r="PYW28" s="3281"/>
      <c r="PYX28" s="3281"/>
      <c r="PYY28" s="3281"/>
      <c r="PYZ28" s="3281"/>
      <c r="PZA28" s="3281"/>
      <c r="PZB28" s="3281"/>
      <c r="PZC28" s="3281"/>
      <c r="PZD28" s="3281"/>
      <c r="PZE28" s="3281"/>
      <c r="PZF28" s="3281"/>
      <c r="PZG28" s="3281"/>
      <c r="PZH28" s="3281"/>
      <c r="PZI28" s="3281"/>
      <c r="PZJ28" s="3281"/>
      <c r="PZK28" s="3281"/>
      <c r="PZL28" s="3281"/>
      <c r="PZM28" s="3281"/>
      <c r="PZN28" s="3281"/>
      <c r="PZO28" s="3281"/>
      <c r="PZP28" s="3281"/>
      <c r="PZQ28" s="3281"/>
      <c r="PZR28" s="3281"/>
      <c r="PZS28" s="3281"/>
      <c r="PZT28" s="3281"/>
      <c r="PZU28" s="3281"/>
      <c r="PZV28" s="3281"/>
      <c r="PZW28" s="3281"/>
      <c r="PZX28" s="3281"/>
      <c r="PZY28" s="3281"/>
      <c r="PZZ28" s="3281"/>
      <c r="QAA28" s="3281"/>
      <c r="QAB28" s="3281"/>
      <c r="QAC28" s="3281"/>
      <c r="QAD28" s="3281"/>
      <c r="QAE28" s="3281"/>
      <c r="QAF28" s="3281"/>
      <c r="QAG28" s="3281"/>
      <c r="QAH28" s="3281"/>
      <c r="QAI28" s="3281"/>
      <c r="QAJ28" s="3281"/>
      <c r="QAK28" s="3281"/>
      <c r="QAL28" s="3281"/>
      <c r="QAM28" s="3281"/>
      <c r="QAN28" s="3281"/>
      <c r="QAO28" s="3281"/>
      <c r="QAP28" s="3281"/>
      <c r="QAQ28" s="3281"/>
      <c r="QAR28" s="3281"/>
      <c r="QAS28" s="3281"/>
      <c r="QAT28" s="3281"/>
      <c r="QAU28" s="3281"/>
      <c r="QAV28" s="3281"/>
      <c r="QAW28" s="3281"/>
      <c r="QAX28" s="3281"/>
      <c r="QAY28" s="3281"/>
      <c r="QAZ28" s="3281"/>
      <c r="QBA28" s="3281"/>
      <c r="QBB28" s="3281"/>
      <c r="QBC28" s="3281"/>
      <c r="QBD28" s="3281"/>
      <c r="QBE28" s="3281"/>
      <c r="QBF28" s="3281"/>
      <c r="QBG28" s="3281"/>
      <c r="QBH28" s="3281"/>
      <c r="QBI28" s="3281"/>
      <c r="QBJ28" s="3281"/>
      <c r="QBK28" s="3281"/>
      <c r="QBL28" s="3281"/>
      <c r="QBM28" s="3281"/>
      <c r="QBN28" s="3281"/>
      <c r="QBO28" s="3281"/>
      <c r="QBP28" s="3281"/>
      <c r="QBQ28" s="3281"/>
      <c r="QBR28" s="3281"/>
      <c r="QBS28" s="3281"/>
      <c r="QBT28" s="3281"/>
      <c r="QBU28" s="3281"/>
      <c r="QBV28" s="3281"/>
      <c r="QBW28" s="3281"/>
      <c r="QBX28" s="3281"/>
      <c r="QBY28" s="3281"/>
      <c r="QBZ28" s="3281"/>
      <c r="QCA28" s="3281"/>
      <c r="QCB28" s="3281"/>
      <c r="QCC28" s="3281"/>
      <c r="QCD28" s="3281"/>
      <c r="QCE28" s="3281"/>
      <c r="QCF28" s="3281"/>
      <c r="QCG28" s="3281"/>
      <c r="QCH28" s="3281"/>
      <c r="QCI28" s="3281"/>
      <c r="QCJ28" s="3281"/>
      <c r="QCK28" s="3281"/>
      <c r="QCL28" s="3281"/>
      <c r="QCM28" s="3281"/>
      <c r="QCN28" s="3281"/>
      <c r="QCO28" s="3281"/>
      <c r="QCP28" s="3281"/>
      <c r="QCQ28" s="3281"/>
      <c r="QCR28" s="3281"/>
      <c r="QCS28" s="3281"/>
      <c r="QCT28" s="3281"/>
      <c r="QCU28" s="3281"/>
      <c r="QCV28" s="3281"/>
      <c r="QCW28" s="3281"/>
      <c r="QCX28" s="3281"/>
      <c r="QCY28" s="3281"/>
      <c r="QCZ28" s="3281"/>
      <c r="QDA28" s="3281"/>
      <c r="QDB28" s="3281"/>
      <c r="QDC28" s="3281"/>
      <c r="QDD28" s="3281"/>
      <c r="QDE28" s="3281"/>
      <c r="QDF28" s="3281"/>
      <c r="QDG28" s="3281"/>
      <c r="QDH28" s="3281"/>
      <c r="QDI28" s="3281"/>
      <c r="QDJ28" s="3281"/>
      <c r="QDK28" s="3281"/>
      <c r="QDL28" s="3281"/>
      <c r="QDM28" s="3281"/>
      <c r="QDN28" s="3281"/>
      <c r="QDO28" s="3281"/>
      <c r="QDP28" s="3281"/>
      <c r="QDQ28" s="3281"/>
      <c r="QDR28" s="3281"/>
      <c r="QDS28" s="3281"/>
      <c r="QDT28" s="3281"/>
      <c r="QDU28" s="3281"/>
      <c r="QDV28" s="3281"/>
      <c r="QDW28" s="3281"/>
      <c r="QDX28" s="3281"/>
      <c r="QDY28" s="3281"/>
      <c r="QDZ28" s="3281"/>
      <c r="QEA28" s="3281"/>
      <c r="QEB28" s="3281"/>
      <c r="QEC28" s="3281"/>
      <c r="QED28" s="3281"/>
      <c r="QEE28" s="3281"/>
      <c r="QEF28" s="3281"/>
      <c r="QEG28" s="3281"/>
      <c r="QEH28" s="3281"/>
      <c r="QEI28" s="3281"/>
      <c r="QEJ28" s="3281"/>
      <c r="QEK28" s="3281"/>
      <c r="QEL28" s="3281"/>
      <c r="QEM28" s="3281"/>
      <c r="QEN28" s="3281"/>
      <c r="QEO28" s="3281"/>
      <c r="QEP28" s="3281"/>
      <c r="QEQ28" s="3281"/>
      <c r="QER28" s="3281"/>
      <c r="QES28" s="3281"/>
      <c r="QET28" s="3281"/>
      <c r="QEU28" s="3281"/>
      <c r="QEV28" s="3281"/>
      <c r="QEW28" s="3281"/>
      <c r="QEX28" s="3281"/>
      <c r="QEY28" s="3281"/>
      <c r="QEZ28" s="3281"/>
      <c r="QFA28" s="3281"/>
      <c r="QFB28" s="3281"/>
      <c r="QFC28" s="3281"/>
      <c r="QFD28" s="3281"/>
      <c r="QFE28" s="3281"/>
      <c r="QFF28" s="3281"/>
      <c r="QFG28" s="3281"/>
      <c r="QFH28" s="3281"/>
      <c r="QFI28" s="3281"/>
      <c r="QFJ28" s="3281"/>
      <c r="QFK28" s="3281"/>
      <c r="QFL28" s="3281"/>
      <c r="QFM28" s="3281"/>
      <c r="QFN28" s="3281"/>
      <c r="QFO28" s="3281"/>
      <c r="QFP28" s="3281"/>
      <c r="QFQ28" s="3281"/>
      <c r="QFR28" s="3281"/>
      <c r="QFS28" s="3281"/>
      <c r="QFT28" s="3281"/>
      <c r="QFU28" s="3281"/>
      <c r="QFV28" s="3281"/>
      <c r="QFW28" s="3281"/>
      <c r="QFX28" s="3281"/>
      <c r="QFY28" s="3281"/>
      <c r="QFZ28" s="3281"/>
      <c r="QGA28" s="3281"/>
      <c r="QGB28" s="3281"/>
      <c r="QGC28" s="3281"/>
      <c r="QGD28" s="3281"/>
      <c r="QGE28" s="3281"/>
      <c r="QGF28" s="3281"/>
      <c r="QGG28" s="3281"/>
      <c r="QGH28" s="3281"/>
      <c r="QGI28" s="3281"/>
      <c r="QGJ28" s="3281"/>
      <c r="QGK28" s="3281"/>
      <c r="QGL28" s="3281"/>
      <c r="QGM28" s="3281"/>
      <c r="QGN28" s="3281"/>
      <c r="QGO28" s="3281"/>
      <c r="QGP28" s="3281"/>
      <c r="QGQ28" s="3281"/>
      <c r="QGR28" s="3281"/>
      <c r="QGS28" s="3281"/>
      <c r="QGT28" s="3281"/>
      <c r="QGU28" s="3281"/>
      <c r="QGV28" s="3281"/>
      <c r="QGW28" s="3281"/>
      <c r="QGX28" s="3281"/>
      <c r="QGY28" s="3281"/>
      <c r="QGZ28" s="3281"/>
      <c r="QHA28" s="3281"/>
      <c r="QHB28" s="3281"/>
      <c r="QHC28" s="3281"/>
      <c r="QHD28" s="3281"/>
      <c r="QHE28" s="3281"/>
      <c r="QHF28" s="3281"/>
      <c r="QHG28" s="3281"/>
      <c r="QHH28" s="3281"/>
      <c r="QHI28" s="3281"/>
      <c r="QHJ28" s="3281"/>
      <c r="QHK28" s="3281"/>
      <c r="QHL28" s="3281"/>
      <c r="QHM28" s="3281"/>
      <c r="QHN28" s="3281"/>
      <c r="QHO28" s="3281"/>
      <c r="QHP28" s="3281"/>
      <c r="QHQ28" s="3281"/>
      <c r="QHR28" s="3281"/>
      <c r="QHS28" s="3281"/>
      <c r="QHT28" s="3281"/>
      <c r="QHU28" s="3281"/>
      <c r="QHV28" s="3281"/>
      <c r="QHW28" s="3281"/>
      <c r="QHX28" s="3281"/>
      <c r="QHY28" s="3281"/>
      <c r="QHZ28" s="3281"/>
      <c r="QIA28" s="3281"/>
      <c r="QIB28" s="3281"/>
      <c r="QIC28" s="3281"/>
      <c r="QID28" s="3281"/>
      <c r="QIE28" s="3281"/>
      <c r="QIF28" s="3281"/>
      <c r="QIG28" s="3281"/>
      <c r="QIH28" s="3281"/>
      <c r="QII28" s="3281"/>
      <c r="QIJ28" s="3281"/>
      <c r="QIK28" s="3281"/>
      <c r="QIL28" s="3281"/>
      <c r="QIM28" s="3281"/>
      <c r="QIN28" s="3281"/>
      <c r="QIO28" s="3281"/>
      <c r="QIP28" s="3281"/>
      <c r="QIQ28" s="3281"/>
      <c r="QIR28" s="3281"/>
      <c r="QIS28" s="3281"/>
      <c r="QIT28" s="3281"/>
      <c r="QIU28" s="3281"/>
      <c r="QIV28" s="3281"/>
      <c r="QIW28" s="3281"/>
      <c r="QIX28" s="3281"/>
      <c r="QIY28" s="3281"/>
      <c r="QIZ28" s="3281"/>
      <c r="QJA28" s="3281"/>
      <c r="QJB28" s="3281"/>
      <c r="QJC28" s="3281"/>
      <c r="QJD28" s="3281"/>
      <c r="QJE28" s="3281"/>
      <c r="QJF28" s="3281"/>
      <c r="QJG28" s="3281"/>
      <c r="QJH28" s="3281"/>
      <c r="QJI28" s="3281"/>
      <c r="QJJ28" s="3281"/>
      <c r="QJK28" s="3281"/>
      <c r="QJL28" s="3281"/>
      <c r="QJM28" s="3281"/>
      <c r="QJN28" s="3281"/>
      <c r="QJO28" s="3281"/>
      <c r="QJP28" s="3281"/>
      <c r="QJQ28" s="3281"/>
      <c r="QJR28" s="3281"/>
      <c r="QJS28" s="3281"/>
      <c r="QJT28" s="3281"/>
      <c r="QJU28" s="3281"/>
      <c r="QJV28" s="3281"/>
      <c r="QJW28" s="3281"/>
      <c r="QJX28" s="3281"/>
      <c r="QJY28" s="3281"/>
      <c r="QJZ28" s="3281"/>
      <c r="QKA28" s="3281"/>
      <c r="QKB28" s="3281"/>
      <c r="QKC28" s="3281"/>
      <c r="QKD28" s="3281"/>
      <c r="QKE28" s="3281"/>
      <c r="QKF28" s="3281"/>
      <c r="QKG28" s="3281"/>
      <c r="QKH28" s="3281"/>
      <c r="QKI28" s="3281"/>
      <c r="QKJ28" s="3281"/>
      <c r="QKK28" s="3281"/>
      <c r="QKL28" s="3281"/>
      <c r="QKM28" s="3281"/>
      <c r="QKN28" s="3281"/>
      <c r="QKO28" s="3281"/>
      <c r="QKP28" s="3281"/>
      <c r="QKQ28" s="3281"/>
      <c r="QKR28" s="3281"/>
      <c r="QKS28" s="3281"/>
      <c r="QKT28" s="3281"/>
      <c r="QKU28" s="3281"/>
      <c r="QKV28" s="3281"/>
      <c r="QKW28" s="3281"/>
      <c r="QKX28" s="3281"/>
      <c r="QKY28" s="3281"/>
      <c r="QKZ28" s="3281"/>
      <c r="QLA28" s="3281"/>
      <c r="QLB28" s="3281"/>
      <c r="QLC28" s="3281"/>
      <c r="QLD28" s="3281"/>
      <c r="QLE28" s="3281"/>
      <c r="QLF28" s="3281"/>
      <c r="QLG28" s="3281"/>
      <c r="QLH28" s="3281"/>
      <c r="QLI28" s="3281"/>
      <c r="QLJ28" s="3281"/>
      <c r="QLK28" s="3281"/>
      <c r="QLL28" s="3281"/>
      <c r="QLM28" s="3281"/>
      <c r="QLN28" s="3281"/>
      <c r="QLO28" s="3281"/>
      <c r="QLP28" s="3281"/>
      <c r="QLQ28" s="3281"/>
      <c r="QLR28" s="3281"/>
      <c r="QLS28" s="3281"/>
      <c r="QLT28" s="3281"/>
      <c r="QLU28" s="3281"/>
      <c r="QLV28" s="3281"/>
      <c r="QLW28" s="3281"/>
      <c r="QLX28" s="3281"/>
      <c r="QLY28" s="3281"/>
      <c r="QLZ28" s="3281"/>
      <c r="QMA28" s="3281"/>
      <c r="QMB28" s="3281"/>
      <c r="QMC28" s="3281"/>
      <c r="QMD28" s="3281"/>
      <c r="QME28" s="3281"/>
      <c r="QMF28" s="3281"/>
      <c r="QMG28" s="3281"/>
      <c r="QMH28" s="3281"/>
      <c r="QMI28" s="3281"/>
      <c r="QMJ28" s="3281"/>
      <c r="QMK28" s="3281"/>
      <c r="QML28" s="3281"/>
      <c r="QMM28" s="3281"/>
      <c r="QMN28" s="3281"/>
      <c r="QMO28" s="3281"/>
      <c r="QMP28" s="3281"/>
      <c r="QMQ28" s="3281"/>
      <c r="QMR28" s="3281"/>
      <c r="QMS28" s="3281"/>
      <c r="QMT28" s="3281"/>
      <c r="QMU28" s="3281"/>
      <c r="QMV28" s="3281"/>
      <c r="QMW28" s="3281"/>
      <c r="QMX28" s="3281"/>
      <c r="QMY28" s="3281"/>
      <c r="QMZ28" s="3281"/>
      <c r="QNA28" s="3281"/>
      <c r="QNB28" s="3281"/>
      <c r="QNC28" s="3281"/>
      <c r="QND28" s="3281"/>
      <c r="QNE28" s="3281"/>
      <c r="QNF28" s="3281"/>
      <c r="QNG28" s="3281"/>
      <c r="QNH28" s="3281"/>
      <c r="QNI28" s="3281"/>
      <c r="QNJ28" s="3281"/>
      <c r="QNK28" s="3281"/>
      <c r="QNL28" s="3281"/>
      <c r="QNM28" s="3281"/>
      <c r="QNN28" s="3281"/>
      <c r="QNO28" s="3281"/>
      <c r="QNP28" s="3281"/>
      <c r="QNQ28" s="3281"/>
      <c r="QNR28" s="3281"/>
      <c r="QNS28" s="3281"/>
      <c r="QNT28" s="3281"/>
      <c r="QNU28" s="3281"/>
      <c r="QNV28" s="3281"/>
      <c r="QNW28" s="3281"/>
      <c r="QNX28" s="3281"/>
      <c r="QNY28" s="3281"/>
      <c r="QNZ28" s="3281"/>
      <c r="QOA28" s="3281"/>
      <c r="QOB28" s="3281"/>
      <c r="QOC28" s="3281"/>
      <c r="QOD28" s="3281"/>
      <c r="QOE28" s="3281"/>
      <c r="QOF28" s="3281"/>
      <c r="QOG28" s="3281"/>
      <c r="QOH28" s="3281"/>
      <c r="QOI28" s="3281"/>
      <c r="QOJ28" s="3281"/>
      <c r="QOK28" s="3281"/>
      <c r="QOL28" s="3281"/>
      <c r="QOM28" s="3281"/>
      <c r="QON28" s="3281"/>
      <c r="QOO28" s="3281"/>
      <c r="QOP28" s="3281"/>
      <c r="QOQ28" s="3281"/>
      <c r="QOR28" s="3281"/>
      <c r="QOS28" s="3281"/>
      <c r="QOT28" s="3281"/>
      <c r="QOU28" s="3281"/>
      <c r="QOV28" s="3281"/>
      <c r="QOW28" s="3281"/>
      <c r="QOX28" s="3281"/>
      <c r="QOY28" s="3281"/>
      <c r="QOZ28" s="3281"/>
      <c r="QPA28" s="3281"/>
      <c r="QPB28" s="3281"/>
      <c r="QPC28" s="3281"/>
      <c r="QPD28" s="3281"/>
      <c r="QPE28" s="3281"/>
      <c r="QPF28" s="3281"/>
      <c r="QPG28" s="3281"/>
      <c r="QPH28" s="3281"/>
      <c r="QPI28" s="3281"/>
      <c r="QPJ28" s="3281"/>
      <c r="QPK28" s="3281"/>
      <c r="QPL28" s="3281"/>
      <c r="QPM28" s="3281"/>
      <c r="QPN28" s="3281"/>
      <c r="QPO28" s="3281"/>
      <c r="QPP28" s="3281"/>
      <c r="QPQ28" s="3281"/>
      <c r="QPR28" s="3281"/>
      <c r="QPS28" s="3281"/>
      <c r="QPT28" s="3281"/>
      <c r="QPU28" s="3281"/>
      <c r="QPV28" s="3281"/>
      <c r="QPW28" s="3281"/>
      <c r="QPX28" s="3281"/>
      <c r="QPY28" s="3281"/>
      <c r="QPZ28" s="3281"/>
      <c r="QQA28" s="3281"/>
      <c r="QQB28" s="3281"/>
      <c r="QQC28" s="3281"/>
      <c r="QQD28" s="3281"/>
      <c r="QQE28" s="3281"/>
      <c r="QQF28" s="3281"/>
      <c r="QQG28" s="3281"/>
      <c r="QQH28" s="3281"/>
      <c r="QQI28" s="3281"/>
      <c r="QQJ28" s="3281"/>
      <c r="QQK28" s="3281"/>
      <c r="QQL28" s="3281"/>
      <c r="QQM28" s="3281"/>
      <c r="QQN28" s="3281"/>
      <c r="QQO28" s="3281"/>
      <c r="QQP28" s="3281"/>
      <c r="QQQ28" s="3281"/>
      <c r="QQR28" s="3281"/>
      <c r="QQS28" s="3281"/>
      <c r="QQT28" s="3281"/>
      <c r="QQU28" s="3281"/>
      <c r="QQV28" s="3281"/>
      <c r="QQW28" s="3281"/>
      <c r="QQX28" s="3281"/>
      <c r="QQY28" s="3281"/>
      <c r="QQZ28" s="3281"/>
      <c r="QRA28" s="3281"/>
      <c r="QRB28" s="3281"/>
      <c r="QRC28" s="3281"/>
      <c r="QRD28" s="3281"/>
      <c r="QRE28" s="3281"/>
      <c r="QRF28" s="3281"/>
      <c r="QRG28" s="3281"/>
      <c r="QRH28" s="3281"/>
      <c r="QRI28" s="3281"/>
      <c r="QRJ28" s="3281"/>
      <c r="QRK28" s="3281"/>
      <c r="QRL28" s="3281"/>
      <c r="QRM28" s="3281"/>
      <c r="QRN28" s="3281"/>
      <c r="QRO28" s="3281"/>
      <c r="QRP28" s="3281"/>
      <c r="QRQ28" s="3281"/>
      <c r="QRR28" s="3281"/>
      <c r="QRS28" s="3281"/>
      <c r="QRT28" s="3281"/>
      <c r="QRU28" s="3281"/>
      <c r="QRV28" s="3281"/>
      <c r="QRW28" s="3281"/>
      <c r="QRX28" s="3281"/>
      <c r="QRY28" s="3281"/>
      <c r="QRZ28" s="3281"/>
      <c r="QSA28" s="3281"/>
      <c r="QSB28" s="3281"/>
      <c r="QSC28" s="3281"/>
      <c r="QSD28" s="3281"/>
      <c r="QSE28" s="3281"/>
      <c r="QSF28" s="3281"/>
      <c r="QSG28" s="3281"/>
      <c r="QSH28" s="3281"/>
      <c r="QSI28" s="3281"/>
      <c r="QSJ28" s="3281"/>
      <c r="QSK28" s="3281"/>
      <c r="QSL28" s="3281"/>
      <c r="QSM28" s="3281"/>
      <c r="QSN28" s="3281"/>
      <c r="QSO28" s="3281"/>
      <c r="QSP28" s="3281"/>
      <c r="QSQ28" s="3281"/>
      <c r="QSR28" s="3281"/>
      <c r="QSS28" s="3281"/>
      <c r="QST28" s="3281"/>
      <c r="QSU28" s="3281"/>
      <c r="QSV28" s="3281"/>
      <c r="QSW28" s="3281"/>
      <c r="QSX28" s="3281"/>
      <c r="QSY28" s="3281"/>
      <c r="QSZ28" s="3281"/>
      <c r="QTA28" s="3281"/>
      <c r="QTB28" s="3281"/>
      <c r="QTC28" s="3281"/>
      <c r="QTD28" s="3281"/>
      <c r="QTE28" s="3281"/>
      <c r="QTF28" s="3281"/>
      <c r="QTG28" s="3281"/>
      <c r="QTH28" s="3281"/>
      <c r="QTI28" s="3281"/>
      <c r="QTJ28" s="3281"/>
      <c r="QTK28" s="3281"/>
      <c r="QTL28" s="3281"/>
      <c r="QTM28" s="3281"/>
      <c r="QTN28" s="3281"/>
      <c r="QTO28" s="3281"/>
      <c r="QTP28" s="3281"/>
      <c r="QTQ28" s="3281"/>
      <c r="QTR28" s="3281"/>
      <c r="QTS28" s="3281"/>
      <c r="QTT28" s="3281"/>
      <c r="QTU28" s="3281"/>
      <c r="QTV28" s="3281"/>
      <c r="QTW28" s="3281"/>
      <c r="QTX28" s="3281"/>
      <c r="QTY28" s="3281"/>
      <c r="QTZ28" s="3281"/>
      <c r="QUA28" s="3281"/>
      <c r="QUB28" s="3281"/>
      <c r="QUC28" s="3281"/>
      <c r="QUD28" s="3281"/>
      <c r="QUE28" s="3281"/>
      <c r="QUF28" s="3281"/>
      <c r="QUG28" s="3281"/>
      <c r="QUH28" s="3281"/>
      <c r="QUI28" s="3281"/>
      <c r="QUJ28" s="3281"/>
      <c r="QUK28" s="3281"/>
      <c r="QUL28" s="3281"/>
      <c r="QUM28" s="3281"/>
      <c r="QUN28" s="3281"/>
      <c r="QUO28" s="3281"/>
      <c r="QUP28" s="3281"/>
      <c r="QUQ28" s="3281"/>
      <c r="QUR28" s="3281"/>
      <c r="QUS28" s="3281"/>
      <c r="QUT28" s="3281"/>
      <c r="QUU28" s="3281"/>
      <c r="QUV28" s="3281"/>
      <c r="QUW28" s="3281"/>
      <c r="QUX28" s="3281"/>
      <c r="QUY28" s="3281"/>
      <c r="QUZ28" s="3281"/>
      <c r="QVA28" s="3281"/>
      <c r="QVB28" s="3281"/>
      <c r="QVC28" s="3281"/>
      <c r="QVD28" s="3281"/>
      <c r="QVE28" s="3281"/>
      <c r="QVF28" s="3281"/>
      <c r="QVG28" s="3281"/>
      <c r="QVH28" s="3281"/>
      <c r="QVI28" s="3281"/>
      <c r="QVJ28" s="3281"/>
      <c r="QVK28" s="3281"/>
      <c r="QVL28" s="3281"/>
      <c r="QVM28" s="3281"/>
      <c r="QVN28" s="3281"/>
      <c r="QVO28" s="3281"/>
      <c r="QVP28" s="3281"/>
      <c r="QVQ28" s="3281"/>
      <c r="QVR28" s="3281"/>
      <c r="QVS28" s="3281"/>
      <c r="QVT28" s="3281"/>
      <c r="QVU28" s="3281"/>
      <c r="QVV28" s="3281"/>
      <c r="QVW28" s="3281"/>
      <c r="QVX28" s="3281"/>
      <c r="QVY28" s="3281"/>
      <c r="QVZ28" s="3281"/>
      <c r="QWA28" s="3281"/>
      <c r="QWB28" s="3281"/>
      <c r="QWC28" s="3281"/>
      <c r="QWD28" s="3281"/>
      <c r="QWE28" s="3281"/>
      <c r="QWF28" s="3281"/>
      <c r="QWG28" s="3281"/>
      <c r="QWH28" s="3281"/>
      <c r="QWI28" s="3281"/>
      <c r="QWJ28" s="3281"/>
      <c r="QWK28" s="3281"/>
      <c r="QWL28" s="3281"/>
      <c r="QWM28" s="3281"/>
      <c r="QWN28" s="3281"/>
      <c r="QWO28" s="3281"/>
      <c r="QWP28" s="3281"/>
      <c r="QWQ28" s="3281"/>
      <c r="QWR28" s="3281"/>
      <c r="QWS28" s="3281"/>
      <c r="QWT28" s="3281"/>
      <c r="QWU28" s="3281"/>
      <c r="QWV28" s="3281"/>
      <c r="QWW28" s="3281"/>
      <c r="QWX28" s="3281"/>
      <c r="QWY28" s="3281"/>
      <c r="QWZ28" s="3281"/>
      <c r="QXA28" s="3281"/>
      <c r="QXB28" s="3281"/>
      <c r="QXC28" s="3281"/>
      <c r="QXD28" s="3281"/>
      <c r="QXE28" s="3281"/>
      <c r="QXF28" s="3281"/>
      <c r="QXG28" s="3281"/>
      <c r="QXH28" s="3281"/>
      <c r="QXI28" s="3281"/>
      <c r="QXJ28" s="3281"/>
      <c r="QXK28" s="3281"/>
      <c r="QXL28" s="3281"/>
      <c r="QXM28" s="3281"/>
      <c r="QXN28" s="3281"/>
      <c r="QXO28" s="3281"/>
      <c r="QXP28" s="3281"/>
      <c r="QXQ28" s="3281"/>
      <c r="QXR28" s="3281"/>
      <c r="QXS28" s="3281"/>
      <c r="QXT28" s="3281"/>
      <c r="QXU28" s="3281"/>
      <c r="QXV28" s="3281"/>
      <c r="QXW28" s="3281"/>
      <c r="QXX28" s="3281"/>
      <c r="QXY28" s="3281"/>
      <c r="QXZ28" s="3281"/>
      <c r="QYA28" s="3281"/>
      <c r="QYB28" s="3281"/>
      <c r="QYC28" s="3281"/>
      <c r="QYD28" s="3281"/>
      <c r="QYE28" s="3281"/>
      <c r="QYF28" s="3281"/>
      <c r="QYG28" s="3281"/>
      <c r="QYH28" s="3281"/>
      <c r="QYI28" s="3281"/>
      <c r="QYJ28" s="3281"/>
      <c r="QYK28" s="3281"/>
      <c r="QYL28" s="3281"/>
      <c r="QYM28" s="3281"/>
      <c r="QYN28" s="3281"/>
      <c r="QYO28" s="3281"/>
      <c r="QYP28" s="3281"/>
      <c r="QYQ28" s="3281"/>
      <c r="QYR28" s="3281"/>
      <c r="QYS28" s="3281"/>
      <c r="QYT28" s="3281"/>
      <c r="QYU28" s="3281"/>
      <c r="QYV28" s="3281"/>
      <c r="QYW28" s="3281"/>
      <c r="QYX28" s="3281"/>
      <c r="QYY28" s="3281"/>
      <c r="QYZ28" s="3281"/>
      <c r="QZA28" s="3281"/>
      <c r="QZB28" s="3281"/>
      <c r="QZC28" s="3281"/>
      <c r="QZD28" s="3281"/>
      <c r="QZE28" s="3281"/>
      <c r="QZF28" s="3281"/>
      <c r="QZG28" s="3281"/>
      <c r="QZH28" s="3281"/>
      <c r="QZI28" s="3281"/>
      <c r="QZJ28" s="3281"/>
      <c r="QZK28" s="3281"/>
      <c r="QZL28" s="3281"/>
      <c r="QZM28" s="3281"/>
      <c r="QZN28" s="3281"/>
      <c r="QZO28" s="3281"/>
      <c r="QZP28" s="3281"/>
      <c r="QZQ28" s="3281"/>
      <c r="QZR28" s="3281"/>
      <c r="QZS28" s="3281"/>
      <c r="QZT28" s="3281"/>
      <c r="QZU28" s="3281"/>
      <c r="QZV28" s="3281"/>
      <c r="QZW28" s="3281"/>
      <c r="QZX28" s="3281"/>
      <c r="QZY28" s="3281"/>
      <c r="QZZ28" s="3281"/>
      <c r="RAA28" s="3281"/>
      <c r="RAB28" s="3281"/>
      <c r="RAC28" s="3281"/>
      <c r="RAD28" s="3281"/>
      <c r="RAE28" s="3281"/>
      <c r="RAF28" s="3281"/>
      <c r="RAG28" s="3281"/>
      <c r="RAH28" s="3281"/>
      <c r="RAI28" s="3281"/>
      <c r="RAJ28" s="3281"/>
      <c r="RAK28" s="3281"/>
      <c r="RAL28" s="3281"/>
      <c r="RAM28" s="3281"/>
      <c r="RAN28" s="3281"/>
      <c r="RAO28" s="3281"/>
      <c r="RAP28" s="3281"/>
      <c r="RAQ28" s="3281"/>
      <c r="RAR28" s="3281"/>
      <c r="RAS28" s="3281"/>
      <c r="RAT28" s="3281"/>
      <c r="RAU28" s="3281"/>
      <c r="RAV28" s="3281"/>
      <c r="RAW28" s="3281"/>
      <c r="RAX28" s="3281"/>
      <c r="RAY28" s="3281"/>
      <c r="RAZ28" s="3281"/>
      <c r="RBA28" s="3281"/>
      <c r="RBB28" s="3281"/>
      <c r="RBC28" s="3281"/>
      <c r="RBD28" s="3281"/>
      <c r="RBE28" s="3281"/>
      <c r="RBF28" s="3281"/>
      <c r="RBG28" s="3281"/>
      <c r="RBH28" s="3281"/>
      <c r="RBI28" s="3281"/>
      <c r="RBJ28" s="3281"/>
      <c r="RBK28" s="3281"/>
      <c r="RBL28" s="3281"/>
      <c r="RBM28" s="3281"/>
      <c r="RBN28" s="3281"/>
      <c r="RBO28" s="3281"/>
      <c r="RBP28" s="3281"/>
      <c r="RBQ28" s="3281"/>
      <c r="RBR28" s="3281"/>
      <c r="RBS28" s="3281"/>
      <c r="RBT28" s="3281"/>
      <c r="RBU28" s="3281"/>
      <c r="RBV28" s="3281"/>
      <c r="RBW28" s="3281"/>
      <c r="RBX28" s="3281"/>
      <c r="RBY28" s="3281"/>
      <c r="RBZ28" s="3281"/>
      <c r="RCA28" s="3281"/>
      <c r="RCB28" s="3281"/>
      <c r="RCC28" s="3281"/>
      <c r="RCD28" s="3281"/>
      <c r="RCE28" s="3281"/>
      <c r="RCF28" s="3281"/>
      <c r="RCG28" s="3281"/>
      <c r="RCH28" s="3281"/>
      <c r="RCI28" s="3281"/>
      <c r="RCJ28" s="3281"/>
      <c r="RCK28" s="3281"/>
      <c r="RCL28" s="3281"/>
      <c r="RCM28" s="3281"/>
      <c r="RCN28" s="3281"/>
      <c r="RCO28" s="3281"/>
      <c r="RCP28" s="3281"/>
      <c r="RCQ28" s="3281"/>
      <c r="RCR28" s="3281"/>
      <c r="RCS28" s="3281"/>
      <c r="RCT28" s="3281"/>
      <c r="RCU28" s="3281"/>
      <c r="RCV28" s="3281"/>
      <c r="RCW28" s="3281"/>
      <c r="RCX28" s="3281"/>
      <c r="RCY28" s="3281"/>
      <c r="RCZ28" s="3281"/>
      <c r="RDA28" s="3281"/>
      <c r="RDB28" s="3281"/>
      <c r="RDC28" s="3281"/>
      <c r="RDD28" s="3281"/>
      <c r="RDE28" s="3281"/>
      <c r="RDF28" s="3281"/>
      <c r="RDG28" s="3281"/>
      <c r="RDH28" s="3281"/>
      <c r="RDI28" s="3281"/>
      <c r="RDJ28" s="3281"/>
      <c r="RDK28" s="3281"/>
      <c r="RDL28" s="3281"/>
      <c r="RDM28" s="3281"/>
      <c r="RDN28" s="3281"/>
      <c r="RDO28" s="3281"/>
      <c r="RDP28" s="3281"/>
      <c r="RDQ28" s="3281"/>
      <c r="RDR28" s="3281"/>
      <c r="RDS28" s="3281"/>
      <c r="RDT28" s="3281"/>
      <c r="RDU28" s="3281"/>
      <c r="RDV28" s="3281"/>
      <c r="RDW28" s="3281"/>
      <c r="RDX28" s="3281"/>
      <c r="RDY28" s="3281"/>
      <c r="RDZ28" s="3281"/>
      <c r="REA28" s="3281"/>
      <c r="REB28" s="3281"/>
      <c r="REC28" s="3281"/>
      <c r="RED28" s="3281"/>
      <c r="REE28" s="3281"/>
      <c r="REF28" s="3281"/>
      <c r="REG28" s="3281"/>
      <c r="REH28" s="3281"/>
      <c r="REI28" s="3281"/>
      <c r="REJ28" s="3281"/>
      <c r="REK28" s="3281"/>
      <c r="REL28" s="3281"/>
      <c r="REM28" s="3281"/>
      <c r="REN28" s="3281"/>
      <c r="REO28" s="3281"/>
      <c r="REP28" s="3281"/>
      <c r="REQ28" s="3281"/>
      <c r="RER28" s="3281"/>
      <c r="RES28" s="3281"/>
      <c r="RET28" s="3281"/>
      <c r="REU28" s="3281"/>
      <c r="REV28" s="3281"/>
      <c r="REW28" s="3281"/>
      <c r="REX28" s="3281"/>
      <c r="REY28" s="3281"/>
      <c r="REZ28" s="3281"/>
      <c r="RFA28" s="3281"/>
      <c r="RFB28" s="3281"/>
      <c r="RFC28" s="3281"/>
      <c r="RFD28" s="3281"/>
      <c r="RFE28" s="3281"/>
      <c r="RFF28" s="3281"/>
      <c r="RFG28" s="3281"/>
      <c r="RFH28" s="3281"/>
      <c r="RFI28" s="3281"/>
      <c r="RFJ28" s="3281"/>
      <c r="RFK28" s="3281"/>
      <c r="RFL28" s="3281"/>
      <c r="RFM28" s="3281"/>
      <c r="RFN28" s="3281"/>
      <c r="RFO28" s="3281"/>
      <c r="RFP28" s="3281"/>
      <c r="RFQ28" s="3281"/>
      <c r="RFR28" s="3281"/>
      <c r="RFS28" s="3281"/>
      <c r="RFT28" s="3281"/>
      <c r="RFU28" s="3281"/>
      <c r="RFV28" s="3281"/>
      <c r="RFW28" s="3281"/>
      <c r="RFX28" s="3281"/>
      <c r="RFY28" s="3281"/>
      <c r="RFZ28" s="3281"/>
      <c r="RGA28" s="3281"/>
      <c r="RGB28" s="3281"/>
      <c r="RGC28" s="3281"/>
      <c r="RGD28" s="3281"/>
      <c r="RGE28" s="3281"/>
      <c r="RGF28" s="3281"/>
      <c r="RGG28" s="3281"/>
      <c r="RGH28" s="3281"/>
      <c r="RGI28" s="3281"/>
      <c r="RGJ28" s="3281"/>
      <c r="RGK28" s="3281"/>
      <c r="RGL28" s="3281"/>
      <c r="RGM28" s="3281"/>
      <c r="RGN28" s="3281"/>
      <c r="RGO28" s="3281"/>
      <c r="RGP28" s="3281"/>
      <c r="RGQ28" s="3281"/>
      <c r="RGR28" s="3281"/>
      <c r="RGS28" s="3281"/>
      <c r="RGT28" s="3281"/>
      <c r="RGU28" s="3281"/>
      <c r="RGV28" s="3281"/>
      <c r="RGW28" s="3281"/>
      <c r="RGX28" s="3281"/>
      <c r="RGY28" s="3281"/>
      <c r="RGZ28" s="3281"/>
      <c r="RHA28" s="3281"/>
      <c r="RHB28" s="3281"/>
      <c r="RHC28" s="3281"/>
      <c r="RHD28" s="3281"/>
      <c r="RHE28" s="3281"/>
      <c r="RHF28" s="3281"/>
      <c r="RHG28" s="3281"/>
      <c r="RHH28" s="3281"/>
      <c r="RHI28" s="3281"/>
      <c r="RHJ28" s="3281"/>
      <c r="RHK28" s="3281"/>
      <c r="RHL28" s="3281"/>
      <c r="RHM28" s="3281"/>
      <c r="RHN28" s="3281"/>
      <c r="RHO28" s="3281"/>
      <c r="RHP28" s="3281"/>
      <c r="RHQ28" s="3281"/>
      <c r="RHR28" s="3281"/>
      <c r="RHS28" s="3281"/>
      <c r="RHT28" s="3281"/>
      <c r="RHU28" s="3281"/>
      <c r="RHV28" s="3281"/>
      <c r="RHW28" s="3281"/>
      <c r="RHX28" s="3281"/>
      <c r="RHY28" s="3281"/>
      <c r="RHZ28" s="3281"/>
      <c r="RIA28" s="3281"/>
      <c r="RIB28" s="3281"/>
      <c r="RIC28" s="3281"/>
      <c r="RID28" s="3281"/>
      <c r="RIE28" s="3281"/>
      <c r="RIF28" s="3281"/>
      <c r="RIG28" s="3281"/>
      <c r="RIH28" s="3281"/>
      <c r="RII28" s="3281"/>
      <c r="RIJ28" s="3281"/>
      <c r="RIK28" s="3281"/>
      <c r="RIL28" s="3281"/>
      <c r="RIM28" s="3281"/>
      <c r="RIN28" s="3281"/>
      <c r="RIO28" s="3281"/>
      <c r="RIP28" s="3281"/>
      <c r="RIQ28" s="3281"/>
      <c r="RIR28" s="3281"/>
      <c r="RIS28" s="3281"/>
      <c r="RIT28" s="3281"/>
      <c r="RIU28" s="3281"/>
      <c r="RIV28" s="3281"/>
      <c r="RIW28" s="3281"/>
      <c r="RIX28" s="3281"/>
      <c r="RIY28" s="3281"/>
      <c r="RIZ28" s="3281"/>
      <c r="RJA28" s="3281"/>
      <c r="RJB28" s="3281"/>
      <c r="RJC28" s="3281"/>
      <c r="RJD28" s="3281"/>
      <c r="RJE28" s="3281"/>
      <c r="RJF28" s="3281"/>
      <c r="RJG28" s="3281"/>
      <c r="RJH28" s="3281"/>
      <c r="RJI28" s="3281"/>
      <c r="RJJ28" s="3281"/>
      <c r="RJK28" s="3281"/>
      <c r="RJL28" s="3281"/>
      <c r="RJM28" s="3281"/>
      <c r="RJN28" s="3281"/>
      <c r="RJO28" s="3281"/>
      <c r="RJP28" s="3281"/>
      <c r="RJQ28" s="3281"/>
      <c r="RJR28" s="3281"/>
      <c r="RJS28" s="3281"/>
      <c r="RJT28" s="3281"/>
      <c r="RJU28" s="3281"/>
      <c r="RJV28" s="3281"/>
      <c r="RJW28" s="3281"/>
      <c r="RJX28" s="3281"/>
      <c r="RJY28" s="3281"/>
      <c r="RJZ28" s="3281"/>
      <c r="RKA28" s="3281"/>
      <c r="RKB28" s="3281"/>
      <c r="RKC28" s="3281"/>
      <c r="RKD28" s="3281"/>
      <c r="RKE28" s="3281"/>
      <c r="RKF28" s="3281"/>
      <c r="RKG28" s="3281"/>
      <c r="RKH28" s="3281"/>
      <c r="RKI28" s="3281"/>
      <c r="RKJ28" s="3281"/>
      <c r="RKK28" s="3281"/>
      <c r="RKL28" s="3281"/>
      <c r="RKM28" s="3281"/>
      <c r="RKN28" s="3281"/>
      <c r="RKO28" s="3281"/>
      <c r="RKP28" s="3281"/>
      <c r="RKQ28" s="3281"/>
      <c r="RKR28" s="3281"/>
      <c r="RKS28" s="3281"/>
      <c r="RKT28" s="3281"/>
      <c r="RKU28" s="3281"/>
      <c r="RKV28" s="3281"/>
      <c r="RKW28" s="3281"/>
      <c r="RKX28" s="3281"/>
      <c r="RKY28" s="3281"/>
      <c r="RKZ28" s="3281"/>
      <c r="RLA28" s="3281"/>
      <c r="RLB28" s="3281"/>
      <c r="RLC28" s="3281"/>
      <c r="RLD28" s="3281"/>
      <c r="RLE28" s="3281"/>
      <c r="RLF28" s="3281"/>
      <c r="RLG28" s="3281"/>
      <c r="RLH28" s="3281"/>
      <c r="RLI28" s="3281"/>
      <c r="RLJ28" s="3281"/>
      <c r="RLK28" s="3281"/>
      <c r="RLL28" s="3281"/>
      <c r="RLM28" s="3281"/>
      <c r="RLN28" s="3281"/>
      <c r="RLO28" s="3281"/>
      <c r="RLP28" s="3281"/>
      <c r="RLQ28" s="3281"/>
      <c r="RLR28" s="3281"/>
      <c r="RLS28" s="3281"/>
      <c r="RLT28" s="3281"/>
      <c r="RLU28" s="3281"/>
      <c r="RLV28" s="3281"/>
      <c r="RLW28" s="3281"/>
      <c r="RLX28" s="3281"/>
      <c r="RLY28" s="3281"/>
      <c r="RLZ28" s="3281"/>
      <c r="RMA28" s="3281"/>
      <c r="RMB28" s="3281"/>
      <c r="RMC28" s="3281"/>
      <c r="RMD28" s="3281"/>
      <c r="RME28" s="3281"/>
      <c r="RMF28" s="3281"/>
      <c r="RMG28" s="3281"/>
      <c r="RMH28" s="3281"/>
      <c r="RMI28" s="3281"/>
      <c r="RMJ28" s="3281"/>
      <c r="RMK28" s="3281"/>
      <c r="RML28" s="3281"/>
      <c r="RMM28" s="3281"/>
      <c r="RMN28" s="3281"/>
      <c r="RMO28" s="3281"/>
      <c r="RMP28" s="3281"/>
      <c r="RMQ28" s="3281"/>
      <c r="RMR28" s="3281"/>
      <c r="RMS28" s="3281"/>
      <c r="RMT28" s="3281"/>
      <c r="RMU28" s="3281"/>
      <c r="RMV28" s="3281"/>
      <c r="RMW28" s="3281"/>
      <c r="RMX28" s="3281"/>
      <c r="RMY28" s="3281"/>
      <c r="RMZ28" s="3281"/>
      <c r="RNA28" s="3281"/>
      <c r="RNB28" s="3281"/>
      <c r="RNC28" s="3281"/>
      <c r="RND28" s="3281"/>
      <c r="RNE28" s="3281"/>
      <c r="RNF28" s="3281"/>
      <c r="RNG28" s="3281"/>
      <c r="RNH28" s="3281"/>
      <c r="RNI28" s="3281"/>
      <c r="RNJ28" s="3281"/>
      <c r="RNK28" s="3281"/>
      <c r="RNL28" s="3281"/>
      <c r="RNM28" s="3281"/>
      <c r="RNN28" s="3281"/>
      <c r="RNO28" s="3281"/>
      <c r="RNP28" s="3281"/>
      <c r="RNQ28" s="3281"/>
      <c r="RNR28" s="3281"/>
      <c r="RNS28" s="3281"/>
      <c r="RNT28" s="3281"/>
      <c r="RNU28" s="3281"/>
      <c r="RNV28" s="3281"/>
      <c r="RNW28" s="3281"/>
      <c r="RNX28" s="3281"/>
      <c r="RNY28" s="3281"/>
      <c r="RNZ28" s="3281"/>
      <c r="ROA28" s="3281"/>
      <c r="ROB28" s="3281"/>
      <c r="ROC28" s="3281"/>
      <c r="ROD28" s="3281"/>
      <c r="ROE28" s="3281"/>
      <c r="ROF28" s="3281"/>
      <c r="ROG28" s="3281"/>
      <c r="ROH28" s="3281"/>
      <c r="ROI28" s="3281"/>
      <c r="ROJ28" s="3281"/>
      <c r="ROK28" s="3281"/>
      <c r="ROL28" s="3281"/>
      <c r="ROM28" s="3281"/>
      <c r="RON28" s="3281"/>
      <c r="ROO28" s="3281"/>
      <c r="ROP28" s="3281"/>
      <c r="ROQ28" s="3281"/>
      <c r="ROR28" s="3281"/>
      <c r="ROS28" s="3281"/>
      <c r="ROT28" s="3281"/>
      <c r="ROU28" s="3281"/>
      <c r="ROV28" s="3281"/>
      <c r="ROW28" s="3281"/>
      <c r="ROX28" s="3281"/>
      <c r="ROY28" s="3281"/>
      <c r="ROZ28" s="3281"/>
      <c r="RPA28" s="3281"/>
      <c r="RPB28" s="3281"/>
      <c r="RPC28" s="3281"/>
      <c r="RPD28" s="3281"/>
      <c r="RPE28" s="3281"/>
      <c r="RPF28" s="3281"/>
      <c r="RPG28" s="3281"/>
      <c r="RPH28" s="3281"/>
      <c r="RPI28" s="3281"/>
      <c r="RPJ28" s="3281"/>
      <c r="RPK28" s="3281"/>
      <c r="RPL28" s="3281"/>
      <c r="RPM28" s="3281"/>
      <c r="RPN28" s="3281"/>
      <c r="RPO28" s="3281"/>
      <c r="RPP28" s="3281"/>
      <c r="RPQ28" s="3281"/>
      <c r="RPR28" s="3281"/>
      <c r="RPS28" s="3281"/>
      <c r="RPT28" s="3281"/>
      <c r="RPU28" s="3281"/>
      <c r="RPV28" s="3281"/>
      <c r="RPW28" s="3281"/>
      <c r="RPX28" s="3281"/>
      <c r="RPY28" s="3281"/>
      <c r="RPZ28" s="3281"/>
      <c r="RQA28" s="3281"/>
      <c r="RQB28" s="3281"/>
      <c r="RQC28" s="3281"/>
      <c r="RQD28" s="3281"/>
      <c r="RQE28" s="3281"/>
      <c r="RQF28" s="3281"/>
      <c r="RQG28" s="3281"/>
      <c r="RQH28" s="3281"/>
      <c r="RQI28" s="3281"/>
      <c r="RQJ28" s="3281"/>
      <c r="RQK28" s="3281"/>
      <c r="RQL28" s="3281"/>
      <c r="RQM28" s="3281"/>
      <c r="RQN28" s="3281"/>
      <c r="RQO28" s="3281"/>
      <c r="RQP28" s="3281"/>
      <c r="RQQ28" s="3281"/>
      <c r="RQR28" s="3281"/>
      <c r="RQS28" s="3281"/>
      <c r="RQT28" s="3281"/>
      <c r="RQU28" s="3281"/>
      <c r="RQV28" s="3281"/>
      <c r="RQW28" s="3281"/>
      <c r="RQX28" s="3281"/>
      <c r="RQY28" s="3281"/>
      <c r="RQZ28" s="3281"/>
      <c r="RRA28" s="3281"/>
      <c r="RRB28" s="3281"/>
      <c r="RRC28" s="3281"/>
      <c r="RRD28" s="3281"/>
      <c r="RRE28" s="3281"/>
      <c r="RRF28" s="3281"/>
      <c r="RRG28" s="3281"/>
      <c r="RRH28" s="3281"/>
      <c r="RRI28" s="3281"/>
      <c r="RRJ28" s="3281"/>
      <c r="RRK28" s="3281"/>
      <c r="RRL28" s="3281"/>
      <c r="RRM28" s="3281"/>
      <c r="RRN28" s="3281"/>
      <c r="RRO28" s="3281"/>
      <c r="RRP28" s="3281"/>
      <c r="RRQ28" s="3281"/>
      <c r="RRR28" s="3281"/>
      <c r="RRS28" s="3281"/>
      <c r="RRT28" s="3281"/>
      <c r="RRU28" s="3281"/>
      <c r="RRV28" s="3281"/>
      <c r="RRW28" s="3281"/>
      <c r="RRX28" s="3281"/>
      <c r="RRY28" s="3281"/>
      <c r="RRZ28" s="3281"/>
      <c r="RSA28" s="3281"/>
      <c r="RSB28" s="3281"/>
      <c r="RSC28" s="3281"/>
      <c r="RSD28" s="3281"/>
      <c r="RSE28" s="3281"/>
      <c r="RSF28" s="3281"/>
      <c r="RSG28" s="3281"/>
      <c r="RSH28" s="3281"/>
      <c r="RSI28" s="3281"/>
      <c r="RSJ28" s="3281"/>
      <c r="RSK28" s="3281"/>
      <c r="RSL28" s="3281"/>
      <c r="RSM28" s="3281"/>
      <c r="RSN28" s="3281"/>
      <c r="RSO28" s="3281"/>
      <c r="RSP28" s="3281"/>
      <c r="RSQ28" s="3281"/>
      <c r="RSR28" s="3281"/>
      <c r="RSS28" s="3281"/>
      <c r="RST28" s="3281"/>
      <c r="RSU28" s="3281"/>
      <c r="RSV28" s="3281"/>
      <c r="RSW28" s="3281"/>
      <c r="RSX28" s="3281"/>
      <c r="RSY28" s="3281"/>
      <c r="RSZ28" s="3281"/>
      <c r="RTA28" s="3281"/>
      <c r="RTB28" s="3281"/>
      <c r="RTC28" s="3281"/>
      <c r="RTD28" s="3281"/>
      <c r="RTE28" s="3281"/>
      <c r="RTF28" s="3281"/>
      <c r="RTG28" s="3281"/>
      <c r="RTH28" s="3281"/>
      <c r="RTI28" s="3281"/>
      <c r="RTJ28" s="3281"/>
      <c r="RTK28" s="3281"/>
      <c r="RTL28" s="3281"/>
      <c r="RTM28" s="3281"/>
      <c r="RTN28" s="3281"/>
      <c r="RTO28" s="3281"/>
      <c r="RTP28" s="3281"/>
      <c r="RTQ28" s="3281"/>
      <c r="RTR28" s="3281"/>
      <c r="RTS28" s="3281"/>
      <c r="RTT28" s="3281"/>
      <c r="RTU28" s="3281"/>
      <c r="RTV28" s="3281"/>
      <c r="RTW28" s="3281"/>
      <c r="RTX28" s="3281"/>
      <c r="RTY28" s="3281"/>
      <c r="RTZ28" s="3281"/>
      <c r="RUA28" s="3281"/>
      <c r="RUB28" s="3281"/>
      <c r="RUC28" s="3281"/>
      <c r="RUD28" s="3281"/>
      <c r="RUE28" s="3281"/>
      <c r="RUF28" s="3281"/>
      <c r="RUG28" s="3281"/>
      <c r="RUH28" s="3281"/>
      <c r="RUI28" s="3281"/>
      <c r="RUJ28" s="3281"/>
      <c r="RUK28" s="3281"/>
      <c r="RUL28" s="3281"/>
      <c r="RUM28" s="3281"/>
      <c r="RUN28" s="3281"/>
      <c r="RUO28" s="3281"/>
      <c r="RUP28" s="3281"/>
      <c r="RUQ28" s="3281"/>
      <c r="RUR28" s="3281"/>
      <c r="RUS28" s="3281"/>
      <c r="RUT28" s="3281"/>
      <c r="RUU28" s="3281"/>
      <c r="RUV28" s="3281"/>
      <c r="RUW28" s="3281"/>
      <c r="RUX28" s="3281"/>
      <c r="RUY28" s="3281"/>
      <c r="RUZ28" s="3281"/>
      <c r="RVA28" s="3281"/>
      <c r="RVB28" s="3281"/>
      <c r="RVC28" s="3281"/>
      <c r="RVD28" s="3281"/>
      <c r="RVE28" s="3281"/>
      <c r="RVF28" s="3281"/>
      <c r="RVG28" s="3281"/>
      <c r="RVH28" s="3281"/>
      <c r="RVI28" s="3281"/>
      <c r="RVJ28" s="3281"/>
      <c r="RVK28" s="3281"/>
      <c r="RVL28" s="3281"/>
      <c r="RVM28" s="3281"/>
      <c r="RVN28" s="3281"/>
      <c r="RVO28" s="3281"/>
      <c r="RVP28" s="3281"/>
      <c r="RVQ28" s="3281"/>
      <c r="RVR28" s="3281"/>
      <c r="RVS28" s="3281"/>
      <c r="RVT28" s="3281"/>
      <c r="RVU28" s="3281"/>
      <c r="RVV28" s="3281"/>
      <c r="RVW28" s="3281"/>
      <c r="RVX28" s="3281"/>
      <c r="RVY28" s="3281"/>
      <c r="RVZ28" s="3281"/>
      <c r="RWA28" s="3281"/>
      <c r="RWB28" s="3281"/>
      <c r="RWC28" s="3281"/>
      <c r="RWD28" s="3281"/>
      <c r="RWE28" s="3281"/>
      <c r="RWF28" s="3281"/>
      <c r="RWG28" s="3281"/>
      <c r="RWH28" s="3281"/>
      <c r="RWI28" s="3281"/>
      <c r="RWJ28" s="3281"/>
      <c r="RWK28" s="3281"/>
      <c r="RWL28" s="3281"/>
      <c r="RWM28" s="3281"/>
      <c r="RWN28" s="3281"/>
      <c r="RWO28" s="3281"/>
      <c r="RWP28" s="3281"/>
      <c r="RWQ28" s="3281"/>
      <c r="RWR28" s="3281"/>
      <c r="RWS28" s="3281"/>
      <c r="RWT28" s="3281"/>
      <c r="RWU28" s="3281"/>
      <c r="RWV28" s="3281"/>
      <c r="RWW28" s="3281"/>
      <c r="RWX28" s="3281"/>
      <c r="RWY28" s="3281"/>
      <c r="RWZ28" s="3281"/>
      <c r="RXA28" s="3281"/>
      <c r="RXB28" s="3281"/>
      <c r="RXC28" s="3281"/>
      <c r="RXD28" s="3281"/>
      <c r="RXE28" s="3281"/>
      <c r="RXF28" s="3281"/>
      <c r="RXG28" s="3281"/>
      <c r="RXH28" s="3281"/>
      <c r="RXI28" s="3281"/>
      <c r="RXJ28" s="3281"/>
      <c r="RXK28" s="3281"/>
      <c r="RXL28" s="3281"/>
      <c r="RXM28" s="3281"/>
      <c r="RXN28" s="3281"/>
      <c r="RXO28" s="3281"/>
      <c r="RXP28" s="3281"/>
      <c r="RXQ28" s="3281"/>
      <c r="RXR28" s="3281"/>
      <c r="RXS28" s="3281"/>
      <c r="RXT28" s="3281"/>
      <c r="RXU28" s="3281"/>
      <c r="RXV28" s="3281"/>
      <c r="RXW28" s="3281"/>
      <c r="RXX28" s="3281"/>
      <c r="RXY28" s="3281"/>
      <c r="RXZ28" s="3281"/>
      <c r="RYA28" s="3281"/>
      <c r="RYB28" s="3281"/>
      <c r="RYC28" s="3281"/>
      <c r="RYD28" s="3281"/>
      <c r="RYE28" s="3281"/>
      <c r="RYF28" s="3281"/>
      <c r="RYG28" s="3281"/>
      <c r="RYH28" s="3281"/>
      <c r="RYI28" s="3281"/>
      <c r="RYJ28" s="3281"/>
      <c r="RYK28" s="3281"/>
      <c r="RYL28" s="3281"/>
      <c r="RYM28" s="3281"/>
      <c r="RYN28" s="3281"/>
      <c r="RYO28" s="3281"/>
      <c r="RYP28" s="3281"/>
      <c r="RYQ28" s="3281"/>
      <c r="RYR28" s="3281"/>
      <c r="RYS28" s="3281"/>
      <c r="RYT28" s="3281"/>
      <c r="RYU28" s="3281"/>
      <c r="RYV28" s="3281"/>
      <c r="RYW28" s="3281"/>
      <c r="RYX28" s="3281"/>
      <c r="RYY28" s="3281"/>
      <c r="RYZ28" s="3281"/>
      <c r="RZA28" s="3281"/>
      <c r="RZB28" s="3281"/>
      <c r="RZC28" s="3281"/>
      <c r="RZD28" s="3281"/>
      <c r="RZE28" s="3281"/>
      <c r="RZF28" s="3281"/>
      <c r="RZG28" s="3281"/>
      <c r="RZH28" s="3281"/>
      <c r="RZI28" s="3281"/>
      <c r="RZJ28" s="3281"/>
      <c r="RZK28" s="3281"/>
      <c r="RZL28" s="3281"/>
      <c r="RZM28" s="3281"/>
      <c r="RZN28" s="3281"/>
      <c r="RZO28" s="3281"/>
      <c r="RZP28" s="3281"/>
      <c r="RZQ28" s="3281"/>
      <c r="RZR28" s="3281"/>
      <c r="RZS28" s="3281"/>
      <c r="RZT28" s="3281"/>
      <c r="RZU28" s="3281"/>
      <c r="RZV28" s="3281"/>
      <c r="RZW28" s="3281"/>
      <c r="RZX28" s="3281"/>
      <c r="RZY28" s="3281"/>
      <c r="RZZ28" s="3281"/>
      <c r="SAA28" s="3281"/>
      <c r="SAB28" s="3281"/>
      <c r="SAC28" s="3281"/>
      <c r="SAD28" s="3281"/>
      <c r="SAE28" s="3281"/>
      <c r="SAF28" s="3281"/>
      <c r="SAG28" s="3281"/>
      <c r="SAH28" s="3281"/>
      <c r="SAI28" s="3281"/>
      <c r="SAJ28" s="3281"/>
      <c r="SAK28" s="3281"/>
      <c r="SAL28" s="3281"/>
      <c r="SAM28" s="3281"/>
      <c r="SAN28" s="3281"/>
      <c r="SAO28" s="3281"/>
      <c r="SAP28" s="3281"/>
      <c r="SAQ28" s="3281"/>
      <c r="SAR28" s="3281"/>
      <c r="SAS28" s="3281"/>
      <c r="SAT28" s="3281"/>
      <c r="SAU28" s="3281"/>
      <c r="SAV28" s="3281"/>
      <c r="SAW28" s="3281"/>
      <c r="SAX28" s="3281"/>
      <c r="SAY28" s="3281"/>
      <c r="SAZ28" s="3281"/>
      <c r="SBA28" s="3281"/>
      <c r="SBB28" s="3281"/>
      <c r="SBC28" s="3281"/>
      <c r="SBD28" s="3281"/>
      <c r="SBE28" s="3281"/>
      <c r="SBF28" s="3281"/>
      <c r="SBG28" s="3281"/>
      <c r="SBH28" s="3281"/>
      <c r="SBI28" s="3281"/>
      <c r="SBJ28" s="3281"/>
      <c r="SBK28" s="3281"/>
      <c r="SBL28" s="3281"/>
      <c r="SBM28" s="3281"/>
      <c r="SBN28" s="3281"/>
      <c r="SBO28" s="3281"/>
      <c r="SBP28" s="3281"/>
      <c r="SBQ28" s="3281"/>
      <c r="SBR28" s="3281"/>
      <c r="SBS28" s="3281"/>
      <c r="SBT28" s="3281"/>
      <c r="SBU28" s="3281"/>
      <c r="SBV28" s="3281"/>
      <c r="SBW28" s="3281"/>
      <c r="SBX28" s="3281"/>
      <c r="SBY28" s="3281"/>
      <c r="SBZ28" s="3281"/>
      <c r="SCA28" s="3281"/>
      <c r="SCB28" s="3281"/>
      <c r="SCC28" s="3281"/>
      <c r="SCD28" s="3281"/>
      <c r="SCE28" s="3281"/>
      <c r="SCF28" s="3281"/>
      <c r="SCG28" s="3281"/>
      <c r="SCH28" s="3281"/>
      <c r="SCI28" s="3281"/>
      <c r="SCJ28" s="3281"/>
      <c r="SCK28" s="3281"/>
      <c r="SCL28" s="3281"/>
      <c r="SCM28" s="3281"/>
      <c r="SCN28" s="3281"/>
      <c r="SCO28" s="3281"/>
      <c r="SCP28" s="3281"/>
      <c r="SCQ28" s="3281"/>
      <c r="SCR28" s="3281"/>
      <c r="SCS28" s="3281"/>
      <c r="SCT28" s="3281"/>
      <c r="SCU28" s="3281"/>
      <c r="SCV28" s="3281"/>
      <c r="SCW28" s="3281"/>
      <c r="SCX28" s="3281"/>
      <c r="SCY28" s="3281"/>
      <c r="SCZ28" s="3281"/>
      <c r="SDA28" s="3281"/>
      <c r="SDB28" s="3281"/>
      <c r="SDC28" s="3281"/>
      <c r="SDD28" s="3281"/>
      <c r="SDE28" s="3281"/>
      <c r="SDF28" s="3281"/>
      <c r="SDG28" s="3281"/>
      <c r="SDH28" s="3281"/>
      <c r="SDI28" s="3281"/>
      <c r="SDJ28" s="3281"/>
      <c r="SDK28" s="3281"/>
      <c r="SDL28" s="3281"/>
      <c r="SDM28" s="3281"/>
      <c r="SDN28" s="3281"/>
      <c r="SDO28" s="3281"/>
      <c r="SDP28" s="3281"/>
      <c r="SDQ28" s="3281"/>
      <c r="SDR28" s="3281"/>
      <c r="SDS28" s="3281"/>
      <c r="SDT28" s="3281"/>
      <c r="SDU28" s="3281"/>
      <c r="SDV28" s="3281"/>
      <c r="SDW28" s="3281"/>
      <c r="SDX28" s="3281"/>
      <c r="SDY28" s="3281"/>
      <c r="SDZ28" s="3281"/>
      <c r="SEA28" s="3281"/>
      <c r="SEB28" s="3281"/>
      <c r="SEC28" s="3281"/>
      <c r="SED28" s="3281"/>
      <c r="SEE28" s="3281"/>
      <c r="SEF28" s="3281"/>
      <c r="SEG28" s="3281"/>
      <c r="SEH28" s="3281"/>
      <c r="SEI28" s="3281"/>
      <c r="SEJ28" s="3281"/>
      <c r="SEK28" s="3281"/>
      <c r="SEL28" s="3281"/>
      <c r="SEM28" s="3281"/>
      <c r="SEN28" s="3281"/>
      <c r="SEO28" s="3281"/>
      <c r="SEP28" s="3281"/>
      <c r="SEQ28" s="3281"/>
      <c r="SER28" s="3281"/>
      <c r="SES28" s="3281"/>
      <c r="SET28" s="3281"/>
      <c r="SEU28" s="3281"/>
      <c r="SEV28" s="3281"/>
      <c r="SEW28" s="3281"/>
      <c r="SEX28" s="3281"/>
      <c r="SEY28" s="3281"/>
      <c r="SEZ28" s="3281"/>
      <c r="SFA28" s="3281"/>
      <c r="SFB28" s="3281"/>
      <c r="SFC28" s="3281"/>
      <c r="SFD28" s="3281"/>
      <c r="SFE28" s="3281"/>
      <c r="SFF28" s="3281"/>
      <c r="SFG28" s="3281"/>
      <c r="SFH28" s="3281"/>
      <c r="SFI28" s="3281"/>
      <c r="SFJ28" s="3281"/>
      <c r="SFK28" s="3281"/>
      <c r="SFL28" s="3281"/>
      <c r="SFM28" s="3281"/>
      <c r="SFN28" s="3281"/>
      <c r="SFO28" s="3281"/>
      <c r="SFP28" s="3281"/>
      <c r="SFQ28" s="3281"/>
      <c r="SFR28" s="3281"/>
      <c r="SFS28" s="3281"/>
      <c r="SFT28" s="3281"/>
      <c r="SFU28" s="3281"/>
      <c r="SFV28" s="3281"/>
      <c r="SFW28" s="3281"/>
      <c r="SFX28" s="3281"/>
      <c r="SFY28" s="3281"/>
      <c r="SFZ28" s="3281"/>
      <c r="SGA28" s="3281"/>
      <c r="SGB28" s="3281"/>
      <c r="SGC28" s="3281"/>
      <c r="SGD28" s="3281"/>
      <c r="SGE28" s="3281"/>
      <c r="SGF28" s="3281"/>
      <c r="SGG28" s="3281"/>
      <c r="SGH28" s="3281"/>
      <c r="SGI28" s="3281"/>
      <c r="SGJ28" s="3281"/>
      <c r="SGK28" s="3281"/>
      <c r="SGL28" s="3281"/>
      <c r="SGM28" s="3281"/>
      <c r="SGN28" s="3281"/>
      <c r="SGO28" s="3281"/>
      <c r="SGP28" s="3281"/>
      <c r="SGQ28" s="3281"/>
      <c r="SGR28" s="3281"/>
      <c r="SGS28" s="3281"/>
      <c r="SGT28" s="3281"/>
      <c r="SGU28" s="3281"/>
      <c r="SGV28" s="3281"/>
      <c r="SGW28" s="3281"/>
      <c r="SGX28" s="3281"/>
      <c r="SGY28" s="3281"/>
      <c r="SGZ28" s="3281"/>
      <c r="SHA28" s="3281"/>
      <c r="SHB28" s="3281"/>
      <c r="SHC28" s="3281"/>
      <c r="SHD28" s="3281"/>
      <c r="SHE28" s="3281"/>
      <c r="SHF28" s="3281"/>
      <c r="SHG28" s="3281"/>
      <c r="SHH28" s="3281"/>
      <c r="SHI28" s="3281"/>
      <c r="SHJ28" s="3281"/>
      <c r="SHK28" s="3281"/>
      <c r="SHL28" s="3281"/>
      <c r="SHM28" s="3281"/>
      <c r="SHN28" s="3281"/>
      <c r="SHO28" s="3281"/>
      <c r="SHP28" s="3281"/>
      <c r="SHQ28" s="3281"/>
      <c r="SHR28" s="3281"/>
      <c r="SHS28" s="3281"/>
      <c r="SHT28" s="3281"/>
      <c r="SHU28" s="3281"/>
      <c r="SHV28" s="3281"/>
      <c r="SHW28" s="3281"/>
      <c r="SHX28" s="3281"/>
      <c r="SHY28" s="3281"/>
      <c r="SHZ28" s="3281"/>
      <c r="SIA28" s="3281"/>
      <c r="SIB28" s="3281"/>
      <c r="SIC28" s="3281"/>
      <c r="SID28" s="3281"/>
      <c r="SIE28" s="3281"/>
      <c r="SIF28" s="3281"/>
      <c r="SIG28" s="3281"/>
      <c r="SIH28" s="3281"/>
      <c r="SII28" s="3281"/>
      <c r="SIJ28" s="3281"/>
      <c r="SIK28" s="3281"/>
      <c r="SIL28" s="3281"/>
      <c r="SIM28" s="3281"/>
      <c r="SIN28" s="3281"/>
      <c r="SIO28" s="3281"/>
      <c r="SIP28" s="3281"/>
      <c r="SIQ28" s="3281"/>
      <c r="SIR28" s="3281"/>
      <c r="SIS28" s="3281"/>
      <c r="SIT28" s="3281"/>
      <c r="SIU28" s="3281"/>
      <c r="SIV28" s="3281"/>
      <c r="SIW28" s="3281"/>
      <c r="SIX28" s="3281"/>
      <c r="SIY28" s="3281"/>
      <c r="SIZ28" s="3281"/>
      <c r="SJA28" s="3281"/>
      <c r="SJB28" s="3281"/>
      <c r="SJC28" s="3281"/>
      <c r="SJD28" s="3281"/>
      <c r="SJE28" s="3281"/>
      <c r="SJF28" s="3281"/>
      <c r="SJG28" s="3281"/>
      <c r="SJH28" s="3281"/>
      <c r="SJI28" s="3281"/>
      <c r="SJJ28" s="3281"/>
      <c r="SJK28" s="3281"/>
      <c r="SJL28" s="3281"/>
      <c r="SJM28" s="3281"/>
      <c r="SJN28" s="3281"/>
      <c r="SJO28" s="3281"/>
      <c r="SJP28" s="3281"/>
      <c r="SJQ28" s="3281"/>
      <c r="SJR28" s="3281"/>
      <c r="SJS28" s="3281"/>
      <c r="SJT28" s="3281"/>
      <c r="SJU28" s="3281"/>
      <c r="SJV28" s="3281"/>
      <c r="SJW28" s="3281"/>
      <c r="SJX28" s="3281"/>
      <c r="SJY28" s="3281"/>
      <c r="SJZ28" s="3281"/>
      <c r="SKA28" s="3281"/>
      <c r="SKB28" s="3281"/>
      <c r="SKC28" s="3281"/>
      <c r="SKD28" s="3281"/>
      <c r="SKE28" s="3281"/>
      <c r="SKF28" s="3281"/>
      <c r="SKG28" s="3281"/>
      <c r="SKH28" s="3281"/>
      <c r="SKI28" s="3281"/>
      <c r="SKJ28" s="3281"/>
      <c r="SKK28" s="3281"/>
      <c r="SKL28" s="3281"/>
      <c r="SKM28" s="3281"/>
      <c r="SKN28" s="3281"/>
      <c r="SKO28" s="3281"/>
      <c r="SKP28" s="3281"/>
      <c r="SKQ28" s="3281"/>
      <c r="SKR28" s="3281"/>
      <c r="SKS28" s="3281"/>
      <c r="SKT28" s="3281"/>
      <c r="SKU28" s="3281"/>
      <c r="SKV28" s="3281"/>
      <c r="SKW28" s="3281"/>
      <c r="SKX28" s="3281"/>
      <c r="SKY28" s="3281"/>
      <c r="SKZ28" s="3281"/>
      <c r="SLA28" s="3281"/>
      <c r="SLB28" s="3281"/>
      <c r="SLC28" s="3281"/>
      <c r="SLD28" s="3281"/>
      <c r="SLE28" s="3281"/>
      <c r="SLF28" s="3281"/>
      <c r="SLG28" s="3281"/>
      <c r="SLH28" s="3281"/>
      <c r="SLI28" s="3281"/>
      <c r="SLJ28" s="3281"/>
      <c r="SLK28" s="3281"/>
      <c r="SLL28" s="3281"/>
      <c r="SLM28" s="3281"/>
      <c r="SLN28" s="3281"/>
      <c r="SLO28" s="3281"/>
      <c r="SLP28" s="3281"/>
      <c r="SLQ28" s="3281"/>
      <c r="SLR28" s="3281"/>
      <c r="SLS28" s="3281"/>
      <c r="SLT28" s="3281"/>
      <c r="SLU28" s="3281"/>
      <c r="SLV28" s="3281"/>
      <c r="SLW28" s="3281"/>
      <c r="SLX28" s="3281"/>
      <c r="SLY28" s="3281"/>
      <c r="SLZ28" s="3281"/>
      <c r="SMA28" s="3281"/>
      <c r="SMB28" s="3281"/>
      <c r="SMC28" s="3281"/>
      <c r="SMD28" s="3281"/>
      <c r="SME28" s="3281"/>
      <c r="SMF28" s="3281"/>
      <c r="SMG28" s="3281"/>
      <c r="SMH28" s="3281"/>
      <c r="SMI28" s="3281"/>
      <c r="SMJ28" s="3281"/>
      <c r="SMK28" s="3281"/>
      <c r="SML28" s="3281"/>
      <c r="SMM28" s="3281"/>
      <c r="SMN28" s="3281"/>
      <c r="SMO28" s="3281"/>
      <c r="SMP28" s="3281"/>
      <c r="SMQ28" s="3281"/>
      <c r="SMR28" s="3281"/>
      <c r="SMS28" s="3281"/>
      <c r="SMT28" s="3281"/>
      <c r="SMU28" s="3281"/>
      <c r="SMV28" s="3281"/>
      <c r="SMW28" s="3281"/>
      <c r="SMX28" s="3281"/>
      <c r="SMY28" s="3281"/>
      <c r="SMZ28" s="3281"/>
      <c r="SNA28" s="3281"/>
      <c r="SNB28" s="3281"/>
      <c r="SNC28" s="3281"/>
      <c r="SND28" s="3281"/>
      <c r="SNE28" s="3281"/>
      <c r="SNF28" s="3281"/>
      <c r="SNG28" s="3281"/>
      <c r="SNH28" s="3281"/>
      <c r="SNI28" s="3281"/>
      <c r="SNJ28" s="3281"/>
      <c r="SNK28" s="3281"/>
      <c r="SNL28" s="3281"/>
      <c r="SNM28" s="3281"/>
      <c r="SNN28" s="3281"/>
      <c r="SNO28" s="3281"/>
      <c r="SNP28" s="3281"/>
      <c r="SNQ28" s="3281"/>
      <c r="SNR28" s="3281"/>
      <c r="SNS28" s="3281"/>
      <c r="SNT28" s="3281"/>
      <c r="SNU28" s="3281"/>
      <c r="SNV28" s="3281"/>
      <c r="SNW28" s="3281"/>
      <c r="SNX28" s="3281"/>
      <c r="SNY28" s="3281"/>
      <c r="SNZ28" s="3281"/>
      <c r="SOA28" s="3281"/>
      <c r="SOB28" s="3281"/>
      <c r="SOC28" s="3281"/>
      <c r="SOD28" s="3281"/>
      <c r="SOE28" s="3281"/>
      <c r="SOF28" s="3281"/>
      <c r="SOG28" s="3281"/>
      <c r="SOH28" s="3281"/>
      <c r="SOI28" s="3281"/>
      <c r="SOJ28" s="3281"/>
      <c r="SOK28" s="3281"/>
      <c r="SOL28" s="3281"/>
      <c r="SOM28" s="3281"/>
      <c r="SON28" s="3281"/>
      <c r="SOO28" s="3281"/>
      <c r="SOP28" s="3281"/>
      <c r="SOQ28" s="3281"/>
      <c r="SOR28" s="3281"/>
      <c r="SOS28" s="3281"/>
      <c r="SOT28" s="3281"/>
      <c r="SOU28" s="3281"/>
      <c r="SOV28" s="3281"/>
      <c r="SOW28" s="3281"/>
      <c r="SOX28" s="3281"/>
      <c r="SOY28" s="3281"/>
      <c r="SOZ28" s="3281"/>
      <c r="SPA28" s="3281"/>
      <c r="SPB28" s="3281"/>
      <c r="SPC28" s="3281"/>
      <c r="SPD28" s="3281"/>
      <c r="SPE28" s="3281"/>
      <c r="SPF28" s="3281"/>
      <c r="SPG28" s="3281"/>
      <c r="SPH28" s="3281"/>
      <c r="SPI28" s="3281"/>
      <c r="SPJ28" s="3281"/>
      <c r="SPK28" s="3281"/>
      <c r="SPL28" s="3281"/>
      <c r="SPM28" s="3281"/>
      <c r="SPN28" s="3281"/>
      <c r="SPO28" s="3281"/>
      <c r="SPP28" s="3281"/>
      <c r="SPQ28" s="3281"/>
      <c r="SPR28" s="3281"/>
      <c r="SPS28" s="3281"/>
      <c r="SPT28" s="3281"/>
      <c r="SPU28" s="3281"/>
      <c r="SPV28" s="3281"/>
      <c r="SPW28" s="3281"/>
      <c r="SPX28" s="3281"/>
      <c r="SPY28" s="3281"/>
      <c r="SPZ28" s="3281"/>
      <c r="SQA28" s="3281"/>
      <c r="SQB28" s="3281"/>
      <c r="SQC28" s="3281"/>
      <c r="SQD28" s="3281"/>
      <c r="SQE28" s="3281"/>
      <c r="SQF28" s="3281"/>
      <c r="SQG28" s="3281"/>
      <c r="SQH28" s="3281"/>
      <c r="SQI28" s="3281"/>
      <c r="SQJ28" s="3281"/>
      <c r="SQK28" s="3281"/>
      <c r="SQL28" s="3281"/>
      <c r="SQM28" s="3281"/>
      <c r="SQN28" s="3281"/>
      <c r="SQO28" s="3281"/>
      <c r="SQP28" s="3281"/>
      <c r="SQQ28" s="3281"/>
      <c r="SQR28" s="3281"/>
      <c r="SQS28" s="3281"/>
      <c r="SQT28" s="3281"/>
      <c r="SQU28" s="3281"/>
      <c r="SQV28" s="3281"/>
      <c r="SQW28" s="3281"/>
      <c r="SQX28" s="3281"/>
      <c r="SQY28" s="3281"/>
      <c r="SQZ28" s="3281"/>
      <c r="SRA28" s="3281"/>
      <c r="SRB28" s="3281"/>
      <c r="SRC28" s="3281"/>
      <c r="SRD28" s="3281"/>
      <c r="SRE28" s="3281"/>
      <c r="SRF28" s="3281"/>
      <c r="SRG28" s="3281"/>
      <c r="SRH28" s="3281"/>
      <c r="SRI28" s="3281"/>
      <c r="SRJ28" s="3281"/>
      <c r="SRK28" s="3281"/>
      <c r="SRL28" s="3281"/>
      <c r="SRM28" s="3281"/>
      <c r="SRN28" s="3281"/>
      <c r="SRO28" s="3281"/>
      <c r="SRP28" s="3281"/>
      <c r="SRQ28" s="3281"/>
      <c r="SRR28" s="3281"/>
      <c r="SRS28" s="3281"/>
      <c r="SRT28" s="3281"/>
      <c r="SRU28" s="3281"/>
      <c r="SRV28" s="3281"/>
      <c r="SRW28" s="3281"/>
      <c r="SRX28" s="3281"/>
      <c r="SRY28" s="3281"/>
      <c r="SRZ28" s="3281"/>
      <c r="SSA28" s="3281"/>
      <c r="SSB28" s="3281"/>
      <c r="SSC28" s="3281"/>
      <c r="SSD28" s="3281"/>
      <c r="SSE28" s="3281"/>
      <c r="SSF28" s="3281"/>
      <c r="SSG28" s="3281"/>
      <c r="SSH28" s="3281"/>
      <c r="SSI28" s="3281"/>
      <c r="SSJ28" s="3281"/>
      <c r="SSK28" s="3281"/>
      <c r="SSL28" s="3281"/>
      <c r="SSM28" s="3281"/>
      <c r="SSN28" s="3281"/>
      <c r="SSO28" s="3281"/>
      <c r="SSP28" s="3281"/>
      <c r="SSQ28" s="3281"/>
      <c r="SSR28" s="3281"/>
      <c r="SSS28" s="3281"/>
      <c r="SST28" s="3281"/>
      <c r="SSU28" s="3281"/>
      <c r="SSV28" s="3281"/>
      <c r="SSW28" s="3281"/>
      <c r="SSX28" s="3281"/>
      <c r="SSY28" s="3281"/>
      <c r="SSZ28" s="3281"/>
      <c r="STA28" s="3281"/>
      <c r="STB28" s="3281"/>
      <c r="STC28" s="3281"/>
      <c r="STD28" s="3281"/>
      <c r="STE28" s="3281"/>
      <c r="STF28" s="3281"/>
      <c r="STG28" s="3281"/>
      <c r="STH28" s="3281"/>
      <c r="STI28" s="3281"/>
      <c r="STJ28" s="3281"/>
      <c r="STK28" s="3281"/>
      <c r="STL28" s="3281"/>
      <c r="STM28" s="3281"/>
      <c r="STN28" s="3281"/>
      <c r="STO28" s="3281"/>
      <c r="STP28" s="3281"/>
      <c r="STQ28" s="3281"/>
      <c r="STR28" s="3281"/>
      <c r="STS28" s="3281"/>
      <c r="STT28" s="3281"/>
      <c r="STU28" s="3281"/>
      <c r="STV28" s="3281"/>
      <c r="STW28" s="3281"/>
      <c r="STX28" s="3281"/>
      <c r="STY28" s="3281"/>
      <c r="STZ28" s="3281"/>
      <c r="SUA28" s="3281"/>
      <c r="SUB28" s="3281"/>
      <c r="SUC28" s="3281"/>
      <c r="SUD28" s="3281"/>
      <c r="SUE28" s="3281"/>
      <c r="SUF28" s="3281"/>
      <c r="SUG28" s="3281"/>
      <c r="SUH28" s="3281"/>
      <c r="SUI28" s="3281"/>
      <c r="SUJ28" s="3281"/>
      <c r="SUK28" s="3281"/>
      <c r="SUL28" s="3281"/>
      <c r="SUM28" s="3281"/>
      <c r="SUN28" s="3281"/>
      <c r="SUO28" s="3281"/>
      <c r="SUP28" s="3281"/>
      <c r="SUQ28" s="3281"/>
      <c r="SUR28" s="3281"/>
      <c r="SUS28" s="3281"/>
      <c r="SUT28" s="3281"/>
      <c r="SUU28" s="3281"/>
      <c r="SUV28" s="3281"/>
      <c r="SUW28" s="3281"/>
      <c r="SUX28" s="3281"/>
      <c r="SUY28" s="3281"/>
      <c r="SUZ28" s="3281"/>
      <c r="SVA28" s="3281"/>
      <c r="SVB28" s="3281"/>
      <c r="SVC28" s="3281"/>
      <c r="SVD28" s="3281"/>
      <c r="SVE28" s="3281"/>
      <c r="SVF28" s="3281"/>
      <c r="SVG28" s="3281"/>
      <c r="SVH28" s="3281"/>
      <c r="SVI28" s="3281"/>
      <c r="SVJ28" s="3281"/>
      <c r="SVK28" s="3281"/>
      <c r="SVL28" s="3281"/>
      <c r="SVM28" s="3281"/>
      <c r="SVN28" s="3281"/>
      <c r="SVO28" s="3281"/>
      <c r="SVP28" s="3281"/>
      <c r="SVQ28" s="3281"/>
      <c r="SVR28" s="3281"/>
      <c r="SVS28" s="3281"/>
      <c r="SVT28" s="3281"/>
      <c r="SVU28" s="3281"/>
      <c r="SVV28" s="3281"/>
      <c r="SVW28" s="3281"/>
      <c r="SVX28" s="3281"/>
      <c r="SVY28" s="3281"/>
      <c r="SVZ28" s="3281"/>
      <c r="SWA28" s="3281"/>
      <c r="SWB28" s="3281"/>
      <c r="SWC28" s="3281"/>
      <c r="SWD28" s="3281"/>
      <c r="SWE28" s="3281"/>
      <c r="SWF28" s="3281"/>
      <c r="SWG28" s="3281"/>
      <c r="SWH28" s="3281"/>
      <c r="SWI28" s="3281"/>
      <c r="SWJ28" s="3281"/>
      <c r="SWK28" s="3281"/>
      <c r="SWL28" s="3281"/>
      <c r="SWM28" s="3281"/>
      <c r="SWN28" s="3281"/>
      <c r="SWO28" s="3281"/>
      <c r="SWP28" s="3281"/>
      <c r="SWQ28" s="3281"/>
      <c r="SWR28" s="3281"/>
      <c r="SWS28" s="3281"/>
      <c r="SWT28" s="3281"/>
      <c r="SWU28" s="3281"/>
      <c r="SWV28" s="3281"/>
      <c r="SWW28" s="3281"/>
      <c r="SWX28" s="3281"/>
      <c r="SWY28" s="3281"/>
      <c r="SWZ28" s="3281"/>
      <c r="SXA28" s="3281"/>
      <c r="SXB28" s="3281"/>
      <c r="SXC28" s="3281"/>
      <c r="SXD28" s="3281"/>
      <c r="SXE28" s="3281"/>
      <c r="SXF28" s="3281"/>
      <c r="SXG28" s="3281"/>
      <c r="SXH28" s="3281"/>
      <c r="SXI28" s="3281"/>
      <c r="SXJ28" s="3281"/>
      <c r="SXK28" s="3281"/>
      <c r="SXL28" s="3281"/>
      <c r="SXM28" s="3281"/>
      <c r="SXN28" s="3281"/>
      <c r="SXO28" s="3281"/>
      <c r="SXP28" s="3281"/>
      <c r="SXQ28" s="3281"/>
      <c r="SXR28" s="3281"/>
      <c r="SXS28" s="3281"/>
      <c r="SXT28" s="3281"/>
      <c r="SXU28" s="3281"/>
      <c r="SXV28" s="3281"/>
      <c r="SXW28" s="3281"/>
      <c r="SXX28" s="3281"/>
      <c r="SXY28" s="3281"/>
      <c r="SXZ28" s="3281"/>
      <c r="SYA28" s="3281"/>
      <c r="SYB28" s="3281"/>
      <c r="SYC28" s="3281"/>
      <c r="SYD28" s="3281"/>
      <c r="SYE28" s="3281"/>
      <c r="SYF28" s="3281"/>
      <c r="SYG28" s="3281"/>
      <c r="SYH28" s="3281"/>
      <c r="SYI28" s="3281"/>
      <c r="SYJ28" s="3281"/>
      <c r="SYK28" s="3281"/>
      <c r="SYL28" s="3281"/>
      <c r="SYM28" s="3281"/>
      <c r="SYN28" s="3281"/>
      <c r="SYO28" s="3281"/>
      <c r="SYP28" s="3281"/>
      <c r="SYQ28" s="3281"/>
      <c r="SYR28" s="3281"/>
      <c r="SYS28" s="3281"/>
      <c r="SYT28" s="3281"/>
      <c r="SYU28" s="3281"/>
      <c r="SYV28" s="3281"/>
      <c r="SYW28" s="3281"/>
      <c r="SYX28" s="3281"/>
      <c r="SYY28" s="3281"/>
      <c r="SYZ28" s="3281"/>
      <c r="SZA28" s="3281"/>
      <c r="SZB28" s="3281"/>
      <c r="SZC28" s="3281"/>
      <c r="SZD28" s="3281"/>
      <c r="SZE28" s="3281"/>
      <c r="SZF28" s="3281"/>
      <c r="SZG28" s="3281"/>
      <c r="SZH28" s="3281"/>
      <c r="SZI28" s="3281"/>
      <c r="SZJ28" s="3281"/>
      <c r="SZK28" s="3281"/>
      <c r="SZL28" s="3281"/>
      <c r="SZM28" s="3281"/>
      <c r="SZN28" s="3281"/>
      <c r="SZO28" s="3281"/>
      <c r="SZP28" s="3281"/>
      <c r="SZQ28" s="3281"/>
      <c r="SZR28" s="3281"/>
      <c r="SZS28" s="3281"/>
      <c r="SZT28" s="3281"/>
      <c r="SZU28" s="3281"/>
      <c r="SZV28" s="3281"/>
      <c r="SZW28" s="3281"/>
      <c r="SZX28" s="3281"/>
      <c r="SZY28" s="3281"/>
      <c r="SZZ28" s="3281"/>
      <c r="TAA28" s="3281"/>
      <c r="TAB28" s="3281"/>
      <c r="TAC28" s="3281"/>
      <c r="TAD28" s="3281"/>
      <c r="TAE28" s="3281"/>
      <c r="TAF28" s="3281"/>
      <c r="TAG28" s="3281"/>
      <c r="TAH28" s="3281"/>
      <c r="TAI28" s="3281"/>
      <c r="TAJ28" s="3281"/>
      <c r="TAK28" s="3281"/>
      <c r="TAL28" s="3281"/>
      <c r="TAM28" s="3281"/>
      <c r="TAN28" s="3281"/>
      <c r="TAO28" s="3281"/>
      <c r="TAP28" s="3281"/>
      <c r="TAQ28" s="3281"/>
      <c r="TAR28" s="3281"/>
      <c r="TAS28" s="3281"/>
      <c r="TAT28" s="3281"/>
      <c r="TAU28" s="3281"/>
      <c r="TAV28" s="3281"/>
      <c r="TAW28" s="3281"/>
      <c r="TAX28" s="3281"/>
      <c r="TAY28" s="3281"/>
      <c r="TAZ28" s="3281"/>
      <c r="TBA28" s="3281"/>
      <c r="TBB28" s="3281"/>
      <c r="TBC28" s="3281"/>
      <c r="TBD28" s="3281"/>
      <c r="TBE28" s="3281"/>
      <c r="TBF28" s="3281"/>
      <c r="TBG28" s="3281"/>
      <c r="TBH28" s="3281"/>
      <c r="TBI28" s="3281"/>
      <c r="TBJ28" s="3281"/>
      <c r="TBK28" s="3281"/>
      <c r="TBL28" s="3281"/>
      <c r="TBM28" s="3281"/>
      <c r="TBN28" s="3281"/>
      <c r="TBO28" s="3281"/>
      <c r="TBP28" s="3281"/>
      <c r="TBQ28" s="3281"/>
      <c r="TBR28" s="3281"/>
      <c r="TBS28" s="3281"/>
      <c r="TBT28" s="3281"/>
      <c r="TBU28" s="3281"/>
      <c r="TBV28" s="3281"/>
      <c r="TBW28" s="3281"/>
      <c r="TBX28" s="3281"/>
      <c r="TBY28" s="3281"/>
      <c r="TBZ28" s="3281"/>
      <c r="TCA28" s="3281"/>
      <c r="TCB28" s="3281"/>
      <c r="TCC28" s="3281"/>
      <c r="TCD28" s="3281"/>
      <c r="TCE28" s="3281"/>
      <c r="TCF28" s="3281"/>
      <c r="TCG28" s="3281"/>
      <c r="TCH28" s="3281"/>
      <c r="TCI28" s="3281"/>
      <c r="TCJ28" s="3281"/>
      <c r="TCK28" s="3281"/>
      <c r="TCL28" s="3281"/>
      <c r="TCM28" s="3281"/>
      <c r="TCN28" s="3281"/>
      <c r="TCO28" s="3281"/>
      <c r="TCP28" s="3281"/>
      <c r="TCQ28" s="3281"/>
      <c r="TCR28" s="3281"/>
      <c r="TCS28" s="3281"/>
      <c r="TCT28" s="3281"/>
      <c r="TCU28" s="3281"/>
      <c r="TCV28" s="3281"/>
      <c r="TCW28" s="3281"/>
      <c r="TCX28" s="3281"/>
      <c r="TCY28" s="3281"/>
      <c r="TCZ28" s="3281"/>
      <c r="TDA28" s="3281"/>
      <c r="TDB28" s="3281"/>
      <c r="TDC28" s="3281"/>
      <c r="TDD28" s="3281"/>
      <c r="TDE28" s="3281"/>
      <c r="TDF28" s="3281"/>
      <c r="TDG28" s="3281"/>
      <c r="TDH28" s="3281"/>
      <c r="TDI28" s="3281"/>
      <c r="TDJ28" s="3281"/>
      <c r="TDK28" s="3281"/>
      <c r="TDL28" s="3281"/>
      <c r="TDM28" s="3281"/>
      <c r="TDN28" s="3281"/>
      <c r="TDO28" s="3281"/>
      <c r="TDP28" s="3281"/>
      <c r="TDQ28" s="3281"/>
      <c r="TDR28" s="3281"/>
      <c r="TDS28" s="3281"/>
      <c r="TDT28" s="3281"/>
      <c r="TDU28" s="3281"/>
      <c r="TDV28" s="3281"/>
      <c r="TDW28" s="3281"/>
      <c r="TDX28" s="3281"/>
      <c r="TDY28" s="3281"/>
      <c r="TDZ28" s="3281"/>
      <c r="TEA28" s="3281"/>
      <c r="TEB28" s="3281"/>
      <c r="TEC28" s="3281"/>
      <c r="TED28" s="3281"/>
      <c r="TEE28" s="3281"/>
      <c r="TEF28" s="3281"/>
      <c r="TEG28" s="3281"/>
      <c r="TEH28" s="3281"/>
      <c r="TEI28" s="3281"/>
      <c r="TEJ28" s="3281"/>
      <c r="TEK28" s="3281"/>
      <c r="TEL28" s="3281"/>
      <c r="TEM28" s="3281"/>
      <c r="TEN28" s="3281"/>
      <c r="TEO28" s="3281"/>
      <c r="TEP28" s="3281"/>
      <c r="TEQ28" s="3281"/>
      <c r="TER28" s="3281"/>
      <c r="TES28" s="3281"/>
      <c r="TET28" s="3281"/>
      <c r="TEU28" s="3281"/>
      <c r="TEV28" s="3281"/>
      <c r="TEW28" s="3281"/>
      <c r="TEX28" s="3281"/>
      <c r="TEY28" s="3281"/>
      <c r="TEZ28" s="3281"/>
      <c r="TFA28" s="3281"/>
      <c r="TFB28" s="3281"/>
      <c r="TFC28" s="3281"/>
      <c r="TFD28" s="3281"/>
      <c r="TFE28" s="3281"/>
      <c r="TFF28" s="3281"/>
      <c r="TFG28" s="3281"/>
      <c r="TFH28" s="3281"/>
      <c r="TFI28" s="3281"/>
      <c r="TFJ28" s="3281"/>
      <c r="TFK28" s="3281"/>
      <c r="TFL28" s="3281"/>
      <c r="TFM28" s="3281"/>
      <c r="TFN28" s="3281"/>
      <c r="TFO28" s="3281"/>
      <c r="TFP28" s="3281"/>
      <c r="TFQ28" s="3281"/>
      <c r="TFR28" s="3281"/>
      <c r="TFS28" s="3281"/>
      <c r="TFT28" s="3281"/>
      <c r="TFU28" s="3281"/>
      <c r="TFV28" s="3281"/>
      <c r="TFW28" s="3281"/>
      <c r="TFX28" s="3281"/>
      <c r="TFY28" s="3281"/>
      <c r="TFZ28" s="3281"/>
      <c r="TGA28" s="3281"/>
      <c r="TGB28" s="3281"/>
      <c r="TGC28" s="3281"/>
      <c r="TGD28" s="3281"/>
      <c r="TGE28" s="3281"/>
      <c r="TGF28" s="3281"/>
      <c r="TGG28" s="3281"/>
      <c r="TGH28" s="3281"/>
      <c r="TGI28" s="3281"/>
      <c r="TGJ28" s="3281"/>
      <c r="TGK28" s="3281"/>
      <c r="TGL28" s="3281"/>
      <c r="TGM28" s="3281"/>
      <c r="TGN28" s="3281"/>
      <c r="TGO28" s="3281"/>
      <c r="TGP28" s="3281"/>
      <c r="TGQ28" s="3281"/>
      <c r="TGR28" s="3281"/>
      <c r="TGS28" s="3281"/>
      <c r="TGT28" s="3281"/>
      <c r="TGU28" s="3281"/>
      <c r="TGV28" s="3281"/>
      <c r="TGW28" s="3281"/>
      <c r="TGX28" s="3281"/>
      <c r="TGY28" s="3281"/>
      <c r="TGZ28" s="3281"/>
      <c r="THA28" s="3281"/>
      <c r="THB28" s="3281"/>
      <c r="THC28" s="3281"/>
      <c r="THD28" s="3281"/>
      <c r="THE28" s="3281"/>
      <c r="THF28" s="3281"/>
      <c r="THG28" s="3281"/>
      <c r="THH28" s="3281"/>
      <c r="THI28" s="3281"/>
      <c r="THJ28" s="3281"/>
      <c r="THK28" s="3281"/>
      <c r="THL28" s="3281"/>
      <c r="THM28" s="3281"/>
      <c r="THN28" s="3281"/>
      <c r="THO28" s="3281"/>
      <c r="THP28" s="3281"/>
      <c r="THQ28" s="3281"/>
      <c r="THR28" s="3281"/>
      <c r="THS28" s="3281"/>
      <c r="THT28" s="3281"/>
      <c r="THU28" s="3281"/>
      <c r="THV28" s="3281"/>
      <c r="THW28" s="3281"/>
      <c r="THX28" s="3281"/>
      <c r="THY28" s="3281"/>
      <c r="THZ28" s="3281"/>
      <c r="TIA28" s="3281"/>
      <c r="TIB28" s="3281"/>
      <c r="TIC28" s="3281"/>
      <c r="TID28" s="3281"/>
      <c r="TIE28" s="3281"/>
      <c r="TIF28" s="3281"/>
      <c r="TIG28" s="3281"/>
      <c r="TIH28" s="3281"/>
      <c r="TII28" s="3281"/>
      <c r="TIJ28" s="3281"/>
      <c r="TIK28" s="3281"/>
      <c r="TIL28" s="3281"/>
      <c r="TIM28" s="3281"/>
      <c r="TIN28" s="3281"/>
      <c r="TIO28" s="3281"/>
      <c r="TIP28" s="3281"/>
      <c r="TIQ28" s="3281"/>
      <c r="TIR28" s="3281"/>
      <c r="TIS28" s="3281"/>
      <c r="TIT28" s="3281"/>
      <c r="TIU28" s="3281"/>
      <c r="TIV28" s="3281"/>
      <c r="TIW28" s="3281"/>
      <c r="TIX28" s="3281"/>
      <c r="TIY28" s="3281"/>
      <c r="TIZ28" s="3281"/>
      <c r="TJA28" s="3281"/>
      <c r="TJB28" s="3281"/>
      <c r="TJC28" s="3281"/>
      <c r="TJD28" s="3281"/>
      <c r="TJE28" s="3281"/>
      <c r="TJF28" s="3281"/>
      <c r="TJG28" s="3281"/>
      <c r="TJH28" s="3281"/>
      <c r="TJI28" s="3281"/>
      <c r="TJJ28" s="3281"/>
      <c r="TJK28" s="3281"/>
      <c r="TJL28" s="3281"/>
      <c r="TJM28" s="3281"/>
      <c r="TJN28" s="3281"/>
      <c r="TJO28" s="3281"/>
      <c r="TJP28" s="3281"/>
      <c r="TJQ28" s="3281"/>
      <c r="TJR28" s="3281"/>
      <c r="TJS28" s="3281"/>
      <c r="TJT28" s="3281"/>
      <c r="TJU28" s="3281"/>
      <c r="TJV28" s="3281"/>
      <c r="TJW28" s="3281"/>
      <c r="TJX28" s="3281"/>
      <c r="TJY28" s="3281"/>
      <c r="TJZ28" s="3281"/>
      <c r="TKA28" s="3281"/>
      <c r="TKB28" s="3281"/>
      <c r="TKC28" s="3281"/>
      <c r="TKD28" s="3281"/>
      <c r="TKE28" s="3281"/>
      <c r="TKF28" s="3281"/>
      <c r="TKG28" s="3281"/>
      <c r="TKH28" s="3281"/>
      <c r="TKI28" s="3281"/>
      <c r="TKJ28" s="3281"/>
      <c r="TKK28" s="3281"/>
      <c r="TKL28" s="3281"/>
      <c r="TKM28" s="3281"/>
      <c r="TKN28" s="3281"/>
      <c r="TKO28" s="3281"/>
      <c r="TKP28" s="3281"/>
      <c r="TKQ28" s="3281"/>
      <c r="TKR28" s="3281"/>
      <c r="TKS28" s="3281"/>
      <c r="TKT28" s="3281"/>
      <c r="TKU28" s="3281"/>
      <c r="TKV28" s="3281"/>
      <c r="TKW28" s="3281"/>
      <c r="TKX28" s="3281"/>
      <c r="TKY28" s="3281"/>
      <c r="TKZ28" s="3281"/>
      <c r="TLA28" s="3281"/>
      <c r="TLB28" s="3281"/>
      <c r="TLC28" s="3281"/>
      <c r="TLD28" s="3281"/>
      <c r="TLE28" s="3281"/>
      <c r="TLF28" s="3281"/>
      <c r="TLG28" s="3281"/>
      <c r="TLH28" s="3281"/>
      <c r="TLI28" s="3281"/>
      <c r="TLJ28" s="3281"/>
      <c r="TLK28" s="3281"/>
      <c r="TLL28" s="3281"/>
      <c r="TLM28" s="3281"/>
      <c r="TLN28" s="3281"/>
      <c r="TLO28" s="3281"/>
      <c r="TLP28" s="3281"/>
      <c r="TLQ28" s="3281"/>
      <c r="TLR28" s="3281"/>
      <c r="TLS28" s="3281"/>
      <c r="TLT28" s="3281"/>
      <c r="TLU28" s="3281"/>
      <c r="TLV28" s="3281"/>
      <c r="TLW28" s="3281"/>
      <c r="TLX28" s="3281"/>
      <c r="TLY28" s="3281"/>
      <c r="TLZ28" s="3281"/>
      <c r="TMA28" s="3281"/>
      <c r="TMB28" s="3281"/>
      <c r="TMC28" s="3281"/>
      <c r="TMD28" s="3281"/>
      <c r="TME28" s="3281"/>
      <c r="TMF28" s="3281"/>
      <c r="TMG28" s="3281"/>
      <c r="TMH28" s="3281"/>
      <c r="TMI28" s="3281"/>
      <c r="TMJ28" s="3281"/>
      <c r="TMK28" s="3281"/>
      <c r="TML28" s="3281"/>
      <c r="TMM28" s="3281"/>
      <c r="TMN28" s="3281"/>
      <c r="TMO28" s="3281"/>
      <c r="TMP28" s="3281"/>
      <c r="TMQ28" s="3281"/>
      <c r="TMR28" s="3281"/>
      <c r="TMS28" s="3281"/>
      <c r="TMT28" s="3281"/>
      <c r="TMU28" s="3281"/>
      <c r="TMV28" s="3281"/>
      <c r="TMW28" s="3281"/>
      <c r="TMX28" s="3281"/>
      <c r="TMY28" s="3281"/>
      <c r="TMZ28" s="3281"/>
      <c r="TNA28" s="3281"/>
      <c r="TNB28" s="3281"/>
      <c r="TNC28" s="3281"/>
      <c r="TND28" s="3281"/>
      <c r="TNE28" s="3281"/>
      <c r="TNF28" s="3281"/>
      <c r="TNG28" s="3281"/>
      <c r="TNH28" s="3281"/>
      <c r="TNI28" s="3281"/>
      <c r="TNJ28" s="3281"/>
      <c r="TNK28" s="3281"/>
      <c r="TNL28" s="3281"/>
      <c r="TNM28" s="3281"/>
      <c r="TNN28" s="3281"/>
      <c r="TNO28" s="3281"/>
      <c r="TNP28" s="3281"/>
      <c r="TNQ28" s="3281"/>
      <c r="TNR28" s="3281"/>
      <c r="TNS28" s="3281"/>
      <c r="TNT28" s="3281"/>
      <c r="TNU28" s="3281"/>
      <c r="TNV28" s="3281"/>
      <c r="TNW28" s="3281"/>
      <c r="TNX28" s="3281"/>
      <c r="TNY28" s="3281"/>
      <c r="TNZ28" s="3281"/>
      <c r="TOA28" s="3281"/>
      <c r="TOB28" s="3281"/>
      <c r="TOC28" s="3281"/>
      <c r="TOD28" s="3281"/>
      <c r="TOE28" s="3281"/>
      <c r="TOF28" s="3281"/>
      <c r="TOG28" s="3281"/>
      <c r="TOH28" s="3281"/>
      <c r="TOI28" s="3281"/>
      <c r="TOJ28" s="3281"/>
      <c r="TOK28" s="3281"/>
      <c r="TOL28" s="3281"/>
      <c r="TOM28" s="3281"/>
      <c r="TON28" s="3281"/>
      <c r="TOO28" s="3281"/>
      <c r="TOP28" s="3281"/>
      <c r="TOQ28" s="3281"/>
      <c r="TOR28" s="3281"/>
      <c r="TOS28" s="3281"/>
      <c r="TOT28" s="3281"/>
      <c r="TOU28" s="3281"/>
      <c r="TOV28" s="3281"/>
      <c r="TOW28" s="3281"/>
      <c r="TOX28" s="3281"/>
      <c r="TOY28" s="3281"/>
      <c r="TOZ28" s="3281"/>
      <c r="TPA28" s="3281"/>
      <c r="TPB28" s="3281"/>
      <c r="TPC28" s="3281"/>
      <c r="TPD28" s="3281"/>
      <c r="TPE28" s="3281"/>
      <c r="TPF28" s="3281"/>
      <c r="TPG28" s="3281"/>
      <c r="TPH28" s="3281"/>
      <c r="TPI28" s="3281"/>
      <c r="TPJ28" s="3281"/>
      <c r="TPK28" s="3281"/>
      <c r="TPL28" s="3281"/>
      <c r="TPM28" s="3281"/>
      <c r="TPN28" s="3281"/>
      <c r="TPO28" s="3281"/>
      <c r="TPP28" s="3281"/>
      <c r="TPQ28" s="3281"/>
      <c r="TPR28" s="3281"/>
      <c r="TPS28" s="3281"/>
      <c r="TPT28" s="3281"/>
      <c r="TPU28" s="3281"/>
      <c r="TPV28" s="3281"/>
      <c r="TPW28" s="3281"/>
      <c r="TPX28" s="3281"/>
      <c r="TPY28" s="3281"/>
      <c r="TPZ28" s="3281"/>
      <c r="TQA28" s="3281"/>
      <c r="TQB28" s="3281"/>
      <c r="TQC28" s="3281"/>
      <c r="TQD28" s="3281"/>
      <c r="TQE28" s="3281"/>
      <c r="TQF28" s="3281"/>
      <c r="TQG28" s="3281"/>
      <c r="TQH28" s="3281"/>
      <c r="TQI28" s="3281"/>
      <c r="TQJ28" s="3281"/>
      <c r="TQK28" s="3281"/>
      <c r="TQL28" s="3281"/>
      <c r="TQM28" s="3281"/>
      <c r="TQN28" s="3281"/>
      <c r="TQO28" s="3281"/>
      <c r="TQP28" s="3281"/>
      <c r="TQQ28" s="3281"/>
      <c r="TQR28" s="3281"/>
      <c r="TQS28" s="3281"/>
      <c r="TQT28" s="3281"/>
      <c r="TQU28" s="3281"/>
      <c r="TQV28" s="3281"/>
      <c r="TQW28" s="3281"/>
      <c r="TQX28" s="3281"/>
      <c r="TQY28" s="3281"/>
      <c r="TQZ28" s="3281"/>
      <c r="TRA28" s="3281"/>
      <c r="TRB28" s="3281"/>
      <c r="TRC28" s="3281"/>
      <c r="TRD28" s="3281"/>
      <c r="TRE28" s="3281"/>
      <c r="TRF28" s="3281"/>
      <c r="TRG28" s="3281"/>
      <c r="TRH28" s="3281"/>
      <c r="TRI28" s="3281"/>
      <c r="TRJ28" s="3281"/>
      <c r="TRK28" s="3281"/>
      <c r="TRL28" s="3281"/>
      <c r="TRM28" s="3281"/>
      <c r="TRN28" s="3281"/>
      <c r="TRO28" s="3281"/>
      <c r="TRP28" s="3281"/>
      <c r="TRQ28" s="3281"/>
      <c r="TRR28" s="3281"/>
      <c r="TRS28" s="3281"/>
      <c r="TRT28" s="3281"/>
      <c r="TRU28" s="3281"/>
      <c r="TRV28" s="3281"/>
      <c r="TRW28" s="3281"/>
      <c r="TRX28" s="3281"/>
      <c r="TRY28" s="3281"/>
      <c r="TRZ28" s="3281"/>
      <c r="TSA28" s="3281"/>
      <c r="TSB28" s="3281"/>
      <c r="TSC28" s="3281"/>
      <c r="TSD28" s="3281"/>
      <c r="TSE28" s="3281"/>
      <c r="TSF28" s="3281"/>
      <c r="TSG28" s="3281"/>
      <c r="TSH28" s="3281"/>
      <c r="TSI28" s="3281"/>
      <c r="TSJ28" s="3281"/>
      <c r="TSK28" s="3281"/>
      <c r="TSL28" s="3281"/>
      <c r="TSM28" s="3281"/>
      <c r="TSN28" s="3281"/>
      <c r="TSO28" s="3281"/>
      <c r="TSP28" s="3281"/>
      <c r="TSQ28" s="3281"/>
      <c r="TSR28" s="3281"/>
      <c r="TSS28" s="3281"/>
      <c r="TST28" s="3281"/>
      <c r="TSU28" s="3281"/>
      <c r="TSV28" s="3281"/>
      <c r="TSW28" s="3281"/>
      <c r="TSX28" s="3281"/>
      <c r="TSY28" s="3281"/>
      <c r="TSZ28" s="3281"/>
      <c r="TTA28" s="3281"/>
      <c r="TTB28" s="3281"/>
      <c r="TTC28" s="3281"/>
      <c r="TTD28" s="3281"/>
      <c r="TTE28" s="3281"/>
      <c r="TTF28" s="3281"/>
      <c r="TTG28" s="3281"/>
      <c r="TTH28" s="3281"/>
      <c r="TTI28" s="3281"/>
      <c r="TTJ28" s="3281"/>
      <c r="TTK28" s="3281"/>
      <c r="TTL28" s="3281"/>
      <c r="TTM28" s="3281"/>
      <c r="TTN28" s="3281"/>
      <c r="TTO28" s="3281"/>
      <c r="TTP28" s="3281"/>
      <c r="TTQ28" s="3281"/>
      <c r="TTR28" s="3281"/>
      <c r="TTS28" s="3281"/>
      <c r="TTT28" s="3281"/>
      <c r="TTU28" s="3281"/>
      <c r="TTV28" s="3281"/>
      <c r="TTW28" s="3281"/>
      <c r="TTX28" s="3281"/>
      <c r="TTY28" s="3281"/>
      <c r="TTZ28" s="3281"/>
      <c r="TUA28" s="3281"/>
      <c r="TUB28" s="3281"/>
      <c r="TUC28" s="3281"/>
      <c r="TUD28" s="3281"/>
      <c r="TUE28" s="3281"/>
      <c r="TUF28" s="3281"/>
      <c r="TUG28" s="3281"/>
      <c r="TUH28" s="3281"/>
      <c r="TUI28" s="3281"/>
      <c r="TUJ28" s="3281"/>
      <c r="TUK28" s="3281"/>
      <c r="TUL28" s="3281"/>
      <c r="TUM28" s="3281"/>
      <c r="TUN28" s="3281"/>
      <c r="TUO28" s="3281"/>
      <c r="TUP28" s="3281"/>
      <c r="TUQ28" s="3281"/>
      <c r="TUR28" s="3281"/>
      <c r="TUS28" s="3281"/>
      <c r="TUT28" s="3281"/>
      <c r="TUU28" s="3281"/>
      <c r="TUV28" s="3281"/>
      <c r="TUW28" s="3281"/>
      <c r="TUX28" s="3281"/>
      <c r="TUY28" s="3281"/>
      <c r="TUZ28" s="3281"/>
      <c r="TVA28" s="3281"/>
      <c r="TVB28" s="3281"/>
      <c r="TVC28" s="3281"/>
      <c r="TVD28" s="3281"/>
      <c r="TVE28" s="3281"/>
      <c r="TVF28" s="3281"/>
      <c r="TVG28" s="3281"/>
      <c r="TVH28" s="3281"/>
      <c r="TVI28" s="3281"/>
      <c r="TVJ28" s="3281"/>
      <c r="TVK28" s="3281"/>
      <c r="TVL28" s="3281"/>
      <c r="TVM28" s="3281"/>
      <c r="TVN28" s="3281"/>
      <c r="TVO28" s="3281"/>
      <c r="TVP28" s="3281"/>
      <c r="TVQ28" s="3281"/>
      <c r="TVR28" s="3281"/>
      <c r="TVS28" s="3281"/>
      <c r="TVT28" s="3281"/>
      <c r="TVU28" s="3281"/>
      <c r="TVV28" s="3281"/>
      <c r="TVW28" s="3281"/>
      <c r="TVX28" s="3281"/>
      <c r="TVY28" s="3281"/>
      <c r="TVZ28" s="3281"/>
      <c r="TWA28" s="3281"/>
      <c r="TWB28" s="3281"/>
      <c r="TWC28" s="3281"/>
      <c r="TWD28" s="3281"/>
      <c r="TWE28" s="3281"/>
      <c r="TWF28" s="3281"/>
      <c r="TWG28" s="3281"/>
      <c r="TWH28" s="3281"/>
      <c r="TWI28" s="3281"/>
      <c r="TWJ28" s="3281"/>
      <c r="TWK28" s="3281"/>
      <c r="TWL28" s="3281"/>
      <c r="TWM28" s="3281"/>
      <c r="TWN28" s="3281"/>
      <c r="TWO28" s="3281"/>
      <c r="TWP28" s="3281"/>
      <c r="TWQ28" s="3281"/>
      <c r="TWR28" s="3281"/>
      <c r="TWS28" s="3281"/>
      <c r="TWT28" s="3281"/>
      <c r="TWU28" s="3281"/>
      <c r="TWV28" s="3281"/>
      <c r="TWW28" s="3281"/>
      <c r="TWX28" s="3281"/>
      <c r="TWY28" s="3281"/>
      <c r="TWZ28" s="3281"/>
      <c r="TXA28" s="3281"/>
      <c r="TXB28" s="3281"/>
      <c r="TXC28" s="3281"/>
      <c r="TXD28" s="3281"/>
      <c r="TXE28" s="3281"/>
      <c r="TXF28" s="3281"/>
      <c r="TXG28" s="3281"/>
      <c r="TXH28" s="3281"/>
      <c r="TXI28" s="3281"/>
      <c r="TXJ28" s="3281"/>
      <c r="TXK28" s="3281"/>
      <c r="TXL28" s="3281"/>
      <c r="TXM28" s="3281"/>
      <c r="TXN28" s="3281"/>
      <c r="TXO28" s="3281"/>
      <c r="TXP28" s="3281"/>
      <c r="TXQ28" s="3281"/>
      <c r="TXR28" s="3281"/>
      <c r="TXS28" s="3281"/>
      <c r="TXT28" s="3281"/>
      <c r="TXU28" s="3281"/>
      <c r="TXV28" s="3281"/>
      <c r="TXW28" s="3281"/>
      <c r="TXX28" s="3281"/>
      <c r="TXY28" s="3281"/>
      <c r="TXZ28" s="3281"/>
      <c r="TYA28" s="3281"/>
      <c r="TYB28" s="3281"/>
      <c r="TYC28" s="3281"/>
      <c r="TYD28" s="3281"/>
      <c r="TYE28" s="3281"/>
      <c r="TYF28" s="3281"/>
      <c r="TYG28" s="3281"/>
      <c r="TYH28" s="3281"/>
      <c r="TYI28" s="3281"/>
      <c r="TYJ28" s="3281"/>
      <c r="TYK28" s="3281"/>
      <c r="TYL28" s="3281"/>
      <c r="TYM28" s="3281"/>
      <c r="TYN28" s="3281"/>
      <c r="TYO28" s="3281"/>
      <c r="TYP28" s="3281"/>
      <c r="TYQ28" s="3281"/>
      <c r="TYR28" s="3281"/>
      <c r="TYS28" s="3281"/>
      <c r="TYT28" s="3281"/>
      <c r="TYU28" s="3281"/>
      <c r="TYV28" s="3281"/>
      <c r="TYW28" s="3281"/>
      <c r="TYX28" s="3281"/>
      <c r="TYY28" s="3281"/>
      <c r="TYZ28" s="3281"/>
      <c r="TZA28" s="3281"/>
      <c r="TZB28" s="3281"/>
      <c r="TZC28" s="3281"/>
      <c r="TZD28" s="3281"/>
      <c r="TZE28" s="3281"/>
      <c r="TZF28" s="3281"/>
      <c r="TZG28" s="3281"/>
      <c r="TZH28" s="3281"/>
      <c r="TZI28" s="3281"/>
      <c r="TZJ28" s="3281"/>
      <c r="TZK28" s="3281"/>
      <c r="TZL28" s="3281"/>
      <c r="TZM28" s="3281"/>
      <c r="TZN28" s="3281"/>
      <c r="TZO28" s="3281"/>
      <c r="TZP28" s="3281"/>
      <c r="TZQ28" s="3281"/>
      <c r="TZR28" s="3281"/>
      <c r="TZS28" s="3281"/>
      <c r="TZT28" s="3281"/>
      <c r="TZU28" s="3281"/>
      <c r="TZV28" s="3281"/>
      <c r="TZW28" s="3281"/>
      <c r="TZX28" s="3281"/>
      <c r="TZY28" s="3281"/>
      <c r="TZZ28" s="3281"/>
      <c r="UAA28" s="3281"/>
      <c r="UAB28" s="3281"/>
      <c r="UAC28" s="3281"/>
      <c r="UAD28" s="3281"/>
      <c r="UAE28" s="3281"/>
      <c r="UAF28" s="3281"/>
      <c r="UAG28" s="3281"/>
      <c r="UAH28" s="3281"/>
      <c r="UAI28" s="3281"/>
      <c r="UAJ28" s="3281"/>
      <c r="UAK28" s="3281"/>
      <c r="UAL28" s="3281"/>
      <c r="UAM28" s="3281"/>
      <c r="UAN28" s="3281"/>
      <c r="UAO28" s="3281"/>
      <c r="UAP28" s="3281"/>
      <c r="UAQ28" s="3281"/>
      <c r="UAR28" s="3281"/>
      <c r="UAS28" s="3281"/>
      <c r="UAT28" s="3281"/>
      <c r="UAU28" s="3281"/>
      <c r="UAV28" s="3281"/>
      <c r="UAW28" s="3281"/>
      <c r="UAX28" s="3281"/>
      <c r="UAY28" s="3281"/>
      <c r="UAZ28" s="3281"/>
      <c r="UBA28" s="3281"/>
      <c r="UBB28" s="3281"/>
      <c r="UBC28" s="3281"/>
      <c r="UBD28" s="3281"/>
      <c r="UBE28" s="3281"/>
      <c r="UBF28" s="3281"/>
      <c r="UBG28" s="3281"/>
      <c r="UBH28" s="3281"/>
      <c r="UBI28" s="3281"/>
      <c r="UBJ28" s="3281"/>
      <c r="UBK28" s="3281"/>
      <c r="UBL28" s="3281"/>
      <c r="UBM28" s="3281"/>
      <c r="UBN28" s="3281"/>
      <c r="UBO28" s="3281"/>
      <c r="UBP28" s="3281"/>
      <c r="UBQ28" s="3281"/>
      <c r="UBR28" s="3281"/>
      <c r="UBS28" s="3281"/>
      <c r="UBT28" s="3281"/>
      <c r="UBU28" s="3281"/>
      <c r="UBV28" s="3281"/>
      <c r="UBW28" s="3281"/>
      <c r="UBX28" s="3281"/>
      <c r="UBY28" s="3281"/>
      <c r="UBZ28" s="3281"/>
      <c r="UCA28" s="3281"/>
      <c r="UCB28" s="3281"/>
      <c r="UCC28" s="3281"/>
      <c r="UCD28" s="3281"/>
      <c r="UCE28" s="3281"/>
      <c r="UCF28" s="3281"/>
      <c r="UCG28" s="3281"/>
      <c r="UCH28" s="3281"/>
      <c r="UCI28" s="3281"/>
      <c r="UCJ28" s="3281"/>
      <c r="UCK28" s="3281"/>
      <c r="UCL28" s="3281"/>
      <c r="UCM28" s="3281"/>
      <c r="UCN28" s="3281"/>
      <c r="UCO28" s="3281"/>
      <c r="UCP28" s="3281"/>
      <c r="UCQ28" s="3281"/>
      <c r="UCR28" s="3281"/>
      <c r="UCS28" s="3281"/>
      <c r="UCT28" s="3281"/>
      <c r="UCU28" s="3281"/>
      <c r="UCV28" s="3281"/>
      <c r="UCW28" s="3281"/>
      <c r="UCX28" s="3281"/>
      <c r="UCY28" s="3281"/>
      <c r="UCZ28" s="3281"/>
      <c r="UDA28" s="3281"/>
      <c r="UDB28" s="3281"/>
      <c r="UDC28" s="3281"/>
      <c r="UDD28" s="3281"/>
      <c r="UDE28" s="3281"/>
      <c r="UDF28" s="3281"/>
      <c r="UDG28" s="3281"/>
      <c r="UDH28" s="3281"/>
      <c r="UDI28" s="3281"/>
      <c r="UDJ28" s="3281"/>
      <c r="UDK28" s="3281"/>
      <c r="UDL28" s="3281"/>
      <c r="UDM28" s="3281"/>
      <c r="UDN28" s="3281"/>
      <c r="UDO28" s="3281"/>
      <c r="UDP28" s="3281"/>
      <c r="UDQ28" s="3281"/>
      <c r="UDR28" s="3281"/>
      <c r="UDS28" s="3281"/>
      <c r="UDT28" s="3281"/>
      <c r="UDU28" s="3281"/>
      <c r="UDV28" s="3281"/>
      <c r="UDW28" s="3281"/>
      <c r="UDX28" s="3281"/>
      <c r="UDY28" s="3281"/>
      <c r="UDZ28" s="3281"/>
      <c r="UEA28" s="3281"/>
      <c r="UEB28" s="3281"/>
      <c r="UEC28" s="3281"/>
      <c r="UED28" s="3281"/>
      <c r="UEE28" s="3281"/>
      <c r="UEF28" s="3281"/>
      <c r="UEG28" s="3281"/>
      <c r="UEH28" s="3281"/>
      <c r="UEI28" s="3281"/>
      <c r="UEJ28" s="3281"/>
      <c r="UEK28" s="3281"/>
      <c r="UEL28" s="3281"/>
      <c r="UEM28" s="3281"/>
      <c r="UEN28" s="3281"/>
      <c r="UEO28" s="3281"/>
      <c r="UEP28" s="3281"/>
      <c r="UEQ28" s="3281"/>
      <c r="UER28" s="3281"/>
      <c r="UES28" s="3281"/>
      <c r="UET28" s="3281"/>
      <c r="UEU28" s="3281"/>
      <c r="UEV28" s="3281"/>
      <c r="UEW28" s="3281"/>
      <c r="UEX28" s="3281"/>
      <c r="UEY28" s="3281"/>
      <c r="UEZ28" s="3281"/>
      <c r="UFA28" s="3281"/>
      <c r="UFB28" s="3281"/>
      <c r="UFC28" s="3281"/>
      <c r="UFD28" s="3281"/>
      <c r="UFE28" s="3281"/>
      <c r="UFF28" s="3281"/>
      <c r="UFG28" s="3281"/>
      <c r="UFH28" s="3281"/>
      <c r="UFI28" s="3281"/>
      <c r="UFJ28" s="3281"/>
      <c r="UFK28" s="3281"/>
      <c r="UFL28" s="3281"/>
      <c r="UFM28" s="3281"/>
      <c r="UFN28" s="3281"/>
      <c r="UFO28" s="3281"/>
      <c r="UFP28" s="3281"/>
      <c r="UFQ28" s="3281"/>
      <c r="UFR28" s="3281"/>
      <c r="UFS28" s="3281"/>
      <c r="UFT28" s="3281"/>
      <c r="UFU28" s="3281"/>
      <c r="UFV28" s="3281"/>
      <c r="UFW28" s="3281"/>
      <c r="UFX28" s="3281"/>
      <c r="UFY28" s="3281"/>
      <c r="UFZ28" s="3281"/>
      <c r="UGA28" s="3281"/>
      <c r="UGB28" s="3281"/>
      <c r="UGC28" s="3281"/>
      <c r="UGD28" s="3281"/>
      <c r="UGE28" s="3281"/>
      <c r="UGF28" s="3281"/>
      <c r="UGG28" s="3281"/>
      <c r="UGH28" s="3281"/>
      <c r="UGI28" s="3281"/>
      <c r="UGJ28" s="3281"/>
      <c r="UGK28" s="3281"/>
      <c r="UGL28" s="3281"/>
      <c r="UGM28" s="3281"/>
      <c r="UGN28" s="3281"/>
      <c r="UGO28" s="3281"/>
      <c r="UGP28" s="3281"/>
      <c r="UGQ28" s="3281"/>
      <c r="UGR28" s="3281"/>
      <c r="UGS28" s="3281"/>
      <c r="UGT28" s="3281"/>
      <c r="UGU28" s="3281"/>
      <c r="UGV28" s="3281"/>
      <c r="UGW28" s="3281"/>
      <c r="UGX28" s="3281"/>
      <c r="UGY28" s="3281"/>
      <c r="UGZ28" s="3281"/>
      <c r="UHA28" s="3281"/>
      <c r="UHB28" s="3281"/>
      <c r="UHC28" s="3281"/>
      <c r="UHD28" s="3281"/>
      <c r="UHE28" s="3281"/>
      <c r="UHF28" s="3281"/>
      <c r="UHG28" s="3281"/>
      <c r="UHH28" s="3281"/>
      <c r="UHI28" s="3281"/>
      <c r="UHJ28" s="3281"/>
      <c r="UHK28" s="3281"/>
      <c r="UHL28" s="3281"/>
      <c r="UHM28" s="3281"/>
      <c r="UHN28" s="3281"/>
      <c r="UHO28" s="3281"/>
      <c r="UHP28" s="3281"/>
      <c r="UHQ28" s="3281"/>
      <c r="UHR28" s="3281"/>
      <c r="UHS28" s="3281"/>
      <c r="UHT28" s="3281"/>
      <c r="UHU28" s="3281"/>
      <c r="UHV28" s="3281"/>
      <c r="UHW28" s="3281"/>
      <c r="UHX28" s="3281"/>
      <c r="UHY28" s="3281"/>
      <c r="UHZ28" s="3281"/>
      <c r="UIA28" s="3281"/>
      <c r="UIB28" s="3281"/>
      <c r="UIC28" s="3281"/>
      <c r="UID28" s="3281"/>
      <c r="UIE28" s="3281"/>
      <c r="UIF28" s="3281"/>
      <c r="UIG28" s="3281"/>
      <c r="UIH28" s="3281"/>
      <c r="UII28" s="3281"/>
      <c r="UIJ28" s="3281"/>
      <c r="UIK28" s="3281"/>
      <c r="UIL28" s="3281"/>
      <c r="UIM28" s="3281"/>
      <c r="UIN28" s="3281"/>
      <c r="UIO28" s="3281"/>
      <c r="UIP28" s="3281"/>
      <c r="UIQ28" s="3281"/>
      <c r="UIR28" s="3281"/>
      <c r="UIS28" s="3281"/>
      <c r="UIT28" s="3281"/>
      <c r="UIU28" s="3281"/>
      <c r="UIV28" s="3281"/>
      <c r="UIW28" s="3281"/>
      <c r="UIX28" s="3281"/>
      <c r="UIY28" s="3281"/>
      <c r="UIZ28" s="3281"/>
      <c r="UJA28" s="3281"/>
      <c r="UJB28" s="3281"/>
      <c r="UJC28" s="3281"/>
      <c r="UJD28" s="3281"/>
      <c r="UJE28" s="3281"/>
      <c r="UJF28" s="3281"/>
      <c r="UJG28" s="3281"/>
      <c r="UJH28" s="3281"/>
      <c r="UJI28" s="3281"/>
      <c r="UJJ28" s="3281"/>
      <c r="UJK28" s="3281"/>
      <c r="UJL28" s="3281"/>
      <c r="UJM28" s="3281"/>
      <c r="UJN28" s="3281"/>
      <c r="UJO28" s="3281"/>
      <c r="UJP28" s="3281"/>
      <c r="UJQ28" s="3281"/>
      <c r="UJR28" s="3281"/>
      <c r="UJS28" s="3281"/>
      <c r="UJT28" s="3281"/>
      <c r="UJU28" s="3281"/>
      <c r="UJV28" s="3281"/>
      <c r="UJW28" s="3281"/>
      <c r="UJX28" s="3281"/>
      <c r="UJY28" s="3281"/>
      <c r="UJZ28" s="3281"/>
      <c r="UKA28" s="3281"/>
      <c r="UKB28" s="3281"/>
      <c r="UKC28" s="3281"/>
      <c r="UKD28" s="3281"/>
      <c r="UKE28" s="3281"/>
      <c r="UKF28" s="3281"/>
      <c r="UKG28" s="3281"/>
      <c r="UKH28" s="3281"/>
      <c r="UKI28" s="3281"/>
      <c r="UKJ28" s="3281"/>
      <c r="UKK28" s="3281"/>
      <c r="UKL28" s="3281"/>
      <c r="UKM28" s="3281"/>
      <c r="UKN28" s="3281"/>
      <c r="UKO28" s="3281"/>
      <c r="UKP28" s="3281"/>
      <c r="UKQ28" s="3281"/>
      <c r="UKR28" s="3281"/>
      <c r="UKS28" s="3281"/>
      <c r="UKT28" s="3281"/>
      <c r="UKU28" s="3281"/>
      <c r="UKV28" s="3281"/>
      <c r="UKW28" s="3281"/>
      <c r="UKX28" s="3281"/>
      <c r="UKY28" s="3281"/>
      <c r="UKZ28" s="3281"/>
      <c r="ULA28" s="3281"/>
      <c r="ULB28" s="3281"/>
      <c r="ULC28" s="3281"/>
      <c r="ULD28" s="3281"/>
      <c r="ULE28" s="3281"/>
      <c r="ULF28" s="3281"/>
      <c r="ULG28" s="3281"/>
      <c r="ULH28" s="3281"/>
      <c r="ULI28" s="3281"/>
      <c r="ULJ28" s="3281"/>
      <c r="ULK28" s="3281"/>
      <c r="ULL28" s="3281"/>
      <c r="ULM28" s="3281"/>
      <c r="ULN28" s="3281"/>
      <c r="ULO28" s="3281"/>
      <c r="ULP28" s="3281"/>
      <c r="ULQ28" s="3281"/>
      <c r="ULR28" s="3281"/>
      <c r="ULS28" s="3281"/>
      <c r="ULT28" s="3281"/>
      <c r="ULU28" s="3281"/>
      <c r="ULV28" s="3281"/>
      <c r="ULW28" s="3281"/>
      <c r="ULX28" s="3281"/>
      <c r="ULY28" s="3281"/>
      <c r="ULZ28" s="3281"/>
      <c r="UMA28" s="3281"/>
      <c r="UMB28" s="3281"/>
      <c r="UMC28" s="3281"/>
      <c r="UMD28" s="3281"/>
      <c r="UME28" s="3281"/>
      <c r="UMF28" s="3281"/>
      <c r="UMG28" s="3281"/>
      <c r="UMH28" s="3281"/>
      <c r="UMI28" s="3281"/>
      <c r="UMJ28" s="3281"/>
      <c r="UMK28" s="3281"/>
      <c r="UML28" s="3281"/>
      <c r="UMM28" s="3281"/>
      <c r="UMN28" s="3281"/>
      <c r="UMO28" s="3281"/>
      <c r="UMP28" s="3281"/>
      <c r="UMQ28" s="3281"/>
      <c r="UMR28" s="3281"/>
      <c r="UMS28" s="3281"/>
      <c r="UMT28" s="3281"/>
      <c r="UMU28" s="3281"/>
      <c r="UMV28" s="3281"/>
      <c r="UMW28" s="3281"/>
      <c r="UMX28" s="3281"/>
      <c r="UMY28" s="3281"/>
      <c r="UMZ28" s="3281"/>
      <c r="UNA28" s="3281"/>
      <c r="UNB28" s="3281"/>
      <c r="UNC28" s="3281"/>
      <c r="UND28" s="3281"/>
      <c r="UNE28" s="3281"/>
      <c r="UNF28" s="3281"/>
      <c r="UNG28" s="3281"/>
      <c r="UNH28" s="3281"/>
      <c r="UNI28" s="3281"/>
      <c r="UNJ28" s="3281"/>
      <c r="UNK28" s="3281"/>
      <c r="UNL28" s="3281"/>
      <c r="UNM28" s="3281"/>
      <c r="UNN28" s="3281"/>
      <c r="UNO28" s="3281"/>
      <c r="UNP28" s="3281"/>
      <c r="UNQ28" s="3281"/>
      <c r="UNR28" s="3281"/>
      <c r="UNS28" s="3281"/>
      <c r="UNT28" s="3281"/>
      <c r="UNU28" s="3281"/>
      <c r="UNV28" s="3281"/>
      <c r="UNW28" s="3281"/>
      <c r="UNX28" s="3281"/>
      <c r="UNY28" s="3281"/>
      <c r="UNZ28" s="3281"/>
      <c r="UOA28" s="3281"/>
      <c r="UOB28" s="3281"/>
      <c r="UOC28" s="3281"/>
      <c r="UOD28" s="3281"/>
      <c r="UOE28" s="3281"/>
      <c r="UOF28" s="3281"/>
      <c r="UOG28" s="3281"/>
      <c r="UOH28" s="3281"/>
      <c r="UOI28" s="3281"/>
      <c r="UOJ28" s="3281"/>
      <c r="UOK28" s="3281"/>
      <c r="UOL28" s="3281"/>
      <c r="UOM28" s="3281"/>
      <c r="UON28" s="3281"/>
      <c r="UOO28" s="3281"/>
      <c r="UOP28" s="3281"/>
      <c r="UOQ28" s="3281"/>
      <c r="UOR28" s="3281"/>
      <c r="UOS28" s="3281"/>
      <c r="UOT28" s="3281"/>
      <c r="UOU28" s="3281"/>
      <c r="UOV28" s="3281"/>
      <c r="UOW28" s="3281"/>
      <c r="UOX28" s="3281"/>
      <c r="UOY28" s="3281"/>
      <c r="UOZ28" s="3281"/>
      <c r="UPA28" s="3281"/>
      <c r="UPB28" s="3281"/>
      <c r="UPC28" s="3281"/>
      <c r="UPD28" s="3281"/>
      <c r="UPE28" s="3281"/>
      <c r="UPF28" s="3281"/>
      <c r="UPG28" s="3281"/>
      <c r="UPH28" s="3281"/>
      <c r="UPI28" s="3281"/>
      <c r="UPJ28" s="3281"/>
      <c r="UPK28" s="3281"/>
      <c r="UPL28" s="3281"/>
      <c r="UPM28" s="3281"/>
      <c r="UPN28" s="3281"/>
      <c r="UPO28" s="3281"/>
      <c r="UPP28" s="3281"/>
      <c r="UPQ28" s="3281"/>
      <c r="UPR28" s="3281"/>
      <c r="UPS28" s="3281"/>
      <c r="UPT28" s="3281"/>
      <c r="UPU28" s="3281"/>
      <c r="UPV28" s="3281"/>
      <c r="UPW28" s="3281"/>
      <c r="UPX28" s="3281"/>
      <c r="UPY28" s="3281"/>
      <c r="UPZ28" s="3281"/>
      <c r="UQA28" s="3281"/>
      <c r="UQB28" s="3281"/>
      <c r="UQC28" s="3281"/>
      <c r="UQD28" s="3281"/>
      <c r="UQE28" s="3281"/>
      <c r="UQF28" s="3281"/>
      <c r="UQG28" s="3281"/>
      <c r="UQH28" s="3281"/>
      <c r="UQI28" s="3281"/>
      <c r="UQJ28" s="3281"/>
      <c r="UQK28" s="3281"/>
      <c r="UQL28" s="3281"/>
      <c r="UQM28" s="3281"/>
      <c r="UQN28" s="3281"/>
      <c r="UQO28" s="3281"/>
      <c r="UQP28" s="3281"/>
      <c r="UQQ28" s="3281"/>
      <c r="UQR28" s="3281"/>
      <c r="UQS28" s="3281"/>
      <c r="UQT28" s="3281"/>
      <c r="UQU28" s="3281"/>
      <c r="UQV28" s="3281"/>
      <c r="UQW28" s="3281"/>
      <c r="UQX28" s="3281"/>
      <c r="UQY28" s="3281"/>
      <c r="UQZ28" s="3281"/>
      <c r="URA28" s="3281"/>
      <c r="URB28" s="3281"/>
      <c r="URC28" s="3281"/>
      <c r="URD28" s="3281"/>
      <c r="URE28" s="3281"/>
      <c r="URF28" s="3281"/>
      <c r="URG28" s="3281"/>
      <c r="URH28" s="3281"/>
      <c r="URI28" s="3281"/>
      <c r="URJ28" s="3281"/>
      <c r="URK28" s="3281"/>
      <c r="URL28" s="3281"/>
      <c r="URM28" s="3281"/>
      <c r="URN28" s="3281"/>
      <c r="URO28" s="3281"/>
      <c r="URP28" s="3281"/>
      <c r="URQ28" s="3281"/>
      <c r="URR28" s="3281"/>
      <c r="URS28" s="3281"/>
      <c r="URT28" s="3281"/>
      <c r="URU28" s="3281"/>
      <c r="URV28" s="3281"/>
      <c r="URW28" s="3281"/>
      <c r="URX28" s="3281"/>
      <c r="URY28" s="3281"/>
      <c r="URZ28" s="3281"/>
      <c r="USA28" s="3281"/>
      <c r="USB28" s="3281"/>
      <c r="USC28" s="3281"/>
      <c r="USD28" s="3281"/>
      <c r="USE28" s="3281"/>
      <c r="USF28" s="3281"/>
      <c r="USG28" s="3281"/>
      <c r="USH28" s="3281"/>
      <c r="USI28" s="3281"/>
      <c r="USJ28" s="3281"/>
      <c r="USK28" s="3281"/>
      <c r="USL28" s="3281"/>
      <c r="USM28" s="3281"/>
      <c r="USN28" s="3281"/>
      <c r="USO28" s="3281"/>
      <c r="USP28" s="3281"/>
      <c r="USQ28" s="3281"/>
      <c r="USR28" s="3281"/>
      <c r="USS28" s="3281"/>
      <c r="UST28" s="3281"/>
      <c r="USU28" s="3281"/>
      <c r="USV28" s="3281"/>
      <c r="USW28" s="3281"/>
      <c r="USX28" s="3281"/>
      <c r="USY28" s="3281"/>
      <c r="USZ28" s="3281"/>
      <c r="UTA28" s="3281"/>
      <c r="UTB28" s="3281"/>
      <c r="UTC28" s="3281"/>
      <c r="UTD28" s="3281"/>
      <c r="UTE28" s="3281"/>
      <c r="UTF28" s="3281"/>
      <c r="UTG28" s="3281"/>
      <c r="UTH28" s="3281"/>
      <c r="UTI28" s="3281"/>
      <c r="UTJ28" s="3281"/>
      <c r="UTK28" s="3281"/>
      <c r="UTL28" s="3281"/>
      <c r="UTM28" s="3281"/>
      <c r="UTN28" s="3281"/>
      <c r="UTO28" s="3281"/>
      <c r="UTP28" s="3281"/>
      <c r="UTQ28" s="3281"/>
      <c r="UTR28" s="3281"/>
      <c r="UTS28" s="3281"/>
      <c r="UTT28" s="3281"/>
      <c r="UTU28" s="3281"/>
      <c r="UTV28" s="3281"/>
      <c r="UTW28" s="3281"/>
      <c r="UTX28" s="3281"/>
      <c r="UTY28" s="3281"/>
      <c r="UTZ28" s="3281"/>
      <c r="UUA28" s="3281"/>
      <c r="UUB28" s="3281"/>
      <c r="UUC28" s="3281"/>
      <c r="UUD28" s="3281"/>
      <c r="UUE28" s="3281"/>
      <c r="UUF28" s="3281"/>
      <c r="UUG28" s="3281"/>
      <c r="UUH28" s="3281"/>
      <c r="UUI28" s="3281"/>
      <c r="UUJ28" s="3281"/>
      <c r="UUK28" s="3281"/>
      <c r="UUL28" s="3281"/>
      <c r="UUM28" s="3281"/>
      <c r="UUN28" s="3281"/>
      <c r="UUO28" s="3281"/>
      <c r="UUP28" s="3281"/>
      <c r="UUQ28" s="3281"/>
      <c r="UUR28" s="3281"/>
      <c r="UUS28" s="3281"/>
      <c r="UUT28" s="3281"/>
      <c r="UUU28" s="3281"/>
      <c r="UUV28" s="3281"/>
      <c r="UUW28" s="3281"/>
      <c r="UUX28" s="3281"/>
      <c r="UUY28" s="3281"/>
      <c r="UUZ28" s="3281"/>
      <c r="UVA28" s="3281"/>
      <c r="UVB28" s="3281"/>
      <c r="UVC28" s="3281"/>
      <c r="UVD28" s="3281"/>
      <c r="UVE28" s="3281"/>
      <c r="UVF28" s="3281"/>
      <c r="UVG28" s="3281"/>
      <c r="UVH28" s="3281"/>
      <c r="UVI28" s="3281"/>
      <c r="UVJ28" s="3281"/>
      <c r="UVK28" s="3281"/>
      <c r="UVL28" s="3281"/>
      <c r="UVM28" s="3281"/>
      <c r="UVN28" s="3281"/>
      <c r="UVO28" s="3281"/>
      <c r="UVP28" s="3281"/>
      <c r="UVQ28" s="3281"/>
      <c r="UVR28" s="3281"/>
      <c r="UVS28" s="3281"/>
      <c r="UVT28" s="3281"/>
      <c r="UVU28" s="3281"/>
      <c r="UVV28" s="3281"/>
      <c r="UVW28" s="3281"/>
      <c r="UVX28" s="3281"/>
      <c r="UVY28" s="3281"/>
      <c r="UVZ28" s="3281"/>
      <c r="UWA28" s="3281"/>
      <c r="UWB28" s="3281"/>
      <c r="UWC28" s="3281"/>
      <c r="UWD28" s="3281"/>
      <c r="UWE28" s="3281"/>
      <c r="UWF28" s="3281"/>
      <c r="UWG28" s="3281"/>
      <c r="UWH28" s="3281"/>
      <c r="UWI28" s="3281"/>
      <c r="UWJ28" s="3281"/>
      <c r="UWK28" s="3281"/>
      <c r="UWL28" s="3281"/>
      <c r="UWM28" s="3281"/>
      <c r="UWN28" s="3281"/>
      <c r="UWO28" s="3281"/>
      <c r="UWP28" s="3281"/>
      <c r="UWQ28" s="3281"/>
      <c r="UWR28" s="3281"/>
      <c r="UWS28" s="3281"/>
      <c r="UWT28" s="3281"/>
      <c r="UWU28" s="3281"/>
      <c r="UWV28" s="3281"/>
      <c r="UWW28" s="3281"/>
      <c r="UWX28" s="3281"/>
      <c r="UWY28" s="3281"/>
      <c r="UWZ28" s="3281"/>
      <c r="UXA28" s="3281"/>
      <c r="UXB28" s="3281"/>
      <c r="UXC28" s="3281"/>
      <c r="UXD28" s="3281"/>
      <c r="UXE28" s="3281"/>
      <c r="UXF28" s="3281"/>
      <c r="UXG28" s="3281"/>
      <c r="UXH28" s="3281"/>
      <c r="UXI28" s="3281"/>
      <c r="UXJ28" s="3281"/>
      <c r="UXK28" s="3281"/>
      <c r="UXL28" s="3281"/>
      <c r="UXM28" s="3281"/>
      <c r="UXN28" s="3281"/>
      <c r="UXO28" s="3281"/>
      <c r="UXP28" s="3281"/>
      <c r="UXQ28" s="3281"/>
      <c r="UXR28" s="3281"/>
      <c r="UXS28" s="3281"/>
      <c r="UXT28" s="3281"/>
      <c r="UXU28" s="3281"/>
      <c r="UXV28" s="3281"/>
      <c r="UXW28" s="3281"/>
      <c r="UXX28" s="3281"/>
      <c r="UXY28" s="3281"/>
      <c r="UXZ28" s="3281"/>
      <c r="UYA28" s="3281"/>
      <c r="UYB28" s="3281"/>
      <c r="UYC28" s="3281"/>
      <c r="UYD28" s="3281"/>
      <c r="UYE28" s="3281"/>
      <c r="UYF28" s="3281"/>
      <c r="UYG28" s="3281"/>
      <c r="UYH28" s="3281"/>
      <c r="UYI28" s="3281"/>
      <c r="UYJ28" s="3281"/>
      <c r="UYK28" s="3281"/>
      <c r="UYL28" s="3281"/>
      <c r="UYM28" s="3281"/>
      <c r="UYN28" s="3281"/>
      <c r="UYO28" s="3281"/>
      <c r="UYP28" s="3281"/>
      <c r="UYQ28" s="3281"/>
      <c r="UYR28" s="3281"/>
      <c r="UYS28" s="3281"/>
      <c r="UYT28" s="3281"/>
      <c r="UYU28" s="3281"/>
      <c r="UYV28" s="3281"/>
      <c r="UYW28" s="3281"/>
      <c r="UYX28" s="3281"/>
      <c r="UYY28" s="3281"/>
      <c r="UYZ28" s="3281"/>
      <c r="UZA28" s="3281"/>
      <c r="UZB28" s="3281"/>
      <c r="UZC28" s="3281"/>
      <c r="UZD28" s="3281"/>
      <c r="UZE28" s="3281"/>
      <c r="UZF28" s="3281"/>
      <c r="UZG28" s="3281"/>
      <c r="UZH28" s="3281"/>
      <c r="UZI28" s="3281"/>
      <c r="UZJ28" s="3281"/>
      <c r="UZK28" s="3281"/>
      <c r="UZL28" s="3281"/>
      <c r="UZM28" s="3281"/>
      <c r="UZN28" s="3281"/>
      <c r="UZO28" s="3281"/>
      <c r="UZP28" s="3281"/>
      <c r="UZQ28" s="3281"/>
      <c r="UZR28" s="3281"/>
      <c r="UZS28" s="3281"/>
      <c r="UZT28" s="3281"/>
      <c r="UZU28" s="3281"/>
      <c r="UZV28" s="3281"/>
      <c r="UZW28" s="3281"/>
      <c r="UZX28" s="3281"/>
      <c r="UZY28" s="3281"/>
      <c r="UZZ28" s="3281"/>
      <c r="VAA28" s="3281"/>
      <c r="VAB28" s="3281"/>
      <c r="VAC28" s="3281"/>
      <c r="VAD28" s="3281"/>
      <c r="VAE28" s="3281"/>
      <c r="VAF28" s="3281"/>
      <c r="VAG28" s="3281"/>
      <c r="VAH28" s="3281"/>
      <c r="VAI28" s="3281"/>
      <c r="VAJ28" s="3281"/>
      <c r="VAK28" s="3281"/>
      <c r="VAL28" s="3281"/>
      <c r="VAM28" s="3281"/>
      <c r="VAN28" s="3281"/>
      <c r="VAO28" s="3281"/>
      <c r="VAP28" s="3281"/>
      <c r="VAQ28" s="3281"/>
      <c r="VAR28" s="3281"/>
      <c r="VAS28" s="3281"/>
      <c r="VAT28" s="3281"/>
      <c r="VAU28" s="3281"/>
      <c r="VAV28" s="3281"/>
      <c r="VAW28" s="3281"/>
      <c r="VAX28" s="3281"/>
      <c r="VAY28" s="3281"/>
      <c r="VAZ28" s="3281"/>
      <c r="VBA28" s="3281"/>
      <c r="VBB28" s="3281"/>
      <c r="VBC28" s="3281"/>
      <c r="VBD28" s="3281"/>
      <c r="VBE28" s="3281"/>
      <c r="VBF28" s="3281"/>
      <c r="VBG28" s="3281"/>
      <c r="VBH28" s="3281"/>
      <c r="VBI28" s="3281"/>
      <c r="VBJ28" s="3281"/>
      <c r="VBK28" s="3281"/>
      <c r="VBL28" s="3281"/>
      <c r="VBM28" s="3281"/>
      <c r="VBN28" s="3281"/>
      <c r="VBO28" s="3281"/>
      <c r="VBP28" s="3281"/>
      <c r="VBQ28" s="3281"/>
      <c r="VBR28" s="3281"/>
      <c r="VBS28" s="3281"/>
      <c r="VBT28" s="3281"/>
      <c r="VBU28" s="3281"/>
      <c r="VBV28" s="3281"/>
      <c r="VBW28" s="3281"/>
      <c r="VBX28" s="3281"/>
      <c r="VBY28" s="3281"/>
      <c r="VBZ28" s="3281"/>
      <c r="VCA28" s="3281"/>
      <c r="VCB28" s="3281"/>
      <c r="VCC28" s="3281"/>
      <c r="VCD28" s="3281"/>
      <c r="VCE28" s="3281"/>
      <c r="VCF28" s="3281"/>
      <c r="VCG28" s="3281"/>
      <c r="VCH28" s="3281"/>
      <c r="VCI28" s="3281"/>
      <c r="VCJ28" s="3281"/>
      <c r="VCK28" s="3281"/>
      <c r="VCL28" s="3281"/>
      <c r="VCM28" s="3281"/>
      <c r="VCN28" s="3281"/>
      <c r="VCO28" s="3281"/>
      <c r="VCP28" s="3281"/>
      <c r="VCQ28" s="3281"/>
      <c r="VCR28" s="3281"/>
      <c r="VCS28" s="3281"/>
      <c r="VCT28" s="3281"/>
      <c r="VCU28" s="3281"/>
      <c r="VCV28" s="3281"/>
      <c r="VCW28" s="3281"/>
      <c r="VCX28" s="3281"/>
      <c r="VCY28" s="3281"/>
      <c r="VCZ28" s="3281"/>
      <c r="VDA28" s="3281"/>
      <c r="VDB28" s="3281"/>
      <c r="VDC28" s="3281"/>
      <c r="VDD28" s="3281"/>
      <c r="VDE28" s="3281"/>
      <c r="VDF28" s="3281"/>
      <c r="VDG28" s="3281"/>
      <c r="VDH28" s="3281"/>
      <c r="VDI28" s="3281"/>
      <c r="VDJ28" s="3281"/>
      <c r="VDK28" s="3281"/>
      <c r="VDL28" s="3281"/>
      <c r="VDM28" s="3281"/>
      <c r="VDN28" s="3281"/>
      <c r="VDO28" s="3281"/>
      <c r="VDP28" s="3281"/>
      <c r="VDQ28" s="3281"/>
      <c r="VDR28" s="3281"/>
      <c r="VDS28" s="3281"/>
      <c r="VDT28" s="3281"/>
      <c r="VDU28" s="3281"/>
      <c r="VDV28" s="3281"/>
      <c r="VDW28" s="3281"/>
      <c r="VDX28" s="3281"/>
      <c r="VDY28" s="3281"/>
      <c r="VDZ28" s="3281"/>
      <c r="VEA28" s="3281"/>
      <c r="VEB28" s="3281"/>
      <c r="VEC28" s="3281"/>
      <c r="VED28" s="3281"/>
      <c r="VEE28" s="3281"/>
      <c r="VEF28" s="3281"/>
      <c r="VEG28" s="3281"/>
      <c r="VEH28" s="3281"/>
      <c r="VEI28" s="3281"/>
      <c r="VEJ28" s="3281"/>
      <c r="VEK28" s="3281"/>
      <c r="VEL28" s="3281"/>
      <c r="VEM28" s="3281"/>
      <c r="VEN28" s="3281"/>
      <c r="VEO28" s="3281"/>
      <c r="VEP28" s="3281"/>
      <c r="VEQ28" s="3281"/>
      <c r="VER28" s="3281"/>
      <c r="VES28" s="3281"/>
      <c r="VET28" s="3281"/>
      <c r="VEU28" s="3281"/>
      <c r="VEV28" s="3281"/>
      <c r="VEW28" s="3281"/>
      <c r="VEX28" s="3281"/>
      <c r="VEY28" s="3281"/>
      <c r="VEZ28" s="3281"/>
      <c r="VFA28" s="3281"/>
      <c r="VFB28" s="3281"/>
      <c r="VFC28" s="3281"/>
      <c r="VFD28" s="3281"/>
      <c r="VFE28" s="3281"/>
      <c r="VFF28" s="3281"/>
      <c r="VFG28" s="3281"/>
      <c r="VFH28" s="3281"/>
      <c r="VFI28" s="3281"/>
      <c r="VFJ28" s="3281"/>
      <c r="VFK28" s="3281"/>
      <c r="VFL28" s="3281"/>
      <c r="VFM28" s="3281"/>
      <c r="VFN28" s="3281"/>
      <c r="VFO28" s="3281"/>
      <c r="VFP28" s="3281"/>
      <c r="VFQ28" s="3281"/>
      <c r="VFR28" s="3281"/>
      <c r="VFS28" s="3281"/>
      <c r="VFT28" s="3281"/>
      <c r="VFU28" s="3281"/>
      <c r="VFV28" s="3281"/>
      <c r="VFW28" s="3281"/>
      <c r="VFX28" s="3281"/>
      <c r="VFY28" s="3281"/>
      <c r="VFZ28" s="3281"/>
      <c r="VGA28" s="3281"/>
      <c r="VGB28" s="3281"/>
      <c r="VGC28" s="3281"/>
      <c r="VGD28" s="3281"/>
      <c r="VGE28" s="3281"/>
      <c r="VGF28" s="3281"/>
      <c r="VGG28" s="3281"/>
      <c r="VGH28" s="3281"/>
      <c r="VGI28" s="3281"/>
      <c r="VGJ28" s="3281"/>
      <c r="VGK28" s="3281"/>
      <c r="VGL28" s="3281"/>
      <c r="VGM28" s="3281"/>
      <c r="VGN28" s="3281"/>
      <c r="VGO28" s="3281"/>
      <c r="VGP28" s="3281"/>
      <c r="VGQ28" s="3281"/>
      <c r="VGR28" s="3281"/>
      <c r="VGS28" s="3281"/>
      <c r="VGT28" s="3281"/>
      <c r="VGU28" s="3281"/>
      <c r="VGV28" s="3281"/>
      <c r="VGW28" s="3281"/>
      <c r="VGX28" s="3281"/>
      <c r="VGY28" s="3281"/>
      <c r="VGZ28" s="3281"/>
      <c r="VHA28" s="3281"/>
      <c r="VHB28" s="3281"/>
      <c r="VHC28" s="3281"/>
      <c r="VHD28" s="3281"/>
      <c r="VHE28" s="3281"/>
      <c r="VHF28" s="3281"/>
      <c r="VHG28" s="3281"/>
      <c r="VHH28" s="3281"/>
      <c r="VHI28" s="3281"/>
      <c r="VHJ28" s="3281"/>
      <c r="VHK28" s="3281"/>
      <c r="VHL28" s="3281"/>
      <c r="VHM28" s="3281"/>
      <c r="VHN28" s="3281"/>
      <c r="VHO28" s="3281"/>
      <c r="VHP28" s="3281"/>
      <c r="VHQ28" s="3281"/>
      <c r="VHR28" s="3281"/>
      <c r="VHS28" s="3281"/>
      <c r="VHT28" s="3281"/>
      <c r="VHU28" s="3281"/>
      <c r="VHV28" s="3281"/>
      <c r="VHW28" s="3281"/>
      <c r="VHX28" s="3281"/>
      <c r="VHY28" s="3281"/>
      <c r="VHZ28" s="3281"/>
      <c r="VIA28" s="3281"/>
      <c r="VIB28" s="3281"/>
      <c r="VIC28" s="3281"/>
      <c r="VID28" s="3281"/>
      <c r="VIE28" s="3281"/>
      <c r="VIF28" s="3281"/>
      <c r="VIG28" s="3281"/>
      <c r="VIH28" s="3281"/>
      <c r="VII28" s="3281"/>
      <c r="VIJ28" s="3281"/>
      <c r="VIK28" s="3281"/>
      <c r="VIL28" s="3281"/>
      <c r="VIM28" s="3281"/>
      <c r="VIN28" s="3281"/>
      <c r="VIO28" s="3281"/>
      <c r="VIP28" s="3281"/>
      <c r="VIQ28" s="3281"/>
      <c r="VIR28" s="3281"/>
      <c r="VIS28" s="3281"/>
      <c r="VIT28" s="3281"/>
      <c r="VIU28" s="3281"/>
      <c r="VIV28" s="3281"/>
      <c r="VIW28" s="3281"/>
      <c r="VIX28" s="3281"/>
      <c r="VIY28" s="3281"/>
      <c r="VIZ28" s="3281"/>
      <c r="VJA28" s="3281"/>
      <c r="VJB28" s="3281"/>
      <c r="VJC28" s="3281"/>
      <c r="VJD28" s="3281"/>
      <c r="VJE28" s="3281"/>
      <c r="VJF28" s="3281"/>
      <c r="VJG28" s="3281"/>
      <c r="VJH28" s="3281"/>
      <c r="VJI28" s="3281"/>
      <c r="VJJ28" s="3281"/>
      <c r="VJK28" s="3281"/>
      <c r="VJL28" s="3281"/>
      <c r="VJM28" s="3281"/>
      <c r="VJN28" s="3281"/>
      <c r="VJO28" s="3281"/>
      <c r="VJP28" s="3281"/>
      <c r="VJQ28" s="3281"/>
      <c r="VJR28" s="3281"/>
      <c r="VJS28" s="3281"/>
      <c r="VJT28" s="3281"/>
      <c r="VJU28" s="3281"/>
      <c r="VJV28" s="3281"/>
      <c r="VJW28" s="3281"/>
      <c r="VJX28" s="3281"/>
      <c r="VJY28" s="3281"/>
      <c r="VJZ28" s="3281"/>
      <c r="VKA28" s="3281"/>
      <c r="VKB28" s="3281"/>
      <c r="VKC28" s="3281"/>
      <c r="VKD28" s="3281"/>
      <c r="VKE28" s="3281"/>
      <c r="VKF28" s="3281"/>
      <c r="VKG28" s="3281"/>
      <c r="VKH28" s="3281"/>
      <c r="VKI28" s="3281"/>
      <c r="VKJ28" s="3281"/>
      <c r="VKK28" s="3281"/>
      <c r="VKL28" s="3281"/>
      <c r="VKM28" s="3281"/>
      <c r="VKN28" s="3281"/>
      <c r="VKO28" s="3281"/>
      <c r="VKP28" s="3281"/>
      <c r="VKQ28" s="3281"/>
      <c r="VKR28" s="3281"/>
      <c r="VKS28" s="3281"/>
      <c r="VKT28" s="3281"/>
      <c r="VKU28" s="3281"/>
      <c r="VKV28" s="3281"/>
      <c r="VKW28" s="3281"/>
      <c r="VKX28" s="3281"/>
      <c r="VKY28" s="3281"/>
      <c r="VKZ28" s="3281"/>
      <c r="VLA28" s="3281"/>
      <c r="VLB28" s="3281"/>
      <c r="VLC28" s="3281"/>
      <c r="VLD28" s="3281"/>
      <c r="VLE28" s="3281"/>
      <c r="VLF28" s="3281"/>
      <c r="VLG28" s="3281"/>
      <c r="VLH28" s="3281"/>
      <c r="VLI28" s="3281"/>
      <c r="VLJ28" s="3281"/>
      <c r="VLK28" s="3281"/>
      <c r="VLL28" s="3281"/>
      <c r="VLM28" s="3281"/>
      <c r="VLN28" s="3281"/>
      <c r="VLO28" s="3281"/>
      <c r="VLP28" s="3281"/>
      <c r="VLQ28" s="3281"/>
      <c r="VLR28" s="3281"/>
      <c r="VLS28" s="3281"/>
      <c r="VLT28" s="3281"/>
      <c r="VLU28" s="3281"/>
      <c r="VLV28" s="3281"/>
      <c r="VLW28" s="3281"/>
      <c r="VLX28" s="3281"/>
      <c r="VLY28" s="3281"/>
      <c r="VLZ28" s="3281"/>
      <c r="VMA28" s="3281"/>
      <c r="VMB28" s="3281"/>
      <c r="VMC28" s="3281"/>
      <c r="VMD28" s="3281"/>
      <c r="VME28" s="3281"/>
      <c r="VMF28" s="3281"/>
      <c r="VMG28" s="3281"/>
      <c r="VMH28" s="3281"/>
      <c r="VMI28" s="3281"/>
      <c r="VMJ28" s="3281"/>
      <c r="VMK28" s="3281"/>
      <c r="VML28" s="3281"/>
      <c r="VMM28" s="3281"/>
      <c r="VMN28" s="3281"/>
      <c r="VMO28" s="3281"/>
      <c r="VMP28" s="3281"/>
      <c r="VMQ28" s="3281"/>
      <c r="VMR28" s="3281"/>
      <c r="VMS28" s="3281"/>
      <c r="VMT28" s="3281"/>
      <c r="VMU28" s="3281"/>
      <c r="VMV28" s="3281"/>
      <c r="VMW28" s="3281"/>
      <c r="VMX28" s="3281"/>
      <c r="VMY28" s="3281"/>
      <c r="VMZ28" s="3281"/>
      <c r="VNA28" s="3281"/>
      <c r="VNB28" s="3281"/>
      <c r="VNC28" s="3281"/>
      <c r="VND28" s="3281"/>
      <c r="VNE28" s="3281"/>
      <c r="VNF28" s="3281"/>
      <c r="VNG28" s="3281"/>
      <c r="VNH28" s="3281"/>
      <c r="VNI28" s="3281"/>
      <c r="VNJ28" s="3281"/>
      <c r="VNK28" s="3281"/>
      <c r="VNL28" s="3281"/>
      <c r="VNM28" s="3281"/>
      <c r="VNN28" s="3281"/>
      <c r="VNO28" s="3281"/>
      <c r="VNP28" s="3281"/>
      <c r="VNQ28" s="3281"/>
      <c r="VNR28" s="3281"/>
      <c r="VNS28" s="3281"/>
      <c r="VNT28" s="3281"/>
      <c r="VNU28" s="3281"/>
      <c r="VNV28" s="3281"/>
      <c r="VNW28" s="3281"/>
      <c r="VNX28" s="3281"/>
      <c r="VNY28" s="3281"/>
      <c r="VNZ28" s="3281"/>
      <c r="VOA28" s="3281"/>
      <c r="VOB28" s="3281"/>
      <c r="VOC28" s="3281"/>
      <c r="VOD28" s="3281"/>
      <c r="VOE28" s="3281"/>
      <c r="VOF28" s="3281"/>
      <c r="VOG28" s="3281"/>
      <c r="VOH28" s="3281"/>
      <c r="VOI28" s="3281"/>
      <c r="VOJ28" s="3281"/>
      <c r="VOK28" s="3281"/>
      <c r="VOL28" s="3281"/>
      <c r="VOM28" s="3281"/>
      <c r="VON28" s="3281"/>
      <c r="VOO28" s="3281"/>
      <c r="VOP28" s="3281"/>
      <c r="VOQ28" s="3281"/>
      <c r="VOR28" s="3281"/>
      <c r="VOS28" s="3281"/>
      <c r="VOT28" s="3281"/>
      <c r="VOU28" s="3281"/>
      <c r="VOV28" s="3281"/>
      <c r="VOW28" s="3281"/>
      <c r="VOX28" s="3281"/>
      <c r="VOY28" s="3281"/>
      <c r="VOZ28" s="3281"/>
      <c r="VPA28" s="3281"/>
      <c r="VPB28" s="3281"/>
      <c r="VPC28" s="3281"/>
      <c r="VPD28" s="3281"/>
      <c r="VPE28" s="3281"/>
      <c r="VPF28" s="3281"/>
      <c r="VPG28" s="3281"/>
      <c r="VPH28" s="3281"/>
      <c r="VPI28" s="3281"/>
      <c r="VPJ28" s="3281"/>
      <c r="VPK28" s="3281"/>
      <c r="VPL28" s="3281"/>
      <c r="VPM28" s="3281"/>
      <c r="VPN28" s="3281"/>
      <c r="VPO28" s="3281"/>
      <c r="VPP28" s="3281"/>
      <c r="VPQ28" s="3281"/>
      <c r="VPR28" s="3281"/>
      <c r="VPS28" s="3281"/>
      <c r="VPT28" s="3281"/>
      <c r="VPU28" s="3281"/>
      <c r="VPV28" s="3281"/>
      <c r="VPW28" s="3281"/>
      <c r="VPX28" s="3281"/>
      <c r="VPY28" s="3281"/>
      <c r="VPZ28" s="3281"/>
      <c r="VQA28" s="3281"/>
      <c r="VQB28" s="3281"/>
      <c r="VQC28" s="3281"/>
      <c r="VQD28" s="3281"/>
      <c r="VQE28" s="3281"/>
      <c r="VQF28" s="3281"/>
      <c r="VQG28" s="3281"/>
      <c r="VQH28" s="3281"/>
      <c r="VQI28" s="3281"/>
      <c r="VQJ28" s="3281"/>
      <c r="VQK28" s="3281"/>
      <c r="VQL28" s="3281"/>
      <c r="VQM28" s="3281"/>
      <c r="VQN28" s="3281"/>
      <c r="VQO28" s="3281"/>
      <c r="VQP28" s="3281"/>
      <c r="VQQ28" s="3281"/>
      <c r="VQR28" s="3281"/>
      <c r="VQS28" s="3281"/>
      <c r="VQT28" s="3281"/>
      <c r="VQU28" s="3281"/>
      <c r="VQV28" s="3281"/>
      <c r="VQW28" s="3281"/>
      <c r="VQX28" s="3281"/>
      <c r="VQY28" s="3281"/>
      <c r="VQZ28" s="3281"/>
      <c r="VRA28" s="3281"/>
      <c r="VRB28" s="3281"/>
      <c r="VRC28" s="3281"/>
      <c r="VRD28" s="3281"/>
      <c r="VRE28" s="3281"/>
      <c r="VRF28" s="3281"/>
      <c r="VRG28" s="3281"/>
      <c r="VRH28" s="3281"/>
      <c r="VRI28" s="3281"/>
      <c r="VRJ28" s="3281"/>
      <c r="VRK28" s="3281"/>
      <c r="VRL28" s="3281"/>
      <c r="VRM28" s="3281"/>
      <c r="VRN28" s="3281"/>
      <c r="VRO28" s="3281"/>
      <c r="VRP28" s="3281"/>
      <c r="VRQ28" s="3281"/>
      <c r="VRR28" s="3281"/>
      <c r="VRS28" s="3281"/>
      <c r="VRT28" s="3281"/>
      <c r="VRU28" s="3281"/>
      <c r="VRV28" s="3281"/>
      <c r="VRW28" s="3281"/>
      <c r="VRX28" s="3281"/>
      <c r="VRY28" s="3281"/>
      <c r="VRZ28" s="3281"/>
      <c r="VSA28" s="3281"/>
      <c r="VSB28" s="3281"/>
      <c r="VSC28" s="3281"/>
      <c r="VSD28" s="3281"/>
      <c r="VSE28" s="3281"/>
      <c r="VSF28" s="3281"/>
      <c r="VSG28" s="3281"/>
      <c r="VSH28" s="3281"/>
      <c r="VSI28" s="3281"/>
      <c r="VSJ28" s="3281"/>
      <c r="VSK28" s="3281"/>
      <c r="VSL28" s="3281"/>
      <c r="VSM28" s="3281"/>
      <c r="VSN28" s="3281"/>
      <c r="VSO28" s="3281"/>
      <c r="VSP28" s="3281"/>
      <c r="VSQ28" s="3281"/>
      <c r="VSR28" s="3281"/>
      <c r="VSS28" s="3281"/>
      <c r="VST28" s="3281"/>
      <c r="VSU28" s="3281"/>
      <c r="VSV28" s="3281"/>
      <c r="VSW28" s="3281"/>
      <c r="VSX28" s="3281"/>
      <c r="VSY28" s="3281"/>
      <c r="VSZ28" s="3281"/>
      <c r="VTA28" s="3281"/>
      <c r="VTB28" s="3281"/>
      <c r="VTC28" s="3281"/>
      <c r="VTD28" s="3281"/>
      <c r="VTE28" s="3281"/>
      <c r="VTF28" s="3281"/>
      <c r="VTG28" s="3281"/>
      <c r="VTH28" s="3281"/>
      <c r="VTI28" s="3281"/>
      <c r="VTJ28" s="3281"/>
      <c r="VTK28" s="3281"/>
      <c r="VTL28" s="3281"/>
      <c r="VTM28" s="3281"/>
      <c r="VTN28" s="3281"/>
      <c r="VTO28" s="3281"/>
      <c r="VTP28" s="3281"/>
      <c r="VTQ28" s="3281"/>
      <c r="VTR28" s="3281"/>
      <c r="VTS28" s="3281"/>
      <c r="VTT28" s="3281"/>
      <c r="VTU28" s="3281"/>
      <c r="VTV28" s="3281"/>
      <c r="VTW28" s="3281"/>
      <c r="VTX28" s="3281"/>
      <c r="VTY28" s="3281"/>
      <c r="VTZ28" s="3281"/>
      <c r="VUA28" s="3281"/>
      <c r="VUB28" s="3281"/>
      <c r="VUC28" s="3281"/>
      <c r="VUD28" s="3281"/>
      <c r="VUE28" s="3281"/>
      <c r="VUF28" s="3281"/>
      <c r="VUG28" s="3281"/>
      <c r="VUH28" s="3281"/>
      <c r="VUI28" s="3281"/>
      <c r="VUJ28" s="3281"/>
      <c r="VUK28" s="3281"/>
      <c r="VUL28" s="3281"/>
      <c r="VUM28" s="3281"/>
      <c r="VUN28" s="3281"/>
      <c r="VUO28" s="3281"/>
      <c r="VUP28" s="3281"/>
      <c r="VUQ28" s="3281"/>
      <c r="VUR28" s="3281"/>
      <c r="VUS28" s="3281"/>
      <c r="VUT28" s="3281"/>
      <c r="VUU28" s="3281"/>
      <c r="VUV28" s="3281"/>
      <c r="VUW28" s="3281"/>
      <c r="VUX28" s="3281"/>
      <c r="VUY28" s="3281"/>
      <c r="VUZ28" s="3281"/>
      <c r="VVA28" s="3281"/>
      <c r="VVB28" s="3281"/>
      <c r="VVC28" s="3281"/>
      <c r="VVD28" s="3281"/>
      <c r="VVE28" s="3281"/>
      <c r="VVF28" s="3281"/>
      <c r="VVG28" s="3281"/>
      <c r="VVH28" s="3281"/>
      <c r="VVI28" s="3281"/>
      <c r="VVJ28" s="3281"/>
      <c r="VVK28" s="3281"/>
      <c r="VVL28" s="3281"/>
      <c r="VVM28" s="3281"/>
      <c r="VVN28" s="3281"/>
      <c r="VVO28" s="3281"/>
      <c r="VVP28" s="3281"/>
      <c r="VVQ28" s="3281"/>
      <c r="VVR28" s="3281"/>
      <c r="VVS28" s="3281"/>
      <c r="VVT28" s="3281"/>
      <c r="VVU28" s="3281"/>
      <c r="VVV28" s="3281"/>
      <c r="VVW28" s="3281"/>
      <c r="VVX28" s="3281"/>
      <c r="VVY28" s="3281"/>
      <c r="VVZ28" s="3281"/>
      <c r="VWA28" s="3281"/>
      <c r="VWB28" s="3281"/>
      <c r="VWC28" s="3281"/>
      <c r="VWD28" s="3281"/>
      <c r="VWE28" s="3281"/>
      <c r="VWF28" s="3281"/>
      <c r="VWG28" s="3281"/>
      <c r="VWH28" s="3281"/>
      <c r="VWI28" s="3281"/>
      <c r="VWJ28" s="3281"/>
      <c r="VWK28" s="3281"/>
      <c r="VWL28" s="3281"/>
      <c r="VWM28" s="3281"/>
      <c r="VWN28" s="3281"/>
      <c r="VWO28" s="3281"/>
      <c r="VWP28" s="3281"/>
      <c r="VWQ28" s="3281"/>
      <c r="VWR28" s="3281"/>
      <c r="VWS28" s="3281"/>
      <c r="VWT28" s="3281"/>
      <c r="VWU28" s="3281"/>
      <c r="VWV28" s="3281"/>
      <c r="VWW28" s="3281"/>
      <c r="VWX28" s="3281"/>
      <c r="VWY28" s="3281"/>
      <c r="VWZ28" s="3281"/>
      <c r="VXA28" s="3281"/>
      <c r="VXB28" s="3281"/>
      <c r="VXC28" s="3281"/>
      <c r="VXD28" s="3281"/>
      <c r="VXE28" s="3281"/>
      <c r="VXF28" s="3281"/>
      <c r="VXG28" s="3281"/>
      <c r="VXH28" s="3281"/>
      <c r="VXI28" s="3281"/>
      <c r="VXJ28" s="3281"/>
      <c r="VXK28" s="3281"/>
      <c r="VXL28" s="3281"/>
      <c r="VXM28" s="3281"/>
      <c r="VXN28" s="3281"/>
      <c r="VXO28" s="3281"/>
      <c r="VXP28" s="3281"/>
      <c r="VXQ28" s="3281"/>
      <c r="VXR28" s="3281"/>
      <c r="VXS28" s="3281"/>
      <c r="VXT28" s="3281"/>
      <c r="VXU28" s="3281"/>
      <c r="VXV28" s="3281"/>
      <c r="VXW28" s="3281"/>
      <c r="VXX28" s="3281"/>
      <c r="VXY28" s="3281"/>
      <c r="VXZ28" s="3281"/>
      <c r="VYA28" s="3281"/>
      <c r="VYB28" s="3281"/>
      <c r="VYC28" s="3281"/>
      <c r="VYD28" s="3281"/>
      <c r="VYE28" s="3281"/>
      <c r="VYF28" s="3281"/>
      <c r="VYG28" s="3281"/>
      <c r="VYH28" s="3281"/>
      <c r="VYI28" s="3281"/>
      <c r="VYJ28" s="3281"/>
      <c r="VYK28" s="3281"/>
      <c r="VYL28" s="3281"/>
      <c r="VYM28" s="3281"/>
      <c r="VYN28" s="3281"/>
      <c r="VYO28" s="3281"/>
      <c r="VYP28" s="3281"/>
      <c r="VYQ28" s="3281"/>
      <c r="VYR28" s="3281"/>
      <c r="VYS28" s="3281"/>
      <c r="VYT28" s="3281"/>
      <c r="VYU28" s="3281"/>
      <c r="VYV28" s="3281"/>
      <c r="VYW28" s="3281"/>
      <c r="VYX28" s="3281"/>
      <c r="VYY28" s="3281"/>
      <c r="VYZ28" s="3281"/>
      <c r="VZA28" s="3281"/>
      <c r="VZB28" s="3281"/>
      <c r="VZC28" s="3281"/>
      <c r="VZD28" s="3281"/>
      <c r="VZE28" s="3281"/>
      <c r="VZF28" s="3281"/>
      <c r="VZG28" s="3281"/>
      <c r="VZH28" s="3281"/>
      <c r="VZI28" s="3281"/>
      <c r="VZJ28" s="3281"/>
      <c r="VZK28" s="3281"/>
      <c r="VZL28" s="3281"/>
      <c r="VZM28" s="3281"/>
      <c r="VZN28" s="3281"/>
      <c r="VZO28" s="3281"/>
      <c r="VZP28" s="3281"/>
      <c r="VZQ28" s="3281"/>
      <c r="VZR28" s="3281"/>
      <c r="VZS28" s="3281"/>
      <c r="VZT28" s="3281"/>
      <c r="VZU28" s="3281"/>
      <c r="VZV28" s="3281"/>
      <c r="VZW28" s="3281"/>
      <c r="VZX28" s="3281"/>
      <c r="VZY28" s="3281"/>
      <c r="VZZ28" s="3281"/>
      <c r="WAA28" s="3281"/>
      <c r="WAB28" s="3281"/>
      <c r="WAC28" s="3281"/>
      <c r="WAD28" s="3281"/>
      <c r="WAE28" s="3281"/>
      <c r="WAF28" s="3281"/>
      <c r="WAG28" s="3281"/>
      <c r="WAH28" s="3281"/>
      <c r="WAI28" s="3281"/>
      <c r="WAJ28" s="3281"/>
      <c r="WAK28" s="3281"/>
      <c r="WAL28" s="3281"/>
      <c r="WAM28" s="3281"/>
      <c r="WAN28" s="3281"/>
      <c r="WAO28" s="3281"/>
      <c r="WAP28" s="3281"/>
      <c r="WAQ28" s="3281"/>
      <c r="WAR28" s="3281"/>
      <c r="WAS28" s="3281"/>
      <c r="WAT28" s="3281"/>
      <c r="WAU28" s="3281"/>
      <c r="WAV28" s="3281"/>
      <c r="WAW28" s="3281"/>
      <c r="WAX28" s="3281"/>
      <c r="WAY28" s="3281"/>
      <c r="WAZ28" s="3281"/>
      <c r="WBA28" s="3281"/>
      <c r="WBB28" s="3281"/>
      <c r="WBC28" s="3281"/>
      <c r="WBD28" s="3281"/>
      <c r="WBE28" s="3281"/>
      <c r="WBF28" s="3281"/>
      <c r="WBG28" s="3281"/>
      <c r="WBH28" s="3281"/>
      <c r="WBI28" s="3281"/>
      <c r="WBJ28" s="3281"/>
      <c r="WBK28" s="3281"/>
      <c r="WBL28" s="3281"/>
      <c r="WBM28" s="3281"/>
      <c r="WBN28" s="3281"/>
      <c r="WBO28" s="3281"/>
      <c r="WBP28" s="3281"/>
      <c r="WBQ28" s="3281"/>
      <c r="WBR28" s="3281"/>
      <c r="WBS28" s="3281"/>
      <c r="WBT28" s="3281"/>
      <c r="WBU28" s="3281"/>
      <c r="WBV28" s="3281"/>
      <c r="WBW28" s="3281"/>
      <c r="WBX28" s="3281"/>
      <c r="WBY28" s="3281"/>
      <c r="WBZ28" s="3281"/>
      <c r="WCA28" s="3281"/>
      <c r="WCB28" s="3281"/>
      <c r="WCC28" s="3281"/>
      <c r="WCD28" s="3281"/>
      <c r="WCE28" s="3281"/>
      <c r="WCF28" s="3281"/>
      <c r="WCG28" s="3281"/>
      <c r="WCH28" s="3281"/>
      <c r="WCI28" s="3281"/>
      <c r="WCJ28" s="3281"/>
      <c r="WCK28" s="3281"/>
      <c r="WCL28" s="3281"/>
      <c r="WCM28" s="3281"/>
      <c r="WCN28" s="3281"/>
      <c r="WCO28" s="3281"/>
      <c r="WCP28" s="3281"/>
      <c r="WCQ28" s="3281"/>
      <c r="WCR28" s="3281"/>
      <c r="WCS28" s="3281"/>
      <c r="WCT28" s="3281"/>
      <c r="WCU28" s="3281"/>
      <c r="WCV28" s="3281"/>
      <c r="WCW28" s="3281"/>
      <c r="WCX28" s="3281"/>
      <c r="WCY28" s="3281"/>
      <c r="WCZ28" s="3281"/>
      <c r="WDA28" s="3281"/>
      <c r="WDB28" s="3281"/>
      <c r="WDC28" s="3281"/>
      <c r="WDD28" s="3281"/>
      <c r="WDE28" s="3281"/>
      <c r="WDF28" s="3281"/>
      <c r="WDG28" s="3281"/>
      <c r="WDH28" s="3281"/>
      <c r="WDI28" s="3281"/>
      <c r="WDJ28" s="3281"/>
      <c r="WDK28" s="3281"/>
      <c r="WDL28" s="3281"/>
      <c r="WDM28" s="3281"/>
      <c r="WDN28" s="3281"/>
      <c r="WDO28" s="3281"/>
      <c r="WDP28" s="3281"/>
      <c r="WDQ28" s="3281"/>
      <c r="WDR28" s="3281"/>
      <c r="WDS28" s="3281"/>
      <c r="WDT28" s="3281"/>
      <c r="WDU28" s="3281"/>
      <c r="WDV28" s="3281"/>
      <c r="WDW28" s="3281"/>
      <c r="WDX28" s="3281"/>
      <c r="WDY28" s="3281"/>
      <c r="WDZ28" s="3281"/>
      <c r="WEA28" s="3281"/>
      <c r="WEB28" s="3281"/>
      <c r="WEC28" s="3281"/>
      <c r="WED28" s="3281"/>
      <c r="WEE28" s="3281"/>
      <c r="WEF28" s="3281"/>
      <c r="WEG28" s="3281"/>
      <c r="WEH28" s="3281"/>
      <c r="WEI28" s="3281"/>
      <c r="WEJ28" s="3281"/>
      <c r="WEK28" s="3281"/>
      <c r="WEL28" s="3281"/>
      <c r="WEM28" s="3281"/>
      <c r="WEN28" s="3281"/>
      <c r="WEO28" s="3281"/>
      <c r="WEP28" s="3281"/>
      <c r="WEQ28" s="3281"/>
      <c r="WER28" s="3281"/>
      <c r="WES28" s="3281"/>
      <c r="WET28" s="3281"/>
      <c r="WEU28" s="3281"/>
      <c r="WEV28" s="3281"/>
      <c r="WEW28" s="3281"/>
      <c r="WEX28" s="3281"/>
      <c r="WEY28" s="3281"/>
      <c r="WEZ28" s="3281"/>
      <c r="WFA28" s="3281"/>
      <c r="WFB28" s="3281"/>
      <c r="WFC28" s="3281"/>
      <c r="WFD28" s="3281"/>
      <c r="WFE28" s="3281"/>
      <c r="WFF28" s="3281"/>
      <c r="WFG28" s="3281"/>
      <c r="WFH28" s="3281"/>
      <c r="WFI28" s="3281"/>
      <c r="WFJ28" s="3281"/>
      <c r="WFK28" s="3281"/>
      <c r="WFL28" s="3281"/>
      <c r="WFM28" s="3281"/>
      <c r="WFN28" s="3281"/>
      <c r="WFO28" s="3281"/>
      <c r="WFP28" s="3281"/>
      <c r="WFQ28" s="3281"/>
      <c r="WFR28" s="3281"/>
      <c r="WFS28" s="3281"/>
      <c r="WFT28" s="3281"/>
      <c r="WFU28" s="3281"/>
      <c r="WFV28" s="3281"/>
      <c r="WFW28" s="3281"/>
      <c r="WFX28" s="3281"/>
      <c r="WFY28" s="3281"/>
      <c r="WFZ28" s="3281"/>
      <c r="WGA28" s="3281"/>
      <c r="WGB28" s="3281"/>
      <c r="WGC28" s="3281"/>
      <c r="WGD28" s="3281"/>
      <c r="WGE28" s="3281"/>
      <c r="WGF28" s="3281"/>
      <c r="WGG28" s="3281"/>
      <c r="WGH28" s="3281"/>
      <c r="WGI28" s="3281"/>
      <c r="WGJ28" s="3281"/>
      <c r="WGK28" s="3281"/>
      <c r="WGL28" s="3281"/>
      <c r="WGM28" s="3281"/>
      <c r="WGN28" s="3281"/>
      <c r="WGO28" s="3281"/>
      <c r="WGP28" s="3281"/>
      <c r="WGQ28" s="3281"/>
      <c r="WGR28" s="3281"/>
      <c r="WGS28" s="3281"/>
      <c r="WGT28" s="3281"/>
      <c r="WGU28" s="3281"/>
      <c r="WGV28" s="3281"/>
      <c r="WGW28" s="3281"/>
      <c r="WGX28" s="3281"/>
      <c r="WGY28" s="3281"/>
      <c r="WGZ28" s="3281"/>
      <c r="WHA28" s="3281"/>
      <c r="WHB28" s="3281"/>
      <c r="WHC28" s="3281"/>
      <c r="WHD28" s="3281"/>
      <c r="WHE28" s="3281"/>
      <c r="WHF28" s="3281"/>
      <c r="WHG28" s="3281"/>
      <c r="WHH28" s="3281"/>
      <c r="WHI28" s="3281"/>
      <c r="WHJ28" s="3281"/>
      <c r="WHK28" s="3281"/>
      <c r="WHL28" s="3281"/>
      <c r="WHM28" s="3281"/>
      <c r="WHN28" s="3281"/>
      <c r="WHO28" s="3281"/>
      <c r="WHP28" s="3281"/>
      <c r="WHQ28" s="3281"/>
      <c r="WHR28" s="3281"/>
      <c r="WHS28" s="3281"/>
      <c r="WHT28" s="3281"/>
      <c r="WHU28" s="3281"/>
      <c r="WHV28" s="3281"/>
      <c r="WHW28" s="3281"/>
      <c r="WHX28" s="3281"/>
      <c r="WHY28" s="3281"/>
      <c r="WHZ28" s="3281"/>
      <c r="WIA28" s="3281"/>
      <c r="WIB28" s="3281"/>
      <c r="WIC28" s="3281"/>
      <c r="WID28" s="3281"/>
      <c r="WIE28" s="3281"/>
      <c r="WIF28" s="3281"/>
      <c r="WIG28" s="3281"/>
      <c r="WIH28" s="3281"/>
      <c r="WII28" s="3281"/>
      <c r="WIJ28" s="3281"/>
      <c r="WIK28" s="3281"/>
      <c r="WIL28" s="3281"/>
      <c r="WIM28" s="3281"/>
      <c r="WIN28" s="3281"/>
      <c r="WIO28" s="3281"/>
      <c r="WIP28" s="3281"/>
      <c r="WIQ28" s="3281"/>
      <c r="WIR28" s="3281"/>
      <c r="WIS28" s="3281"/>
      <c r="WIT28" s="3281"/>
      <c r="WIU28" s="3281"/>
      <c r="WIV28" s="3281"/>
      <c r="WIW28" s="3281"/>
      <c r="WIX28" s="3281"/>
      <c r="WIY28" s="3281"/>
      <c r="WIZ28" s="3281"/>
      <c r="WJA28" s="3281"/>
      <c r="WJB28" s="3281"/>
      <c r="WJC28" s="3281"/>
      <c r="WJD28" s="3281"/>
      <c r="WJE28" s="3281"/>
      <c r="WJF28" s="3281"/>
      <c r="WJG28" s="3281"/>
      <c r="WJH28" s="3281"/>
      <c r="WJI28" s="3281"/>
      <c r="WJJ28" s="3281"/>
      <c r="WJK28" s="3281"/>
      <c r="WJL28" s="3281"/>
      <c r="WJM28" s="3281"/>
      <c r="WJN28" s="3281"/>
      <c r="WJO28" s="3281"/>
      <c r="WJP28" s="3281"/>
      <c r="WJQ28" s="3281"/>
      <c r="WJR28" s="3281"/>
      <c r="WJS28" s="3281"/>
      <c r="WJT28" s="3281"/>
      <c r="WJU28" s="3281"/>
      <c r="WJV28" s="3281"/>
      <c r="WJW28" s="3281"/>
      <c r="WJX28" s="3281"/>
      <c r="WJY28" s="3281"/>
      <c r="WJZ28" s="3281"/>
      <c r="WKA28" s="3281"/>
      <c r="WKB28" s="3281"/>
      <c r="WKC28" s="3281"/>
      <c r="WKD28" s="3281"/>
      <c r="WKE28" s="3281"/>
      <c r="WKF28" s="3281"/>
      <c r="WKG28" s="3281"/>
      <c r="WKH28" s="3281"/>
      <c r="WKI28" s="3281"/>
      <c r="WKJ28" s="3281"/>
      <c r="WKK28" s="3281"/>
      <c r="WKL28" s="3281"/>
      <c r="WKM28" s="3281"/>
      <c r="WKN28" s="3281"/>
      <c r="WKO28" s="3281"/>
      <c r="WKP28" s="3281"/>
      <c r="WKQ28" s="3281"/>
      <c r="WKR28" s="3281"/>
      <c r="WKS28" s="3281"/>
      <c r="WKT28" s="3281"/>
      <c r="WKU28" s="3281"/>
      <c r="WKV28" s="3281"/>
      <c r="WKW28" s="3281"/>
      <c r="WKX28" s="3281"/>
      <c r="WKY28" s="3281"/>
      <c r="WKZ28" s="3281"/>
      <c r="WLA28" s="3281"/>
      <c r="WLB28" s="3281"/>
      <c r="WLC28" s="3281"/>
      <c r="WLD28" s="3281"/>
      <c r="WLE28" s="3281"/>
      <c r="WLF28" s="3281"/>
      <c r="WLG28" s="3281"/>
      <c r="WLH28" s="3281"/>
      <c r="WLI28" s="3281"/>
      <c r="WLJ28" s="3281"/>
      <c r="WLK28" s="3281"/>
      <c r="WLL28" s="3281"/>
      <c r="WLM28" s="3281"/>
      <c r="WLN28" s="3281"/>
      <c r="WLO28" s="3281"/>
      <c r="WLP28" s="3281"/>
      <c r="WLQ28" s="3281"/>
      <c r="WLR28" s="3281"/>
      <c r="WLS28" s="3281"/>
      <c r="WLT28" s="3281"/>
      <c r="WLU28" s="3281"/>
      <c r="WLV28" s="3281"/>
      <c r="WLW28" s="3281"/>
      <c r="WLX28" s="3281"/>
      <c r="WLY28" s="3281"/>
      <c r="WLZ28" s="3281"/>
      <c r="WMA28" s="3281"/>
      <c r="WMB28" s="3281"/>
      <c r="WMC28" s="3281"/>
      <c r="WMD28" s="3281"/>
      <c r="WME28" s="3281"/>
      <c r="WMF28" s="3281"/>
      <c r="WMG28" s="3281"/>
      <c r="WMH28" s="3281"/>
      <c r="WMI28" s="3281"/>
      <c r="WMJ28" s="3281"/>
      <c r="WMK28" s="3281"/>
      <c r="WML28" s="3281"/>
      <c r="WMM28" s="3281"/>
      <c r="WMN28" s="3281"/>
      <c r="WMO28" s="3281"/>
      <c r="WMP28" s="3281"/>
      <c r="WMQ28" s="3281"/>
      <c r="WMR28" s="3281"/>
      <c r="WMS28" s="3281"/>
      <c r="WMT28" s="3281"/>
      <c r="WMU28" s="3281"/>
      <c r="WMV28" s="3281"/>
      <c r="WMW28" s="3281"/>
      <c r="WMX28" s="3281"/>
      <c r="WMY28" s="3281"/>
      <c r="WMZ28" s="3281"/>
      <c r="WNA28" s="3281"/>
      <c r="WNB28" s="3281"/>
      <c r="WNC28" s="3281"/>
      <c r="WND28" s="3281"/>
      <c r="WNE28" s="3281"/>
      <c r="WNF28" s="3281"/>
      <c r="WNG28" s="3281"/>
      <c r="WNH28" s="3281"/>
      <c r="WNI28" s="3281"/>
      <c r="WNJ28" s="3281"/>
      <c r="WNK28" s="3281"/>
      <c r="WNL28" s="3281"/>
      <c r="WNM28" s="3281"/>
      <c r="WNN28" s="3281"/>
      <c r="WNO28" s="3281"/>
      <c r="WNP28" s="3281"/>
      <c r="WNQ28" s="3281"/>
      <c r="WNR28" s="3281"/>
      <c r="WNS28" s="3281"/>
      <c r="WNT28" s="3281"/>
      <c r="WNU28" s="3281"/>
      <c r="WNV28" s="3281"/>
      <c r="WNW28" s="3281"/>
      <c r="WNX28" s="3281"/>
      <c r="WNY28" s="3281"/>
      <c r="WNZ28" s="3281"/>
      <c r="WOA28" s="3281"/>
      <c r="WOB28" s="3281"/>
      <c r="WOC28" s="3281"/>
      <c r="WOD28" s="3281"/>
      <c r="WOE28" s="3281"/>
      <c r="WOF28" s="3281"/>
      <c r="WOG28" s="3281"/>
      <c r="WOH28" s="3281"/>
      <c r="WOI28" s="3281"/>
      <c r="WOJ28" s="3281"/>
      <c r="WOK28" s="3281"/>
      <c r="WOL28" s="3281"/>
      <c r="WOM28" s="3281"/>
      <c r="WON28" s="3281"/>
      <c r="WOO28" s="3281"/>
      <c r="WOP28" s="3281"/>
      <c r="WOQ28" s="3281"/>
      <c r="WOR28" s="3281"/>
      <c r="WOS28" s="3281"/>
      <c r="WOT28" s="3281"/>
      <c r="WOU28" s="3281"/>
      <c r="WOV28" s="3281"/>
      <c r="WOW28" s="3281"/>
      <c r="WOX28" s="3281"/>
      <c r="WOY28" s="3281"/>
      <c r="WOZ28" s="3281"/>
      <c r="WPA28" s="3281"/>
      <c r="WPB28" s="3281"/>
      <c r="WPC28" s="3281"/>
      <c r="WPD28" s="3281"/>
      <c r="WPE28" s="3281"/>
      <c r="WPF28" s="3281"/>
      <c r="WPG28" s="3281"/>
      <c r="WPH28" s="3281"/>
      <c r="WPI28" s="3281"/>
      <c r="WPJ28" s="3281"/>
      <c r="WPK28" s="3281"/>
      <c r="WPL28" s="3281"/>
      <c r="WPM28" s="3281"/>
      <c r="WPN28" s="3281"/>
      <c r="WPO28" s="3281"/>
      <c r="WPP28" s="3281"/>
      <c r="WPQ28" s="3281"/>
      <c r="WPR28" s="3281"/>
      <c r="WPS28" s="3281"/>
      <c r="WPT28" s="3281"/>
      <c r="WPU28" s="3281"/>
      <c r="WPV28" s="3281"/>
      <c r="WPW28" s="3281"/>
      <c r="WPX28" s="3281"/>
      <c r="WPY28" s="3281"/>
      <c r="WPZ28" s="3281"/>
      <c r="WQA28" s="3281"/>
      <c r="WQB28" s="3281"/>
      <c r="WQC28" s="3281"/>
      <c r="WQD28" s="3281"/>
      <c r="WQE28" s="3281"/>
      <c r="WQF28" s="3281"/>
      <c r="WQG28" s="3281"/>
      <c r="WQH28" s="3281"/>
      <c r="WQI28" s="3281"/>
      <c r="WQJ28" s="3281"/>
      <c r="WQK28" s="3281"/>
      <c r="WQL28" s="3281"/>
      <c r="WQM28" s="3281"/>
      <c r="WQN28" s="3281"/>
      <c r="WQO28" s="3281"/>
      <c r="WQP28" s="3281"/>
      <c r="WQQ28" s="3281"/>
      <c r="WQR28" s="3281"/>
      <c r="WQS28" s="3281"/>
      <c r="WQT28" s="3281"/>
      <c r="WQU28" s="3281"/>
      <c r="WQV28" s="3281"/>
      <c r="WQW28" s="3281"/>
      <c r="WQX28" s="3281"/>
      <c r="WQY28" s="3281"/>
      <c r="WQZ28" s="3281"/>
      <c r="WRA28" s="3281"/>
      <c r="WRB28" s="3281"/>
      <c r="WRC28" s="3281"/>
      <c r="WRD28" s="3281"/>
      <c r="WRE28" s="3281"/>
      <c r="WRF28" s="3281"/>
      <c r="WRG28" s="3281"/>
      <c r="WRH28" s="3281"/>
      <c r="WRI28" s="3281"/>
      <c r="WRJ28" s="3281"/>
      <c r="WRK28" s="3281"/>
      <c r="WRL28" s="3281"/>
      <c r="WRM28" s="3281"/>
      <c r="WRN28" s="3281"/>
      <c r="WRO28" s="3281"/>
      <c r="WRP28" s="3281"/>
      <c r="WRQ28" s="3281"/>
      <c r="WRR28" s="3281"/>
      <c r="WRS28" s="3281"/>
      <c r="WRT28" s="3281"/>
      <c r="WRU28" s="3281"/>
      <c r="WRV28" s="3281"/>
      <c r="WRW28" s="3281"/>
      <c r="WRX28" s="3281"/>
      <c r="WRY28" s="3281"/>
      <c r="WRZ28" s="3281"/>
      <c r="WSA28" s="3281"/>
      <c r="WSB28" s="3281"/>
      <c r="WSC28" s="3281"/>
      <c r="WSD28" s="3281"/>
      <c r="WSE28" s="3281"/>
      <c r="WSF28" s="3281"/>
      <c r="WSG28" s="3281"/>
      <c r="WSH28" s="3281"/>
      <c r="WSI28" s="3281"/>
      <c r="WSJ28" s="3281"/>
      <c r="WSK28" s="3281"/>
      <c r="WSL28" s="3281"/>
      <c r="WSM28" s="3281"/>
      <c r="WSN28" s="3281"/>
      <c r="WSO28" s="3281"/>
      <c r="WSP28" s="3281"/>
      <c r="WSQ28" s="3281"/>
      <c r="WSR28" s="3281"/>
      <c r="WSS28" s="3281"/>
      <c r="WST28" s="3281"/>
      <c r="WSU28" s="3281"/>
      <c r="WSV28" s="3281"/>
      <c r="WSW28" s="3281"/>
      <c r="WSX28" s="3281"/>
      <c r="WSY28" s="3281"/>
      <c r="WSZ28" s="3281"/>
      <c r="WTA28" s="3281"/>
      <c r="WTB28" s="3281"/>
      <c r="WTC28" s="3281"/>
      <c r="WTD28" s="3281"/>
      <c r="WTE28" s="3281"/>
      <c r="WTF28" s="3281"/>
      <c r="WTG28" s="3281"/>
      <c r="WTH28" s="3281"/>
      <c r="WTI28" s="3281"/>
      <c r="WTJ28" s="3281"/>
      <c r="WTK28" s="3281"/>
      <c r="WTL28" s="3281"/>
      <c r="WTM28" s="3281"/>
      <c r="WTN28" s="3281"/>
      <c r="WTO28" s="3281"/>
      <c r="WTP28" s="3281"/>
      <c r="WTQ28" s="3281"/>
      <c r="WTR28" s="3281"/>
      <c r="WTS28" s="3281"/>
      <c r="WTT28" s="3281"/>
      <c r="WTU28" s="3281"/>
      <c r="WTV28" s="3281"/>
      <c r="WTW28" s="3281"/>
      <c r="WTX28" s="3281"/>
      <c r="WTY28" s="3281"/>
      <c r="WTZ28" s="3281"/>
      <c r="WUA28" s="3281"/>
      <c r="WUB28" s="3281"/>
      <c r="WUC28" s="3281"/>
      <c r="WUD28" s="3281"/>
      <c r="WUE28" s="3281"/>
      <c r="WUF28" s="3281"/>
      <c r="WUG28" s="3281"/>
      <c r="WUH28" s="3281"/>
      <c r="WUI28" s="3281"/>
      <c r="WUJ28" s="3281"/>
      <c r="WUK28" s="3281"/>
      <c r="WUL28" s="3281"/>
      <c r="WUM28" s="3281"/>
      <c r="WUN28" s="3281"/>
      <c r="WUO28" s="3281"/>
      <c r="WUP28" s="3281"/>
      <c r="WUQ28" s="3281"/>
      <c r="WUR28" s="3281"/>
      <c r="WUS28" s="3281"/>
      <c r="WUT28" s="3281"/>
      <c r="WUU28" s="3281"/>
      <c r="WUV28" s="3281"/>
      <c r="WUW28" s="3281"/>
      <c r="WUX28" s="3281"/>
      <c r="WUY28" s="3281"/>
      <c r="WUZ28" s="3281"/>
      <c r="WVA28" s="3281"/>
      <c r="WVB28" s="3281"/>
      <c r="WVC28" s="3281"/>
      <c r="WVD28" s="3281"/>
      <c r="WVE28" s="3281"/>
      <c r="WVF28" s="3281"/>
      <c r="WVG28" s="3281"/>
      <c r="WVH28" s="3281"/>
      <c r="WVI28" s="3281"/>
      <c r="WVJ28" s="3281"/>
      <c r="WVK28" s="3281"/>
      <c r="WVL28" s="3281"/>
      <c r="WVM28" s="3281"/>
      <c r="WVN28" s="3281"/>
      <c r="WVO28" s="3281"/>
      <c r="WVP28" s="3281"/>
      <c r="WVQ28" s="3281"/>
      <c r="WVR28" s="3281"/>
      <c r="WVS28" s="3281"/>
      <c r="WVT28" s="3281"/>
      <c r="WVU28" s="3281"/>
      <c r="WVV28" s="3281"/>
      <c r="WVW28" s="3281"/>
      <c r="WVX28" s="3281"/>
      <c r="WVY28" s="3281"/>
      <c r="WVZ28" s="3281"/>
      <c r="WWA28" s="3281"/>
      <c r="WWB28" s="3281"/>
      <c r="WWC28" s="3281"/>
      <c r="WWD28" s="3281"/>
      <c r="WWE28" s="3281"/>
      <c r="WWF28" s="3281"/>
      <c r="WWG28" s="3281"/>
      <c r="WWH28" s="3281"/>
      <c r="WWI28" s="3281"/>
      <c r="WWJ28" s="3281"/>
      <c r="WWK28" s="3281"/>
      <c r="WWL28" s="3281"/>
      <c r="WWM28" s="3281"/>
      <c r="WWN28" s="3281"/>
      <c r="WWO28" s="3281"/>
      <c r="WWP28" s="3281"/>
      <c r="WWQ28" s="3281"/>
      <c r="WWR28" s="3281"/>
      <c r="WWS28" s="3281"/>
      <c r="WWT28" s="3281"/>
      <c r="WWU28" s="3281"/>
      <c r="WWV28" s="3281"/>
      <c r="WWW28" s="3281"/>
      <c r="WWX28" s="3281"/>
      <c r="WWY28" s="3281"/>
      <c r="WWZ28" s="3281"/>
      <c r="WXA28" s="3281"/>
      <c r="WXB28" s="3281"/>
      <c r="WXC28" s="3281"/>
      <c r="WXD28" s="3281"/>
      <c r="WXE28" s="3281"/>
      <c r="WXF28" s="3281"/>
      <c r="WXG28" s="3281"/>
      <c r="WXH28" s="3281"/>
      <c r="WXI28" s="3281"/>
      <c r="WXJ28" s="3281"/>
      <c r="WXK28" s="3281"/>
      <c r="WXL28" s="3281"/>
      <c r="WXM28" s="3281"/>
      <c r="WXN28" s="3281"/>
      <c r="WXO28" s="3281"/>
      <c r="WXP28" s="3281"/>
      <c r="WXQ28" s="3281"/>
      <c r="WXR28" s="3281"/>
      <c r="WXS28" s="3281"/>
      <c r="WXT28" s="3281"/>
      <c r="WXU28" s="3281"/>
      <c r="WXV28" s="3281"/>
      <c r="WXW28" s="3281"/>
      <c r="WXX28" s="3281"/>
      <c r="WXY28" s="3281"/>
      <c r="WXZ28" s="3281"/>
      <c r="WYA28" s="3281"/>
      <c r="WYB28" s="3281"/>
      <c r="WYC28" s="3281"/>
      <c r="WYD28" s="3281"/>
      <c r="WYE28" s="3281"/>
      <c r="WYF28" s="3281"/>
      <c r="WYG28" s="3281"/>
      <c r="WYH28" s="3281"/>
      <c r="WYI28" s="3281"/>
      <c r="WYJ28" s="3281"/>
      <c r="WYK28" s="3281"/>
      <c r="WYL28" s="3281"/>
      <c r="WYM28" s="3281"/>
      <c r="WYN28" s="3281"/>
      <c r="WYO28" s="3281"/>
      <c r="WYP28" s="3281"/>
      <c r="WYQ28" s="3281"/>
      <c r="WYR28" s="3281"/>
      <c r="WYS28" s="3281"/>
      <c r="WYT28" s="3281"/>
      <c r="WYU28" s="3281"/>
      <c r="WYV28" s="3281"/>
      <c r="WYW28" s="3281"/>
      <c r="WYX28" s="3281"/>
      <c r="WYY28" s="3281"/>
      <c r="WYZ28" s="3281"/>
      <c r="WZA28" s="3281"/>
      <c r="WZB28" s="3281"/>
      <c r="WZC28" s="3281"/>
      <c r="WZD28" s="3281"/>
      <c r="WZE28" s="3281"/>
      <c r="WZF28" s="3281"/>
      <c r="WZG28" s="3281"/>
      <c r="WZH28" s="3281"/>
      <c r="WZI28" s="3281"/>
      <c r="WZJ28" s="3281"/>
      <c r="WZK28" s="3281"/>
      <c r="WZL28" s="3281"/>
      <c r="WZM28" s="3281"/>
      <c r="WZN28" s="3281"/>
      <c r="WZO28" s="3281"/>
      <c r="WZP28" s="3281"/>
      <c r="WZQ28" s="3281"/>
      <c r="WZR28" s="3281"/>
      <c r="WZS28" s="3281"/>
      <c r="WZT28" s="3281"/>
      <c r="WZU28" s="3281"/>
      <c r="WZV28" s="3281"/>
      <c r="WZW28" s="3281"/>
      <c r="WZX28" s="3281"/>
      <c r="WZY28" s="3281"/>
      <c r="WZZ28" s="3281"/>
      <c r="XAA28" s="3281"/>
      <c r="XAB28" s="3281"/>
      <c r="XAC28" s="3281"/>
      <c r="XAD28" s="3281"/>
      <c r="XAE28" s="3281"/>
      <c r="XAF28" s="3281"/>
      <c r="XAG28" s="3281"/>
      <c r="XAH28" s="3281"/>
      <c r="XAI28" s="3281"/>
      <c r="XAJ28" s="3281"/>
      <c r="XAK28" s="3281"/>
      <c r="XAL28" s="3281"/>
      <c r="XAM28" s="3281"/>
      <c r="XAN28" s="3281"/>
      <c r="XAO28" s="3281"/>
      <c r="XAP28" s="3281"/>
      <c r="XAQ28" s="3281"/>
      <c r="XAR28" s="3281"/>
      <c r="XAS28" s="3281"/>
      <c r="XAT28" s="3281"/>
      <c r="XAU28" s="3281"/>
      <c r="XAV28" s="3281"/>
      <c r="XAW28" s="3281"/>
      <c r="XAX28" s="3281"/>
      <c r="XAY28" s="3281"/>
      <c r="XAZ28" s="3281"/>
      <c r="XBA28" s="3281"/>
      <c r="XBB28" s="3281"/>
      <c r="XBC28" s="3281"/>
      <c r="XBD28" s="3281"/>
      <c r="XBE28" s="3281"/>
      <c r="XBF28" s="3281"/>
      <c r="XBG28" s="3281"/>
      <c r="XBH28" s="3281"/>
      <c r="XBI28" s="3281"/>
      <c r="XBJ28" s="3281"/>
      <c r="XBK28" s="3281"/>
      <c r="XBL28" s="3281"/>
      <c r="XBM28" s="3281"/>
      <c r="XBN28" s="3281"/>
      <c r="XBO28" s="3281"/>
      <c r="XBP28" s="3281"/>
      <c r="XBQ28" s="3281"/>
      <c r="XBR28" s="3281"/>
      <c r="XBS28" s="3281"/>
      <c r="XBT28" s="3281"/>
      <c r="XBU28" s="3281"/>
      <c r="XBV28" s="3281"/>
      <c r="XBW28" s="3281"/>
      <c r="XBX28" s="3281"/>
      <c r="XBY28" s="3281"/>
      <c r="XBZ28" s="3281"/>
      <c r="XCA28" s="3281"/>
      <c r="XCB28" s="3281"/>
      <c r="XCC28" s="3281"/>
      <c r="XCD28" s="3281"/>
      <c r="XCE28" s="3281"/>
      <c r="XCF28" s="3281"/>
      <c r="XCG28" s="3281"/>
      <c r="XCH28" s="3281"/>
      <c r="XCI28" s="3281"/>
      <c r="XCJ28" s="3281"/>
      <c r="XCK28" s="3281"/>
      <c r="XCL28" s="3281"/>
      <c r="XCM28" s="3281"/>
      <c r="XCN28" s="3281"/>
      <c r="XCO28" s="3281"/>
      <c r="XCP28" s="3281"/>
      <c r="XCQ28" s="3281"/>
      <c r="XCR28" s="3281"/>
      <c r="XCS28" s="3281"/>
      <c r="XCT28" s="3281"/>
      <c r="XCU28" s="3281"/>
      <c r="XCV28" s="3281"/>
      <c r="XCW28" s="3281"/>
      <c r="XCX28" s="3281"/>
      <c r="XCY28" s="3281"/>
      <c r="XCZ28" s="3281"/>
      <c r="XDA28" s="3281"/>
      <c r="XDB28" s="3281"/>
      <c r="XDC28" s="3281"/>
      <c r="XDD28" s="3281"/>
      <c r="XDE28" s="3281"/>
      <c r="XDF28" s="3281"/>
      <c r="XDG28" s="3281"/>
      <c r="XDH28" s="3281"/>
      <c r="XDI28" s="3281"/>
      <c r="XDJ28" s="3281"/>
      <c r="XDK28" s="3281"/>
      <c r="XDL28" s="3281"/>
      <c r="XDM28" s="3281"/>
      <c r="XDN28" s="3281"/>
      <c r="XDO28" s="3281"/>
      <c r="XDP28" s="3281"/>
      <c r="XDQ28" s="3281"/>
      <c r="XDR28" s="3281"/>
      <c r="XDS28" s="3281"/>
      <c r="XDT28" s="3281"/>
      <c r="XDU28" s="3281"/>
      <c r="XDV28" s="3281"/>
      <c r="XDW28" s="3281"/>
      <c r="XDX28" s="3281"/>
      <c r="XDY28" s="3281"/>
      <c r="XDZ28" s="3281"/>
      <c r="XEA28" s="3281"/>
      <c r="XEB28" s="3281"/>
      <c r="XEC28" s="3281"/>
      <c r="XED28" s="3281"/>
      <c r="XEE28" s="3281"/>
      <c r="XEF28" s="3281"/>
      <c r="XEG28" s="3281"/>
      <c r="XEH28" s="3281"/>
      <c r="XEI28" s="3281"/>
      <c r="XEJ28" s="3281"/>
      <c r="XEK28" s="3281"/>
      <c r="XEL28" s="3281"/>
      <c r="XEM28" s="3281"/>
      <c r="XEN28" s="3281"/>
      <c r="XEO28" s="3281"/>
      <c r="XEP28" s="3281"/>
      <c r="XEQ28" s="3281"/>
      <c r="XER28" s="3281"/>
      <c r="XES28" s="3281"/>
      <c r="XET28" s="3281"/>
      <c r="XEU28" s="3281"/>
      <c r="XEV28" s="3281"/>
      <c r="XEW28" s="3281"/>
      <c r="XEX28" s="3281"/>
      <c r="XEY28" s="3281"/>
      <c r="XEZ28" s="3281"/>
      <c r="XFA28" s="3281"/>
      <c r="XFB28" s="3281"/>
      <c r="XFC28" s="3281"/>
      <c r="XFD28" s="1458"/>
    </row>
    <row r="29" spans="1:16384" ht="20.25" customHeight="1">
      <c r="A29" s="3301" t="s">
        <v>2849</v>
      </c>
      <c r="B29" s="3301"/>
      <c r="C29" s="1459"/>
      <c r="E29" s="1460"/>
    </row>
    <row r="30" spans="1:16384" ht="20.25" customHeight="1">
      <c r="A30" s="3301" t="s">
        <v>2850</v>
      </c>
      <c r="B30" s="3301"/>
      <c r="C30" s="3301"/>
      <c r="D30" s="1461"/>
      <c r="E30" s="1460"/>
    </row>
    <row r="31" spans="1:16384" ht="21" customHeight="1">
      <c r="A31" s="1436" t="s">
        <v>2704</v>
      </c>
      <c r="B31" s="1461"/>
      <c r="C31" s="1461"/>
    </row>
    <row r="32" spans="1:16384" ht="21" customHeight="1"/>
    <row r="33" spans="1:16384" ht="21" customHeight="1">
      <c r="A33" s="1425" t="s">
        <v>2851</v>
      </c>
      <c r="B33" s="1425"/>
      <c r="C33" s="1425"/>
      <c r="D33" s="1425"/>
      <c r="E33" s="1426"/>
      <c r="F33" s="1427"/>
    </row>
    <row r="34" spans="1:16384" ht="9" customHeight="1" thickBot="1">
      <c r="A34" s="1425"/>
      <c r="B34" s="1425"/>
      <c r="C34" s="1425"/>
      <c r="D34" s="1425"/>
      <c r="E34" s="1426"/>
      <c r="F34" s="1427"/>
    </row>
    <row r="35" spans="1:16384" ht="21" customHeight="1" thickBot="1">
      <c r="A35" s="1448"/>
      <c r="B35" s="1449"/>
      <c r="C35" s="3302" t="s">
        <v>2852</v>
      </c>
      <c r="D35" s="3303"/>
      <c r="E35" s="3304"/>
      <c r="F35" s="3304"/>
    </row>
    <row r="36" spans="1:16384" ht="21" customHeight="1" thickBot="1">
      <c r="A36" s="1450"/>
      <c r="B36" s="1451"/>
      <c r="C36" s="3292" t="s">
        <v>2853</v>
      </c>
      <c r="D36" s="3293"/>
      <c r="E36" s="3294"/>
      <c r="F36" s="3294"/>
    </row>
    <row r="37" spans="1:16384" ht="21" customHeight="1">
      <c r="A37" s="1452">
        <v>1</v>
      </c>
      <c r="B37" s="1453" t="s">
        <v>2765</v>
      </c>
      <c r="C37" s="3295">
        <v>500</v>
      </c>
      <c r="D37" s="3296"/>
      <c r="E37" s="3297"/>
      <c r="F37" s="3297"/>
    </row>
    <row r="38" spans="1:16384" ht="21" customHeight="1">
      <c r="A38" s="1452">
        <v>2</v>
      </c>
      <c r="B38" s="1454" t="s">
        <v>2766</v>
      </c>
      <c r="C38" s="3298">
        <v>6.95</v>
      </c>
      <c r="D38" s="3299"/>
      <c r="E38" s="3300"/>
      <c r="F38" s="3300"/>
    </row>
    <row r="39" spans="1:16384" ht="21" customHeight="1">
      <c r="A39" s="1452">
        <v>3</v>
      </c>
      <c r="B39" s="1453" t="s">
        <v>2846</v>
      </c>
      <c r="C39" s="3283">
        <v>7.6</v>
      </c>
      <c r="D39" s="3284"/>
      <c r="E39" s="3285"/>
      <c r="F39" s="3285"/>
    </row>
    <row r="40" spans="1:16384" ht="21" customHeight="1">
      <c r="A40" s="1452">
        <v>4</v>
      </c>
      <c r="B40" s="1453" t="s">
        <v>2847</v>
      </c>
      <c r="C40" s="3286">
        <v>94.241</v>
      </c>
      <c r="D40" s="3287"/>
      <c r="E40" s="3288"/>
      <c r="F40" s="3288"/>
    </row>
    <row r="41" spans="1:16384" s="1457" customFormat="1" ht="15" customHeight="1" thickBot="1">
      <c r="A41" s="1455"/>
      <c r="B41" s="1456"/>
      <c r="C41" s="3289"/>
      <c r="D41" s="3290"/>
      <c r="E41" s="3291"/>
      <c r="F41" s="3291"/>
    </row>
    <row r="42" spans="1:16384" ht="18.75" customHeight="1">
      <c r="A42" s="3281" t="s">
        <v>2854</v>
      </c>
      <c r="B42" s="3281"/>
      <c r="C42" s="3281"/>
      <c r="D42" s="3281"/>
      <c r="E42" s="3281"/>
      <c r="F42" s="3281"/>
      <c r="G42" s="3281"/>
      <c r="H42" s="3281"/>
      <c r="I42" s="3281"/>
      <c r="J42" s="3281"/>
      <c r="K42" s="3281"/>
      <c r="L42" s="3281"/>
      <c r="M42" s="3281"/>
      <c r="N42" s="3281"/>
      <c r="O42" s="3281"/>
      <c r="P42" s="3281"/>
      <c r="Q42" s="3281"/>
      <c r="R42" s="3281"/>
      <c r="S42" s="3281"/>
      <c r="T42" s="3281"/>
      <c r="U42" s="3281"/>
      <c r="V42" s="3281"/>
      <c r="W42" s="3281"/>
      <c r="X42" s="3281"/>
      <c r="Y42" s="3281"/>
      <c r="Z42" s="3281"/>
      <c r="AA42" s="3281"/>
      <c r="AB42" s="3281"/>
      <c r="AC42" s="3281"/>
      <c r="AD42" s="3281"/>
      <c r="AE42" s="3281"/>
      <c r="AF42" s="3281"/>
      <c r="AG42" s="3281"/>
      <c r="AH42" s="3281"/>
      <c r="AI42" s="3281"/>
      <c r="AJ42" s="3281"/>
      <c r="AK42" s="3281"/>
      <c r="AL42" s="3281"/>
      <c r="AM42" s="3281"/>
      <c r="AN42" s="3281"/>
      <c r="AO42" s="3281"/>
      <c r="AP42" s="3281"/>
      <c r="AQ42" s="3281"/>
      <c r="AR42" s="3281"/>
      <c r="AS42" s="3281"/>
      <c r="AT42" s="3281"/>
      <c r="AU42" s="3281"/>
      <c r="AV42" s="3281"/>
      <c r="AW42" s="3281"/>
      <c r="AX42" s="3281"/>
      <c r="AY42" s="3281"/>
      <c r="AZ42" s="3281"/>
      <c r="BA42" s="3281"/>
      <c r="BB42" s="3281"/>
      <c r="BC42" s="3281"/>
      <c r="BD42" s="3281"/>
      <c r="BE42" s="3281"/>
      <c r="BF42" s="3281"/>
      <c r="BG42" s="3281"/>
      <c r="BH42" s="3281"/>
      <c r="BI42" s="3281"/>
      <c r="BJ42" s="3281"/>
      <c r="BK42" s="3281"/>
      <c r="BL42" s="3281"/>
      <c r="BM42" s="3281"/>
      <c r="BN42" s="3281"/>
      <c r="BO42" s="3281"/>
      <c r="BP42" s="3281"/>
      <c r="BQ42" s="3281"/>
      <c r="BR42" s="3281"/>
      <c r="BS42" s="3281"/>
      <c r="BT42" s="3281"/>
      <c r="BU42" s="3281"/>
      <c r="BV42" s="3281"/>
      <c r="BW42" s="3281"/>
      <c r="BX42" s="3281"/>
      <c r="BY42" s="3281"/>
      <c r="BZ42" s="3281"/>
      <c r="CA42" s="3281"/>
      <c r="CB42" s="3281"/>
      <c r="CC42" s="3281"/>
      <c r="CD42" s="3281"/>
      <c r="CE42" s="3281"/>
      <c r="CF42" s="3281"/>
      <c r="CG42" s="3281"/>
      <c r="CH42" s="3281"/>
      <c r="CI42" s="3281"/>
      <c r="CJ42" s="3281"/>
      <c r="CK42" s="3281"/>
      <c r="CL42" s="3281"/>
      <c r="CM42" s="3281"/>
      <c r="CN42" s="3281"/>
      <c r="CO42" s="3281"/>
      <c r="CP42" s="3281"/>
      <c r="CQ42" s="3281"/>
      <c r="CR42" s="3281"/>
      <c r="CS42" s="3281"/>
      <c r="CT42" s="3281"/>
      <c r="CU42" s="3281"/>
      <c r="CV42" s="3281"/>
      <c r="CW42" s="3281"/>
      <c r="CX42" s="3281"/>
      <c r="CY42" s="3281"/>
      <c r="CZ42" s="3281"/>
      <c r="DA42" s="3281"/>
      <c r="DB42" s="3281"/>
      <c r="DC42" s="3281"/>
      <c r="DD42" s="3281"/>
      <c r="DE42" s="3281"/>
      <c r="DF42" s="3281"/>
      <c r="DG42" s="3281"/>
      <c r="DH42" s="3281"/>
      <c r="DI42" s="3281"/>
      <c r="DJ42" s="3281"/>
      <c r="DK42" s="3281"/>
      <c r="DL42" s="3281"/>
      <c r="DM42" s="3281"/>
      <c r="DN42" s="3281"/>
      <c r="DO42" s="3281"/>
      <c r="DP42" s="3281"/>
      <c r="DQ42" s="3281"/>
      <c r="DR42" s="3281"/>
      <c r="DS42" s="3281"/>
      <c r="DT42" s="3281"/>
      <c r="DU42" s="3281"/>
      <c r="DV42" s="3281"/>
      <c r="DW42" s="3281"/>
      <c r="DX42" s="3281"/>
      <c r="DY42" s="3281"/>
      <c r="DZ42" s="3281"/>
      <c r="EA42" s="3281"/>
      <c r="EB42" s="3281"/>
      <c r="EC42" s="3281"/>
      <c r="ED42" s="3281"/>
      <c r="EE42" s="3281"/>
      <c r="EF42" s="3281"/>
      <c r="EG42" s="3281"/>
      <c r="EH42" s="3281"/>
      <c r="EI42" s="3281"/>
      <c r="EJ42" s="3281"/>
      <c r="EK42" s="3281"/>
      <c r="EL42" s="3281"/>
      <c r="EM42" s="3281"/>
      <c r="EN42" s="3281"/>
      <c r="EO42" s="3281"/>
      <c r="EP42" s="3281"/>
      <c r="EQ42" s="3281"/>
      <c r="ER42" s="3281"/>
      <c r="ES42" s="3281"/>
      <c r="ET42" s="3281"/>
      <c r="EU42" s="3281"/>
      <c r="EV42" s="3281"/>
      <c r="EW42" s="3281"/>
      <c r="EX42" s="3281"/>
      <c r="EY42" s="3281"/>
      <c r="EZ42" s="3281"/>
      <c r="FA42" s="3281"/>
      <c r="FB42" s="3281"/>
      <c r="FC42" s="3281"/>
      <c r="FD42" s="3281"/>
      <c r="FE42" s="3281"/>
      <c r="FF42" s="3281"/>
      <c r="FG42" s="3281"/>
      <c r="FH42" s="3281"/>
      <c r="FI42" s="3281"/>
      <c r="FJ42" s="3281"/>
      <c r="FK42" s="3281"/>
      <c r="FL42" s="3281"/>
      <c r="FM42" s="3281"/>
      <c r="FN42" s="3281"/>
      <c r="FO42" s="3281"/>
      <c r="FP42" s="3281"/>
      <c r="FQ42" s="3281"/>
      <c r="FR42" s="3281"/>
      <c r="FS42" s="3281"/>
      <c r="FT42" s="3281"/>
      <c r="FU42" s="3281"/>
      <c r="FV42" s="3281"/>
      <c r="FW42" s="3281"/>
      <c r="FX42" s="3281"/>
      <c r="FY42" s="3281"/>
      <c r="FZ42" s="3281"/>
      <c r="GA42" s="3281"/>
      <c r="GB42" s="3281"/>
      <c r="GC42" s="3281"/>
      <c r="GD42" s="3281"/>
      <c r="GE42" s="3281"/>
      <c r="GF42" s="3281"/>
      <c r="GG42" s="3281"/>
      <c r="GH42" s="3281"/>
      <c r="GI42" s="3281"/>
      <c r="GJ42" s="3281"/>
      <c r="GK42" s="3281"/>
      <c r="GL42" s="3281"/>
      <c r="GM42" s="3281"/>
      <c r="GN42" s="3281"/>
      <c r="GO42" s="3281"/>
      <c r="GP42" s="3281"/>
      <c r="GQ42" s="3281"/>
      <c r="GR42" s="3281"/>
      <c r="GS42" s="3281"/>
      <c r="GT42" s="3281"/>
      <c r="GU42" s="3281"/>
      <c r="GV42" s="3281"/>
      <c r="GW42" s="3281"/>
      <c r="GX42" s="3281"/>
      <c r="GY42" s="3281"/>
      <c r="GZ42" s="3281"/>
      <c r="HA42" s="3281"/>
      <c r="HB42" s="3281"/>
      <c r="HC42" s="3281"/>
      <c r="HD42" s="3281"/>
      <c r="HE42" s="3281"/>
      <c r="HF42" s="3281"/>
      <c r="HG42" s="3281"/>
      <c r="HH42" s="3281"/>
      <c r="HI42" s="3281"/>
      <c r="HJ42" s="3281"/>
      <c r="HK42" s="3281"/>
      <c r="HL42" s="3281"/>
      <c r="HM42" s="3281"/>
      <c r="HN42" s="3281"/>
      <c r="HO42" s="3281"/>
      <c r="HP42" s="3281"/>
      <c r="HQ42" s="3281"/>
      <c r="HR42" s="3281"/>
      <c r="HS42" s="3281"/>
      <c r="HT42" s="3281"/>
      <c r="HU42" s="3281"/>
      <c r="HV42" s="3281"/>
      <c r="HW42" s="3281"/>
      <c r="HX42" s="3281"/>
      <c r="HY42" s="3281"/>
      <c r="HZ42" s="3281"/>
      <c r="IA42" s="3281"/>
      <c r="IB42" s="3281"/>
      <c r="IC42" s="3281"/>
      <c r="ID42" s="3281"/>
      <c r="IE42" s="3281"/>
      <c r="IF42" s="3281"/>
      <c r="IG42" s="3281"/>
      <c r="IH42" s="3281"/>
      <c r="II42" s="3281"/>
      <c r="IJ42" s="3281"/>
      <c r="IK42" s="3281"/>
      <c r="IL42" s="3281"/>
      <c r="IM42" s="3281"/>
      <c r="IN42" s="3281"/>
      <c r="IO42" s="3281"/>
      <c r="IP42" s="3281"/>
      <c r="IQ42" s="3281"/>
      <c r="IR42" s="3281"/>
      <c r="IS42" s="3281"/>
      <c r="IT42" s="3281"/>
      <c r="IU42" s="3281"/>
      <c r="IV42" s="3281"/>
      <c r="IW42" s="3281"/>
      <c r="IX42" s="3281"/>
      <c r="IY42" s="3281"/>
      <c r="IZ42" s="3281"/>
      <c r="JA42" s="3281"/>
      <c r="JB42" s="3281"/>
      <c r="JC42" s="3281"/>
      <c r="JD42" s="3281"/>
      <c r="JE42" s="3281"/>
      <c r="JF42" s="3281"/>
      <c r="JG42" s="3281"/>
      <c r="JH42" s="3281"/>
      <c r="JI42" s="3281"/>
      <c r="JJ42" s="3281"/>
      <c r="JK42" s="3281"/>
      <c r="JL42" s="3281"/>
      <c r="JM42" s="3281"/>
      <c r="JN42" s="3281"/>
      <c r="JO42" s="3281"/>
      <c r="JP42" s="3281"/>
      <c r="JQ42" s="3281"/>
      <c r="JR42" s="3281"/>
      <c r="JS42" s="3281"/>
      <c r="JT42" s="3281"/>
      <c r="JU42" s="3281"/>
      <c r="JV42" s="3281"/>
      <c r="JW42" s="3281"/>
      <c r="JX42" s="3281"/>
      <c r="JY42" s="3281"/>
      <c r="JZ42" s="3281"/>
      <c r="KA42" s="3281"/>
      <c r="KB42" s="3281"/>
      <c r="KC42" s="3281"/>
      <c r="KD42" s="3281"/>
      <c r="KE42" s="3281"/>
      <c r="KF42" s="3281"/>
      <c r="KG42" s="3281"/>
      <c r="KH42" s="3281"/>
      <c r="KI42" s="3281"/>
      <c r="KJ42" s="3281"/>
      <c r="KK42" s="3281"/>
      <c r="KL42" s="3281"/>
      <c r="KM42" s="3281"/>
      <c r="KN42" s="3281"/>
      <c r="KO42" s="3281"/>
      <c r="KP42" s="3281"/>
      <c r="KQ42" s="3281"/>
      <c r="KR42" s="3281"/>
      <c r="KS42" s="3281"/>
      <c r="KT42" s="3281"/>
      <c r="KU42" s="3281"/>
      <c r="KV42" s="3281"/>
      <c r="KW42" s="3281"/>
      <c r="KX42" s="3281"/>
      <c r="KY42" s="3281"/>
      <c r="KZ42" s="3281"/>
      <c r="LA42" s="3281"/>
      <c r="LB42" s="3281"/>
      <c r="LC42" s="3281"/>
      <c r="LD42" s="3281"/>
      <c r="LE42" s="3281"/>
      <c r="LF42" s="3281"/>
      <c r="LG42" s="3281"/>
      <c r="LH42" s="3281"/>
      <c r="LI42" s="3281"/>
      <c r="LJ42" s="3281"/>
      <c r="LK42" s="3281"/>
      <c r="LL42" s="3281"/>
      <c r="LM42" s="3281"/>
      <c r="LN42" s="3281"/>
      <c r="LO42" s="3281"/>
      <c r="LP42" s="3281"/>
      <c r="LQ42" s="3281"/>
      <c r="LR42" s="3281"/>
      <c r="LS42" s="3281"/>
      <c r="LT42" s="3281"/>
      <c r="LU42" s="3281"/>
      <c r="LV42" s="3281"/>
      <c r="LW42" s="3281"/>
      <c r="LX42" s="3281"/>
      <c r="LY42" s="3281"/>
      <c r="LZ42" s="3281"/>
      <c r="MA42" s="3281"/>
      <c r="MB42" s="3281"/>
      <c r="MC42" s="3281"/>
      <c r="MD42" s="3281"/>
      <c r="ME42" s="3281"/>
      <c r="MF42" s="3281"/>
      <c r="MG42" s="3281"/>
      <c r="MH42" s="3281"/>
      <c r="MI42" s="3281"/>
      <c r="MJ42" s="3281"/>
      <c r="MK42" s="3281"/>
      <c r="ML42" s="3281"/>
      <c r="MM42" s="3281"/>
      <c r="MN42" s="3281"/>
      <c r="MO42" s="3281"/>
      <c r="MP42" s="3281"/>
      <c r="MQ42" s="3281"/>
      <c r="MR42" s="3281"/>
      <c r="MS42" s="3281"/>
      <c r="MT42" s="3281"/>
      <c r="MU42" s="3281"/>
      <c r="MV42" s="3281"/>
      <c r="MW42" s="3281"/>
      <c r="MX42" s="3281"/>
      <c r="MY42" s="3281"/>
      <c r="MZ42" s="3281"/>
      <c r="NA42" s="3281"/>
      <c r="NB42" s="3281"/>
      <c r="NC42" s="3281"/>
      <c r="ND42" s="3281"/>
      <c r="NE42" s="3281"/>
      <c r="NF42" s="3281"/>
      <c r="NG42" s="3281"/>
      <c r="NH42" s="3281"/>
      <c r="NI42" s="3281"/>
      <c r="NJ42" s="3281"/>
      <c r="NK42" s="3281"/>
      <c r="NL42" s="3281"/>
      <c r="NM42" s="3281"/>
      <c r="NN42" s="3281"/>
      <c r="NO42" s="3281"/>
      <c r="NP42" s="3281"/>
      <c r="NQ42" s="3281"/>
      <c r="NR42" s="3281"/>
      <c r="NS42" s="3281"/>
      <c r="NT42" s="3281"/>
      <c r="NU42" s="3281"/>
      <c r="NV42" s="3281"/>
      <c r="NW42" s="3281"/>
      <c r="NX42" s="3281"/>
      <c r="NY42" s="3281"/>
      <c r="NZ42" s="3281"/>
      <c r="OA42" s="3281"/>
      <c r="OB42" s="3281"/>
      <c r="OC42" s="3281"/>
      <c r="OD42" s="3281"/>
      <c r="OE42" s="3281"/>
      <c r="OF42" s="3281"/>
      <c r="OG42" s="3281"/>
      <c r="OH42" s="3281"/>
      <c r="OI42" s="3281"/>
      <c r="OJ42" s="3281"/>
      <c r="OK42" s="3281"/>
      <c r="OL42" s="3281"/>
      <c r="OM42" s="3281"/>
      <c r="ON42" s="3281"/>
      <c r="OO42" s="3281"/>
      <c r="OP42" s="3281"/>
      <c r="OQ42" s="3281"/>
      <c r="OR42" s="3281"/>
      <c r="OS42" s="3281"/>
      <c r="OT42" s="3281"/>
      <c r="OU42" s="3281"/>
      <c r="OV42" s="3281"/>
      <c r="OW42" s="3281"/>
      <c r="OX42" s="3281"/>
      <c r="OY42" s="3281"/>
      <c r="OZ42" s="3281"/>
      <c r="PA42" s="3281"/>
      <c r="PB42" s="3281"/>
      <c r="PC42" s="3281"/>
      <c r="PD42" s="3281"/>
      <c r="PE42" s="3281"/>
      <c r="PF42" s="3281"/>
      <c r="PG42" s="3281"/>
      <c r="PH42" s="3281"/>
      <c r="PI42" s="3281"/>
      <c r="PJ42" s="3281"/>
      <c r="PK42" s="3281"/>
      <c r="PL42" s="3281"/>
      <c r="PM42" s="3281"/>
      <c r="PN42" s="3281"/>
      <c r="PO42" s="3281"/>
      <c r="PP42" s="3281"/>
      <c r="PQ42" s="3281"/>
      <c r="PR42" s="3281"/>
      <c r="PS42" s="3281"/>
      <c r="PT42" s="3281"/>
      <c r="PU42" s="3281"/>
      <c r="PV42" s="3281"/>
      <c r="PW42" s="3281"/>
      <c r="PX42" s="3281"/>
      <c r="PY42" s="3281"/>
      <c r="PZ42" s="3281"/>
      <c r="QA42" s="3281"/>
      <c r="QB42" s="3281"/>
      <c r="QC42" s="3281"/>
      <c r="QD42" s="3281"/>
      <c r="QE42" s="3281"/>
      <c r="QF42" s="3281"/>
      <c r="QG42" s="3281"/>
      <c r="QH42" s="3281"/>
      <c r="QI42" s="3281"/>
      <c r="QJ42" s="3281"/>
      <c r="QK42" s="3281"/>
      <c r="QL42" s="3281"/>
      <c r="QM42" s="3281"/>
      <c r="QN42" s="3281"/>
      <c r="QO42" s="3281"/>
      <c r="QP42" s="3281"/>
      <c r="QQ42" s="3281"/>
      <c r="QR42" s="3281"/>
      <c r="QS42" s="3281"/>
      <c r="QT42" s="3281"/>
      <c r="QU42" s="3281"/>
      <c r="QV42" s="3281"/>
      <c r="QW42" s="3281"/>
      <c r="QX42" s="3281"/>
      <c r="QY42" s="3281"/>
      <c r="QZ42" s="3281"/>
      <c r="RA42" s="3281"/>
      <c r="RB42" s="3281"/>
      <c r="RC42" s="3281"/>
      <c r="RD42" s="3281"/>
      <c r="RE42" s="3281"/>
      <c r="RF42" s="3281"/>
      <c r="RG42" s="3281"/>
      <c r="RH42" s="3281"/>
      <c r="RI42" s="3281"/>
      <c r="RJ42" s="3281"/>
      <c r="RK42" s="3281"/>
      <c r="RL42" s="3281"/>
      <c r="RM42" s="3281"/>
      <c r="RN42" s="3281"/>
      <c r="RO42" s="3281"/>
      <c r="RP42" s="3281"/>
      <c r="RQ42" s="3281"/>
      <c r="RR42" s="3281"/>
      <c r="RS42" s="3281"/>
      <c r="RT42" s="3281"/>
      <c r="RU42" s="3281"/>
      <c r="RV42" s="3281"/>
      <c r="RW42" s="3281"/>
      <c r="RX42" s="3281"/>
      <c r="RY42" s="3281"/>
      <c r="RZ42" s="3281"/>
      <c r="SA42" s="3281"/>
      <c r="SB42" s="3281"/>
      <c r="SC42" s="3281"/>
      <c r="SD42" s="3281"/>
      <c r="SE42" s="3281"/>
      <c r="SF42" s="3281"/>
      <c r="SG42" s="3281"/>
      <c r="SH42" s="3281"/>
      <c r="SI42" s="3281"/>
      <c r="SJ42" s="3281"/>
      <c r="SK42" s="3281"/>
      <c r="SL42" s="3281"/>
      <c r="SM42" s="3281"/>
      <c r="SN42" s="3281"/>
      <c r="SO42" s="3281"/>
      <c r="SP42" s="3281"/>
      <c r="SQ42" s="3281"/>
      <c r="SR42" s="3281"/>
      <c r="SS42" s="3281"/>
      <c r="ST42" s="3281"/>
      <c r="SU42" s="3281"/>
      <c r="SV42" s="3281"/>
      <c r="SW42" s="3281"/>
      <c r="SX42" s="3281"/>
      <c r="SY42" s="3281"/>
      <c r="SZ42" s="3281"/>
      <c r="TA42" s="3281"/>
      <c r="TB42" s="3281"/>
      <c r="TC42" s="3281"/>
      <c r="TD42" s="3281"/>
      <c r="TE42" s="3281"/>
      <c r="TF42" s="3281"/>
      <c r="TG42" s="3281"/>
      <c r="TH42" s="3281"/>
      <c r="TI42" s="3281"/>
      <c r="TJ42" s="3281"/>
      <c r="TK42" s="3281"/>
      <c r="TL42" s="3281"/>
      <c r="TM42" s="3281"/>
      <c r="TN42" s="3281"/>
      <c r="TO42" s="3281"/>
      <c r="TP42" s="3281"/>
      <c r="TQ42" s="3281"/>
      <c r="TR42" s="3281"/>
      <c r="TS42" s="3281"/>
      <c r="TT42" s="3281"/>
      <c r="TU42" s="3281"/>
      <c r="TV42" s="3281"/>
      <c r="TW42" s="3281"/>
      <c r="TX42" s="3281"/>
      <c r="TY42" s="3281"/>
      <c r="TZ42" s="3281"/>
      <c r="UA42" s="3281"/>
      <c r="UB42" s="3281"/>
      <c r="UC42" s="3281"/>
      <c r="UD42" s="3281"/>
      <c r="UE42" s="3281"/>
      <c r="UF42" s="3281"/>
      <c r="UG42" s="3281"/>
      <c r="UH42" s="3281"/>
      <c r="UI42" s="3281"/>
      <c r="UJ42" s="3281"/>
      <c r="UK42" s="3281"/>
      <c r="UL42" s="3281"/>
      <c r="UM42" s="3281"/>
      <c r="UN42" s="3281"/>
      <c r="UO42" s="3281"/>
      <c r="UP42" s="3281"/>
      <c r="UQ42" s="3281"/>
      <c r="UR42" s="3281"/>
      <c r="US42" s="3281"/>
      <c r="UT42" s="3281"/>
      <c r="UU42" s="3281"/>
      <c r="UV42" s="3281"/>
      <c r="UW42" s="3281"/>
      <c r="UX42" s="3281"/>
      <c r="UY42" s="3281"/>
      <c r="UZ42" s="3281"/>
      <c r="VA42" s="3281"/>
      <c r="VB42" s="3281"/>
      <c r="VC42" s="3281"/>
      <c r="VD42" s="3281"/>
      <c r="VE42" s="3281"/>
      <c r="VF42" s="3281"/>
      <c r="VG42" s="3281"/>
      <c r="VH42" s="3281"/>
      <c r="VI42" s="3281"/>
      <c r="VJ42" s="3281"/>
      <c r="VK42" s="3281"/>
      <c r="VL42" s="3281"/>
      <c r="VM42" s="3281"/>
      <c r="VN42" s="3281"/>
      <c r="VO42" s="3281"/>
      <c r="VP42" s="3281"/>
      <c r="VQ42" s="3281"/>
      <c r="VR42" s="3281"/>
      <c r="VS42" s="3281"/>
      <c r="VT42" s="3281"/>
      <c r="VU42" s="3281"/>
      <c r="VV42" s="3281"/>
      <c r="VW42" s="3281"/>
      <c r="VX42" s="3281"/>
      <c r="VY42" s="3281"/>
      <c r="VZ42" s="3281"/>
      <c r="WA42" s="3281"/>
      <c r="WB42" s="3281"/>
      <c r="WC42" s="3281"/>
      <c r="WD42" s="3281"/>
      <c r="WE42" s="3281"/>
      <c r="WF42" s="3281"/>
      <c r="WG42" s="3281"/>
      <c r="WH42" s="3281"/>
      <c r="WI42" s="3281"/>
      <c r="WJ42" s="3281"/>
      <c r="WK42" s="3281"/>
      <c r="WL42" s="3281"/>
      <c r="WM42" s="3281"/>
      <c r="WN42" s="3281"/>
      <c r="WO42" s="3281"/>
      <c r="WP42" s="3281"/>
      <c r="WQ42" s="3281"/>
      <c r="WR42" s="3281"/>
      <c r="WS42" s="3281"/>
      <c r="WT42" s="3281"/>
      <c r="WU42" s="3281"/>
      <c r="WV42" s="3281"/>
      <c r="WW42" s="3281"/>
      <c r="WX42" s="3281"/>
      <c r="WY42" s="3281"/>
      <c r="WZ42" s="3281"/>
      <c r="XA42" s="3281"/>
      <c r="XB42" s="3281"/>
      <c r="XC42" s="3281"/>
      <c r="XD42" s="3281"/>
      <c r="XE42" s="3281"/>
      <c r="XF42" s="3281"/>
      <c r="XG42" s="3281"/>
      <c r="XH42" s="3281"/>
      <c r="XI42" s="3281"/>
      <c r="XJ42" s="3281"/>
      <c r="XK42" s="3281"/>
      <c r="XL42" s="3281"/>
      <c r="XM42" s="3281"/>
      <c r="XN42" s="3281"/>
      <c r="XO42" s="3281"/>
      <c r="XP42" s="3281"/>
      <c r="XQ42" s="3281"/>
      <c r="XR42" s="3281"/>
      <c r="XS42" s="3281"/>
      <c r="XT42" s="3281"/>
      <c r="XU42" s="3281"/>
      <c r="XV42" s="3281"/>
      <c r="XW42" s="3281"/>
      <c r="XX42" s="3281"/>
      <c r="XY42" s="3281"/>
      <c r="XZ42" s="3281"/>
      <c r="YA42" s="3281"/>
      <c r="YB42" s="3281"/>
      <c r="YC42" s="3281"/>
      <c r="YD42" s="3281"/>
      <c r="YE42" s="3281"/>
      <c r="YF42" s="3281"/>
      <c r="YG42" s="3281"/>
      <c r="YH42" s="3281"/>
      <c r="YI42" s="3281"/>
      <c r="YJ42" s="3281"/>
      <c r="YK42" s="3281"/>
      <c r="YL42" s="3281"/>
      <c r="YM42" s="3281"/>
      <c r="YN42" s="3281"/>
      <c r="YO42" s="3281"/>
      <c r="YP42" s="3281"/>
      <c r="YQ42" s="3281"/>
      <c r="YR42" s="3281"/>
      <c r="YS42" s="3281"/>
      <c r="YT42" s="3281"/>
      <c r="YU42" s="3281"/>
      <c r="YV42" s="3281"/>
      <c r="YW42" s="3281"/>
      <c r="YX42" s="3281"/>
      <c r="YY42" s="3281"/>
      <c r="YZ42" s="3281"/>
      <c r="ZA42" s="3281"/>
      <c r="ZB42" s="3281"/>
      <c r="ZC42" s="3281"/>
      <c r="ZD42" s="3281"/>
      <c r="ZE42" s="3281"/>
      <c r="ZF42" s="3281"/>
      <c r="ZG42" s="3281"/>
      <c r="ZH42" s="3281"/>
      <c r="ZI42" s="3281"/>
      <c r="ZJ42" s="3281"/>
      <c r="ZK42" s="3281"/>
      <c r="ZL42" s="3281"/>
      <c r="ZM42" s="3281"/>
      <c r="ZN42" s="3281"/>
      <c r="ZO42" s="3281"/>
      <c r="ZP42" s="3281"/>
      <c r="ZQ42" s="3281"/>
      <c r="ZR42" s="3281"/>
      <c r="ZS42" s="3281"/>
      <c r="ZT42" s="3281"/>
      <c r="ZU42" s="3281"/>
      <c r="ZV42" s="3281"/>
      <c r="ZW42" s="3281"/>
      <c r="ZX42" s="3281"/>
      <c r="ZY42" s="3281"/>
      <c r="ZZ42" s="3281"/>
      <c r="AAA42" s="3281"/>
      <c r="AAB42" s="3281"/>
      <c r="AAC42" s="3281"/>
      <c r="AAD42" s="3281"/>
      <c r="AAE42" s="3281"/>
      <c r="AAF42" s="3281"/>
      <c r="AAG42" s="3281"/>
      <c r="AAH42" s="3281"/>
      <c r="AAI42" s="3281"/>
      <c r="AAJ42" s="3281"/>
      <c r="AAK42" s="3281"/>
      <c r="AAL42" s="3281"/>
      <c r="AAM42" s="3281"/>
      <c r="AAN42" s="3281"/>
      <c r="AAO42" s="3281"/>
      <c r="AAP42" s="3281"/>
      <c r="AAQ42" s="3281"/>
      <c r="AAR42" s="3281"/>
      <c r="AAS42" s="3281"/>
      <c r="AAT42" s="3281"/>
      <c r="AAU42" s="3281"/>
      <c r="AAV42" s="3281"/>
      <c r="AAW42" s="3281"/>
      <c r="AAX42" s="3281"/>
      <c r="AAY42" s="3281"/>
      <c r="AAZ42" s="3281"/>
      <c r="ABA42" s="3281"/>
      <c r="ABB42" s="3281"/>
      <c r="ABC42" s="3281"/>
      <c r="ABD42" s="3281"/>
      <c r="ABE42" s="3281"/>
      <c r="ABF42" s="3281"/>
      <c r="ABG42" s="3281"/>
      <c r="ABH42" s="3281"/>
      <c r="ABI42" s="3281"/>
      <c r="ABJ42" s="3281"/>
      <c r="ABK42" s="3281"/>
      <c r="ABL42" s="3281"/>
      <c r="ABM42" s="3281"/>
      <c r="ABN42" s="3281"/>
      <c r="ABO42" s="3281"/>
      <c r="ABP42" s="3281"/>
      <c r="ABQ42" s="3281"/>
      <c r="ABR42" s="3281"/>
      <c r="ABS42" s="3281"/>
      <c r="ABT42" s="3281"/>
      <c r="ABU42" s="3281"/>
      <c r="ABV42" s="3281"/>
      <c r="ABW42" s="3281"/>
      <c r="ABX42" s="3281"/>
      <c r="ABY42" s="3281"/>
      <c r="ABZ42" s="3281"/>
      <c r="ACA42" s="3281"/>
      <c r="ACB42" s="3281"/>
      <c r="ACC42" s="3281"/>
      <c r="ACD42" s="3281"/>
      <c r="ACE42" s="3281"/>
      <c r="ACF42" s="3281"/>
      <c r="ACG42" s="3281"/>
      <c r="ACH42" s="3281"/>
      <c r="ACI42" s="3281"/>
      <c r="ACJ42" s="3281"/>
      <c r="ACK42" s="3281"/>
      <c r="ACL42" s="3281"/>
      <c r="ACM42" s="3281"/>
      <c r="ACN42" s="3281"/>
      <c r="ACO42" s="3281"/>
      <c r="ACP42" s="3281"/>
      <c r="ACQ42" s="3281"/>
      <c r="ACR42" s="3281"/>
      <c r="ACS42" s="3281"/>
      <c r="ACT42" s="3281"/>
      <c r="ACU42" s="3281"/>
      <c r="ACV42" s="3281"/>
      <c r="ACW42" s="3281"/>
      <c r="ACX42" s="3281"/>
      <c r="ACY42" s="3281"/>
      <c r="ACZ42" s="3281"/>
      <c r="ADA42" s="3281"/>
      <c r="ADB42" s="3281"/>
      <c r="ADC42" s="3281"/>
      <c r="ADD42" s="3281"/>
      <c r="ADE42" s="3281"/>
      <c r="ADF42" s="3281"/>
      <c r="ADG42" s="3281"/>
      <c r="ADH42" s="3281"/>
      <c r="ADI42" s="3281"/>
      <c r="ADJ42" s="3281"/>
      <c r="ADK42" s="3281"/>
      <c r="ADL42" s="3281"/>
      <c r="ADM42" s="3281"/>
      <c r="ADN42" s="3281"/>
      <c r="ADO42" s="3281"/>
      <c r="ADP42" s="3281"/>
      <c r="ADQ42" s="3281"/>
      <c r="ADR42" s="3281"/>
      <c r="ADS42" s="3281"/>
      <c r="ADT42" s="3281"/>
      <c r="ADU42" s="3281"/>
      <c r="ADV42" s="3281"/>
      <c r="ADW42" s="3281"/>
      <c r="ADX42" s="3281"/>
      <c r="ADY42" s="3281"/>
      <c r="ADZ42" s="3281"/>
      <c r="AEA42" s="3281"/>
      <c r="AEB42" s="3281"/>
      <c r="AEC42" s="3281"/>
      <c r="AED42" s="3281"/>
      <c r="AEE42" s="3281"/>
      <c r="AEF42" s="3281"/>
      <c r="AEG42" s="3281"/>
      <c r="AEH42" s="3281"/>
      <c r="AEI42" s="3281"/>
      <c r="AEJ42" s="3281"/>
      <c r="AEK42" s="3281"/>
      <c r="AEL42" s="3281"/>
      <c r="AEM42" s="3281"/>
      <c r="AEN42" s="3281"/>
      <c r="AEO42" s="3281"/>
      <c r="AEP42" s="3281"/>
      <c r="AEQ42" s="3281"/>
      <c r="AER42" s="3281"/>
      <c r="AES42" s="3281"/>
      <c r="AET42" s="3281"/>
      <c r="AEU42" s="3281"/>
      <c r="AEV42" s="3281"/>
      <c r="AEW42" s="3281"/>
      <c r="AEX42" s="3281"/>
      <c r="AEY42" s="3281"/>
      <c r="AEZ42" s="3281"/>
      <c r="AFA42" s="3281"/>
      <c r="AFB42" s="3281"/>
      <c r="AFC42" s="3281"/>
      <c r="AFD42" s="3281"/>
      <c r="AFE42" s="3281"/>
      <c r="AFF42" s="3281"/>
      <c r="AFG42" s="3281"/>
      <c r="AFH42" s="3281"/>
      <c r="AFI42" s="3281"/>
      <c r="AFJ42" s="3281"/>
      <c r="AFK42" s="3281"/>
      <c r="AFL42" s="3281"/>
      <c r="AFM42" s="3281"/>
      <c r="AFN42" s="3281"/>
      <c r="AFO42" s="3281"/>
      <c r="AFP42" s="3281"/>
      <c r="AFQ42" s="3281"/>
      <c r="AFR42" s="3281"/>
      <c r="AFS42" s="3281"/>
      <c r="AFT42" s="3281"/>
      <c r="AFU42" s="3281"/>
      <c r="AFV42" s="3281"/>
      <c r="AFW42" s="3281"/>
      <c r="AFX42" s="3281"/>
      <c r="AFY42" s="3281"/>
      <c r="AFZ42" s="3281"/>
      <c r="AGA42" s="3281"/>
      <c r="AGB42" s="3281"/>
      <c r="AGC42" s="3281"/>
      <c r="AGD42" s="3281"/>
      <c r="AGE42" s="3281"/>
      <c r="AGF42" s="3281"/>
      <c r="AGG42" s="3281"/>
      <c r="AGH42" s="3281"/>
      <c r="AGI42" s="3281"/>
      <c r="AGJ42" s="3281"/>
      <c r="AGK42" s="3281"/>
      <c r="AGL42" s="3281"/>
      <c r="AGM42" s="3281"/>
      <c r="AGN42" s="3281"/>
      <c r="AGO42" s="3281"/>
      <c r="AGP42" s="3281"/>
      <c r="AGQ42" s="3281"/>
      <c r="AGR42" s="3281"/>
      <c r="AGS42" s="3281"/>
      <c r="AGT42" s="3281"/>
      <c r="AGU42" s="3281"/>
      <c r="AGV42" s="3281"/>
      <c r="AGW42" s="3281"/>
      <c r="AGX42" s="3281"/>
      <c r="AGY42" s="3281"/>
      <c r="AGZ42" s="3281"/>
      <c r="AHA42" s="3281"/>
      <c r="AHB42" s="3281"/>
      <c r="AHC42" s="3281"/>
      <c r="AHD42" s="3281"/>
      <c r="AHE42" s="3281"/>
      <c r="AHF42" s="3281"/>
      <c r="AHG42" s="3281"/>
      <c r="AHH42" s="3281"/>
      <c r="AHI42" s="3281"/>
      <c r="AHJ42" s="3281"/>
      <c r="AHK42" s="3281"/>
      <c r="AHL42" s="3281"/>
      <c r="AHM42" s="3281"/>
      <c r="AHN42" s="3281"/>
      <c r="AHO42" s="3281"/>
      <c r="AHP42" s="3281"/>
      <c r="AHQ42" s="3281"/>
      <c r="AHR42" s="3281"/>
      <c r="AHS42" s="3281"/>
      <c r="AHT42" s="3281"/>
      <c r="AHU42" s="3281"/>
      <c r="AHV42" s="3281"/>
      <c r="AHW42" s="3281"/>
      <c r="AHX42" s="3281"/>
      <c r="AHY42" s="3281"/>
      <c r="AHZ42" s="3281"/>
      <c r="AIA42" s="3281"/>
      <c r="AIB42" s="3281"/>
      <c r="AIC42" s="3281"/>
      <c r="AID42" s="3281"/>
      <c r="AIE42" s="3281"/>
      <c r="AIF42" s="3281"/>
      <c r="AIG42" s="3281"/>
      <c r="AIH42" s="3281"/>
      <c r="AII42" s="3281"/>
      <c r="AIJ42" s="3281"/>
      <c r="AIK42" s="3281"/>
      <c r="AIL42" s="3281"/>
      <c r="AIM42" s="3281"/>
      <c r="AIN42" s="3281"/>
      <c r="AIO42" s="3281"/>
      <c r="AIP42" s="3281"/>
      <c r="AIQ42" s="3281"/>
      <c r="AIR42" s="3281"/>
      <c r="AIS42" s="3281"/>
      <c r="AIT42" s="3281"/>
      <c r="AIU42" s="3281"/>
      <c r="AIV42" s="3281"/>
      <c r="AIW42" s="3281"/>
      <c r="AIX42" s="3281"/>
      <c r="AIY42" s="3281"/>
      <c r="AIZ42" s="3281"/>
      <c r="AJA42" s="3281"/>
      <c r="AJB42" s="3281"/>
      <c r="AJC42" s="3281"/>
      <c r="AJD42" s="3281"/>
      <c r="AJE42" s="3281"/>
      <c r="AJF42" s="3281"/>
      <c r="AJG42" s="3281"/>
      <c r="AJH42" s="3281"/>
      <c r="AJI42" s="3281"/>
      <c r="AJJ42" s="3281"/>
      <c r="AJK42" s="3281"/>
      <c r="AJL42" s="3281"/>
      <c r="AJM42" s="3281"/>
      <c r="AJN42" s="3281"/>
      <c r="AJO42" s="3281"/>
      <c r="AJP42" s="3281"/>
      <c r="AJQ42" s="3281"/>
      <c r="AJR42" s="3281"/>
      <c r="AJS42" s="3281"/>
      <c r="AJT42" s="3281"/>
      <c r="AJU42" s="3281"/>
      <c r="AJV42" s="3281"/>
      <c r="AJW42" s="3281"/>
      <c r="AJX42" s="3281"/>
      <c r="AJY42" s="3281"/>
      <c r="AJZ42" s="3281"/>
      <c r="AKA42" s="3281"/>
      <c r="AKB42" s="3281"/>
      <c r="AKC42" s="3281"/>
      <c r="AKD42" s="3281"/>
      <c r="AKE42" s="3281"/>
      <c r="AKF42" s="3281"/>
      <c r="AKG42" s="3281"/>
      <c r="AKH42" s="3281"/>
      <c r="AKI42" s="3281"/>
      <c r="AKJ42" s="3281"/>
      <c r="AKK42" s="3281"/>
      <c r="AKL42" s="3281"/>
      <c r="AKM42" s="3281"/>
      <c r="AKN42" s="3281"/>
      <c r="AKO42" s="3281"/>
      <c r="AKP42" s="3281"/>
      <c r="AKQ42" s="3281"/>
      <c r="AKR42" s="3281"/>
      <c r="AKS42" s="3281"/>
      <c r="AKT42" s="3281"/>
      <c r="AKU42" s="3281"/>
      <c r="AKV42" s="3281"/>
      <c r="AKW42" s="3281"/>
      <c r="AKX42" s="3281"/>
      <c r="AKY42" s="3281"/>
      <c r="AKZ42" s="3281"/>
      <c r="ALA42" s="3281"/>
      <c r="ALB42" s="3281"/>
      <c r="ALC42" s="3281"/>
      <c r="ALD42" s="3281"/>
      <c r="ALE42" s="3281"/>
      <c r="ALF42" s="3281"/>
      <c r="ALG42" s="3281"/>
      <c r="ALH42" s="3281"/>
      <c r="ALI42" s="3281"/>
      <c r="ALJ42" s="3281"/>
      <c r="ALK42" s="3281"/>
      <c r="ALL42" s="3281"/>
      <c r="ALM42" s="3281"/>
      <c r="ALN42" s="3281"/>
      <c r="ALO42" s="3281"/>
      <c r="ALP42" s="3281"/>
      <c r="ALQ42" s="3281"/>
      <c r="ALR42" s="3281"/>
      <c r="ALS42" s="3281"/>
      <c r="ALT42" s="3281"/>
      <c r="ALU42" s="3281"/>
      <c r="ALV42" s="3281"/>
      <c r="ALW42" s="3281"/>
      <c r="ALX42" s="3281"/>
      <c r="ALY42" s="3281"/>
      <c r="ALZ42" s="3281"/>
      <c r="AMA42" s="3281"/>
      <c r="AMB42" s="3281"/>
      <c r="AMC42" s="3281"/>
      <c r="AMD42" s="3281"/>
      <c r="AME42" s="3281"/>
      <c r="AMF42" s="3281"/>
      <c r="AMG42" s="3281"/>
      <c r="AMH42" s="3281"/>
      <c r="AMI42" s="3281"/>
      <c r="AMJ42" s="3281"/>
      <c r="AMK42" s="3281"/>
      <c r="AML42" s="3281"/>
      <c r="AMM42" s="3281"/>
      <c r="AMN42" s="3281"/>
      <c r="AMO42" s="3281"/>
      <c r="AMP42" s="3281"/>
      <c r="AMQ42" s="3281"/>
      <c r="AMR42" s="3281"/>
      <c r="AMS42" s="3281"/>
      <c r="AMT42" s="3281"/>
      <c r="AMU42" s="3281"/>
      <c r="AMV42" s="3281"/>
      <c r="AMW42" s="3281"/>
      <c r="AMX42" s="3281"/>
      <c r="AMY42" s="3281"/>
      <c r="AMZ42" s="3281"/>
      <c r="ANA42" s="3281"/>
      <c r="ANB42" s="3281"/>
      <c r="ANC42" s="3281"/>
      <c r="AND42" s="3281"/>
      <c r="ANE42" s="3281"/>
      <c r="ANF42" s="3281"/>
      <c r="ANG42" s="3281"/>
      <c r="ANH42" s="3281"/>
      <c r="ANI42" s="3281"/>
      <c r="ANJ42" s="3281"/>
      <c r="ANK42" s="3281"/>
      <c r="ANL42" s="3281"/>
      <c r="ANM42" s="3281"/>
      <c r="ANN42" s="3281"/>
      <c r="ANO42" s="3281"/>
      <c r="ANP42" s="3281"/>
      <c r="ANQ42" s="3281"/>
      <c r="ANR42" s="3281"/>
      <c r="ANS42" s="3281"/>
      <c r="ANT42" s="3281"/>
      <c r="ANU42" s="3281"/>
      <c r="ANV42" s="3281"/>
      <c r="ANW42" s="3281"/>
      <c r="ANX42" s="3281"/>
      <c r="ANY42" s="3281"/>
      <c r="ANZ42" s="3281"/>
      <c r="AOA42" s="3281"/>
      <c r="AOB42" s="3281"/>
      <c r="AOC42" s="3281"/>
      <c r="AOD42" s="3281"/>
      <c r="AOE42" s="3281"/>
      <c r="AOF42" s="3281"/>
      <c r="AOG42" s="3281"/>
      <c r="AOH42" s="3281"/>
      <c r="AOI42" s="3281"/>
      <c r="AOJ42" s="3281"/>
      <c r="AOK42" s="3281"/>
      <c r="AOL42" s="3281"/>
      <c r="AOM42" s="3281"/>
      <c r="AON42" s="3281"/>
      <c r="AOO42" s="3281"/>
      <c r="AOP42" s="3281"/>
      <c r="AOQ42" s="3281"/>
      <c r="AOR42" s="3281"/>
      <c r="AOS42" s="3281"/>
      <c r="AOT42" s="3281"/>
      <c r="AOU42" s="3281"/>
      <c r="AOV42" s="3281"/>
      <c r="AOW42" s="3281"/>
      <c r="AOX42" s="3281"/>
      <c r="AOY42" s="3281"/>
      <c r="AOZ42" s="3281"/>
      <c r="APA42" s="3281"/>
      <c r="APB42" s="3281"/>
      <c r="APC42" s="3281"/>
      <c r="APD42" s="3281"/>
      <c r="APE42" s="3281"/>
      <c r="APF42" s="3281"/>
      <c r="APG42" s="3281"/>
      <c r="APH42" s="3281"/>
      <c r="API42" s="3281"/>
      <c r="APJ42" s="3281"/>
      <c r="APK42" s="3281"/>
      <c r="APL42" s="3281"/>
      <c r="APM42" s="3281"/>
      <c r="APN42" s="3281"/>
      <c r="APO42" s="3281"/>
      <c r="APP42" s="3281"/>
      <c r="APQ42" s="3281"/>
      <c r="APR42" s="3281"/>
      <c r="APS42" s="3281"/>
      <c r="APT42" s="3281"/>
      <c r="APU42" s="3281"/>
      <c r="APV42" s="3281"/>
      <c r="APW42" s="3281"/>
      <c r="APX42" s="3281"/>
      <c r="APY42" s="3281"/>
      <c r="APZ42" s="3281"/>
      <c r="AQA42" s="3281"/>
      <c r="AQB42" s="3281"/>
      <c r="AQC42" s="3281"/>
      <c r="AQD42" s="3281"/>
      <c r="AQE42" s="3281"/>
      <c r="AQF42" s="3281"/>
      <c r="AQG42" s="3281"/>
      <c r="AQH42" s="3281"/>
      <c r="AQI42" s="3281"/>
      <c r="AQJ42" s="3281"/>
      <c r="AQK42" s="3281"/>
      <c r="AQL42" s="3281"/>
      <c r="AQM42" s="3281"/>
      <c r="AQN42" s="3281"/>
      <c r="AQO42" s="3281"/>
      <c r="AQP42" s="3281"/>
      <c r="AQQ42" s="3281"/>
      <c r="AQR42" s="3281"/>
      <c r="AQS42" s="3281"/>
      <c r="AQT42" s="3281"/>
      <c r="AQU42" s="3281"/>
      <c r="AQV42" s="3281"/>
      <c r="AQW42" s="3281"/>
      <c r="AQX42" s="3281"/>
      <c r="AQY42" s="3281"/>
      <c r="AQZ42" s="3281"/>
      <c r="ARA42" s="3281"/>
      <c r="ARB42" s="3281"/>
      <c r="ARC42" s="3281"/>
      <c r="ARD42" s="3281"/>
      <c r="ARE42" s="3281"/>
      <c r="ARF42" s="3281"/>
      <c r="ARG42" s="3281"/>
      <c r="ARH42" s="3281"/>
      <c r="ARI42" s="3281"/>
      <c r="ARJ42" s="3281"/>
      <c r="ARK42" s="3281"/>
      <c r="ARL42" s="3281"/>
      <c r="ARM42" s="3281"/>
      <c r="ARN42" s="3281"/>
      <c r="ARO42" s="3281"/>
      <c r="ARP42" s="3281"/>
      <c r="ARQ42" s="3281"/>
      <c r="ARR42" s="3281"/>
      <c r="ARS42" s="3281"/>
      <c r="ART42" s="3281"/>
      <c r="ARU42" s="3281"/>
      <c r="ARV42" s="3281"/>
      <c r="ARW42" s="3281"/>
      <c r="ARX42" s="3281"/>
      <c r="ARY42" s="3281"/>
      <c r="ARZ42" s="3281"/>
      <c r="ASA42" s="3281"/>
      <c r="ASB42" s="3281"/>
      <c r="ASC42" s="3281"/>
      <c r="ASD42" s="3281"/>
      <c r="ASE42" s="3281"/>
      <c r="ASF42" s="3281"/>
      <c r="ASG42" s="3281"/>
      <c r="ASH42" s="3281"/>
      <c r="ASI42" s="3281"/>
      <c r="ASJ42" s="3281"/>
      <c r="ASK42" s="3281"/>
      <c r="ASL42" s="3281"/>
      <c r="ASM42" s="3281"/>
      <c r="ASN42" s="3281"/>
      <c r="ASO42" s="3281"/>
      <c r="ASP42" s="3281"/>
      <c r="ASQ42" s="3281"/>
      <c r="ASR42" s="3281"/>
      <c r="ASS42" s="3281"/>
      <c r="AST42" s="3281"/>
      <c r="ASU42" s="3281"/>
      <c r="ASV42" s="3281"/>
      <c r="ASW42" s="3281"/>
      <c r="ASX42" s="3281"/>
      <c r="ASY42" s="3281"/>
      <c r="ASZ42" s="3281"/>
      <c r="ATA42" s="3281"/>
      <c r="ATB42" s="3281"/>
      <c r="ATC42" s="3281"/>
      <c r="ATD42" s="3281"/>
      <c r="ATE42" s="3281"/>
      <c r="ATF42" s="3281"/>
      <c r="ATG42" s="3281"/>
      <c r="ATH42" s="3281"/>
      <c r="ATI42" s="3281"/>
      <c r="ATJ42" s="3281"/>
      <c r="ATK42" s="3281"/>
      <c r="ATL42" s="3281"/>
      <c r="ATM42" s="3281"/>
      <c r="ATN42" s="3281"/>
      <c r="ATO42" s="3281"/>
      <c r="ATP42" s="3281"/>
      <c r="ATQ42" s="3281"/>
      <c r="ATR42" s="3281"/>
      <c r="ATS42" s="3281"/>
      <c r="ATT42" s="3281"/>
      <c r="ATU42" s="3281"/>
      <c r="ATV42" s="3281"/>
      <c r="ATW42" s="3281"/>
      <c r="ATX42" s="3281"/>
      <c r="ATY42" s="3281"/>
      <c r="ATZ42" s="3281"/>
      <c r="AUA42" s="3281"/>
      <c r="AUB42" s="3281"/>
      <c r="AUC42" s="3281"/>
      <c r="AUD42" s="3281"/>
      <c r="AUE42" s="3281"/>
      <c r="AUF42" s="3281"/>
      <c r="AUG42" s="3281"/>
      <c r="AUH42" s="3281"/>
      <c r="AUI42" s="3281"/>
      <c r="AUJ42" s="3281"/>
      <c r="AUK42" s="3281"/>
      <c r="AUL42" s="3281"/>
      <c r="AUM42" s="3281"/>
      <c r="AUN42" s="3281"/>
      <c r="AUO42" s="3281"/>
      <c r="AUP42" s="3281"/>
      <c r="AUQ42" s="3281"/>
      <c r="AUR42" s="3281"/>
      <c r="AUS42" s="3281"/>
      <c r="AUT42" s="3281"/>
      <c r="AUU42" s="3281"/>
      <c r="AUV42" s="3281"/>
      <c r="AUW42" s="3281"/>
      <c r="AUX42" s="3281"/>
      <c r="AUY42" s="3281"/>
      <c r="AUZ42" s="3281"/>
      <c r="AVA42" s="3281"/>
      <c r="AVB42" s="3281"/>
      <c r="AVC42" s="3281"/>
      <c r="AVD42" s="3281"/>
      <c r="AVE42" s="3281"/>
      <c r="AVF42" s="3281"/>
      <c r="AVG42" s="3281"/>
      <c r="AVH42" s="3281"/>
      <c r="AVI42" s="3281"/>
      <c r="AVJ42" s="3281"/>
      <c r="AVK42" s="3281"/>
      <c r="AVL42" s="3281"/>
      <c r="AVM42" s="3281"/>
      <c r="AVN42" s="3281"/>
      <c r="AVO42" s="3281"/>
      <c r="AVP42" s="3281"/>
      <c r="AVQ42" s="3281"/>
      <c r="AVR42" s="3281"/>
      <c r="AVS42" s="3281"/>
      <c r="AVT42" s="3281"/>
      <c r="AVU42" s="3281"/>
      <c r="AVV42" s="3281"/>
      <c r="AVW42" s="3281"/>
      <c r="AVX42" s="3281"/>
      <c r="AVY42" s="3281"/>
      <c r="AVZ42" s="3281"/>
      <c r="AWA42" s="3281"/>
      <c r="AWB42" s="3281"/>
      <c r="AWC42" s="3281"/>
      <c r="AWD42" s="3281"/>
      <c r="AWE42" s="3281"/>
      <c r="AWF42" s="3281"/>
      <c r="AWG42" s="3281"/>
      <c r="AWH42" s="3281"/>
      <c r="AWI42" s="3281"/>
      <c r="AWJ42" s="3281"/>
      <c r="AWK42" s="3281"/>
      <c r="AWL42" s="3281"/>
      <c r="AWM42" s="3281"/>
      <c r="AWN42" s="3281"/>
      <c r="AWO42" s="3281"/>
      <c r="AWP42" s="3281"/>
      <c r="AWQ42" s="3281"/>
      <c r="AWR42" s="3281"/>
      <c r="AWS42" s="3281"/>
      <c r="AWT42" s="3281"/>
      <c r="AWU42" s="3281"/>
      <c r="AWV42" s="3281"/>
      <c r="AWW42" s="3281"/>
      <c r="AWX42" s="3281"/>
      <c r="AWY42" s="3281"/>
      <c r="AWZ42" s="3281"/>
      <c r="AXA42" s="3281"/>
      <c r="AXB42" s="3281"/>
      <c r="AXC42" s="3281"/>
      <c r="AXD42" s="3281"/>
      <c r="AXE42" s="3281"/>
      <c r="AXF42" s="3281"/>
      <c r="AXG42" s="3281"/>
      <c r="AXH42" s="3281"/>
      <c r="AXI42" s="3281"/>
      <c r="AXJ42" s="3281"/>
      <c r="AXK42" s="3281"/>
      <c r="AXL42" s="3281"/>
      <c r="AXM42" s="3281"/>
      <c r="AXN42" s="3281"/>
      <c r="AXO42" s="3281"/>
      <c r="AXP42" s="3281"/>
      <c r="AXQ42" s="3281"/>
      <c r="AXR42" s="3281"/>
      <c r="AXS42" s="3281"/>
      <c r="AXT42" s="3281"/>
      <c r="AXU42" s="3281"/>
      <c r="AXV42" s="3281"/>
      <c r="AXW42" s="3281"/>
      <c r="AXX42" s="3281"/>
      <c r="AXY42" s="3281"/>
      <c r="AXZ42" s="3281"/>
      <c r="AYA42" s="3281"/>
      <c r="AYB42" s="3281"/>
      <c r="AYC42" s="3281"/>
      <c r="AYD42" s="3281"/>
      <c r="AYE42" s="3281"/>
      <c r="AYF42" s="3281"/>
      <c r="AYG42" s="3281"/>
      <c r="AYH42" s="3281"/>
      <c r="AYI42" s="3281"/>
      <c r="AYJ42" s="3281"/>
      <c r="AYK42" s="3281"/>
      <c r="AYL42" s="3281"/>
      <c r="AYM42" s="3281"/>
      <c r="AYN42" s="3281"/>
      <c r="AYO42" s="3281"/>
      <c r="AYP42" s="3281"/>
      <c r="AYQ42" s="3281"/>
      <c r="AYR42" s="3281"/>
      <c r="AYS42" s="3281"/>
      <c r="AYT42" s="3281"/>
      <c r="AYU42" s="3281"/>
      <c r="AYV42" s="3281"/>
      <c r="AYW42" s="3281"/>
      <c r="AYX42" s="3281"/>
      <c r="AYY42" s="3281"/>
      <c r="AYZ42" s="3281"/>
      <c r="AZA42" s="3281"/>
      <c r="AZB42" s="3281"/>
      <c r="AZC42" s="3281"/>
      <c r="AZD42" s="3281"/>
      <c r="AZE42" s="3281"/>
      <c r="AZF42" s="3281"/>
      <c r="AZG42" s="3281"/>
      <c r="AZH42" s="3281"/>
      <c r="AZI42" s="3281"/>
      <c r="AZJ42" s="3281"/>
      <c r="AZK42" s="3281"/>
      <c r="AZL42" s="3281"/>
      <c r="AZM42" s="3281"/>
      <c r="AZN42" s="3281"/>
      <c r="AZO42" s="3281"/>
      <c r="AZP42" s="3281"/>
      <c r="AZQ42" s="3281"/>
      <c r="AZR42" s="3281"/>
      <c r="AZS42" s="3281"/>
      <c r="AZT42" s="3281"/>
      <c r="AZU42" s="3281"/>
      <c r="AZV42" s="3281"/>
      <c r="AZW42" s="3281"/>
      <c r="AZX42" s="3281"/>
      <c r="AZY42" s="3281"/>
      <c r="AZZ42" s="3281"/>
      <c r="BAA42" s="3281"/>
      <c r="BAB42" s="3281"/>
      <c r="BAC42" s="3281"/>
      <c r="BAD42" s="3281"/>
      <c r="BAE42" s="3281"/>
      <c r="BAF42" s="3281"/>
      <c r="BAG42" s="3281"/>
      <c r="BAH42" s="3281"/>
      <c r="BAI42" s="3281"/>
      <c r="BAJ42" s="3281"/>
      <c r="BAK42" s="3281"/>
      <c r="BAL42" s="3281"/>
      <c r="BAM42" s="3281"/>
      <c r="BAN42" s="3281"/>
      <c r="BAO42" s="3281"/>
      <c r="BAP42" s="3281"/>
      <c r="BAQ42" s="3281"/>
      <c r="BAR42" s="3281"/>
      <c r="BAS42" s="3281"/>
      <c r="BAT42" s="3281"/>
      <c r="BAU42" s="3281"/>
      <c r="BAV42" s="3281"/>
      <c r="BAW42" s="3281"/>
      <c r="BAX42" s="3281"/>
      <c r="BAY42" s="3281"/>
      <c r="BAZ42" s="3281"/>
      <c r="BBA42" s="3281"/>
      <c r="BBB42" s="3281"/>
      <c r="BBC42" s="3281"/>
      <c r="BBD42" s="3281"/>
      <c r="BBE42" s="3281"/>
      <c r="BBF42" s="3281"/>
      <c r="BBG42" s="3281"/>
      <c r="BBH42" s="3281"/>
      <c r="BBI42" s="3281"/>
      <c r="BBJ42" s="3281"/>
      <c r="BBK42" s="3281"/>
      <c r="BBL42" s="3281"/>
      <c r="BBM42" s="3281"/>
      <c r="BBN42" s="3281"/>
      <c r="BBO42" s="3281"/>
      <c r="BBP42" s="3281"/>
      <c r="BBQ42" s="3281"/>
      <c r="BBR42" s="3281"/>
      <c r="BBS42" s="3281"/>
      <c r="BBT42" s="3281"/>
      <c r="BBU42" s="3281"/>
      <c r="BBV42" s="3281"/>
      <c r="BBW42" s="3281"/>
      <c r="BBX42" s="3281"/>
      <c r="BBY42" s="3281"/>
      <c r="BBZ42" s="3281"/>
      <c r="BCA42" s="3281"/>
      <c r="BCB42" s="3281"/>
      <c r="BCC42" s="3281"/>
      <c r="BCD42" s="3281"/>
      <c r="BCE42" s="3281"/>
      <c r="BCF42" s="3281"/>
      <c r="BCG42" s="3281"/>
      <c r="BCH42" s="3281"/>
      <c r="BCI42" s="3281"/>
      <c r="BCJ42" s="3281"/>
      <c r="BCK42" s="3281"/>
      <c r="BCL42" s="3281"/>
      <c r="BCM42" s="3281"/>
      <c r="BCN42" s="3281"/>
      <c r="BCO42" s="3281"/>
      <c r="BCP42" s="3281"/>
      <c r="BCQ42" s="3281"/>
      <c r="BCR42" s="3281"/>
      <c r="BCS42" s="3281"/>
      <c r="BCT42" s="3281"/>
      <c r="BCU42" s="3281"/>
      <c r="BCV42" s="3281"/>
      <c r="BCW42" s="3281"/>
      <c r="BCX42" s="3281"/>
      <c r="BCY42" s="3281"/>
      <c r="BCZ42" s="3281"/>
      <c r="BDA42" s="3281"/>
      <c r="BDB42" s="3281"/>
      <c r="BDC42" s="3281"/>
      <c r="BDD42" s="3281"/>
      <c r="BDE42" s="3281"/>
      <c r="BDF42" s="3281"/>
      <c r="BDG42" s="3281"/>
      <c r="BDH42" s="3281"/>
      <c r="BDI42" s="3281"/>
      <c r="BDJ42" s="3281"/>
      <c r="BDK42" s="3281"/>
      <c r="BDL42" s="3281"/>
      <c r="BDM42" s="3281"/>
      <c r="BDN42" s="3281"/>
      <c r="BDO42" s="3281"/>
      <c r="BDP42" s="3281"/>
      <c r="BDQ42" s="3281"/>
      <c r="BDR42" s="3281"/>
      <c r="BDS42" s="3281"/>
      <c r="BDT42" s="3281"/>
      <c r="BDU42" s="3281"/>
      <c r="BDV42" s="3281"/>
      <c r="BDW42" s="3281"/>
      <c r="BDX42" s="3281"/>
      <c r="BDY42" s="3281"/>
      <c r="BDZ42" s="3281"/>
      <c r="BEA42" s="3281"/>
      <c r="BEB42" s="3281"/>
      <c r="BEC42" s="3281"/>
      <c r="BED42" s="3281"/>
      <c r="BEE42" s="3281"/>
      <c r="BEF42" s="3281"/>
      <c r="BEG42" s="3281"/>
      <c r="BEH42" s="3281"/>
      <c r="BEI42" s="3281"/>
      <c r="BEJ42" s="3281"/>
      <c r="BEK42" s="3281"/>
      <c r="BEL42" s="3281"/>
      <c r="BEM42" s="3281"/>
      <c r="BEN42" s="3281"/>
      <c r="BEO42" s="3281"/>
      <c r="BEP42" s="3281"/>
      <c r="BEQ42" s="3281"/>
      <c r="BER42" s="3281"/>
      <c r="BES42" s="3281"/>
      <c r="BET42" s="3281"/>
      <c r="BEU42" s="3281"/>
      <c r="BEV42" s="3281"/>
      <c r="BEW42" s="3281"/>
      <c r="BEX42" s="3281"/>
      <c r="BEY42" s="3281"/>
      <c r="BEZ42" s="3281"/>
      <c r="BFA42" s="3281"/>
      <c r="BFB42" s="3281"/>
      <c r="BFC42" s="3281"/>
      <c r="BFD42" s="3281"/>
      <c r="BFE42" s="3281"/>
      <c r="BFF42" s="3281"/>
      <c r="BFG42" s="3281"/>
      <c r="BFH42" s="3281"/>
      <c r="BFI42" s="3281"/>
      <c r="BFJ42" s="3281"/>
      <c r="BFK42" s="3281"/>
      <c r="BFL42" s="3281"/>
      <c r="BFM42" s="3281"/>
      <c r="BFN42" s="3281"/>
      <c r="BFO42" s="3281"/>
      <c r="BFP42" s="3281"/>
      <c r="BFQ42" s="3281"/>
      <c r="BFR42" s="3281"/>
      <c r="BFS42" s="3281"/>
      <c r="BFT42" s="3281"/>
      <c r="BFU42" s="3281"/>
      <c r="BFV42" s="3281"/>
      <c r="BFW42" s="3281"/>
      <c r="BFX42" s="3281"/>
      <c r="BFY42" s="3281"/>
      <c r="BFZ42" s="3281"/>
      <c r="BGA42" s="3281"/>
      <c r="BGB42" s="3281"/>
      <c r="BGC42" s="3281"/>
      <c r="BGD42" s="3281"/>
      <c r="BGE42" s="3281"/>
      <c r="BGF42" s="3281"/>
      <c r="BGG42" s="3281"/>
      <c r="BGH42" s="3281"/>
      <c r="BGI42" s="3281"/>
      <c r="BGJ42" s="3281"/>
      <c r="BGK42" s="3281"/>
      <c r="BGL42" s="3281"/>
      <c r="BGM42" s="3281"/>
      <c r="BGN42" s="3281"/>
      <c r="BGO42" s="3281"/>
      <c r="BGP42" s="3281"/>
      <c r="BGQ42" s="3281"/>
      <c r="BGR42" s="3281"/>
      <c r="BGS42" s="3281"/>
      <c r="BGT42" s="3281"/>
      <c r="BGU42" s="3281"/>
      <c r="BGV42" s="3281"/>
      <c r="BGW42" s="3281"/>
      <c r="BGX42" s="3281"/>
      <c r="BGY42" s="3281"/>
      <c r="BGZ42" s="3281"/>
      <c r="BHA42" s="3281"/>
      <c r="BHB42" s="3281"/>
      <c r="BHC42" s="3281"/>
      <c r="BHD42" s="3281"/>
      <c r="BHE42" s="3281"/>
      <c r="BHF42" s="3281"/>
      <c r="BHG42" s="3281"/>
      <c r="BHH42" s="3281"/>
      <c r="BHI42" s="3281"/>
      <c r="BHJ42" s="3281"/>
      <c r="BHK42" s="3281"/>
      <c r="BHL42" s="3281"/>
      <c r="BHM42" s="3281"/>
      <c r="BHN42" s="3281"/>
      <c r="BHO42" s="3281"/>
      <c r="BHP42" s="3281"/>
      <c r="BHQ42" s="3281"/>
      <c r="BHR42" s="3281"/>
      <c r="BHS42" s="3281"/>
      <c r="BHT42" s="3281"/>
      <c r="BHU42" s="3281"/>
      <c r="BHV42" s="3281"/>
      <c r="BHW42" s="3281"/>
      <c r="BHX42" s="3281"/>
      <c r="BHY42" s="3281"/>
      <c r="BHZ42" s="3281"/>
      <c r="BIA42" s="3281"/>
      <c r="BIB42" s="3281"/>
      <c r="BIC42" s="3281"/>
      <c r="BID42" s="3281"/>
      <c r="BIE42" s="3281"/>
      <c r="BIF42" s="3281"/>
      <c r="BIG42" s="3281"/>
      <c r="BIH42" s="3281"/>
      <c r="BII42" s="3281"/>
      <c r="BIJ42" s="3281"/>
      <c r="BIK42" s="3281"/>
      <c r="BIL42" s="3281"/>
      <c r="BIM42" s="3281"/>
      <c r="BIN42" s="3281"/>
      <c r="BIO42" s="3281"/>
      <c r="BIP42" s="3281"/>
      <c r="BIQ42" s="3281"/>
      <c r="BIR42" s="3281"/>
      <c r="BIS42" s="3281"/>
      <c r="BIT42" s="3281"/>
      <c r="BIU42" s="3281"/>
      <c r="BIV42" s="3281"/>
      <c r="BIW42" s="3281"/>
      <c r="BIX42" s="3281"/>
      <c r="BIY42" s="3281"/>
      <c r="BIZ42" s="3281"/>
      <c r="BJA42" s="3281"/>
      <c r="BJB42" s="3281"/>
      <c r="BJC42" s="3281"/>
      <c r="BJD42" s="3281"/>
      <c r="BJE42" s="3281"/>
      <c r="BJF42" s="3281"/>
      <c r="BJG42" s="3281"/>
      <c r="BJH42" s="3281"/>
      <c r="BJI42" s="3281"/>
      <c r="BJJ42" s="3281"/>
      <c r="BJK42" s="3281"/>
      <c r="BJL42" s="3281"/>
      <c r="BJM42" s="3281"/>
      <c r="BJN42" s="3281"/>
      <c r="BJO42" s="3281"/>
      <c r="BJP42" s="3281"/>
      <c r="BJQ42" s="3281"/>
      <c r="BJR42" s="3281"/>
      <c r="BJS42" s="3281"/>
      <c r="BJT42" s="3281"/>
      <c r="BJU42" s="3281"/>
      <c r="BJV42" s="3281"/>
      <c r="BJW42" s="3281"/>
      <c r="BJX42" s="3281"/>
      <c r="BJY42" s="3281"/>
      <c r="BJZ42" s="3281"/>
      <c r="BKA42" s="3281"/>
      <c r="BKB42" s="3281"/>
      <c r="BKC42" s="3281"/>
      <c r="BKD42" s="3281"/>
      <c r="BKE42" s="3281"/>
      <c r="BKF42" s="3281"/>
      <c r="BKG42" s="3281"/>
      <c r="BKH42" s="3281"/>
      <c r="BKI42" s="3281"/>
      <c r="BKJ42" s="3281"/>
      <c r="BKK42" s="3281"/>
      <c r="BKL42" s="3281"/>
      <c r="BKM42" s="3281"/>
      <c r="BKN42" s="3281"/>
      <c r="BKO42" s="3281"/>
      <c r="BKP42" s="3281"/>
      <c r="BKQ42" s="3281"/>
      <c r="BKR42" s="3281"/>
      <c r="BKS42" s="3281"/>
      <c r="BKT42" s="3281"/>
      <c r="BKU42" s="3281"/>
      <c r="BKV42" s="3281"/>
      <c r="BKW42" s="3281"/>
      <c r="BKX42" s="3281"/>
      <c r="BKY42" s="3281"/>
      <c r="BKZ42" s="3281"/>
      <c r="BLA42" s="3281"/>
      <c r="BLB42" s="3281"/>
      <c r="BLC42" s="3281"/>
      <c r="BLD42" s="3281"/>
      <c r="BLE42" s="3281"/>
      <c r="BLF42" s="3281"/>
      <c r="BLG42" s="3281"/>
      <c r="BLH42" s="3281"/>
      <c r="BLI42" s="3281"/>
      <c r="BLJ42" s="3281"/>
      <c r="BLK42" s="3281"/>
      <c r="BLL42" s="3281"/>
      <c r="BLM42" s="3281"/>
      <c r="BLN42" s="3281"/>
      <c r="BLO42" s="3281"/>
      <c r="BLP42" s="3281"/>
      <c r="BLQ42" s="3281"/>
      <c r="BLR42" s="3281"/>
      <c r="BLS42" s="3281"/>
      <c r="BLT42" s="3281"/>
      <c r="BLU42" s="3281"/>
      <c r="BLV42" s="3281"/>
      <c r="BLW42" s="3281"/>
      <c r="BLX42" s="3281"/>
      <c r="BLY42" s="3281"/>
      <c r="BLZ42" s="3281"/>
      <c r="BMA42" s="3281"/>
      <c r="BMB42" s="3281"/>
      <c r="BMC42" s="3281"/>
      <c r="BMD42" s="3281"/>
      <c r="BME42" s="3281"/>
      <c r="BMF42" s="3281"/>
      <c r="BMG42" s="3281"/>
      <c r="BMH42" s="3281"/>
      <c r="BMI42" s="3281"/>
      <c r="BMJ42" s="3281"/>
      <c r="BMK42" s="3281"/>
      <c r="BML42" s="3281"/>
      <c r="BMM42" s="3281"/>
      <c r="BMN42" s="3281"/>
      <c r="BMO42" s="3281"/>
      <c r="BMP42" s="3281"/>
      <c r="BMQ42" s="3281"/>
      <c r="BMR42" s="3281"/>
      <c r="BMS42" s="3281"/>
      <c r="BMT42" s="3281"/>
      <c r="BMU42" s="3281"/>
      <c r="BMV42" s="3281"/>
      <c r="BMW42" s="3281"/>
      <c r="BMX42" s="3281"/>
      <c r="BMY42" s="3281"/>
      <c r="BMZ42" s="3281"/>
      <c r="BNA42" s="3281"/>
      <c r="BNB42" s="3281"/>
      <c r="BNC42" s="3281"/>
      <c r="BND42" s="3281"/>
      <c r="BNE42" s="3281"/>
      <c r="BNF42" s="3281"/>
      <c r="BNG42" s="3281"/>
      <c r="BNH42" s="3281"/>
      <c r="BNI42" s="3281"/>
      <c r="BNJ42" s="3281"/>
      <c r="BNK42" s="3281"/>
      <c r="BNL42" s="3281"/>
      <c r="BNM42" s="3281"/>
      <c r="BNN42" s="3281"/>
      <c r="BNO42" s="3281"/>
      <c r="BNP42" s="3281"/>
      <c r="BNQ42" s="3281"/>
      <c r="BNR42" s="3281"/>
      <c r="BNS42" s="3281"/>
      <c r="BNT42" s="3281"/>
      <c r="BNU42" s="3281"/>
      <c r="BNV42" s="3281"/>
      <c r="BNW42" s="3281"/>
      <c r="BNX42" s="3281"/>
      <c r="BNY42" s="3281"/>
      <c r="BNZ42" s="3281"/>
      <c r="BOA42" s="3281"/>
      <c r="BOB42" s="3281"/>
      <c r="BOC42" s="3281"/>
      <c r="BOD42" s="3281"/>
      <c r="BOE42" s="3281"/>
      <c r="BOF42" s="3281"/>
      <c r="BOG42" s="3281"/>
      <c r="BOH42" s="3281"/>
      <c r="BOI42" s="3281"/>
      <c r="BOJ42" s="3281"/>
      <c r="BOK42" s="3281"/>
      <c r="BOL42" s="3281"/>
      <c r="BOM42" s="3281"/>
      <c r="BON42" s="3281"/>
      <c r="BOO42" s="3281"/>
      <c r="BOP42" s="3281"/>
      <c r="BOQ42" s="3281"/>
      <c r="BOR42" s="3281"/>
      <c r="BOS42" s="3281"/>
      <c r="BOT42" s="3281"/>
      <c r="BOU42" s="3281"/>
      <c r="BOV42" s="3281"/>
      <c r="BOW42" s="3281"/>
      <c r="BOX42" s="3281"/>
      <c r="BOY42" s="3281"/>
      <c r="BOZ42" s="3281"/>
      <c r="BPA42" s="3281"/>
      <c r="BPB42" s="3281"/>
      <c r="BPC42" s="3281"/>
      <c r="BPD42" s="3281"/>
      <c r="BPE42" s="3281"/>
      <c r="BPF42" s="3281"/>
      <c r="BPG42" s="3281"/>
      <c r="BPH42" s="3281"/>
      <c r="BPI42" s="3281"/>
      <c r="BPJ42" s="3281"/>
      <c r="BPK42" s="3281"/>
      <c r="BPL42" s="3281"/>
      <c r="BPM42" s="3281"/>
      <c r="BPN42" s="3281"/>
      <c r="BPO42" s="3281"/>
      <c r="BPP42" s="3281"/>
      <c r="BPQ42" s="3281"/>
      <c r="BPR42" s="3281"/>
      <c r="BPS42" s="3281"/>
      <c r="BPT42" s="3281"/>
      <c r="BPU42" s="3281"/>
      <c r="BPV42" s="3281"/>
      <c r="BPW42" s="3281"/>
      <c r="BPX42" s="3281"/>
      <c r="BPY42" s="3281"/>
      <c r="BPZ42" s="3281"/>
      <c r="BQA42" s="3281"/>
      <c r="BQB42" s="3281"/>
      <c r="BQC42" s="3281"/>
      <c r="BQD42" s="3281"/>
      <c r="BQE42" s="3281"/>
      <c r="BQF42" s="3281"/>
      <c r="BQG42" s="3281"/>
      <c r="BQH42" s="3281"/>
      <c r="BQI42" s="3281"/>
      <c r="BQJ42" s="3281"/>
      <c r="BQK42" s="3281"/>
      <c r="BQL42" s="3281"/>
      <c r="BQM42" s="3281"/>
      <c r="BQN42" s="3281"/>
      <c r="BQO42" s="3281"/>
      <c r="BQP42" s="3281"/>
      <c r="BQQ42" s="3281"/>
      <c r="BQR42" s="3281"/>
      <c r="BQS42" s="3281"/>
      <c r="BQT42" s="3281"/>
      <c r="BQU42" s="3281"/>
      <c r="BQV42" s="3281"/>
      <c r="BQW42" s="3281"/>
      <c r="BQX42" s="3281"/>
      <c r="BQY42" s="3281"/>
      <c r="BQZ42" s="3281"/>
      <c r="BRA42" s="3281"/>
      <c r="BRB42" s="3281"/>
      <c r="BRC42" s="3281"/>
      <c r="BRD42" s="3281"/>
      <c r="BRE42" s="3281"/>
      <c r="BRF42" s="3281"/>
      <c r="BRG42" s="3281"/>
      <c r="BRH42" s="3281"/>
      <c r="BRI42" s="3281"/>
      <c r="BRJ42" s="3281"/>
      <c r="BRK42" s="3281"/>
      <c r="BRL42" s="3281"/>
      <c r="BRM42" s="3281"/>
      <c r="BRN42" s="3281"/>
      <c r="BRO42" s="3281"/>
      <c r="BRP42" s="3281"/>
      <c r="BRQ42" s="3281"/>
      <c r="BRR42" s="3281"/>
      <c r="BRS42" s="3281"/>
      <c r="BRT42" s="3281"/>
      <c r="BRU42" s="3281"/>
      <c r="BRV42" s="3281"/>
      <c r="BRW42" s="3281"/>
      <c r="BRX42" s="3281"/>
      <c r="BRY42" s="3281"/>
      <c r="BRZ42" s="3281"/>
      <c r="BSA42" s="3281"/>
      <c r="BSB42" s="3281"/>
      <c r="BSC42" s="3281"/>
      <c r="BSD42" s="3281"/>
      <c r="BSE42" s="3281"/>
      <c r="BSF42" s="3281"/>
      <c r="BSG42" s="3281"/>
      <c r="BSH42" s="3281"/>
      <c r="BSI42" s="3281"/>
      <c r="BSJ42" s="3281"/>
      <c r="BSK42" s="3281"/>
      <c r="BSL42" s="3281"/>
      <c r="BSM42" s="3281"/>
      <c r="BSN42" s="3281"/>
      <c r="BSO42" s="3281"/>
      <c r="BSP42" s="3281"/>
      <c r="BSQ42" s="3281"/>
      <c r="BSR42" s="3281"/>
      <c r="BSS42" s="3281"/>
      <c r="BST42" s="3281"/>
      <c r="BSU42" s="3281"/>
      <c r="BSV42" s="3281"/>
      <c r="BSW42" s="3281"/>
      <c r="BSX42" s="3281"/>
      <c r="BSY42" s="3281"/>
      <c r="BSZ42" s="3281"/>
      <c r="BTA42" s="3281"/>
      <c r="BTB42" s="3281"/>
      <c r="BTC42" s="3281"/>
      <c r="BTD42" s="3281"/>
      <c r="BTE42" s="3281"/>
      <c r="BTF42" s="3281"/>
      <c r="BTG42" s="3281"/>
      <c r="BTH42" s="3281"/>
      <c r="BTI42" s="3281"/>
      <c r="BTJ42" s="3281"/>
      <c r="BTK42" s="3281"/>
      <c r="BTL42" s="3281"/>
      <c r="BTM42" s="3281"/>
      <c r="BTN42" s="3281"/>
      <c r="BTO42" s="3281"/>
      <c r="BTP42" s="3281"/>
      <c r="BTQ42" s="3281"/>
      <c r="BTR42" s="3281"/>
      <c r="BTS42" s="3281"/>
      <c r="BTT42" s="3281"/>
      <c r="BTU42" s="3281"/>
      <c r="BTV42" s="3281"/>
      <c r="BTW42" s="3281"/>
      <c r="BTX42" s="3281"/>
      <c r="BTY42" s="3281"/>
      <c r="BTZ42" s="3281"/>
      <c r="BUA42" s="3281"/>
      <c r="BUB42" s="3281"/>
      <c r="BUC42" s="3281"/>
      <c r="BUD42" s="3281"/>
      <c r="BUE42" s="3281"/>
      <c r="BUF42" s="3281"/>
      <c r="BUG42" s="3281"/>
      <c r="BUH42" s="3281"/>
      <c r="BUI42" s="3281"/>
      <c r="BUJ42" s="3281"/>
      <c r="BUK42" s="3281"/>
      <c r="BUL42" s="3281"/>
      <c r="BUM42" s="3281"/>
      <c r="BUN42" s="3281"/>
      <c r="BUO42" s="3281"/>
      <c r="BUP42" s="3281"/>
      <c r="BUQ42" s="3281"/>
      <c r="BUR42" s="3281"/>
      <c r="BUS42" s="3281"/>
      <c r="BUT42" s="3281"/>
      <c r="BUU42" s="3281"/>
      <c r="BUV42" s="3281"/>
      <c r="BUW42" s="3281"/>
      <c r="BUX42" s="3281"/>
      <c r="BUY42" s="3281"/>
      <c r="BUZ42" s="3281"/>
      <c r="BVA42" s="3281"/>
      <c r="BVB42" s="3281"/>
      <c r="BVC42" s="3281"/>
      <c r="BVD42" s="3281"/>
      <c r="BVE42" s="3281"/>
      <c r="BVF42" s="3281"/>
      <c r="BVG42" s="3281"/>
      <c r="BVH42" s="3281"/>
      <c r="BVI42" s="3281"/>
      <c r="BVJ42" s="3281"/>
      <c r="BVK42" s="3281"/>
      <c r="BVL42" s="3281"/>
      <c r="BVM42" s="3281"/>
      <c r="BVN42" s="3281"/>
      <c r="BVO42" s="3281"/>
      <c r="BVP42" s="3281"/>
      <c r="BVQ42" s="3281"/>
      <c r="BVR42" s="3281"/>
      <c r="BVS42" s="3281"/>
      <c r="BVT42" s="3281"/>
      <c r="BVU42" s="3281"/>
      <c r="BVV42" s="3281"/>
      <c r="BVW42" s="3281"/>
      <c r="BVX42" s="3281"/>
      <c r="BVY42" s="3281"/>
      <c r="BVZ42" s="3281"/>
      <c r="BWA42" s="3281"/>
      <c r="BWB42" s="3281"/>
      <c r="BWC42" s="3281"/>
      <c r="BWD42" s="3281"/>
      <c r="BWE42" s="3281"/>
      <c r="BWF42" s="3281"/>
      <c r="BWG42" s="3281"/>
      <c r="BWH42" s="3281"/>
      <c r="BWI42" s="3281"/>
      <c r="BWJ42" s="3281"/>
      <c r="BWK42" s="3281"/>
      <c r="BWL42" s="3281"/>
      <c r="BWM42" s="3281"/>
      <c r="BWN42" s="3281"/>
      <c r="BWO42" s="3281"/>
      <c r="BWP42" s="3281"/>
      <c r="BWQ42" s="3281"/>
      <c r="BWR42" s="3281"/>
      <c r="BWS42" s="3281"/>
      <c r="BWT42" s="3281"/>
      <c r="BWU42" s="3281"/>
      <c r="BWV42" s="3281"/>
      <c r="BWW42" s="3281"/>
      <c r="BWX42" s="3281"/>
      <c r="BWY42" s="3281"/>
      <c r="BWZ42" s="3281"/>
      <c r="BXA42" s="3281"/>
      <c r="BXB42" s="3281"/>
      <c r="BXC42" s="3281"/>
      <c r="BXD42" s="3281"/>
      <c r="BXE42" s="3281"/>
      <c r="BXF42" s="3281"/>
      <c r="BXG42" s="3281"/>
      <c r="BXH42" s="3281"/>
      <c r="BXI42" s="3281"/>
      <c r="BXJ42" s="3281"/>
      <c r="BXK42" s="3281"/>
      <c r="BXL42" s="3281"/>
      <c r="BXM42" s="3281"/>
      <c r="BXN42" s="3281"/>
      <c r="BXO42" s="3281"/>
      <c r="BXP42" s="3281"/>
      <c r="BXQ42" s="3281"/>
      <c r="BXR42" s="3281"/>
      <c r="BXS42" s="3281"/>
      <c r="BXT42" s="3281"/>
      <c r="BXU42" s="3281"/>
      <c r="BXV42" s="3281"/>
      <c r="BXW42" s="3281"/>
      <c r="BXX42" s="3281"/>
      <c r="BXY42" s="3281"/>
      <c r="BXZ42" s="3281"/>
      <c r="BYA42" s="3281"/>
      <c r="BYB42" s="3281"/>
      <c r="BYC42" s="3281"/>
      <c r="BYD42" s="3281"/>
      <c r="BYE42" s="3281"/>
      <c r="BYF42" s="3281"/>
      <c r="BYG42" s="3281"/>
      <c r="BYH42" s="3281"/>
      <c r="BYI42" s="3281"/>
      <c r="BYJ42" s="3281"/>
      <c r="BYK42" s="3281"/>
      <c r="BYL42" s="3281"/>
      <c r="BYM42" s="3281"/>
      <c r="BYN42" s="3281"/>
      <c r="BYO42" s="3281"/>
      <c r="BYP42" s="3281"/>
      <c r="BYQ42" s="3281"/>
      <c r="BYR42" s="3281"/>
      <c r="BYS42" s="3281"/>
      <c r="BYT42" s="3281"/>
      <c r="BYU42" s="3281"/>
      <c r="BYV42" s="3281"/>
      <c r="BYW42" s="3281"/>
      <c r="BYX42" s="3281"/>
      <c r="BYY42" s="3281"/>
      <c r="BYZ42" s="3281"/>
      <c r="BZA42" s="3281"/>
      <c r="BZB42" s="3281"/>
      <c r="BZC42" s="3281"/>
      <c r="BZD42" s="3281"/>
      <c r="BZE42" s="3281"/>
      <c r="BZF42" s="3281"/>
      <c r="BZG42" s="3281"/>
      <c r="BZH42" s="3281"/>
      <c r="BZI42" s="3281"/>
      <c r="BZJ42" s="3281"/>
      <c r="BZK42" s="3281"/>
      <c r="BZL42" s="3281"/>
      <c r="BZM42" s="3281"/>
      <c r="BZN42" s="3281"/>
      <c r="BZO42" s="3281"/>
      <c r="BZP42" s="3281"/>
      <c r="BZQ42" s="3281"/>
      <c r="BZR42" s="3281"/>
      <c r="BZS42" s="3281"/>
      <c r="BZT42" s="3281"/>
      <c r="BZU42" s="3281"/>
      <c r="BZV42" s="3281"/>
      <c r="BZW42" s="3281"/>
      <c r="BZX42" s="3281"/>
      <c r="BZY42" s="3281"/>
      <c r="BZZ42" s="3281"/>
      <c r="CAA42" s="3281"/>
      <c r="CAB42" s="3281"/>
      <c r="CAC42" s="3281"/>
      <c r="CAD42" s="3281"/>
      <c r="CAE42" s="3281"/>
      <c r="CAF42" s="3281"/>
      <c r="CAG42" s="3281"/>
      <c r="CAH42" s="3281"/>
      <c r="CAI42" s="3281"/>
      <c r="CAJ42" s="3281"/>
      <c r="CAK42" s="3281"/>
      <c r="CAL42" s="3281"/>
      <c r="CAM42" s="3281"/>
      <c r="CAN42" s="3281"/>
      <c r="CAO42" s="3281"/>
      <c r="CAP42" s="3281"/>
      <c r="CAQ42" s="3281"/>
      <c r="CAR42" s="3281"/>
      <c r="CAS42" s="3281"/>
      <c r="CAT42" s="3281"/>
      <c r="CAU42" s="3281"/>
      <c r="CAV42" s="3281"/>
      <c r="CAW42" s="3281"/>
      <c r="CAX42" s="3281"/>
      <c r="CAY42" s="3281"/>
      <c r="CAZ42" s="3281"/>
      <c r="CBA42" s="3281"/>
      <c r="CBB42" s="3281"/>
      <c r="CBC42" s="3281"/>
      <c r="CBD42" s="3281"/>
      <c r="CBE42" s="3281"/>
      <c r="CBF42" s="3281"/>
      <c r="CBG42" s="3281"/>
      <c r="CBH42" s="3281"/>
      <c r="CBI42" s="3281"/>
      <c r="CBJ42" s="3281"/>
      <c r="CBK42" s="3281"/>
      <c r="CBL42" s="3281"/>
      <c r="CBM42" s="3281"/>
      <c r="CBN42" s="3281"/>
      <c r="CBO42" s="3281"/>
      <c r="CBP42" s="3281"/>
      <c r="CBQ42" s="3281"/>
      <c r="CBR42" s="3281"/>
      <c r="CBS42" s="3281"/>
      <c r="CBT42" s="3281"/>
      <c r="CBU42" s="3281"/>
      <c r="CBV42" s="3281"/>
      <c r="CBW42" s="3281"/>
      <c r="CBX42" s="3281"/>
      <c r="CBY42" s="3281"/>
      <c r="CBZ42" s="3281"/>
      <c r="CCA42" s="3281"/>
      <c r="CCB42" s="3281"/>
      <c r="CCC42" s="3281"/>
      <c r="CCD42" s="3281"/>
      <c r="CCE42" s="3281"/>
      <c r="CCF42" s="3281"/>
      <c r="CCG42" s="3281"/>
      <c r="CCH42" s="3281"/>
      <c r="CCI42" s="3281"/>
      <c r="CCJ42" s="3281"/>
      <c r="CCK42" s="3281"/>
      <c r="CCL42" s="3281"/>
      <c r="CCM42" s="3281"/>
      <c r="CCN42" s="3281"/>
      <c r="CCO42" s="3281"/>
      <c r="CCP42" s="3281"/>
      <c r="CCQ42" s="3281"/>
      <c r="CCR42" s="3281"/>
      <c r="CCS42" s="3281"/>
      <c r="CCT42" s="3281"/>
      <c r="CCU42" s="3281"/>
      <c r="CCV42" s="3281"/>
      <c r="CCW42" s="3281"/>
      <c r="CCX42" s="3281"/>
      <c r="CCY42" s="3281"/>
      <c r="CCZ42" s="3281"/>
      <c r="CDA42" s="3281"/>
      <c r="CDB42" s="3281"/>
      <c r="CDC42" s="3281"/>
      <c r="CDD42" s="3281"/>
      <c r="CDE42" s="3281"/>
      <c r="CDF42" s="3281"/>
      <c r="CDG42" s="3281"/>
      <c r="CDH42" s="3281"/>
      <c r="CDI42" s="3281"/>
      <c r="CDJ42" s="3281"/>
      <c r="CDK42" s="3281"/>
      <c r="CDL42" s="3281"/>
      <c r="CDM42" s="3281"/>
      <c r="CDN42" s="3281"/>
      <c r="CDO42" s="3281"/>
      <c r="CDP42" s="3281"/>
      <c r="CDQ42" s="3281"/>
      <c r="CDR42" s="3281"/>
      <c r="CDS42" s="3281"/>
      <c r="CDT42" s="3281"/>
      <c r="CDU42" s="3281"/>
      <c r="CDV42" s="3281"/>
      <c r="CDW42" s="3281"/>
      <c r="CDX42" s="3281"/>
      <c r="CDY42" s="3281"/>
      <c r="CDZ42" s="3281"/>
      <c r="CEA42" s="3281"/>
      <c r="CEB42" s="3281"/>
      <c r="CEC42" s="3281"/>
      <c r="CED42" s="3281"/>
      <c r="CEE42" s="3281"/>
      <c r="CEF42" s="3281"/>
      <c r="CEG42" s="3281"/>
      <c r="CEH42" s="3281"/>
      <c r="CEI42" s="3281"/>
      <c r="CEJ42" s="3281"/>
      <c r="CEK42" s="3281"/>
      <c r="CEL42" s="3281"/>
      <c r="CEM42" s="3281"/>
      <c r="CEN42" s="3281"/>
      <c r="CEO42" s="3281"/>
      <c r="CEP42" s="3281"/>
      <c r="CEQ42" s="3281"/>
      <c r="CER42" s="3281"/>
      <c r="CES42" s="3281"/>
      <c r="CET42" s="3281"/>
      <c r="CEU42" s="3281"/>
      <c r="CEV42" s="3281"/>
      <c r="CEW42" s="3281"/>
      <c r="CEX42" s="3281"/>
      <c r="CEY42" s="3281"/>
      <c r="CEZ42" s="3281"/>
      <c r="CFA42" s="3281"/>
      <c r="CFB42" s="3281"/>
      <c r="CFC42" s="3281"/>
      <c r="CFD42" s="3281"/>
      <c r="CFE42" s="3281"/>
      <c r="CFF42" s="3281"/>
      <c r="CFG42" s="3281"/>
      <c r="CFH42" s="3281"/>
      <c r="CFI42" s="3281"/>
      <c r="CFJ42" s="3281"/>
      <c r="CFK42" s="3281"/>
      <c r="CFL42" s="3281"/>
      <c r="CFM42" s="3281"/>
      <c r="CFN42" s="3281"/>
      <c r="CFO42" s="3281"/>
      <c r="CFP42" s="3281"/>
      <c r="CFQ42" s="3281"/>
      <c r="CFR42" s="3281"/>
      <c r="CFS42" s="3281"/>
      <c r="CFT42" s="3281"/>
      <c r="CFU42" s="3281"/>
      <c r="CFV42" s="3281"/>
      <c r="CFW42" s="3281"/>
      <c r="CFX42" s="3281"/>
      <c r="CFY42" s="3281"/>
      <c r="CFZ42" s="3281"/>
      <c r="CGA42" s="3281"/>
      <c r="CGB42" s="3281"/>
      <c r="CGC42" s="3281"/>
      <c r="CGD42" s="3281"/>
      <c r="CGE42" s="3281"/>
      <c r="CGF42" s="3281"/>
      <c r="CGG42" s="3281"/>
      <c r="CGH42" s="3281"/>
      <c r="CGI42" s="3281"/>
      <c r="CGJ42" s="3281"/>
      <c r="CGK42" s="3281"/>
      <c r="CGL42" s="3281"/>
      <c r="CGM42" s="3281"/>
      <c r="CGN42" s="3281"/>
      <c r="CGO42" s="3281"/>
      <c r="CGP42" s="3281"/>
      <c r="CGQ42" s="3281"/>
      <c r="CGR42" s="3281"/>
      <c r="CGS42" s="3281"/>
      <c r="CGT42" s="3281"/>
      <c r="CGU42" s="3281"/>
      <c r="CGV42" s="3281"/>
      <c r="CGW42" s="3281"/>
      <c r="CGX42" s="3281"/>
      <c r="CGY42" s="3281"/>
      <c r="CGZ42" s="3281"/>
      <c r="CHA42" s="3281"/>
      <c r="CHB42" s="3281"/>
      <c r="CHC42" s="3281"/>
      <c r="CHD42" s="3281"/>
      <c r="CHE42" s="3281"/>
      <c r="CHF42" s="3281"/>
      <c r="CHG42" s="3281"/>
      <c r="CHH42" s="3281"/>
      <c r="CHI42" s="3281"/>
      <c r="CHJ42" s="3281"/>
      <c r="CHK42" s="3281"/>
      <c r="CHL42" s="3281"/>
      <c r="CHM42" s="3281"/>
      <c r="CHN42" s="3281"/>
      <c r="CHO42" s="3281"/>
      <c r="CHP42" s="3281"/>
      <c r="CHQ42" s="3281"/>
      <c r="CHR42" s="3281"/>
      <c r="CHS42" s="3281"/>
      <c r="CHT42" s="3281"/>
      <c r="CHU42" s="3281"/>
      <c r="CHV42" s="3281"/>
      <c r="CHW42" s="3281"/>
      <c r="CHX42" s="3281"/>
      <c r="CHY42" s="3281"/>
      <c r="CHZ42" s="3281"/>
      <c r="CIA42" s="3281"/>
      <c r="CIB42" s="3281"/>
      <c r="CIC42" s="3281"/>
      <c r="CID42" s="3281"/>
      <c r="CIE42" s="3281"/>
      <c r="CIF42" s="3281"/>
      <c r="CIG42" s="3281"/>
      <c r="CIH42" s="3281"/>
      <c r="CII42" s="3281"/>
      <c r="CIJ42" s="3281"/>
      <c r="CIK42" s="3281"/>
      <c r="CIL42" s="3281"/>
      <c r="CIM42" s="3281"/>
      <c r="CIN42" s="3281"/>
      <c r="CIO42" s="3281"/>
      <c r="CIP42" s="3281"/>
      <c r="CIQ42" s="3281"/>
      <c r="CIR42" s="3281"/>
      <c r="CIS42" s="3281"/>
      <c r="CIT42" s="3281"/>
      <c r="CIU42" s="3281"/>
      <c r="CIV42" s="3281"/>
      <c r="CIW42" s="3281"/>
      <c r="CIX42" s="3281"/>
      <c r="CIY42" s="3281"/>
      <c r="CIZ42" s="3281"/>
      <c r="CJA42" s="3281"/>
      <c r="CJB42" s="3281"/>
      <c r="CJC42" s="3281"/>
      <c r="CJD42" s="3281"/>
      <c r="CJE42" s="3281"/>
      <c r="CJF42" s="3281"/>
      <c r="CJG42" s="3281"/>
      <c r="CJH42" s="3281"/>
      <c r="CJI42" s="3281"/>
      <c r="CJJ42" s="3281"/>
      <c r="CJK42" s="3281"/>
      <c r="CJL42" s="3281"/>
      <c r="CJM42" s="3281"/>
      <c r="CJN42" s="3281"/>
      <c r="CJO42" s="3281"/>
      <c r="CJP42" s="3281"/>
      <c r="CJQ42" s="3281"/>
      <c r="CJR42" s="3281"/>
      <c r="CJS42" s="3281"/>
      <c r="CJT42" s="3281"/>
      <c r="CJU42" s="3281"/>
      <c r="CJV42" s="3281"/>
      <c r="CJW42" s="3281"/>
      <c r="CJX42" s="3281"/>
      <c r="CJY42" s="3281"/>
      <c r="CJZ42" s="3281"/>
      <c r="CKA42" s="3281"/>
      <c r="CKB42" s="3281"/>
      <c r="CKC42" s="3281"/>
      <c r="CKD42" s="3281"/>
      <c r="CKE42" s="3281"/>
      <c r="CKF42" s="3281"/>
      <c r="CKG42" s="3281"/>
      <c r="CKH42" s="3281"/>
      <c r="CKI42" s="3281"/>
      <c r="CKJ42" s="3281"/>
      <c r="CKK42" s="3281"/>
      <c r="CKL42" s="3281"/>
      <c r="CKM42" s="3281"/>
      <c r="CKN42" s="3281"/>
      <c r="CKO42" s="3281"/>
      <c r="CKP42" s="3281"/>
      <c r="CKQ42" s="3281"/>
      <c r="CKR42" s="3281"/>
      <c r="CKS42" s="3281"/>
      <c r="CKT42" s="3281"/>
      <c r="CKU42" s="3281"/>
      <c r="CKV42" s="3281"/>
      <c r="CKW42" s="3281"/>
      <c r="CKX42" s="3281"/>
      <c r="CKY42" s="3281"/>
      <c r="CKZ42" s="3281"/>
      <c r="CLA42" s="3281"/>
      <c r="CLB42" s="3281"/>
      <c r="CLC42" s="3281"/>
      <c r="CLD42" s="3281"/>
      <c r="CLE42" s="3281"/>
      <c r="CLF42" s="3281"/>
      <c r="CLG42" s="3281"/>
      <c r="CLH42" s="3281"/>
      <c r="CLI42" s="3281"/>
      <c r="CLJ42" s="3281"/>
      <c r="CLK42" s="3281"/>
      <c r="CLL42" s="3281"/>
      <c r="CLM42" s="3281"/>
      <c r="CLN42" s="3281"/>
      <c r="CLO42" s="3281"/>
      <c r="CLP42" s="3281"/>
      <c r="CLQ42" s="3281"/>
      <c r="CLR42" s="3281"/>
      <c r="CLS42" s="3281"/>
      <c r="CLT42" s="3281"/>
      <c r="CLU42" s="3281"/>
      <c r="CLV42" s="3281"/>
      <c r="CLW42" s="3281"/>
      <c r="CLX42" s="3281"/>
      <c r="CLY42" s="3281"/>
      <c r="CLZ42" s="3281"/>
      <c r="CMA42" s="3281"/>
      <c r="CMB42" s="3281"/>
      <c r="CMC42" s="3281"/>
      <c r="CMD42" s="3281"/>
      <c r="CME42" s="3281"/>
      <c r="CMF42" s="3281"/>
      <c r="CMG42" s="3281"/>
      <c r="CMH42" s="3281"/>
      <c r="CMI42" s="3281"/>
      <c r="CMJ42" s="3281"/>
      <c r="CMK42" s="3281"/>
      <c r="CML42" s="3281"/>
      <c r="CMM42" s="3281"/>
      <c r="CMN42" s="3281"/>
      <c r="CMO42" s="3281"/>
      <c r="CMP42" s="3281"/>
      <c r="CMQ42" s="3281"/>
      <c r="CMR42" s="3281"/>
      <c r="CMS42" s="3281"/>
      <c r="CMT42" s="3281"/>
      <c r="CMU42" s="3281"/>
      <c r="CMV42" s="3281"/>
      <c r="CMW42" s="3281"/>
      <c r="CMX42" s="3281"/>
      <c r="CMY42" s="3281"/>
      <c r="CMZ42" s="3281"/>
      <c r="CNA42" s="3281"/>
      <c r="CNB42" s="3281"/>
      <c r="CNC42" s="3281"/>
      <c r="CND42" s="3281"/>
      <c r="CNE42" s="3281"/>
      <c r="CNF42" s="3281"/>
      <c r="CNG42" s="3281"/>
      <c r="CNH42" s="3281"/>
      <c r="CNI42" s="3281"/>
      <c r="CNJ42" s="3281"/>
      <c r="CNK42" s="3281"/>
      <c r="CNL42" s="3281"/>
      <c r="CNM42" s="3281"/>
      <c r="CNN42" s="3281"/>
      <c r="CNO42" s="3281"/>
      <c r="CNP42" s="3281"/>
      <c r="CNQ42" s="3281"/>
      <c r="CNR42" s="3281"/>
      <c r="CNS42" s="3281"/>
      <c r="CNT42" s="3281"/>
      <c r="CNU42" s="3281"/>
      <c r="CNV42" s="3281"/>
      <c r="CNW42" s="3281"/>
      <c r="CNX42" s="3281"/>
      <c r="CNY42" s="3281"/>
      <c r="CNZ42" s="3281"/>
      <c r="COA42" s="3281"/>
      <c r="COB42" s="3281"/>
      <c r="COC42" s="3281"/>
      <c r="COD42" s="3281"/>
      <c r="COE42" s="3281"/>
      <c r="COF42" s="3281"/>
      <c r="COG42" s="3281"/>
      <c r="COH42" s="3281"/>
      <c r="COI42" s="3281"/>
      <c r="COJ42" s="3281"/>
      <c r="COK42" s="3281"/>
      <c r="COL42" s="3281"/>
      <c r="COM42" s="3281"/>
      <c r="CON42" s="3281"/>
      <c r="COO42" s="3281"/>
      <c r="COP42" s="3281"/>
      <c r="COQ42" s="3281"/>
      <c r="COR42" s="3281"/>
      <c r="COS42" s="3281"/>
      <c r="COT42" s="3281"/>
      <c r="COU42" s="3281"/>
      <c r="COV42" s="3281"/>
      <c r="COW42" s="3281"/>
      <c r="COX42" s="3281"/>
      <c r="COY42" s="3281"/>
      <c r="COZ42" s="3281"/>
      <c r="CPA42" s="3281"/>
      <c r="CPB42" s="3281"/>
      <c r="CPC42" s="3281"/>
      <c r="CPD42" s="3281"/>
      <c r="CPE42" s="3281"/>
      <c r="CPF42" s="3281"/>
      <c r="CPG42" s="3281"/>
      <c r="CPH42" s="3281"/>
      <c r="CPI42" s="3281"/>
      <c r="CPJ42" s="3281"/>
      <c r="CPK42" s="3281"/>
      <c r="CPL42" s="3281"/>
      <c r="CPM42" s="3281"/>
      <c r="CPN42" s="3281"/>
      <c r="CPO42" s="3281"/>
      <c r="CPP42" s="3281"/>
      <c r="CPQ42" s="3281"/>
      <c r="CPR42" s="3281"/>
      <c r="CPS42" s="3281"/>
      <c r="CPT42" s="3281"/>
      <c r="CPU42" s="3281"/>
      <c r="CPV42" s="3281"/>
      <c r="CPW42" s="3281"/>
      <c r="CPX42" s="3281"/>
      <c r="CPY42" s="3281"/>
      <c r="CPZ42" s="3281"/>
      <c r="CQA42" s="3281"/>
      <c r="CQB42" s="3281"/>
      <c r="CQC42" s="3281"/>
      <c r="CQD42" s="3281"/>
      <c r="CQE42" s="3281"/>
      <c r="CQF42" s="3281"/>
      <c r="CQG42" s="3281"/>
      <c r="CQH42" s="3281"/>
      <c r="CQI42" s="3281"/>
      <c r="CQJ42" s="3281"/>
      <c r="CQK42" s="3281"/>
      <c r="CQL42" s="3281"/>
      <c r="CQM42" s="3281"/>
      <c r="CQN42" s="3281"/>
      <c r="CQO42" s="3281"/>
      <c r="CQP42" s="3281"/>
      <c r="CQQ42" s="3281"/>
      <c r="CQR42" s="3281"/>
      <c r="CQS42" s="3281"/>
      <c r="CQT42" s="3281"/>
      <c r="CQU42" s="3281"/>
      <c r="CQV42" s="3281"/>
      <c r="CQW42" s="3281"/>
      <c r="CQX42" s="3281"/>
      <c r="CQY42" s="3281"/>
      <c r="CQZ42" s="3281"/>
      <c r="CRA42" s="3281"/>
      <c r="CRB42" s="3281"/>
      <c r="CRC42" s="3281"/>
      <c r="CRD42" s="3281"/>
      <c r="CRE42" s="3281"/>
      <c r="CRF42" s="3281"/>
      <c r="CRG42" s="3281"/>
      <c r="CRH42" s="3281"/>
      <c r="CRI42" s="3281"/>
      <c r="CRJ42" s="3281"/>
      <c r="CRK42" s="3281"/>
      <c r="CRL42" s="3281"/>
      <c r="CRM42" s="3281"/>
      <c r="CRN42" s="3281"/>
      <c r="CRO42" s="3281"/>
      <c r="CRP42" s="3281"/>
      <c r="CRQ42" s="3281"/>
      <c r="CRR42" s="3281"/>
      <c r="CRS42" s="3281"/>
      <c r="CRT42" s="3281"/>
      <c r="CRU42" s="3281"/>
      <c r="CRV42" s="3281"/>
      <c r="CRW42" s="3281"/>
      <c r="CRX42" s="3281"/>
      <c r="CRY42" s="3281"/>
      <c r="CRZ42" s="3281"/>
      <c r="CSA42" s="3281"/>
      <c r="CSB42" s="3281"/>
      <c r="CSC42" s="3281"/>
      <c r="CSD42" s="3281"/>
      <c r="CSE42" s="3281"/>
      <c r="CSF42" s="3281"/>
      <c r="CSG42" s="3281"/>
      <c r="CSH42" s="3281"/>
      <c r="CSI42" s="3281"/>
      <c r="CSJ42" s="3281"/>
      <c r="CSK42" s="3281"/>
      <c r="CSL42" s="3281"/>
      <c r="CSM42" s="3281"/>
      <c r="CSN42" s="3281"/>
      <c r="CSO42" s="3281"/>
      <c r="CSP42" s="3281"/>
      <c r="CSQ42" s="3281"/>
      <c r="CSR42" s="3281"/>
      <c r="CSS42" s="3281"/>
      <c r="CST42" s="3281"/>
      <c r="CSU42" s="3281"/>
      <c r="CSV42" s="3281"/>
      <c r="CSW42" s="3281"/>
      <c r="CSX42" s="3281"/>
      <c r="CSY42" s="3281"/>
      <c r="CSZ42" s="3281"/>
      <c r="CTA42" s="3281"/>
      <c r="CTB42" s="3281"/>
      <c r="CTC42" s="3281"/>
      <c r="CTD42" s="3281"/>
      <c r="CTE42" s="3281"/>
      <c r="CTF42" s="3281"/>
      <c r="CTG42" s="3281"/>
      <c r="CTH42" s="3281"/>
      <c r="CTI42" s="3281"/>
      <c r="CTJ42" s="3281"/>
      <c r="CTK42" s="3281"/>
      <c r="CTL42" s="3281"/>
      <c r="CTM42" s="3281"/>
      <c r="CTN42" s="3281"/>
      <c r="CTO42" s="3281"/>
      <c r="CTP42" s="3281"/>
      <c r="CTQ42" s="3281"/>
      <c r="CTR42" s="3281"/>
      <c r="CTS42" s="3281"/>
      <c r="CTT42" s="3281"/>
      <c r="CTU42" s="3281"/>
      <c r="CTV42" s="3281"/>
      <c r="CTW42" s="3281"/>
      <c r="CTX42" s="3281"/>
      <c r="CTY42" s="3281"/>
      <c r="CTZ42" s="3281"/>
      <c r="CUA42" s="3281"/>
      <c r="CUB42" s="3281"/>
      <c r="CUC42" s="3281"/>
      <c r="CUD42" s="3281"/>
      <c r="CUE42" s="3281"/>
      <c r="CUF42" s="3281"/>
      <c r="CUG42" s="3281"/>
      <c r="CUH42" s="3281"/>
      <c r="CUI42" s="3281"/>
      <c r="CUJ42" s="3281"/>
      <c r="CUK42" s="3281"/>
      <c r="CUL42" s="3281"/>
      <c r="CUM42" s="3281"/>
      <c r="CUN42" s="3281"/>
      <c r="CUO42" s="3281"/>
      <c r="CUP42" s="3281"/>
      <c r="CUQ42" s="3281"/>
      <c r="CUR42" s="3281"/>
      <c r="CUS42" s="3281"/>
      <c r="CUT42" s="3281"/>
      <c r="CUU42" s="3281"/>
      <c r="CUV42" s="3281"/>
      <c r="CUW42" s="3281"/>
      <c r="CUX42" s="3281"/>
      <c r="CUY42" s="3281"/>
      <c r="CUZ42" s="3281"/>
      <c r="CVA42" s="3281"/>
      <c r="CVB42" s="3281"/>
      <c r="CVC42" s="3281"/>
      <c r="CVD42" s="3281"/>
      <c r="CVE42" s="3281"/>
      <c r="CVF42" s="3281"/>
      <c r="CVG42" s="3281"/>
      <c r="CVH42" s="3281"/>
      <c r="CVI42" s="3281"/>
      <c r="CVJ42" s="3281"/>
      <c r="CVK42" s="3281"/>
      <c r="CVL42" s="3281"/>
      <c r="CVM42" s="3281"/>
      <c r="CVN42" s="3281"/>
      <c r="CVO42" s="3281"/>
      <c r="CVP42" s="3281"/>
      <c r="CVQ42" s="3281"/>
      <c r="CVR42" s="3281"/>
      <c r="CVS42" s="3281"/>
      <c r="CVT42" s="3281"/>
      <c r="CVU42" s="3281"/>
      <c r="CVV42" s="3281"/>
      <c r="CVW42" s="3281"/>
      <c r="CVX42" s="3281"/>
      <c r="CVY42" s="3281"/>
      <c r="CVZ42" s="3281"/>
      <c r="CWA42" s="3281"/>
      <c r="CWB42" s="3281"/>
      <c r="CWC42" s="3281"/>
      <c r="CWD42" s="3281"/>
      <c r="CWE42" s="3281"/>
      <c r="CWF42" s="3281"/>
      <c r="CWG42" s="3281"/>
      <c r="CWH42" s="3281"/>
      <c r="CWI42" s="3281"/>
      <c r="CWJ42" s="3281"/>
      <c r="CWK42" s="3281"/>
      <c r="CWL42" s="3281"/>
      <c r="CWM42" s="3281"/>
      <c r="CWN42" s="3281"/>
      <c r="CWO42" s="3281"/>
      <c r="CWP42" s="3281"/>
      <c r="CWQ42" s="3281"/>
      <c r="CWR42" s="3281"/>
      <c r="CWS42" s="3281"/>
      <c r="CWT42" s="3281"/>
      <c r="CWU42" s="3281"/>
      <c r="CWV42" s="3281"/>
      <c r="CWW42" s="3281"/>
      <c r="CWX42" s="3281"/>
      <c r="CWY42" s="3281"/>
      <c r="CWZ42" s="3281"/>
      <c r="CXA42" s="3281"/>
      <c r="CXB42" s="3281"/>
      <c r="CXC42" s="3281"/>
      <c r="CXD42" s="3281"/>
      <c r="CXE42" s="3281"/>
      <c r="CXF42" s="3281"/>
      <c r="CXG42" s="3281"/>
      <c r="CXH42" s="3281"/>
      <c r="CXI42" s="3281"/>
      <c r="CXJ42" s="3281"/>
      <c r="CXK42" s="3281"/>
      <c r="CXL42" s="3281"/>
      <c r="CXM42" s="3281"/>
      <c r="CXN42" s="3281"/>
      <c r="CXO42" s="3281"/>
      <c r="CXP42" s="3281"/>
      <c r="CXQ42" s="3281"/>
      <c r="CXR42" s="3281"/>
      <c r="CXS42" s="3281"/>
      <c r="CXT42" s="3281"/>
      <c r="CXU42" s="3281"/>
      <c r="CXV42" s="3281"/>
      <c r="CXW42" s="3281"/>
      <c r="CXX42" s="3281"/>
      <c r="CXY42" s="3281"/>
      <c r="CXZ42" s="3281"/>
      <c r="CYA42" s="3281"/>
      <c r="CYB42" s="3281"/>
      <c r="CYC42" s="3281"/>
      <c r="CYD42" s="3281"/>
      <c r="CYE42" s="3281"/>
      <c r="CYF42" s="3281"/>
      <c r="CYG42" s="3281"/>
      <c r="CYH42" s="3281"/>
      <c r="CYI42" s="3281"/>
      <c r="CYJ42" s="3281"/>
      <c r="CYK42" s="3281"/>
      <c r="CYL42" s="3281"/>
      <c r="CYM42" s="3281"/>
      <c r="CYN42" s="3281"/>
      <c r="CYO42" s="3281"/>
      <c r="CYP42" s="3281"/>
      <c r="CYQ42" s="3281"/>
      <c r="CYR42" s="3281"/>
      <c r="CYS42" s="3281"/>
      <c r="CYT42" s="3281"/>
      <c r="CYU42" s="3281"/>
      <c r="CYV42" s="3281"/>
      <c r="CYW42" s="3281"/>
      <c r="CYX42" s="3281"/>
      <c r="CYY42" s="3281"/>
      <c r="CYZ42" s="3281"/>
      <c r="CZA42" s="3281"/>
      <c r="CZB42" s="3281"/>
      <c r="CZC42" s="3281"/>
      <c r="CZD42" s="3281"/>
      <c r="CZE42" s="3281"/>
      <c r="CZF42" s="3281"/>
      <c r="CZG42" s="3281"/>
      <c r="CZH42" s="3281"/>
      <c r="CZI42" s="3281"/>
      <c r="CZJ42" s="3281"/>
      <c r="CZK42" s="3281"/>
      <c r="CZL42" s="3281"/>
      <c r="CZM42" s="3281"/>
      <c r="CZN42" s="3281"/>
      <c r="CZO42" s="3281"/>
      <c r="CZP42" s="3281"/>
      <c r="CZQ42" s="3281"/>
      <c r="CZR42" s="3281"/>
      <c r="CZS42" s="3281"/>
      <c r="CZT42" s="3281"/>
      <c r="CZU42" s="3281"/>
      <c r="CZV42" s="3281"/>
      <c r="CZW42" s="3281"/>
      <c r="CZX42" s="3281"/>
      <c r="CZY42" s="3281"/>
      <c r="CZZ42" s="3281"/>
      <c r="DAA42" s="3281"/>
      <c r="DAB42" s="3281"/>
      <c r="DAC42" s="3281"/>
      <c r="DAD42" s="3281"/>
      <c r="DAE42" s="3281"/>
      <c r="DAF42" s="3281"/>
      <c r="DAG42" s="3281"/>
      <c r="DAH42" s="3281"/>
      <c r="DAI42" s="3281"/>
      <c r="DAJ42" s="3281"/>
      <c r="DAK42" s="3281"/>
      <c r="DAL42" s="3281"/>
      <c r="DAM42" s="3281"/>
      <c r="DAN42" s="3281"/>
      <c r="DAO42" s="3281"/>
      <c r="DAP42" s="3281"/>
      <c r="DAQ42" s="3281"/>
      <c r="DAR42" s="3281"/>
      <c r="DAS42" s="3281"/>
      <c r="DAT42" s="3281"/>
      <c r="DAU42" s="3281"/>
      <c r="DAV42" s="3281"/>
      <c r="DAW42" s="3281"/>
      <c r="DAX42" s="3281"/>
      <c r="DAY42" s="3281"/>
      <c r="DAZ42" s="3281"/>
      <c r="DBA42" s="3281"/>
      <c r="DBB42" s="3281"/>
      <c r="DBC42" s="3281"/>
      <c r="DBD42" s="3281"/>
      <c r="DBE42" s="3281"/>
      <c r="DBF42" s="3281"/>
      <c r="DBG42" s="3281"/>
      <c r="DBH42" s="3281"/>
      <c r="DBI42" s="3281"/>
      <c r="DBJ42" s="3281"/>
      <c r="DBK42" s="3281"/>
      <c r="DBL42" s="3281"/>
      <c r="DBM42" s="3281"/>
      <c r="DBN42" s="3281"/>
      <c r="DBO42" s="3281"/>
      <c r="DBP42" s="3281"/>
      <c r="DBQ42" s="3281"/>
      <c r="DBR42" s="3281"/>
      <c r="DBS42" s="3281"/>
      <c r="DBT42" s="3281"/>
      <c r="DBU42" s="3281"/>
      <c r="DBV42" s="3281"/>
      <c r="DBW42" s="3281"/>
      <c r="DBX42" s="3281"/>
      <c r="DBY42" s="3281"/>
      <c r="DBZ42" s="3281"/>
      <c r="DCA42" s="3281"/>
      <c r="DCB42" s="3281"/>
      <c r="DCC42" s="3281"/>
      <c r="DCD42" s="3281"/>
      <c r="DCE42" s="3281"/>
      <c r="DCF42" s="3281"/>
      <c r="DCG42" s="3281"/>
      <c r="DCH42" s="3281"/>
      <c r="DCI42" s="3281"/>
      <c r="DCJ42" s="3281"/>
      <c r="DCK42" s="3281"/>
      <c r="DCL42" s="3281"/>
      <c r="DCM42" s="3281"/>
      <c r="DCN42" s="3281"/>
      <c r="DCO42" s="3281"/>
      <c r="DCP42" s="3281"/>
      <c r="DCQ42" s="3281"/>
      <c r="DCR42" s="3281"/>
      <c r="DCS42" s="3281"/>
      <c r="DCT42" s="3281"/>
      <c r="DCU42" s="3281"/>
      <c r="DCV42" s="3281"/>
      <c r="DCW42" s="3281"/>
      <c r="DCX42" s="3281"/>
      <c r="DCY42" s="3281"/>
      <c r="DCZ42" s="3281"/>
      <c r="DDA42" s="3281"/>
      <c r="DDB42" s="3281"/>
      <c r="DDC42" s="3281"/>
      <c r="DDD42" s="3281"/>
      <c r="DDE42" s="3281"/>
      <c r="DDF42" s="3281"/>
      <c r="DDG42" s="3281"/>
      <c r="DDH42" s="3281"/>
      <c r="DDI42" s="3281"/>
      <c r="DDJ42" s="3281"/>
      <c r="DDK42" s="3281"/>
      <c r="DDL42" s="3281"/>
      <c r="DDM42" s="3281"/>
      <c r="DDN42" s="3281"/>
      <c r="DDO42" s="3281"/>
      <c r="DDP42" s="3281"/>
      <c r="DDQ42" s="3281"/>
      <c r="DDR42" s="3281"/>
      <c r="DDS42" s="3281"/>
      <c r="DDT42" s="3281"/>
      <c r="DDU42" s="3281"/>
      <c r="DDV42" s="3281"/>
      <c r="DDW42" s="3281"/>
      <c r="DDX42" s="3281"/>
      <c r="DDY42" s="3281"/>
      <c r="DDZ42" s="3281"/>
      <c r="DEA42" s="3281"/>
      <c r="DEB42" s="3281"/>
      <c r="DEC42" s="3281"/>
      <c r="DED42" s="3281"/>
      <c r="DEE42" s="3281"/>
      <c r="DEF42" s="3281"/>
      <c r="DEG42" s="3281"/>
      <c r="DEH42" s="3281"/>
      <c r="DEI42" s="3281"/>
      <c r="DEJ42" s="3281"/>
      <c r="DEK42" s="3281"/>
      <c r="DEL42" s="3281"/>
      <c r="DEM42" s="3281"/>
      <c r="DEN42" s="3281"/>
      <c r="DEO42" s="3281"/>
      <c r="DEP42" s="3281"/>
      <c r="DEQ42" s="3281"/>
      <c r="DER42" s="3281"/>
      <c r="DES42" s="3281"/>
      <c r="DET42" s="3281"/>
      <c r="DEU42" s="3281"/>
      <c r="DEV42" s="3281"/>
      <c r="DEW42" s="3281"/>
      <c r="DEX42" s="3281"/>
      <c r="DEY42" s="3281"/>
      <c r="DEZ42" s="3281"/>
      <c r="DFA42" s="3281"/>
      <c r="DFB42" s="3281"/>
      <c r="DFC42" s="3281"/>
      <c r="DFD42" s="3281"/>
      <c r="DFE42" s="3281"/>
      <c r="DFF42" s="3281"/>
      <c r="DFG42" s="3281"/>
      <c r="DFH42" s="3281"/>
      <c r="DFI42" s="3281"/>
      <c r="DFJ42" s="3281"/>
      <c r="DFK42" s="3281"/>
      <c r="DFL42" s="3281"/>
      <c r="DFM42" s="3281"/>
      <c r="DFN42" s="3281"/>
      <c r="DFO42" s="3281"/>
      <c r="DFP42" s="3281"/>
      <c r="DFQ42" s="3281"/>
      <c r="DFR42" s="3281"/>
      <c r="DFS42" s="3281"/>
      <c r="DFT42" s="3281"/>
      <c r="DFU42" s="3281"/>
      <c r="DFV42" s="3281"/>
      <c r="DFW42" s="3281"/>
      <c r="DFX42" s="3281"/>
      <c r="DFY42" s="3281"/>
      <c r="DFZ42" s="3281"/>
      <c r="DGA42" s="3281"/>
      <c r="DGB42" s="3281"/>
      <c r="DGC42" s="3281"/>
      <c r="DGD42" s="3281"/>
      <c r="DGE42" s="3281"/>
      <c r="DGF42" s="3281"/>
      <c r="DGG42" s="3281"/>
      <c r="DGH42" s="3281"/>
      <c r="DGI42" s="3281"/>
      <c r="DGJ42" s="3281"/>
      <c r="DGK42" s="3281"/>
      <c r="DGL42" s="3281"/>
      <c r="DGM42" s="3281"/>
      <c r="DGN42" s="3281"/>
      <c r="DGO42" s="3281"/>
      <c r="DGP42" s="3281"/>
      <c r="DGQ42" s="3281"/>
      <c r="DGR42" s="3281"/>
      <c r="DGS42" s="3281"/>
      <c r="DGT42" s="3281"/>
      <c r="DGU42" s="3281"/>
      <c r="DGV42" s="3281"/>
      <c r="DGW42" s="3281"/>
      <c r="DGX42" s="3281"/>
      <c r="DGY42" s="3281"/>
      <c r="DGZ42" s="3281"/>
      <c r="DHA42" s="3281"/>
      <c r="DHB42" s="3281"/>
      <c r="DHC42" s="3281"/>
      <c r="DHD42" s="3281"/>
      <c r="DHE42" s="3281"/>
      <c r="DHF42" s="3281"/>
      <c r="DHG42" s="3281"/>
      <c r="DHH42" s="3281"/>
      <c r="DHI42" s="3281"/>
      <c r="DHJ42" s="3281"/>
      <c r="DHK42" s="3281"/>
      <c r="DHL42" s="3281"/>
      <c r="DHM42" s="3281"/>
      <c r="DHN42" s="3281"/>
      <c r="DHO42" s="3281"/>
      <c r="DHP42" s="3281"/>
      <c r="DHQ42" s="3281"/>
      <c r="DHR42" s="3281"/>
      <c r="DHS42" s="3281"/>
      <c r="DHT42" s="3281"/>
      <c r="DHU42" s="3281"/>
      <c r="DHV42" s="3281"/>
      <c r="DHW42" s="3281"/>
      <c r="DHX42" s="3281"/>
      <c r="DHY42" s="3281"/>
      <c r="DHZ42" s="3281"/>
      <c r="DIA42" s="3281"/>
      <c r="DIB42" s="3281"/>
      <c r="DIC42" s="3281"/>
      <c r="DID42" s="3281"/>
      <c r="DIE42" s="3281"/>
      <c r="DIF42" s="3281"/>
      <c r="DIG42" s="3281"/>
      <c r="DIH42" s="3281"/>
      <c r="DII42" s="3281"/>
      <c r="DIJ42" s="3281"/>
      <c r="DIK42" s="3281"/>
      <c r="DIL42" s="3281"/>
      <c r="DIM42" s="3281"/>
      <c r="DIN42" s="3281"/>
      <c r="DIO42" s="3281"/>
      <c r="DIP42" s="3281"/>
      <c r="DIQ42" s="3281"/>
      <c r="DIR42" s="3281"/>
      <c r="DIS42" s="3281"/>
      <c r="DIT42" s="3281"/>
      <c r="DIU42" s="3281"/>
      <c r="DIV42" s="3281"/>
      <c r="DIW42" s="3281"/>
      <c r="DIX42" s="3281"/>
      <c r="DIY42" s="3281"/>
      <c r="DIZ42" s="3281"/>
      <c r="DJA42" s="3281"/>
      <c r="DJB42" s="3281"/>
      <c r="DJC42" s="3281"/>
      <c r="DJD42" s="3281"/>
      <c r="DJE42" s="3281"/>
      <c r="DJF42" s="3281"/>
      <c r="DJG42" s="3281"/>
      <c r="DJH42" s="3281"/>
      <c r="DJI42" s="3281"/>
      <c r="DJJ42" s="3281"/>
      <c r="DJK42" s="3281"/>
      <c r="DJL42" s="3281"/>
      <c r="DJM42" s="3281"/>
      <c r="DJN42" s="3281"/>
      <c r="DJO42" s="3281"/>
      <c r="DJP42" s="3281"/>
      <c r="DJQ42" s="3281"/>
      <c r="DJR42" s="3281"/>
      <c r="DJS42" s="3281"/>
      <c r="DJT42" s="3281"/>
      <c r="DJU42" s="3281"/>
      <c r="DJV42" s="3281"/>
      <c r="DJW42" s="3281"/>
      <c r="DJX42" s="3281"/>
      <c r="DJY42" s="3281"/>
      <c r="DJZ42" s="3281"/>
      <c r="DKA42" s="3281"/>
      <c r="DKB42" s="3281"/>
      <c r="DKC42" s="3281"/>
      <c r="DKD42" s="3281"/>
      <c r="DKE42" s="3281"/>
      <c r="DKF42" s="3281"/>
      <c r="DKG42" s="3281"/>
      <c r="DKH42" s="3281"/>
      <c r="DKI42" s="3281"/>
      <c r="DKJ42" s="3281"/>
      <c r="DKK42" s="3281"/>
      <c r="DKL42" s="3281"/>
      <c r="DKM42" s="3281"/>
      <c r="DKN42" s="3281"/>
      <c r="DKO42" s="3281"/>
      <c r="DKP42" s="3281"/>
      <c r="DKQ42" s="3281"/>
      <c r="DKR42" s="3281"/>
      <c r="DKS42" s="3281"/>
      <c r="DKT42" s="3281"/>
      <c r="DKU42" s="3281"/>
      <c r="DKV42" s="3281"/>
      <c r="DKW42" s="3281"/>
      <c r="DKX42" s="3281"/>
      <c r="DKY42" s="3281"/>
      <c r="DKZ42" s="3281"/>
      <c r="DLA42" s="3281"/>
      <c r="DLB42" s="3281"/>
      <c r="DLC42" s="3281"/>
      <c r="DLD42" s="3281"/>
      <c r="DLE42" s="3281"/>
      <c r="DLF42" s="3281"/>
      <c r="DLG42" s="3281"/>
      <c r="DLH42" s="3281"/>
      <c r="DLI42" s="3281"/>
      <c r="DLJ42" s="3281"/>
      <c r="DLK42" s="3281"/>
      <c r="DLL42" s="3281"/>
      <c r="DLM42" s="3281"/>
      <c r="DLN42" s="3281"/>
      <c r="DLO42" s="3281"/>
      <c r="DLP42" s="3281"/>
      <c r="DLQ42" s="3281"/>
      <c r="DLR42" s="3281"/>
      <c r="DLS42" s="3281"/>
      <c r="DLT42" s="3281"/>
      <c r="DLU42" s="3281"/>
      <c r="DLV42" s="3281"/>
      <c r="DLW42" s="3281"/>
      <c r="DLX42" s="3281"/>
      <c r="DLY42" s="3281"/>
      <c r="DLZ42" s="3281"/>
      <c r="DMA42" s="3281"/>
      <c r="DMB42" s="3281"/>
      <c r="DMC42" s="3281"/>
      <c r="DMD42" s="3281"/>
      <c r="DME42" s="3281"/>
      <c r="DMF42" s="3281"/>
      <c r="DMG42" s="3281"/>
      <c r="DMH42" s="3281"/>
      <c r="DMI42" s="3281"/>
      <c r="DMJ42" s="3281"/>
      <c r="DMK42" s="3281"/>
      <c r="DML42" s="3281"/>
      <c r="DMM42" s="3281"/>
      <c r="DMN42" s="3281"/>
      <c r="DMO42" s="3281"/>
      <c r="DMP42" s="3281"/>
      <c r="DMQ42" s="3281"/>
      <c r="DMR42" s="3281"/>
      <c r="DMS42" s="3281"/>
      <c r="DMT42" s="3281"/>
      <c r="DMU42" s="3281"/>
      <c r="DMV42" s="3281"/>
      <c r="DMW42" s="3281"/>
      <c r="DMX42" s="3281"/>
      <c r="DMY42" s="3281"/>
      <c r="DMZ42" s="3281"/>
      <c r="DNA42" s="3281"/>
      <c r="DNB42" s="3281"/>
      <c r="DNC42" s="3281"/>
      <c r="DND42" s="3281"/>
      <c r="DNE42" s="3281"/>
      <c r="DNF42" s="3281"/>
      <c r="DNG42" s="3281"/>
      <c r="DNH42" s="3281"/>
      <c r="DNI42" s="3281"/>
      <c r="DNJ42" s="3281"/>
      <c r="DNK42" s="3281"/>
      <c r="DNL42" s="3281"/>
      <c r="DNM42" s="3281"/>
      <c r="DNN42" s="3281"/>
      <c r="DNO42" s="3281"/>
      <c r="DNP42" s="3281"/>
      <c r="DNQ42" s="3281"/>
      <c r="DNR42" s="3281"/>
      <c r="DNS42" s="3281"/>
      <c r="DNT42" s="3281"/>
      <c r="DNU42" s="3281"/>
      <c r="DNV42" s="3281"/>
      <c r="DNW42" s="3281"/>
      <c r="DNX42" s="3281"/>
      <c r="DNY42" s="3281"/>
      <c r="DNZ42" s="3281"/>
      <c r="DOA42" s="3281"/>
      <c r="DOB42" s="3281"/>
      <c r="DOC42" s="3281"/>
      <c r="DOD42" s="3281"/>
      <c r="DOE42" s="3281"/>
      <c r="DOF42" s="3281"/>
      <c r="DOG42" s="3281"/>
      <c r="DOH42" s="3281"/>
      <c r="DOI42" s="3281"/>
      <c r="DOJ42" s="3281"/>
      <c r="DOK42" s="3281"/>
      <c r="DOL42" s="3281"/>
      <c r="DOM42" s="3281"/>
      <c r="DON42" s="3281"/>
      <c r="DOO42" s="3281"/>
      <c r="DOP42" s="3281"/>
      <c r="DOQ42" s="3281"/>
      <c r="DOR42" s="3281"/>
      <c r="DOS42" s="3281"/>
      <c r="DOT42" s="3281"/>
      <c r="DOU42" s="3281"/>
      <c r="DOV42" s="3281"/>
      <c r="DOW42" s="3281"/>
      <c r="DOX42" s="3281"/>
      <c r="DOY42" s="3281"/>
      <c r="DOZ42" s="3281"/>
      <c r="DPA42" s="3281"/>
      <c r="DPB42" s="3281"/>
      <c r="DPC42" s="3281"/>
      <c r="DPD42" s="3281"/>
      <c r="DPE42" s="3281"/>
      <c r="DPF42" s="3281"/>
      <c r="DPG42" s="3281"/>
      <c r="DPH42" s="3281"/>
      <c r="DPI42" s="3281"/>
      <c r="DPJ42" s="3281"/>
      <c r="DPK42" s="3281"/>
      <c r="DPL42" s="3281"/>
      <c r="DPM42" s="3281"/>
      <c r="DPN42" s="3281"/>
      <c r="DPO42" s="3281"/>
      <c r="DPP42" s="3281"/>
      <c r="DPQ42" s="3281"/>
      <c r="DPR42" s="3281"/>
      <c r="DPS42" s="3281"/>
      <c r="DPT42" s="3281"/>
      <c r="DPU42" s="3281"/>
      <c r="DPV42" s="3281"/>
      <c r="DPW42" s="3281"/>
      <c r="DPX42" s="3281"/>
      <c r="DPY42" s="3281"/>
      <c r="DPZ42" s="3281"/>
      <c r="DQA42" s="3281"/>
      <c r="DQB42" s="3281"/>
      <c r="DQC42" s="3281"/>
      <c r="DQD42" s="3281"/>
      <c r="DQE42" s="3281"/>
      <c r="DQF42" s="3281"/>
      <c r="DQG42" s="3281"/>
      <c r="DQH42" s="3281"/>
      <c r="DQI42" s="3281"/>
      <c r="DQJ42" s="3281"/>
      <c r="DQK42" s="3281"/>
      <c r="DQL42" s="3281"/>
      <c r="DQM42" s="3281"/>
      <c r="DQN42" s="3281"/>
      <c r="DQO42" s="3281"/>
      <c r="DQP42" s="3281"/>
      <c r="DQQ42" s="3281"/>
      <c r="DQR42" s="3281"/>
      <c r="DQS42" s="3281"/>
      <c r="DQT42" s="3281"/>
      <c r="DQU42" s="3281"/>
      <c r="DQV42" s="3281"/>
      <c r="DQW42" s="3281"/>
      <c r="DQX42" s="3281"/>
      <c r="DQY42" s="3281"/>
      <c r="DQZ42" s="3281"/>
      <c r="DRA42" s="3281"/>
      <c r="DRB42" s="3281"/>
      <c r="DRC42" s="3281"/>
      <c r="DRD42" s="3281"/>
      <c r="DRE42" s="3281"/>
      <c r="DRF42" s="3281"/>
      <c r="DRG42" s="3281"/>
      <c r="DRH42" s="3281"/>
      <c r="DRI42" s="3281"/>
      <c r="DRJ42" s="3281"/>
      <c r="DRK42" s="3281"/>
      <c r="DRL42" s="3281"/>
      <c r="DRM42" s="3281"/>
      <c r="DRN42" s="3281"/>
      <c r="DRO42" s="3281"/>
      <c r="DRP42" s="3281"/>
      <c r="DRQ42" s="3281"/>
      <c r="DRR42" s="3281"/>
      <c r="DRS42" s="3281"/>
      <c r="DRT42" s="3281"/>
      <c r="DRU42" s="3281"/>
      <c r="DRV42" s="3281"/>
      <c r="DRW42" s="3281"/>
      <c r="DRX42" s="3281"/>
      <c r="DRY42" s="3281"/>
      <c r="DRZ42" s="3281"/>
      <c r="DSA42" s="3281"/>
      <c r="DSB42" s="3281"/>
      <c r="DSC42" s="3281"/>
      <c r="DSD42" s="3281"/>
      <c r="DSE42" s="3281"/>
      <c r="DSF42" s="3281"/>
      <c r="DSG42" s="3281"/>
      <c r="DSH42" s="3281"/>
      <c r="DSI42" s="3281"/>
      <c r="DSJ42" s="3281"/>
      <c r="DSK42" s="3281"/>
      <c r="DSL42" s="3281"/>
      <c r="DSM42" s="3281"/>
      <c r="DSN42" s="3281"/>
      <c r="DSO42" s="3281"/>
      <c r="DSP42" s="3281"/>
      <c r="DSQ42" s="3281"/>
      <c r="DSR42" s="3281"/>
      <c r="DSS42" s="3281"/>
      <c r="DST42" s="3281"/>
      <c r="DSU42" s="3281"/>
      <c r="DSV42" s="3281"/>
      <c r="DSW42" s="3281"/>
      <c r="DSX42" s="3281"/>
      <c r="DSY42" s="3281"/>
      <c r="DSZ42" s="3281"/>
      <c r="DTA42" s="3281"/>
      <c r="DTB42" s="3281"/>
      <c r="DTC42" s="3281"/>
      <c r="DTD42" s="3281"/>
      <c r="DTE42" s="3281"/>
      <c r="DTF42" s="3281"/>
      <c r="DTG42" s="3281"/>
      <c r="DTH42" s="3281"/>
      <c r="DTI42" s="3281"/>
      <c r="DTJ42" s="3281"/>
      <c r="DTK42" s="3281"/>
      <c r="DTL42" s="3281"/>
      <c r="DTM42" s="3281"/>
      <c r="DTN42" s="3281"/>
      <c r="DTO42" s="3281"/>
      <c r="DTP42" s="3281"/>
      <c r="DTQ42" s="3281"/>
      <c r="DTR42" s="3281"/>
      <c r="DTS42" s="3281"/>
      <c r="DTT42" s="3281"/>
      <c r="DTU42" s="3281"/>
      <c r="DTV42" s="3281"/>
      <c r="DTW42" s="3281"/>
      <c r="DTX42" s="3281"/>
      <c r="DTY42" s="3281"/>
      <c r="DTZ42" s="3281"/>
      <c r="DUA42" s="3281"/>
      <c r="DUB42" s="3281"/>
      <c r="DUC42" s="3281"/>
      <c r="DUD42" s="3281"/>
      <c r="DUE42" s="3281"/>
      <c r="DUF42" s="3281"/>
      <c r="DUG42" s="3281"/>
      <c r="DUH42" s="3281"/>
      <c r="DUI42" s="3281"/>
      <c r="DUJ42" s="3281"/>
      <c r="DUK42" s="3281"/>
      <c r="DUL42" s="3281"/>
      <c r="DUM42" s="3281"/>
      <c r="DUN42" s="3281"/>
      <c r="DUO42" s="3281"/>
      <c r="DUP42" s="3281"/>
      <c r="DUQ42" s="3281"/>
      <c r="DUR42" s="3281"/>
      <c r="DUS42" s="3281"/>
      <c r="DUT42" s="3281"/>
      <c r="DUU42" s="3281"/>
      <c r="DUV42" s="3281"/>
      <c r="DUW42" s="3281"/>
      <c r="DUX42" s="3281"/>
      <c r="DUY42" s="3281"/>
      <c r="DUZ42" s="3281"/>
      <c r="DVA42" s="3281"/>
      <c r="DVB42" s="3281"/>
      <c r="DVC42" s="3281"/>
      <c r="DVD42" s="3281"/>
      <c r="DVE42" s="3281"/>
      <c r="DVF42" s="3281"/>
      <c r="DVG42" s="3281"/>
      <c r="DVH42" s="3281"/>
      <c r="DVI42" s="3281"/>
      <c r="DVJ42" s="3281"/>
      <c r="DVK42" s="3281"/>
      <c r="DVL42" s="3281"/>
      <c r="DVM42" s="3281"/>
      <c r="DVN42" s="3281"/>
      <c r="DVO42" s="3281"/>
      <c r="DVP42" s="3281"/>
      <c r="DVQ42" s="3281"/>
      <c r="DVR42" s="3281"/>
      <c r="DVS42" s="3281"/>
      <c r="DVT42" s="3281"/>
      <c r="DVU42" s="3281"/>
      <c r="DVV42" s="3281"/>
      <c r="DVW42" s="3281"/>
      <c r="DVX42" s="3281"/>
      <c r="DVY42" s="3281"/>
      <c r="DVZ42" s="3281"/>
      <c r="DWA42" s="3281"/>
      <c r="DWB42" s="3281"/>
      <c r="DWC42" s="3281"/>
      <c r="DWD42" s="3281"/>
      <c r="DWE42" s="3281"/>
      <c r="DWF42" s="3281"/>
      <c r="DWG42" s="3281"/>
      <c r="DWH42" s="3281"/>
      <c r="DWI42" s="3281"/>
      <c r="DWJ42" s="3281"/>
      <c r="DWK42" s="3281"/>
      <c r="DWL42" s="3281"/>
      <c r="DWM42" s="3281"/>
      <c r="DWN42" s="3281"/>
      <c r="DWO42" s="3281"/>
      <c r="DWP42" s="3281"/>
      <c r="DWQ42" s="3281"/>
      <c r="DWR42" s="3281"/>
      <c r="DWS42" s="3281"/>
      <c r="DWT42" s="3281"/>
      <c r="DWU42" s="3281"/>
      <c r="DWV42" s="3281"/>
      <c r="DWW42" s="3281"/>
      <c r="DWX42" s="3281"/>
      <c r="DWY42" s="3281"/>
      <c r="DWZ42" s="3281"/>
      <c r="DXA42" s="3281"/>
      <c r="DXB42" s="3281"/>
      <c r="DXC42" s="3281"/>
      <c r="DXD42" s="3281"/>
      <c r="DXE42" s="3281"/>
      <c r="DXF42" s="3281"/>
      <c r="DXG42" s="3281"/>
      <c r="DXH42" s="3281"/>
      <c r="DXI42" s="3281"/>
      <c r="DXJ42" s="3281"/>
      <c r="DXK42" s="3281"/>
      <c r="DXL42" s="3281"/>
      <c r="DXM42" s="3281"/>
      <c r="DXN42" s="3281"/>
      <c r="DXO42" s="3281"/>
      <c r="DXP42" s="3281"/>
      <c r="DXQ42" s="3281"/>
      <c r="DXR42" s="3281"/>
      <c r="DXS42" s="3281"/>
      <c r="DXT42" s="3281"/>
      <c r="DXU42" s="3281"/>
      <c r="DXV42" s="3281"/>
      <c r="DXW42" s="3281"/>
      <c r="DXX42" s="3281"/>
      <c r="DXY42" s="3281"/>
      <c r="DXZ42" s="3281"/>
      <c r="DYA42" s="3281"/>
      <c r="DYB42" s="3281"/>
      <c r="DYC42" s="3281"/>
      <c r="DYD42" s="3281"/>
      <c r="DYE42" s="3281"/>
      <c r="DYF42" s="3281"/>
      <c r="DYG42" s="3281"/>
      <c r="DYH42" s="3281"/>
      <c r="DYI42" s="3281"/>
      <c r="DYJ42" s="3281"/>
      <c r="DYK42" s="3281"/>
      <c r="DYL42" s="3281"/>
      <c r="DYM42" s="3281"/>
      <c r="DYN42" s="3281"/>
      <c r="DYO42" s="3281"/>
      <c r="DYP42" s="3281"/>
      <c r="DYQ42" s="3281"/>
      <c r="DYR42" s="3281"/>
      <c r="DYS42" s="3281"/>
      <c r="DYT42" s="3281"/>
      <c r="DYU42" s="3281"/>
      <c r="DYV42" s="3281"/>
      <c r="DYW42" s="3281"/>
      <c r="DYX42" s="3281"/>
      <c r="DYY42" s="3281"/>
      <c r="DYZ42" s="3281"/>
      <c r="DZA42" s="3281"/>
      <c r="DZB42" s="3281"/>
      <c r="DZC42" s="3281"/>
      <c r="DZD42" s="3281"/>
      <c r="DZE42" s="3281"/>
      <c r="DZF42" s="3281"/>
      <c r="DZG42" s="3281"/>
      <c r="DZH42" s="3281"/>
      <c r="DZI42" s="3281"/>
      <c r="DZJ42" s="3281"/>
      <c r="DZK42" s="3281"/>
      <c r="DZL42" s="3281"/>
      <c r="DZM42" s="3281"/>
      <c r="DZN42" s="3281"/>
      <c r="DZO42" s="3281"/>
      <c r="DZP42" s="3281"/>
      <c r="DZQ42" s="3281"/>
      <c r="DZR42" s="3281"/>
      <c r="DZS42" s="3281"/>
      <c r="DZT42" s="3281"/>
      <c r="DZU42" s="3281"/>
      <c r="DZV42" s="3281"/>
      <c r="DZW42" s="3281"/>
      <c r="DZX42" s="3281"/>
      <c r="DZY42" s="3281"/>
      <c r="DZZ42" s="3281"/>
      <c r="EAA42" s="3281"/>
      <c r="EAB42" s="3281"/>
      <c r="EAC42" s="3281"/>
      <c r="EAD42" s="3281"/>
      <c r="EAE42" s="3281"/>
      <c r="EAF42" s="3281"/>
      <c r="EAG42" s="3281"/>
      <c r="EAH42" s="3281"/>
      <c r="EAI42" s="3281"/>
      <c r="EAJ42" s="3281"/>
      <c r="EAK42" s="3281"/>
      <c r="EAL42" s="3281"/>
      <c r="EAM42" s="3281"/>
      <c r="EAN42" s="3281"/>
      <c r="EAO42" s="3281"/>
      <c r="EAP42" s="3281"/>
      <c r="EAQ42" s="3281"/>
      <c r="EAR42" s="3281"/>
      <c r="EAS42" s="3281"/>
      <c r="EAT42" s="3281"/>
      <c r="EAU42" s="3281"/>
      <c r="EAV42" s="3281"/>
      <c r="EAW42" s="3281"/>
      <c r="EAX42" s="3281"/>
      <c r="EAY42" s="3281"/>
      <c r="EAZ42" s="3281"/>
      <c r="EBA42" s="3281"/>
      <c r="EBB42" s="3281"/>
      <c r="EBC42" s="3281"/>
      <c r="EBD42" s="3281"/>
      <c r="EBE42" s="3281"/>
      <c r="EBF42" s="3281"/>
      <c r="EBG42" s="3281"/>
      <c r="EBH42" s="3281"/>
      <c r="EBI42" s="3281"/>
      <c r="EBJ42" s="3281"/>
      <c r="EBK42" s="3281"/>
      <c r="EBL42" s="3281"/>
      <c r="EBM42" s="3281"/>
      <c r="EBN42" s="3281"/>
      <c r="EBO42" s="3281"/>
      <c r="EBP42" s="3281"/>
      <c r="EBQ42" s="3281"/>
      <c r="EBR42" s="3281"/>
      <c r="EBS42" s="3281"/>
      <c r="EBT42" s="3281"/>
      <c r="EBU42" s="3281"/>
      <c r="EBV42" s="3281"/>
      <c r="EBW42" s="3281"/>
      <c r="EBX42" s="3281"/>
      <c r="EBY42" s="3281"/>
      <c r="EBZ42" s="3281"/>
      <c r="ECA42" s="3281"/>
      <c r="ECB42" s="3281"/>
      <c r="ECC42" s="3281"/>
      <c r="ECD42" s="3281"/>
      <c r="ECE42" s="3281"/>
      <c r="ECF42" s="3281"/>
      <c r="ECG42" s="3281"/>
      <c r="ECH42" s="3281"/>
      <c r="ECI42" s="3281"/>
      <c r="ECJ42" s="3281"/>
      <c r="ECK42" s="3281"/>
      <c r="ECL42" s="3281"/>
      <c r="ECM42" s="3281"/>
      <c r="ECN42" s="3281"/>
      <c r="ECO42" s="3281"/>
      <c r="ECP42" s="3281"/>
      <c r="ECQ42" s="3281"/>
      <c r="ECR42" s="3281"/>
      <c r="ECS42" s="3281"/>
      <c r="ECT42" s="3281"/>
      <c r="ECU42" s="3281"/>
      <c r="ECV42" s="3281"/>
      <c r="ECW42" s="3281"/>
      <c r="ECX42" s="3281"/>
      <c r="ECY42" s="3281"/>
      <c r="ECZ42" s="3281"/>
      <c r="EDA42" s="3281"/>
      <c r="EDB42" s="3281"/>
      <c r="EDC42" s="3281"/>
      <c r="EDD42" s="3281"/>
      <c r="EDE42" s="3281"/>
      <c r="EDF42" s="3281"/>
      <c r="EDG42" s="3281"/>
      <c r="EDH42" s="3281"/>
      <c r="EDI42" s="3281"/>
      <c r="EDJ42" s="3281"/>
      <c r="EDK42" s="3281"/>
      <c r="EDL42" s="3281"/>
      <c r="EDM42" s="3281"/>
      <c r="EDN42" s="3281"/>
      <c r="EDO42" s="3281"/>
      <c r="EDP42" s="3281"/>
      <c r="EDQ42" s="3281"/>
      <c r="EDR42" s="3281"/>
      <c r="EDS42" s="3281"/>
      <c r="EDT42" s="3281"/>
      <c r="EDU42" s="3281"/>
      <c r="EDV42" s="3281"/>
      <c r="EDW42" s="3281"/>
      <c r="EDX42" s="3281"/>
      <c r="EDY42" s="3281"/>
      <c r="EDZ42" s="3281"/>
      <c r="EEA42" s="3281"/>
      <c r="EEB42" s="3281"/>
      <c r="EEC42" s="3281"/>
      <c r="EED42" s="3281"/>
      <c r="EEE42" s="3281"/>
      <c r="EEF42" s="3281"/>
      <c r="EEG42" s="3281"/>
      <c r="EEH42" s="3281"/>
      <c r="EEI42" s="3281"/>
      <c r="EEJ42" s="3281"/>
      <c r="EEK42" s="3281"/>
      <c r="EEL42" s="3281"/>
      <c r="EEM42" s="3281"/>
      <c r="EEN42" s="3281"/>
      <c r="EEO42" s="3281"/>
      <c r="EEP42" s="3281"/>
      <c r="EEQ42" s="3281"/>
      <c r="EER42" s="3281"/>
      <c r="EES42" s="3281"/>
      <c r="EET42" s="3281"/>
      <c r="EEU42" s="3281"/>
      <c r="EEV42" s="3281"/>
      <c r="EEW42" s="3281"/>
      <c r="EEX42" s="3281"/>
      <c r="EEY42" s="3281"/>
      <c r="EEZ42" s="3281"/>
      <c r="EFA42" s="3281"/>
      <c r="EFB42" s="3281"/>
      <c r="EFC42" s="3281"/>
      <c r="EFD42" s="3281"/>
      <c r="EFE42" s="3281"/>
      <c r="EFF42" s="3281"/>
      <c r="EFG42" s="3281"/>
      <c r="EFH42" s="3281"/>
      <c r="EFI42" s="3281"/>
      <c r="EFJ42" s="3281"/>
      <c r="EFK42" s="3281"/>
      <c r="EFL42" s="3281"/>
      <c r="EFM42" s="3281"/>
      <c r="EFN42" s="3281"/>
      <c r="EFO42" s="3281"/>
      <c r="EFP42" s="3281"/>
      <c r="EFQ42" s="3281"/>
      <c r="EFR42" s="3281"/>
      <c r="EFS42" s="3281"/>
      <c r="EFT42" s="3281"/>
      <c r="EFU42" s="3281"/>
      <c r="EFV42" s="3281"/>
      <c r="EFW42" s="3281"/>
      <c r="EFX42" s="3281"/>
      <c r="EFY42" s="3281"/>
      <c r="EFZ42" s="3281"/>
      <c r="EGA42" s="3281"/>
      <c r="EGB42" s="3281"/>
      <c r="EGC42" s="3281"/>
      <c r="EGD42" s="3281"/>
      <c r="EGE42" s="3281"/>
      <c r="EGF42" s="3281"/>
      <c r="EGG42" s="3281"/>
      <c r="EGH42" s="3281"/>
      <c r="EGI42" s="3281"/>
      <c r="EGJ42" s="3281"/>
      <c r="EGK42" s="3281"/>
      <c r="EGL42" s="3281"/>
      <c r="EGM42" s="3281"/>
      <c r="EGN42" s="3281"/>
      <c r="EGO42" s="3281"/>
      <c r="EGP42" s="3281"/>
      <c r="EGQ42" s="3281"/>
      <c r="EGR42" s="3281"/>
      <c r="EGS42" s="3281"/>
      <c r="EGT42" s="3281"/>
      <c r="EGU42" s="3281"/>
      <c r="EGV42" s="3281"/>
      <c r="EGW42" s="3281"/>
      <c r="EGX42" s="3281"/>
      <c r="EGY42" s="3281"/>
      <c r="EGZ42" s="3281"/>
      <c r="EHA42" s="3281"/>
      <c r="EHB42" s="3281"/>
      <c r="EHC42" s="3281"/>
      <c r="EHD42" s="3281"/>
      <c r="EHE42" s="3281"/>
      <c r="EHF42" s="3281"/>
      <c r="EHG42" s="3281"/>
      <c r="EHH42" s="3281"/>
      <c r="EHI42" s="3281"/>
      <c r="EHJ42" s="3281"/>
      <c r="EHK42" s="3281"/>
      <c r="EHL42" s="3281"/>
      <c r="EHM42" s="3281"/>
      <c r="EHN42" s="3281"/>
      <c r="EHO42" s="3281"/>
      <c r="EHP42" s="3281"/>
      <c r="EHQ42" s="3281"/>
      <c r="EHR42" s="3281"/>
      <c r="EHS42" s="3281"/>
      <c r="EHT42" s="3281"/>
      <c r="EHU42" s="3281"/>
      <c r="EHV42" s="3281"/>
      <c r="EHW42" s="3281"/>
      <c r="EHX42" s="3281"/>
      <c r="EHY42" s="3281"/>
      <c r="EHZ42" s="3281"/>
      <c r="EIA42" s="3281"/>
      <c r="EIB42" s="3281"/>
      <c r="EIC42" s="3281"/>
      <c r="EID42" s="3281"/>
      <c r="EIE42" s="3281"/>
      <c r="EIF42" s="3281"/>
      <c r="EIG42" s="3281"/>
      <c r="EIH42" s="3281"/>
      <c r="EII42" s="3281"/>
      <c r="EIJ42" s="3281"/>
      <c r="EIK42" s="3281"/>
      <c r="EIL42" s="3281"/>
      <c r="EIM42" s="3281"/>
      <c r="EIN42" s="3281"/>
      <c r="EIO42" s="3281"/>
      <c r="EIP42" s="3281"/>
      <c r="EIQ42" s="3281"/>
      <c r="EIR42" s="3281"/>
      <c r="EIS42" s="3281"/>
      <c r="EIT42" s="3281"/>
      <c r="EIU42" s="3281"/>
      <c r="EIV42" s="3281"/>
      <c r="EIW42" s="3281"/>
      <c r="EIX42" s="3281"/>
      <c r="EIY42" s="3281"/>
      <c r="EIZ42" s="3281"/>
      <c r="EJA42" s="3281"/>
      <c r="EJB42" s="3281"/>
      <c r="EJC42" s="3281"/>
      <c r="EJD42" s="3281"/>
      <c r="EJE42" s="3281"/>
      <c r="EJF42" s="3281"/>
      <c r="EJG42" s="3281"/>
      <c r="EJH42" s="3281"/>
      <c r="EJI42" s="3281"/>
      <c r="EJJ42" s="3281"/>
      <c r="EJK42" s="3281"/>
      <c r="EJL42" s="3281"/>
      <c r="EJM42" s="3281"/>
      <c r="EJN42" s="3281"/>
      <c r="EJO42" s="3281"/>
      <c r="EJP42" s="3281"/>
      <c r="EJQ42" s="3281"/>
      <c r="EJR42" s="3281"/>
      <c r="EJS42" s="3281"/>
      <c r="EJT42" s="3281"/>
      <c r="EJU42" s="3281"/>
      <c r="EJV42" s="3281"/>
      <c r="EJW42" s="3281"/>
      <c r="EJX42" s="3281"/>
      <c r="EJY42" s="3281"/>
      <c r="EJZ42" s="3281"/>
      <c r="EKA42" s="3281"/>
      <c r="EKB42" s="3281"/>
      <c r="EKC42" s="3281"/>
      <c r="EKD42" s="3281"/>
      <c r="EKE42" s="3281"/>
      <c r="EKF42" s="3281"/>
      <c r="EKG42" s="3281"/>
      <c r="EKH42" s="3281"/>
      <c r="EKI42" s="3281"/>
      <c r="EKJ42" s="3281"/>
      <c r="EKK42" s="3281"/>
      <c r="EKL42" s="3281"/>
      <c r="EKM42" s="3281"/>
      <c r="EKN42" s="3281"/>
      <c r="EKO42" s="3281"/>
      <c r="EKP42" s="3281"/>
      <c r="EKQ42" s="3281"/>
      <c r="EKR42" s="3281"/>
      <c r="EKS42" s="3281"/>
      <c r="EKT42" s="3281"/>
      <c r="EKU42" s="3281"/>
      <c r="EKV42" s="3281"/>
      <c r="EKW42" s="3281"/>
      <c r="EKX42" s="3281"/>
      <c r="EKY42" s="3281"/>
      <c r="EKZ42" s="3281"/>
      <c r="ELA42" s="3281"/>
      <c r="ELB42" s="3281"/>
      <c r="ELC42" s="3281"/>
      <c r="ELD42" s="3281"/>
      <c r="ELE42" s="3281"/>
      <c r="ELF42" s="3281"/>
      <c r="ELG42" s="3281"/>
      <c r="ELH42" s="3281"/>
      <c r="ELI42" s="3281"/>
      <c r="ELJ42" s="3281"/>
      <c r="ELK42" s="3281"/>
      <c r="ELL42" s="3281"/>
      <c r="ELM42" s="3281"/>
      <c r="ELN42" s="3281"/>
      <c r="ELO42" s="3281"/>
      <c r="ELP42" s="3281"/>
      <c r="ELQ42" s="3281"/>
      <c r="ELR42" s="3281"/>
      <c r="ELS42" s="3281"/>
      <c r="ELT42" s="3281"/>
      <c r="ELU42" s="3281"/>
      <c r="ELV42" s="3281"/>
      <c r="ELW42" s="3281"/>
      <c r="ELX42" s="3281"/>
      <c r="ELY42" s="3281"/>
      <c r="ELZ42" s="3281"/>
      <c r="EMA42" s="3281"/>
      <c r="EMB42" s="3281"/>
      <c r="EMC42" s="3281"/>
      <c r="EMD42" s="3281"/>
      <c r="EME42" s="3281"/>
      <c r="EMF42" s="3281"/>
      <c r="EMG42" s="3281"/>
      <c r="EMH42" s="3281"/>
      <c r="EMI42" s="3281"/>
      <c r="EMJ42" s="3281"/>
      <c r="EMK42" s="3281"/>
      <c r="EML42" s="3281"/>
      <c r="EMM42" s="3281"/>
      <c r="EMN42" s="3281"/>
      <c r="EMO42" s="3281"/>
      <c r="EMP42" s="3281"/>
      <c r="EMQ42" s="3281"/>
      <c r="EMR42" s="3281"/>
      <c r="EMS42" s="3281"/>
      <c r="EMT42" s="3281"/>
      <c r="EMU42" s="3281"/>
      <c r="EMV42" s="3281"/>
      <c r="EMW42" s="3281"/>
      <c r="EMX42" s="3281"/>
      <c r="EMY42" s="3281"/>
      <c r="EMZ42" s="3281"/>
      <c r="ENA42" s="3281"/>
      <c r="ENB42" s="3281"/>
      <c r="ENC42" s="3281"/>
      <c r="END42" s="3281"/>
      <c r="ENE42" s="3281"/>
      <c r="ENF42" s="3281"/>
      <c r="ENG42" s="3281"/>
      <c r="ENH42" s="3281"/>
      <c r="ENI42" s="3281"/>
      <c r="ENJ42" s="3281"/>
      <c r="ENK42" s="3281"/>
      <c r="ENL42" s="3281"/>
      <c r="ENM42" s="3281"/>
      <c r="ENN42" s="3281"/>
      <c r="ENO42" s="3281"/>
      <c r="ENP42" s="3281"/>
      <c r="ENQ42" s="3281"/>
      <c r="ENR42" s="3281"/>
      <c r="ENS42" s="3281"/>
      <c r="ENT42" s="3281"/>
      <c r="ENU42" s="3281"/>
      <c r="ENV42" s="3281"/>
      <c r="ENW42" s="3281"/>
      <c r="ENX42" s="3281"/>
      <c r="ENY42" s="3281"/>
      <c r="ENZ42" s="3281"/>
      <c r="EOA42" s="3281"/>
      <c r="EOB42" s="3281"/>
      <c r="EOC42" s="3281"/>
      <c r="EOD42" s="3281"/>
      <c r="EOE42" s="3281"/>
      <c r="EOF42" s="3281"/>
      <c r="EOG42" s="3281"/>
      <c r="EOH42" s="3281"/>
      <c r="EOI42" s="3281"/>
      <c r="EOJ42" s="3281"/>
      <c r="EOK42" s="3281"/>
      <c r="EOL42" s="3281"/>
      <c r="EOM42" s="3281"/>
      <c r="EON42" s="3281"/>
      <c r="EOO42" s="3281"/>
      <c r="EOP42" s="3281"/>
      <c r="EOQ42" s="3281"/>
      <c r="EOR42" s="3281"/>
      <c r="EOS42" s="3281"/>
      <c r="EOT42" s="3281"/>
      <c r="EOU42" s="3281"/>
      <c r="EOV42" s="3281"/>
      <c r="EOW42" s="3281"/>
      <c r="EOX42" s="3281"/>
      <c r="EOY42" s="3281"/>
      <c r="EOZ42" s="3281"/>
      <c r="EPA42" s="3281"/>
      <c r="EPB42" s="3281"/>
      <c r="EPC42" s="3281"/>
      <c r="EPD42" s="3281"/>
      <c r="EPE42" s="3281"/>
      <c r="EPF42" s="3281"/>
      <c r="EPG42" s="3281"/>
      <c r="EPH42" s="3281"/>
      <c r="EPI42" s="3281"/>
      <c r="EPJ42" s="3281"/>
      <c r="EPK42" s="3281"/>
      <c r="EPL42" s="3281"/>
      <c r="EPM42" s="3281"/>
      <c r="EPN42" s="3281"/>
      <c r="EPO42" s="3281"/>
      <c r="EPP42" s="3281"/>
      <c r="EPQ42" s="3281"/>
      <c r="EPR42" s="3281"/>
      <c r="EPS42" s="3281"/>
      <c r="EPT42" s="3281"/>
      <c r="EPU42" s="3281"/>
      <c r="EPV42" s="3281"/>
      <c r="EPW42" s="3281"/>
      <c r="EPX42" s="3281"/>
      <c r="EPY42" s="3281"/>
      <c r="EPZ42" s="3281"/>
      <c r="EQA42" s="3281"/>
      <c r="EQB42" s="3281"/>
      <c r="EQC42" s="3281"/>
      <c r="EQD42" s="3281"/>
      <c r="EQE42" s="3281"/>
      <c r="EQF42" s="3281"/>
      <c r="EQG42" s="3281"/>
      <c r="EQH42" s="3281"/>
      <c r="EQI42" s="3281"/>
      <c r="EQJ42" s="3281"/>
      <c r="EQK42" s="3281"/>
      <c r="EQL42" s="3281"/>
      <c r="EQM42" s="3281"/>
      <c r="EQN42" s="3281"/>
      <c r="EQO42" s="3281"/>
      <c r="EQP42" s="3281"/>
      <c r="EQQ42" s="3281"/>
      <c r="EQR42" s="3281"/>
      <c r="EQS42" s="3281"/>
      <c r="EQT42" s="3281"/>
      <c r="EQU42" s="3281"/>
      <c r="EQV42" s="3281"/>
      <c r="EQW42" s="3281"/>
      <c r="EQX42" s="3281"/>
      <c r="EQY42" s="3281"/>
      <c r="EQZ42" s="3281"/>
      <c r="ERA42" s="3281"/>
      <c r="ERB42" s="3281"/>
      <c r="ERC42" s="3281"/>
      <c r="ERD42" s="3281"/>
      <c r="ERE42" s="3281"/>
      <c r="ERF42" s="3281"/>
      <c r="ERG42" s="3281"/>
      <c r="ERH42" s="3281"/>
      <c r="ERI42" s="3281"/>
      <c r="ERJ42" s="3281"/>
      <c r="ERK42" s="3281"/>
      <c r="ERL42" s="3281"/>
      <c r="ERM42" s="3281"/>
      <c r="ERN42" s="3281"/>
      <c r="ERO42" s="3281"/>
      <c r="ERP42" s="3281"/>
      <c r="ERQ42" s="3281"/>
      <c r="ERR42" s="3281"/>
      <c r="ERS42" s="3281"/>
      <c r="ERT42" s="3281"/>
      <c r="ERU42" s="3281"/>
      <c r="ERV42" s="3281"/>
      <c r="ERW42" s="3281"/>
      <c r="ERX42" s="3281"/>
      <c r="ERY42" s="3281"/>
      <c r="ERZ42" s="3281"/>
      <c r="ESA42" s="3281"/>
      <c r="ESB42" s="3281"/>
      <c r="ESC42" s="3281"/>
      <c r="ESD42" s="3281"/>
      <c r="ESE42" s="3281"/>
      <c r="ESF42" s="3281"/>
      <c r="ESG42" s="3281"/>
      <c r="ESH42" s="3281"/>
      <c r="ESI42" s="3281"/>
      <c r="ESJ42" s="3281"/>
      <c r="ESK42" s="3281"/>
      <c r="ESL42" s="3281"/>
      <c r="ESM42" s="3281"/>
      <c r="ESN42" s="3281"/>
      <c r="ESO42" s="3281"/>
      <c r="ESP42" s="3281"/>
      <c r="ESQ42" s="3281"/>
      <c r="ESR42" s="3281"/>
      <c r="ESS42" s="3281"/>
      <c r="EST42" s="3281"/>
      <c r="ESU42" s="3281"/>
      <c r="ESV42" s="3281"/>
      <c r="ESW42" s="3281"/>
      <c r="ESX42" s="3281"/>
      <c r="ESY42" s="3281"/>
      <c r="ESZ42" s="3281"/>
      <c r="ETA42" s="3281"/>
      <c r="ETB42" s="3281"/>
      <c r="ETC42" s="3281"/>
      <c r="ETD42" s="3281"/>
      <c r="ETE42" s="3281"/>
      <c r="ETF42" s="3281"/>
      <c r="ETG42" s="3281"/>
      <c r="ETH42" s="3281"/>
      <c r="ETI42" s="3281"/>
      <c r="ETJ42" s="3281"/>
      <c r="ETK42" s="3281"/>
      <c r="ETL42" s="3281"/>
      <c r="ETM42" s="3281"/>
      <c r="ETN42" s="3281"/>
      <c r="ETO42" s="3281"/>
      <c r="ETP42" s="3281"/>
      <c r="ETQ42" s="3281"/>
      <c r="ETR42" s="3281"/>
      <c r="ETS42" s="3281"/>
      <c r="ETT42" s="3281"/>
      <c r="ETU42" s="3281"/>
      <c r="ETV42" s="3281"/>
      <c r="ETW42" s="3281"/>
      <c r="ETX42" s="3281"/>
      <c r="ETY42" s="3281"/>
      <c r="ETZ42" s="3281"/>
      <c r="EUA42" s="3281"/>
      <c r="EUB42" s="3281"/>
      <c r="EUC42" s="3281"/>
      <c r="EUD42" s="3281"/>
      <c r="EUE42" s="3281"/>
      <c r="EUF42" s="3281"/>
      <c r="EUG42" s="3281"/>
      <c r="EUH42" s="3281"/>
      <c r="EUI42" s="3281"/>
      <c r="EUJ42" s="3281"/>
      <c r="EUK42" s="3281"/>
      <c r="EUL42" s="3281"/>
      <c r="EUM42" s="3281"/>
      <c r="EUN42" s="3281"/>
      <c r="EUO42" s="3281"/>
      <c r="EUP42" s="3281"/>
      <c r="EUQ42" s="3281"/>
      <c r="EUR42" s="3281"/>
      <c r="EUS42" s="3281"/>
      <c r="EUT42" s="3281"/>
      <c r="EUU42" s="3281"/>
      <c r="EUV42" s="3281"/>
      <c r="EUW42" s="3281"/>
      <c r="EUX42" s="3281"/>
      <c r="EUY42" s="3281"/>
      <c r="EUZ42" s="3281"/>
      <c r="EVA42" s="3281"/>
      <c r="EVB42" s="3281"/>
      <c r="EVC42" s="3281"/>
      <c r="EVD42" s="3281"/>
      <c r="EVE42" s="3281"/>
      <c r="EVF42" s="3281"/>
      <c r="EVG42" s="3281"/>
      <c r="EVH42" s="3281"/>
      <c r="EVI42" s="3281"/>
      <c r="EVJ42" s="3281"/>
      <c r="EVK42" s="3281"/>
      <c r="EVL42" s="3281"/>
      <c r="EVM42" s="3281"/>
      <c r="EVN42" s="3281"/>
      <c r="EVO42" s="3281"/>
      <c r="EVP42" s="3281"/>
      <c r="EVQ42" s="3281"/>
      <c r="EVR42" s="3281"/>
      <c r="EVS42" s="3281"/>
      <c r="EVT42" s="3281"/>
      <c r="EVU42" s="3281"/>
      <c r="EVV42" s="3281"/>
      <c r="EVW42" s="3281"/>
      <c r="EVX42" s="3281"/>
      <c r="EVY42" s="3281"/>
      <c r="EVZ42" s="3281"/>
      <c r="EWA42" s="3281"/>
      <c r="EWB42" s="3281"/>
      <c r="EWC42" s="3281"/>
      <c r="EWD42" s="3281"/>
      <c r="EWE42" s="3281"/>
      <c r="EWF42" s="3281"/>
      <c r="EWG42" s="3281"/>
      <c r="EWH42" s="3281"/>
      <c r="EWI42" s="3281"/>
      <c r="EWJ42" s="3281"/>
      <c r="EWK42" s="3281"/>
      <c r="EWL42" s="3281"/>
      <c r="EWM42" s="3281"/>
      <c r="EWN42" s="3281"/>
      <c r="EWO42" s="3281"/>
      <c r="EWP42" s="3281"/>
      <c r="EWQ42" s="3281"/>
      <c r="EWR42" s="3281"/>
      <c r="EWS42" s="3281"/>
      <c r="EWT42" s="3281"/>
      <c r="EWU42" s="3281"/>
      <c r="EWV42" s="3281"/>
      <c r="EWW42" s="3281"/>
      <c r="EWX42" s="3281"/>
      <c r="EWY42" s="3281"/>
      <c r="EWZ42" s="3281"/>
      <c r="EXA42" s="3281"/>
      <c r="EXB42" s="3281"/>
      <c r="EXC42" s="3281"/>
      <c r="EXD42" s="3281"/>
      <c r="EXE42" s="3281"/>
      <c r="EXF42" s="3281"/>
      <c r="EXG42" s="3281"/>
      <c r="EXH42" s="3281"/>
      <c r="EXI42" s="3281"/>
      <c r="EXJ42" s="3281"/>
      <c r="EXK42" s="3281"/>
      <c r="EXL42" s="3281"/>
      <c r="EXM42" s="3281"/>
      <c r="EXN42" s="3281"/>
      <c r="EXO42" s="3281"/>
      <c r="EXP42" s="3281"/>
      <c r="EXQ42" s="3281"/>
      <c r="EXR42" s="3281"/>
      <c r="EXS42" s="3281"/>
      <c r="EXT42" s="3281"/>
      <c r="EXU42" s="3281"/>
      <c r="EXV42" s="3281"/>
      <c r="EXW42" s="3281"/>
      <c r="EXX42" s="3281"/>
      <c r="EXY42" s="3281"/>
      <c r="EXZ42" s="3281"/>
      <c r="EYA42" s="3281"/>
      <c r="EYB42" s="3281"/>
      <c r="EYC42" s="3281"/>
      <c r="EYD42" s="3281"/>
      <c r="EYE42" s="3281"/>
      <c r="EYF42" s="3281"/>
      <c r="EYG42" s="3281"/>
      <c r="EYH42" s="3281"/>
      <c r="EYI42" s="3281"/>
      <c r="EYJ42" s="3281"/>
      <c r="EYK42" s="3281"/>
      <c r="EYL42" s="3281"/>
      <c r="EYM42" s="3281"/>
      <c r="EYN42" s="3281"/>
      <c r="EYO42" s="3281"/>
      <c r="EYP42" s="3281"/>
      <c r="EYQ42" s="3281"/>
      <c r="EYR42" s="3281"/>
      <c r="EYS42" s="3281"/>
      <c r="EYT42" s="3281"/>
      <c r="EYU42" s="3281"/>
      <c r="EYV42" s="3281"/>
      <c r="EYW42" s="3281"/>
      <c r="EYX42" s="3281"/>
      <c r="EYY42" s="3281"/>
      <c r="EYZ42" s="3281"/>
      <c r="EZA42" s="3281"/>
      <c r="EZB42" s="3281"/>
      <c r="EZC42" s="3281"/>
      <c r="EZD42" s="3281"/>
      <c r="EZE42" s="3281"/>
      <c r="EZF42" s="3281"/>
      <c r="EZG42" s="3281"/>
      <c r="EZH42" s="3281"/>
      <c r="EZI42" s="3281"/>
      <c r="EZJ42" s="3281"/>
      <c r="EZK42" s="3281"/>
      <c r="EZL42" s="3281"/>
      <c r="EZM42" s="3281"/>
      <c r="EZN42" s="3281"/>
      <c r="EZO42" s="3281"/>
      <c r="EZP42" s="3281"/>
      <c r="EZQ42" s="3281"/>
      <c r="EZR42" s="3281"/>
      <c r="EZS42" s="3281"/>
      <c r="EZT42" s="3281"/>
      <c r="EZU42" s="3281"/>
      <c r="EZV42" s="3281"/>
      <c r="EZW42" s="3281"/>
      <c r="EZX42" s="3281"/>
      <c r="EZY42" s="3281"/>
      <c r="EZZ42" s="3281"/>
      <c r="FAA42" s="3281"/>
      <c r="FAB42" s="3281"/>
      <c r="FAC42" s="3281"/>
      <c r="FAD42" s="3281"/>
      <c r="FAE42" s="3281"/>
      <c r="FAF42" s="3281"/>
      <c r="FAG42" s="3281"/>
      <c r="FAH42" s="3281"/>
      <c r="FAI42" s="3281"/>
      <c r="FAJ42" s="3281"/>
      <c r="FAK42" s="3281"/>
      <c r="FAL42" s="3281"/>
      <c r="FAM42" s="3281"/>
      <c r="FAN42" s="3281"/>
      <c r="FAO42" s="3281"/>
      <c r="FAP42" s="3281"/>
      <c r="FAQ42" s="3281"/>
      <c r="FAR42" s="3281"/>
      <c r="FAS42" s="3281"/>
      <c r="FAT42" s="3281"/>
      <c r="FAU42" s="3281"/>
      <c r="FAV42" s="3281"/>
      <c r="FAW42" s="3281"/>
      <c r="FAX42" s="3281"/>
      <c r="FAY42" s="3281"/>
      <c r="FAZ42" s="3281"/>
      <c r="FBA42" s="3281"/>
      <c r="FBB42" s="3281"/>
      <c r="FBC42" s="3281"/>
      <c r="FBD42" s="3281"/>
      <c r="FBE42" s="3281"/>
      <c r="FBF42" s="3281"/>
      <c r="FBG42" s="3281"/>
      <c r="FBH42" s="3281"/>
      <c r="FBI42" s="3281"/>
      <c r="FBJ42" s="3281"/>
      <c r="FBK42" s="3281"/>
      <c r="FBL42" s="3281"/>
      <c r="FBM42" s="3281"/>
      <c r="FBN42" s="3281"/>
      <c r="FBO42" s="3281"/>
      <c r="FBP42" s="3281"/>
      <c r="FBQ42" s="3281"/>
      <c r="FBR42" s="3281"/>
      <c r="FBS42" s="3281"/>
      <c r="FBT42" s="3281"/>
      <c r="FBU42" s="3281"/>
      <c r="FBV42" s="3281"/>
      <c r="FBW42" s="3281"/>
      <c r="FBX42" s="3281"/>
      <c r="FBY42" s="3281"/>
      <c r="FBZ42" s="3281"/>
      <c r="FCA42" s="3281"/>
      <c r="FCB42" s="3281"/>
      <c r="FCC42" s="3281"/>
      <c r="FCD42" s="3281"/>
      <c r="FCE42" s="3281"/>
      <c r="FCF42" s="3281"/>
      <c r="FCG42" s="3281"/>
      <c r="FCH42" s="3281"/>
      <c r="FCI42" s="3281"/>
      <c r="FCJ42" s="3281"/>
      <c r="FCK42" s="3281"/>
      <c r="FCL42" s="3281"/>
      <c r="FCM42" s="3281"/>
      <c r="FCN42" s="3281"/>
      <c r="FCO42" s="3281"/>
      <c r="FCP42" s="3281"/>
      <c r="FCQ42" s="3281"/>
      <c r="FCR42" s="3281"/>
      <c r="FCS42" s="3281"/>
      <c r="FCT42" s="3281"/>
      <c r="FCU42" s="3281"/>
      <c r="FCV42" s="3281"/>
      <c r="FCW42" s="3281"/>
      <c r="FCX42" s="3281"/>
      <c r="FCY42" s="3281"/>
      <c r="FCZ42" s="3281"/>
      <c r="FDA42" s="3281"/>
      <c r="FDB42" s="3281"/>
      <c r="FDC42" s="3281"/>
      <c r="FDD42" s="3281"/>
      <c r="FDE42" s="3281"/>
      <c r="FDF42" s="3281"/>
      <c r="FDG42" s="3281"/>
      <c r="FDH42" s="3281"/>
      <c r="FDI42" s="3281"/>
      <c r="FDJ42" s="3281"/>
      <c r="FDK42" s="3281"/>
      <c r="FDL42" s="3281"/>
      <c r="FDM42" s="3281"/>
      <c r="FDN42" s="3281"/>
      <c r="FDO42" s="3281"/>
      <c r="FDP42" s="3281"/>
      <c r="FDQ42" s="3281"/>
      <c r="FDR42" s="3281"/>
      <c r="FDS42" s="3281"/>
      <c r="FDT42" s="3281"/>
      <c r="FDU42" s="3281"/>
      <c r="FDV42" s="3281"/>
      <c r="FDW42" s="3281"/>
      <c r="FDX42" s="3281"/>
      <c r="FDY42" s="3281"/>
      <c r="FDZ42" s="3281"/>
      <c r="FEA42" s="3281"/>
      <c r="FEB42" s="3281"/>
      <c r="FEC42" s="3281"/>
      <c r="FED42" s="3281"/>
      <c r="FEE42" s="3281"/>
      <c r="FEF42" s="3281"/>
      <c r="FEG42" s="3281"/>
      <c r="FEH42" s="3281"/>
      <c r="FEI42" s="3281"/>
      <c r="FEJ42" s="3281"/>
      <c r="FEK42" s="3281"/>
      <c r="FEL42" s="3281"/>
      <c r="FEM42" s="3281"/>
      <c r="FEN42" s="3281"/>
      <c r="FEO42" s="3281"/>
      <c r="FEP42" s="3281"/>
      <c r="FEQ42" s="3281"/>
      <c r="FER42" s="3281"/>
      <c r="FES42" s="3281"/>
      <c r="FET42" s="3281"/>
      <c r="FEU42" s="3281"/>
      <c r="FEV42" s="3281"/>
      <c r="FEW42" s="3281"/>
      <c r="FEX42" s="3281"/>
      <c r="FEY42" s="3281"/>
      <c r="FEZ42" s="3281"/>
      <c r="FFA42" s="3281"/>
      <c r="FFB42" s="3281"/>
      <c r="FFC42" s="3281"/>
      <c r="FFD42" s="3281"/>
      <c r="FFE42" s="3281"/>
      <c r="FFF42" s="3281"/>
      <c r="FFG42" s="3281"/>
      <c r="FFH42" s="3281"/>
      <c r="FFI42" s="3281"/>
      <c r="FFJ42" s="3281"/>
      <c r="FFK42" s="3281"/>
      <c r="FFL42" s="3281"/>
      <c r="FFM42" s="3281"/>
      <c r="FFN42" s="3281"/>
      <c r="FFO42" s="3281"/>
      <c r="FFP42" s="3281"/>
      <c r="FFQ42" s="3281"/>
      <c r="FFR42" s="3281"/>
      <c r="FFS42" s="3281"/>
      <c r="FFT42" s="3281"/>
      <c r="FFU42" s="3281"/>
      <c r="FFV42" s="3281"/>
      <c r="FFW42" s="3281"/>
      <c r="FFX42" s="3281"/>
      <c r="FFY42" s="3281"/>
      <c r="FFZ42" s="3281"/>
      <c r="FGA42" s="3281"/>
      <c r="FGB42" s="3281"/>
      <c r="FGC42" s="3281"/>
      <c r="FGD42" s="3281"/>
      <c r="FGE42" s="3281"/>
      <c r="FGF42" s="3281"/>
      <c r="FGG42" s="3281"/>
      <c r="FGH42" s="3281"/>
      <c r="FGI42" s="3281"/>
      <c r="FGJ42" s="3281"/>
      <c r="FGK42" s="3281"/>
      <c r="FGL42" s="3281"/>
      <c r="FGM42" s="3281"/>
      <c r="FGN42" s="3281"/>
      <c r="FGO42" s="3281"/>
      <c r="FGP42" s="3281"/>
      <c r="FGQ42" s="3281"/>
      <c r="FGR42" s="3281"/>
      <c r="FGS42" s="3281"/>
      <c r="FGT42" s="3281"/>
      <c r="FGU42" s="3281"/>
      <c r="FGV42" s="3281"/>
      <c r="FGW42" s="3281"/>
      <c r="FGX42" s="3281"/>
      <c r="FGY42" s="3281"/>
      <c r="FGZ42" s="3281"/>
      <c r="FHA42" s="3281"/>
      <c r="FHB42" s="3281"/>
      <c r="FHC42" s="3281"/>
      <c r="FHD42" s="3281"/>
      <c r="FHE42" s="3281"/>
      <c r="FHF42" s="3281"/>
      <c r="FHG42" s="3281"/>
      <c r="FHH42" s="3281"/>
      <c r="FHI42" s="3281"/>
      <c r="FHJ42" s="3281"/>
      <c r="FHK42" s="3281"/>
      <c r="FHL42" s="3281"/>
      <c r="FHM42" s="3281"/>
      <c r="FHN42" s="3281"/>
      <c r="FHO42" s="3281"/>
      <c r="FHP42" s="3281"/>
      <c r="FHQ42" s="3281"/>
      <c r="FHR42" s="3281"/>
      <c r="FHS42" s="3281"/>
      <c r="FHT42" s="3281"/>
      <c r="FHU42" s="3281"/>
      <c r="FHV42" s="3281"/>
      <c r="FHW42" s="3281"/>
      <c r="FHX42" s="3281"/>
      <c r="FHY42" s="3281"/>
      <c r="FHZ42" s="3281"/>
      <c r="FIA42" s="3281"/>
      <c r="FIB42" s="3281"/>
      <c r="FIC42" s="3281"/>
      <c r="FID42" s="3281"/>
      <c r="FIE42" s="3281"/>
      <c r="FIF42" s="3281"/>
      <c r="FIG42" s="3281"/>
      <c r="FIH42" s="3281"/>
      <c r="FII42" s="3281"/>
      <c r="FIJ42" s="3281"/>
      <c r="FIK42" s="3281"/>
      <c r="FIL42" s="3281"/>
      <c r="FIM42" s="3281"/>
      <c r="FIN42" s="3281"/>
      <c r="FIO42" s="3281"/>
      <c r="FIP42" s="3281"/>
      <c r="FIQ42" s="3281"/>
      <c r="FIR42" s="3281"/>
      <c r="FIS42" s="3281"/>
      <c r="FIT42" s="3281"/>
      <c r="FIU42" s="3281"/>
      <c r="FIV42" s="3281"/>
      <c r="FIW42" s="3281"/>
      <c r="FIX42" s="3281"/>
      <c r="FIY42" s="3281"/>
      <c r="FIZ42" s="3281"/>
      <c r="FJA42" s="3281"/>
      <c r="FJB42" s="3281"/>
      <c r="FJC42" s="3281"/>
      <c r="FJD42" s="3281"/>
      <c r="FJE42" s="3281"/>
      <c r="FJF42" s="3281"/>
      <c r="FJG42" s="3281"/>
      <c r="FJH42" s="3281"/>
      <c r="FJI42" s="3281"/>
      <c r="FJJ42" s="3281"/>
      <c r="FJK42" s="3281"/>
      <c r="FJL42" s="3281"/>
      <c r="FJM42" s="3281"/>
      <c r="FJN42" s="3281"/>
      <c r="FJO42" s="3281"/>
      <c r="FJP42" s="3281"/>
      <c r="FJQ42" s="3281"/>
      <c r="FJR42" s="3281"/>
      <c r="FJS42" s="3281"/>
      <c r="FJT42" s="3281"/>
      <c r="FJU42" s="3281"/>
      <c r="FJV42" s="3281"/>
      <c r="FJW42" s="3281"/>
      <c r="FJX42" s="3281"/>
      <c r="FJY42" s="3281"/>
      <c r="FJZ42" s="3281"/>
      <c r="FKA42" s="3281"/>
      <c r="FKB42" s="3281"/>
      <c r="FKC42" s="3281"/>
      <c r="FKD42" s="3281"/>
      <c r="FKE42" s="3281"/>
      <c r="FKF42" s="3281"/>
      <c r="FKG42" s="3281"/>
      <c r="FKH42" s="3281"/>
      <c r="FKI42" s="3281"/>
      <c r="FKJ42" s="3281"/>
      <c r="FKK42" s="3281"/>
      <c r="FKL42" s="3281"/>
      <c r="FKM42" s="3281"/>
      <c r="FKN42" s="3281"/>
      <c r="FKO42" s="3281"/>
      <c r="FKP42" s="3281"/>
      <c r="FKQ42" s="3281"/>
      <c r="FKR42" s="3281"/>
      <c r="FKS42" s="3281"/>
      <c r="FKT42" s="3281"/>
      <c r="FKU42" s="3281"/>
      <c r="FKV42" s="3281"/>
      <c r="FKW42" s="3281"/>
      <c r="FKX42" s="3281"/>
      <c r="FKY42" s="3281"/>
      <c r="FKZ42" s="3281"/>
      <c r="FLA42" s="3281"/>
      <c r="FLB42" s="3281"/>
      <c r="FLC42" s="3281"/>
      <c r="FLD42" s="3281"/>
      <c r="FLE42" s="3281"/>
      <c r="FLF42" s="3281"/>
      <c r="FLG42" s="3281"/>
      <c r="FLH42" s="3281"/>
      <c r="FLI42" s="3281"/>
      <c r="FLJ42" s="3281"/>
      <c r="FLK42" s="3281"/>
      <c r="FLL42" s="3281"/>
      <c r="FLM42" s="3281"/>
      <c r="FLN42" s="3281"/>
      <c r="FLO42" s="3281"/>
      <c r="FLP42" s="3281"/>
      <c r="FLQ42" s="3281"/>
      <c r="FLR42" s="3281"/>
      <c r="FLS42" s="3281"/>
      <c r="FLT42" s="3281"/>
      <c r="FLU42" s="3281"/>
      <c r="FLV42" s="3281"/>
      <c r="FLW42" s="3281"/>
      <c r="FLX42" s="3281"/>
      <c r="FLY42" s="3281"/>
      <c r="FLZ42" s="3281"/>
      <c r="FMA42" s="3281"/>
      <c r="FMB42" s="3281"/>
      <c r="FMC42" s="3281"/>
      <c r="FMD42" s="3281"/>
      <c r="FME42" s="3281"/>
      <c r="FMF42" s="3281"/>
      <c r="FMG42" s="3281"/>
      <c r="FMH42" s="3281"/>
      <c r="FMI42" s="3281"/>
      <c r="FMJ42" s="3281"/>
      <c r="FMK42" s="3281"/>
      <c r="FML42" s="3281"/>
      <c r="FMM42" s="3281"/>
      <c r="FMN42" s="3281"/>
      <c r="FMO42" s="3281"/>
      <c r="FMP42" s="3281"/>
      <c r="FMQ42" s="3281"/>
      <c r="FMR42" s="3281"/>
      <c r="FMS42" s="3281"/>
      <c r="FMT42" s="3281"/>
      <c r="FMU42" s="3281"/>
      <c r="FMV42" s="3281"/>
      <c r="FMW42" s="3281"/>
      <c r="FMX42" s="3281"/>
      <c r="FMY42" s="3281"/>
      <c r="FMZ42" s="3281"/>
      <c r="FNA42" s="3281"/>
      <c r="FNB42" s="3281"/>
      <c r="FNC42" s="3281"/>
      <c r="FND42" s="3281"/>
      <c r="FNE42" s="3281"/>
      <c r="FNF42" s="3281"/>
      <c r="FNG42" s="3281"/>
      <c r="FNH42" s="3281"/>
      <c r="FNI42" s="3281"/>
      <c r="FNJ42" s="3281"/>
      <c r="FNK42" s="3281"/>
      <c r="FNL42" s="3281"/>
      <c r="FNM42" s="3281"/>
      <c r="FNN42" s="3281"/>
      <c r="FNO42" s="3281"/>
      <c r="FNP42" s="3281"/>
      <c r="FNQ42" s="3281"/>
      <c r="FNR42" s="3281"/>
      <c r="FNS42" s="3281"/>
      <c r="FNT42" s="3281"/>
      <c r="FNU42" s="3281"/>
      <c r="FNV42" s="3281"/>
      <c r="FNW42" s="3281"/>
      <c r="FNX42" s="3281"/>
      <c r="FNY42" s="3281"/>
      <c r="FNZ42" s="3281"/>
      <c r="FOA42" s="3281"/>
      <c r="FOB42" s="3281"/>
      <c r="FOC42" s="3281"/>
      <c r="FOD42" s="3281"/>
      <c r="FOE42" s="3281"/>
      <c r="FOF42" s="3281"/>
      <c r="FOG42" s="3281"/>
      <c r="FOH42" s="3281"/>
      <c r="FOI42" s="3281"/>
      <c r="FOJ42" s="3281"/>
      <c r="FOK42" s="3281"/>
      <c r="FOL42" s="3281"/>
      <c r="FOM42" s="3281"/>
      <c r="FON42" s="3281"/>
      <c r="FOO42" s="3281"/>
      <c r="FOP42" s="3281"/>
      <c r="FOQ42" s="3281"/>
      <c r="FOR42" s="3281"/>
      <c r="FOS42" s="3281"/>
      <c r="FOT42" s="3281"/>
      <c r="FOU42" s="3281"/>
      <c r="FOV42" s="3281"/>
      <c r="FOW42" s="3281"/>
      <c r="FOX42" s="3281"/>
      <c r="FOY42" s="3281"/>
      <c r="FOZ42" s="3281"/>
      <c r="FPA42" s="3281"/>
      <c r="FPB42" s="3281"/>
      <c r="FPC42" s="3281"/>
      <c r="FPD42" s="3281"/>
      <c r="FPE42" s="3281"/>
      <c r="FPF42" s="3281"/>
      <c r="FPG42" s="3281"/>
      <c r="FPH42" s="3281"/>
      <c r="FPI42" s="3281"/>
      <c r="FPJ42" s="3281"/>
      <c r="FPK42" s="3281"/>
      <c r="FPL42" s="3281"/>
      <c r="FPM42" s="3281"/>
      <c r="FPN42" s="3281"/>
      <c r="FPO42" s="3281"/>
      <c r="FPP42" s="3281"/>
      <c r="FPQ42" s="3281"/>
      <c r="FPR42" s="3281"/>
      <c r="FPS42" s="3281"/>
      <c r="FPT42" s="3281"/>
      <c r="FPU42" s="3281"/>
      <c r="FPV42" s="3281"/>
      <c r="FPW42" s="3281"/>
      <c r="FPX42" s="3281"/>
      <c r="FPY42" s="3281"/>
      <c r="FPZ42" s="3281"/>
      <c r="FQA42" s="3281"/>
      <c r="FQB42" s="3281"/>
      <c r="FQC42" s="3281"/>
      <c r="FQD42" s="3281"/>
      <c r="FQE42" s="3281"/>
      <c r="FQF42" s="3281"/>
      <c r="FQG42" s="3281"/>
      <c r="FQH42" s="3281"/>
      <c r="FQI42" s="3281"/>
      <c r="FQJ42" s="3281"/>
      <c r="FQK42" s="3281"/>
      <c r="FQL42" s="3281"/>
      <c r="FQM42" s="3281"/>
      <c r="FQN42" s="3281"/>
      <c r="FQO42" s="3281"/>
      <c r="FQP42" s="3281"/>
      <c r="FQQ42" s="3281"/>
      <c r="FQR42" s="3281"/>
      <c r="FQS42" s="3281"/>
      <c r="FQT42" s="3281"/>
      <c r="FQU42" s="3281"/>
      <c r="FQV42" s="3281"/>
      <c r="FQW42" s="3281"/>
      <c r="FQX42" s="3281"/>
      <c r="FQY42" s="3281"/>
      <c r="FQZ42" s="3281"/>
      <c r="FRA42" s="3281"/>
      <c r="FRB42" s="3281"/>
      <c r="FRC42" s="3281"/>
      <c r="FRD42" s="3281"/>
      <c r="FRE42" s="3281"/>
      <c r="FRF42" s="3281"/>
      <c r="FRG42" s="3281"/>
      <c r="FRH42" s="3281"/>
      <c r="FRI42" s="3281"/>
      <c r="FRJ42" s="3281"/>
      <c r="FRK42" s="3281"/>
      <c r="FRL42" s="3281"/>
      <c r="FRM42" s="3281"/>
      <c r="FRN42" s="3281"/>
      <c r="FRO42" s="3281"/>
      <c r="FRP42" s="3281"/>
      <c r="FRQ42" s="3281"/>
      <c r="FRR42" s="3281"/>
      <c r="FRS42" s="3281"/>
      <c r="FRT42" s="3281"/>
      <c r="FRU42" s="3281"/>
      <c r="FRV42" s="3281"/>
      <c r="FRW42" s="3281"/>
      <c r="FRX42" s="3281"/>
      <c r="FRY42" s="3281"/>
      <c r="FRZ42" s="3281"/>
      <c r="FSA42" s="3281"/>
      <c r="FSB42" s="3281"/>
      <c r="FSC42" s="3281"/>
      <c r="FSD42" s="3281"/>
      <c r="FSE42" s="3281"/>
      <c r="FSF42" s="3281"/>
      <c r="FSG42" s="3281"/>
      <c r="FSH42" s="3281"/>
      <c r="FSI42" s="3281"/>
      <c r="FSJ42" s="3281"/>
      <c r="FSK42" s="3281"/>
      <c r="FSL42" s="3281"/>
      <c r="FSM42" s="3281"/>
      <c r="FSN42" s="3281"/>
      <c r="FSO42" s="3281"/>
      <c r="FSP42" s="3281"/>
      <c r="FSQ42" s="3281"/>
      <c r="FSR42" s="3281"/>
      <c r="FSS42" s="3281"/>
      <c r="FST42" s="3281"/>
      <c r="FSU42" s="3281"/>
      <c r="FSV42" s="3281"/>
      <c r="FSW42" s="3281"/>
      <c r="FSX42" s="3281"/>
      <c r="FSY42" s="3281"/>
      <c r="FSZ42" s="3281"/>
      <c r="FTA42" s="3281"/>
      <c r="FTB42" s="3281"/>
      <c r="FTC42" s="3281"/>
      <c r="FTD42" s="3281"/>
      <c r="FTE42" s="3281"/>
      <c r="FTF42" s="3281"/>
      <c r="FTG42" s="3281"/>
      <c r="FTH42" s="3281"/>
      <c r="FTI42" s="3281"/>
      <c r="FTJ42" s="3281"/>
      <c r="FTK42" s="3281"/>
      <c r="FTL42" s="3281"/>
      <c r="FTM42" s="3281"/>
      <c r="FTN42" s="3281"/>
      <c r="FTO42" s="3281"/>
      <c r="FTP42" s="3281"/>
      <c r="FTQ42" s="3281"/>
      <c r="FTR42" s="3281"/>
      <c r="FTS42" s="3281"/>
      <c r="FTT42" s="3281"/>
      <c r="FTU42" s="3281"/>
      <c r="FTV42" s="3281"/>
      <c r="FTW42" s="3281"/>
      <c r="FTX42" s="3281"/>
      <c r="FTY42" s="3281"/>
      <c r="FTZ42" s="3281"/>
      <c r="FUA42" s="3281"/>
      <c r="FUB42" s="3281"/>
      <c r="FUC42" s="3281"/>
      <c r="FUD42" s="3281"/>
      <c r="FUE42" s="3281"/>
      <c r="FUF42" s="3281"/>
      <c r="FUG42" s="3281"/>
      <c r="FUH42" s="3281"/>
      <c r="FUI42" s="3281"/>
      <c r="FUJ42" s="3281"/>
      <c r="FUK42" s="3281"/>
      <c r="FUL42" s="3281"/>
      <c r="FUM42" s="3281"/>
      <c r="FUN42" s="3281"/>
      <c r="FUO42" s="3281"/>
      <c r="FUP42" s="3281"/>
      <c r="FUQ42" s="3281"/>
      <c r="FUR42" s="3281"/>
      <c r="FUS42" s="3281"/>
      <c r="FUT42" s="3281"/>
      <c r="FUU42" s="3281"/>
      <c r="FUV42" s="3281"/>
      <c r="FUW42" s="3281"/>
      <c r="FUX42" s="3281"/>
      <c r="FUY42" s="3281"/>
      <c r="FUZ42" s="3281"/>
      <c r="FVA42" s="3281"/>
      <c r="FVB42" s="3281"/>
      <c r="FVC42" s="3281"/>
      <c r="FVD42" s="3281"/>
      <c r="FVE42" s="3281"/>
      <c r="FVF42" s="3281"/>
      <c r="FVG42" s="3281"/>
      <c r="FVH42" s="3281"/>
      <c r="FVI42" s="3281"/>
      <c r="FVJ42" s="3281"/>
      <c r="FVK42" s="3281"/>
      <c r="FVL42" s="3281"/>
      <c r="FVM42" s="3281"/>
      <c r="FVN42" s="3281"/>
      <c r="FVO42" s="3281"/>
      <c r="FVP42" s="3281"/>
      <c r="FVQ42" s="3281"/>
      <c r="FVR42" s="3281"/>
      <c r="FVS42" s="3281"/>
      <c r="FVT42" s="3281"/>
      <c r="FVU42" s="3281"/>
      <c r="FVV42" s="3281"/>
      <c r="FVW42" s="3281"/>
      <c r="FVX42" s="3281"/>
      <c r="FVY42" s="3281"/>
      <c r="FVZ42" s="3281"/>
      <c r="FWA42" s="3281"/>
      <c r="FWB42" s="3281"/>
      <c r="FWC42" s="3281"/>
      <c r="FWD42" s="3281"/>
      <c r="FWE42" s="3281"/>
      <c r="FWF42" s="3281"/>
      <c r="FWG42" s="3281"/>
      <c r="FWH42" s="3281"/>
      <c r="FWI42" s="3281"/>
      <c r="FWJ42" s="3281"/>
      <c r="FWK42" s="3281"/>
      <c r="FWL42" s="3281"/>
      <c r="FWM42" s="3281"/>
      <c r="FWN42" s="3281"/>
      <c r="FWO42" s="3281"/>
      <c r="FWP42" s="3281"/>
      <c r="FWQ42" s="3281"/>
      <c r="FWR42" s="3281"/>
      <c r="FWS42" s="3281"/>
      <c r="FWT42" s="3281"/>
      <c r="FWU42" s="3281"/>
      <c r="FWV42" s="3281"/>
      <c r="FWW42" s="3281"/>
      <c r="FWX42" s="3281"/>
      <c r="FWY42" s="3281"/>
      <c r="FWZ42" s="3281"/>
      <c r="FXA42" s="3281"/>
      <c r="FXB42" s="3281"/>
      <c r="FXC42" s="3281"/>
      <c r="FXD42" s="3281"/>
      <c r="FXE42" s="3281"/>
      <c r="FXF42" s="3281"/>
      <c r="FXG42" s="3281"/>
      <c r="FXH42" s="3281"/>
      <c r="FXI42" s="3281"/>
      <c r="FXJ42" s="3281"/>
      <c r="FXK42" s="3281"/>
      <c r="FXL42" s="3281"/>
      <c r="FXM42" s="3281"/>
      <c r="FXN42" s="3281"/>
      <c r="FXO42" s="3281"/>
      <c r="FXP42" s="3281"/>
      <c r="FXQ42" s="3281"/>
      <c r="FXR42" s="3281"/>
      <c r="FXS42" s="3281"/>
      <c r="FXT42" s="3281"/>
      <c r="FXU42" s="3281"/>
      <c r="FXV42" s="3281"/>
      <c r="FXW42" s="3281"/>
      <c r="FXX42" s="3281"/>
      <c r="FXY42" s="3281"/>
      <c r="FXZ42" s="3281"/>
      <c r="FYA42" s="3281"/>
      <c r="FYB42" s="3281"/>
      <c r="FYC42" s="3281"/>
      <c r="FYD42" s="3281"/>
      <c r="FYE42" s="3281"/>
      <c r="FYF42" s="3281"/>
      <c r="FYG42" s="3281"/>
      <c r="FYH42" s="3281"/>
      <c r="FYI42" s="3281"/>
      <c r="FYJ42" s="3281"/>
      <c r="FYK42" s="3281"/>
      <c r="FYL42" s="3281"/>
      <c r="FYM42" s="3281"/>
      <c r="FYN42" s="3281"/>
      <c r="FYO42" s="3281"/>
      <c r="FYP42" s="3281"/>
      <c r="FYQ42" s="3281"/>
      <c r="FYR42" s="3281"/>
      <c r="FYS42" s="3281"/>
      <c r="FYT42" s="3281"/>
      <c r="FYU42" s="3281"/>
      <c r="FYV42" s="3281"/>
      <c r="FYW42" s="3281"/>
      <c r="FYX42" s="3281"/>
      <c r="FYY42" s="3281"/>
      <c r="FYZ42" s="3281"/>
      <c r="FZA42" s="3281"/>
      <c r="FZB42" s="3281"/>
      <c r="FZC42" s="3281"/>
      <c r="FZD42" s="3281"/>
      <c r="FZE42" s="3281"/>
      <c r="FZF42" s="3281"/>
      <c r="FZG42" s="3281"/>
      <c r="FZH42" s="3281"/>
      <c r="FZI42" s="3281"/>
      <c r="FZJ42" s="3281"/>
      <c r="FZK42" s="3281"/>
      <c r="FZL42" s="3281"/>
      <c r="FZM42" s="3281"/>
      <c r="FZN42" s="3281"/>
      <c r="FZO42" s="3281"/>
      <c r="FZP42" s="3281"/>
      <c r="FZQ42" s="3281"/>
      <c r="FZR42" s="3281"/>
      <c r="FZS42" s="3281"/>
      <c r="FZT42" s="3281"/>
      <c r="FZU42" s="3281"/>
      <c r="FZV42" s="3281"/>
      <c r="FZW42" s="3281"/>
      <c r="FZX42" s="3281"/>
      <c r="FZY42" s="3281"/>
      <c r="FZZ42" s="3281"/>
      <c r="GAA42" s="3281"/>
      <c r="GAB42" s="3281"/>
      <c r="GAC42" s="3281"/>
      <c r="GAD42" s="3281"/>
      <c r="GAE42" s="3281"/>
      <c r="GAF42" s="3281"/>
      <c r="GAG42" s="3281"/>
      <c r="GAH42" s="3281"/>
      <c r="GAI42" s="3281"/>
      <c r="GAJ42" s="3281"/>
      <c r="GAK42" s="3281"/>
      <c r="GAL42" s="3281"/>
      <c r="GAM42" s="3281"/>
      <c r="GAN42" s="3281"/>
      <c r="GAO42" s="3281"/>
      <c r="GAP42" s="3281"/>
      <c r="GAQ42" s="3281"/>
      <c r="GAR42" s="3281"/>
      <c r="GAS42" s="3281"/>
      <c r="GAT42" s="3281"/>
      <c r="GAU42" s="3281"/>
      <c r="GAV42" s="3281"/>
      <c r="GAW42" s="3281"/>
      <c r="GAX42" s="3281"/>
      <c r="GAY42" s="3281"/>
      <c r="GAZ42" s="3281"/>
      <c r="GBA42" s="3281"/>
      <c r="GBB42" s="3281"/>
      <c r="GBC42" s="3281"/>
      <c r="GBD42" s="3281"/>
      <c r="GBE42" s="3281"/>
      <c r="GBF42" s="3281"/>
      <c r="GBG42" s="3281"/>
      <c r="GBH42" s="3281"/>
      <c r="GBI42" s="3281"/>
      <c r="GBJ42" s="3281"/>
      <c r="GBK42" s="3281"/>
      <c r="GBL42" s="3281"/>
      <c r="GBM42" s="3281"/>
      <c r="GBN42" s="3281"/>
      <c r="GBO42" s="3281"/>
      <c r="GBP42" s="3281"/>
      <c r="GBQ42" s="3281"/>
      <c r="GBR42" s="3281"/>
      <c r="GBS42" s="3281"/>
      <c r="GBT42" s="3281"/>
      <c r="GBU42" s="3281"/>
      <c r="GBV42" s="3281"/>
      <c r="GBW42" s="3281"/>
      <c r="GBX42" s="3281"/>
      <c r="GBY42" s="3281"/>
      <c r="GBZ42" s="3281"/>
      <c r="GCA42" s="3281"/>
      <c r="GCB42" s="3281"/>
      <c r="GCC42" s="3281"/>
      <c r="GCD42" s="3281"/>
      <c r="GCE42" s="3281"/>
      <c r="GCF42" s="3281"/>
      <c r="GCG42" s="3281"/>
      <c r="GCH42" s="3281"/>
      <c r="GCI42" s="3281"/>
      <c r="GCJ42" s="3281"/>
      <c r="GCK42" s="3281"/>
      <c r="GCL42" s="3281"/>
      <c r="GCM42" s="3281"/>
      <c r="GCN42" s="3281"/>
      <c r="GCO42" s="3281"/>
      <c r="GCP42" s="3281"/>
      <c r="GCQ42" s="3281"/>
      <c r="GCR42" s="3281"/>
      <c r="GCS42" s="3281"/>
      <c r="GCT42" s="3281"/>
      <c r="GCU42" s="3281"/>
      <c r="GCV42" s="3281"/>
      <c r="GCW42" s="3281"/>
      <c r="GCX42" s="3281"/>
      <c r="GCY42" s="3281"/>
      <c r="GCZ42" s="3281"/>
      <c r="GDA42" s="3281"/>
      <c r="GDB42" s="3281"/>
      <c r="GDC42" s="3281"/>
      <c r="GDD42" s="3281"/>
      <c r="GDE42" s="3281"/>
      <c r="GDF42" s="3281"/>
      <c r="GDG42" s="3281"/>
      <c r="GDH42" s="3281"/>
      <c r="GDI42" s="3281"/>
      <c r="GDJ42" s="3281"/>
      <c r="GDK42" s="3281"/>
      <c r="GDL42" s="3281"/>
      <c r="GDM42" s="3281"/>
      <c r="GDN42" s="3281"/>
      <c r="GDO42" s="3281"/>
      <c r="GDP42" s="3281"/>
      <c r="GDQ42" s="3281"/>
      <c r="GDR42" s="3281"/>
      <c r="GDS42" s="3281"/>
      <c r="GDT42" s="3281"/>
      <c r="GDU42" s="3281"/>
      <c r="GDV42" s="3281"/>
      <c r="GDW42" s="3281"/>
      <c r="GDX42" s="3281"/>
      <c r="GDY42" s="3281"/>
      <c r="GDZ42" s="3281"/>
      <c r="GEA42" s="3281"/>
      <c r="GEB42" s="3281"/>
      <c r="GEC42" s="3281"/>
      <c r="GED42" s="3281"/>
      <c r="GEE42" s="3281"/>
      <c r="GEF42" s="3281"/>
      <c r="GEG42" s="3281"/>
      <c r="GEH42" s="3281"/>
      <c r="GEI42" s="3281"/>
      <c r="GEJ42" s="3281"/>
      <c r="GEK42" s="3281"/>
      <c r="GEL42" s="3281"/>
      <c r="GEM42" s="3281"/>
      <c r="GEN42" s="3281"/>
      <c r="GEO42" s="3281"/>
      <c r="GEP42" s="3281"/>
      <c r="GEQ42" s="3281"/>
      <c r="GER42" s="3281"/>
      <c r="GES42" s="3281"/>
      <c r="GET42" s="3281"/>
      <c r="GEU42" s="3281"/>
      <c r="GEV42" s="3281"/>
      <c r="GEW42" s="3281"/>
      <c r="GEX42" s="3281"/>
      <c r="GEY42" s="3281"/>
      <c r="GEZ42" s="3281"/>
      <c r="GFA42" s="3281"/>
      <c r="GFB42" s="3281"/>
      <c r="GFC42" s="3281"/>
      <c r="GFD42" s="3281"/>
      <c r="GFE42" s="3281"/>
      <c r="GFF42" s="3281"/>
      <c r="GFG42" s="3281"/>
      <c r="GFH42" s="3281"/>
      <c r="GFI42" s="3281"/>
      <c r="GFJ42" s="3281"/>
      <c r="GFK42" s="3281"/>
      <c r="GFL42" s="3281"/>
      <c r="GFM42" s="3281"/>
      <c r="GFN42" s="3281"/>
      <c r="GFO42" s="3281"/>
      <c r="GFP42" s="3281"/>
      <c r="GFQ42" s="3281"/>
      <c r="GFR42" s="3281"/>
      <c r="GFS42" s="3281"/>
      <c r="GFT42" s="3281"/>
      <c r="GFU42" s="3281"/>
      <c r="GFV42" s="3281"/>
      <c r="GFW42" s="3281"/>
      <c r="GFX42" s="3281"/>
      <c r="GFY42" s="3281"/>
      <c r="GFZ42" s="3281"/>
      <c r="GGA42" s="3281"/>
      <c r="GGB42" s="3281"/>
      <c r="GGC42" s="3281"/>
      <c r="GGD42" s="3281"/>
      <c r="GGE42" s="3281"/>
      <c r="GGF42" s="3281"/>
      <c r="GGG42" s="3281"/>
      <c r="GGH42" s="3281"/>
      <c r="GGI42" s="3281"/>
      <c r="GGJ42" s="3281"/>
      <c r="GGK42" s="3281"/>
      <c r="GGL42" s="3281"/>
      <c r="GGM42" s="3281"/>
      <c r="GGN42" s="3281"/>
      <c r="GGO42" s="3281"/>
      <c r="GGP42" s="3281"/>
      <c r="GGQ42" s="3281"/>
      <c r="GGR42" s="3281"/>
      <c r="GGS42" s="3281"/>
      <c r="GGT42" s="3281"/>
      <c r="GGU42" s="3281"/>
      <c r="GGV42" s="3281"/>
      <c r="GGW42" s="3281"/>
      <c r="GGX42" s="3281"/>
      <c r="GGY42" s="3281"/>
      <c r="GGZ42" s="3281"/>
      <c r="GHA42" s="3281"/>
      <c r="GHB42" s="3281"/>
      <c r="GHC42" s="3281"/>
      <c r="GHD42" s="3281"/>
      <c r="GHE42" s="3281"/>
      <c r="GHF42" s="3281"/>
      <c r="GHG42" s="3281"/>
      <c r="GHH42" s="3281"/>
      <c r="GHI42" s="3281"/>
      <c r="GHJ42" s="3281"/>
      <c r="GHK42" s="3281"/>
      <c r="GHL42" s="3281"/>
      <c r="GHM42" s="3281"/>
      <c r="GHN42" s="3281"/>
      <c r="GHO42" s="3281"/>
      <c r="GHP42" s="3281"/>
      <c r="GHQ42" s="3281"/>
      <c r="GHR42" s="3281"/>
      <c r="GHS42" s="3281"/>
      <c r="GHT42" s="3281"/>
      <c r="GHU42" s="3281"/>
      <c r="GHV42" s="3281"/>
      <c r="GHW42" s="3281"/>
      <c r="GHX42" s="3281"/>
      <c r="GHY42" s="3281"/>
      <c r="GHZ42" s="3281"/>
      <c r="GIA42" s="3281"/>
      <c r="GIB42" s="3281"/>
      <c r="GIC42" s="3281"/>
      <c r="GID42" s="3281"/>
      <c r="GIE42" s="3281"/>
      <c r="GIF42" s="3281"/>
      <c r="GIG42" s="3281"/>
      <c r="GIH42" s="3281"/>
      <c r="GII42" s="3281"/>
      <c r="GIJ42" s="3281"/>
      <c r="GIK42" s="3281"/>
      <c r="GIL42" s="3281"/>
      <c r="GIM42" s="3281"/>
      <c r="GIN42" s="3281"/>
      <c r="GIO42" s="3281"/>
      <c r="GIP42" s="3281"/>
      <c r="GIQ42" s="3281"/>
      <c r="GIR42" s="3281"/>
      <c r="GIS42" s="3281"/>
      <c r="GIT42" s="3281"/>
      <c r="GIU42" s="3281"/>
      <c r="GIV42" s="3281"/>
      <c r="GIW42" s="3281"/>
      <c r="GIX42" s="3281"/>
      <c r="GIY42" s="3281"/>
      <c r="GIZ42" s="3281"/>
      <c r="GJA42" s="3281"/>
      <c r="GJB42" s="3281"/>
      <c r="GJC42" s="3281"/>
      <c r="GJD42" s="3281"/>
      <c r="GJE42" s="3281"/>
      <c r="GJF42" s="3281"/>
      <c r="GJG42" s="3281"/>
      <c r="GJH42" s="3281"/>
      <c r="GJI42" s="3281"/>
      <c r="GJJ42" s="3281"/>
      <c r="GJK42" s="3281"/>
      <c r="GJL42" s="3281"/>
      <c r="GJM42" s="3281"/>
      <c r="GJN42" s="3281"/>
      <c r="GJO42" s="3281"/>
      <c r="GJP42" s="3281"/>
      <c r="GJQ42" s="3281"/>
      <c r="GJR42" s="3281"/>
      <c r="GJS42" s="3281"/>
      <c r="GJT42" s="3281"/>
      <c r="GJU42" s="3281"/>
      <c r="GJV42" s="3281"/>
      <c r="GJW42" s="3281"/>
      <c r="GJX42" s="3281"/>
      <c r="GJY42" s="3281"/>
      <c r="GJZ42" s="3281"/>
      <c r="GKA42" s="3281"/>
      <c r="GKB42" s="3281"/>
      <c r="GKC42" s="3281"/>
      <c r="GKD42" s="3281"/>
      <c r="GKE42" s="3281"/>
      <c r="GKF42" s="3281"/>
      <c r="GKG42" s="3281"/>
      <c r="GKH42" s="3281"/>
      <c r="GKI42" s="3281"/>
      <c r="GKJ42" s="3281"/>
      <c r="GKK42" s="3281"/>
      <c r="GKL42" s="3281"/>
      <c r="GKM42" s="3281"/>
      <c r="GKN42" s="3281"/>
      <c r="GKO42" s="3281"/>
      <c r="GKP42" s="3281"/>
      <c r="GKQ42" s="3281"/>
      <c r="GKR42" s="3281"/>
      <c r="GKS42" s="3281"/>
      <c r="GKT42" s="3281"/>
      <c r="GKU42" s="3281"/>
      <c r="GKV42" s="3281"/>
      <c r="GKW42" s="3281"/>
      <c r="GKX42" s="3281"/>
      <c r="GKY42" s="3281"/>
      <c r="GKZ42" s="3281"/>
      <c r="GLA42" s="3281"/>
      <c r="GLB42" s="3281"/>
      <c r="GLC42" s="3281"/>
      <c r="GLD42" s="3281"/>
      <c r="GLE42" s="3281"/>
      <c r="GLF42" s="3281"/>
      <c r="GLG42" s="3281"/>
      <c r="GLH42" s="3281"/>
      <c r="GLI42" s="3281"/>
      <c r="GLJ42" s="3281"/>
      <c r="GLK42" s="3281"/>
      <c r="GLL42" s="3281"/>
      <c r="GLM42" s="3281"/>
      <c r="GLN42" s="3281"/>
      <c r="GLO42" s="3281"/>
      <c r="GLP42" s="3281"/>
      <c r="GLQ42" s="3281"/>
      <c r="GLR42" s="3281"/>
      <c r="GLS42" s="3281"/>
      <c r="GLT42" s="3281"/>
      <c r="GLU42" s="3281"/>
      <c r="GLV42" s="3281"/>
      <c r="GLW42" s="3281"/>
      <c r="GLX42" s="3281"/>
      <c r="GLY42" s="3281"/>
      <c r="GLZ42" s="3281"/>
      <c r="GMA42" s="3281"/>
      <c r="GMB42" s="3281"/>
      <c r="GMC42" s="3281"/>
      <c r="GMD42" s="3281"/>
      <c r="GME42" s="3281"/>
      <c r="GMF42" s="3281"/>
      <c r="GMG42" s="3281"/>
      <c r="GMH42" s="3281"/>
      <c r="GMI42" s="3281"/>
      <c r="GMJ42" s="3281"/>
      <c r="GMK42" s="3281"/>
      <c r="GML42" s="3281"/>
      <c r="GMM42" s="3281"/>
      <c r="GMN42" s="3281"/>
      <c r="GMO42" s="3281"/>
      <c r="GMP42" s="3281"/>
      <c r="GMQ42" s="3281"/>
      <c r="GMR42" s="3281"/>
      <c r="GMS42" s="3281"/>
      <c r="GMT42" s="3281"/>
      <c r="GMU42" s="3281"/>
      <c r="GMV42" s="3281"/>
      <c r="GMW42" s="3281"/>
      <c r="GMX42" s="3281"/>
      <c r="GMY42" s="3281"/>
      <c r="GMZ42" s="3281"/>
      <c r="GNA42" s="3281"/>
      <c r="GNB42" s="3281"/>
      <c r="GNC42" s="3281"/>
      <c r="GND42" s="3281"/>
      <c r="GNE42" s="3281"/>
      <c r="GNF42" s="3281"/>
      <c r="GNG42" s="3281"/>
      <c r="GNH42" s="3281"/>
      <c r="GNI42" s="3281"/>
      <c r="GNJ42" s="3281"/>
      <c r="GNK42" s="3281"/>
      <c r="GNL42" s="3281"/>
      <c r="GNM42" s="3281"/>
      <c r="GNN42" s="3281"/>
      <c r="GNO42" s="3281"/>
      <c r="GNP42" s="3281"/>
      <c r="GNQ42" s="3281"/>
      <c r="GNR42" s="3281"/>
      <c r="GNS42" s="3281"/>
      <c r="GNT42" s="3281"/>
      <c r="GNU42" s="3281"/>
      <c r="GNV42" s="3281"/>
      <c r="GNW42" s="3281"/>
      <c r="GNX42" s="3281"/>
      <c r="GNY42" s="3281"/>
      <c r="GNZ42" s="3281"/>
      <c r="GOA42" s="3281"/>
      <c r="GOB42" s="3281"/>
      <c r="GOC42" s="3281"/>
      <c r="GOD42" s="3281"/>
      <c r="GOE42" s="3281"/>
      <c r="GOF42" s="3281"/>
      <c r="GOG42" s="3281"/>
      <c r="GOH42" s="3281"/>
      <c r="GOI42" s="3281"/>
      <c r="GOJ42" s="3281"/>
      <c r="GOK42" s="3281"/>
      <c r="GOL42" s="3281"/>
      <c r="GOM42" s="3281"/>
      <c r="GON42" s="3281"/>
      <c r="GOO42" s="3281"/>
      <c r="GOP42" s="3281"/>
      <c r="GOQ42" s="3281"/>
      <c r="GOR42" s="3281"/>
      <c r="GOS42" s="3281"/>
      <c r="GOT42" s="3281"/>
      <c r="GOU42" s="3281"/>
      <c r="GOV42" s="3281"/>
      <c r="GOW42" s="3281"/>
      <c r="GOX42" s="3281"/>
      <c r="GOY42" s="3281"/>
      <c r="GOZ42" s="3281"/>
      <c r="GPA42" s="3281"/>
      <c r="GPB42" s="3281"/>
      <c r="GPC42" s="3281"/>
      <c r="GPD42" s="3281"/>
      <c r="GPE42" s="3281"/>
      <c r="GPF42" s="3281"/>
      <c r="GPG42" s="3281"/>
      <c r="GPH42" s="3281"/>
      <c r="GPI42" s="3281"/>
      <c r="GPJ42" s="3281"/>
      <c r="GPK42" s="3281"/>
      <c r="GPL42" s="3281"/>
      <c r="GPM42" s="3281"/>
      <c r="GPN42" s="3281"/>
      <c r="GPO42" s="3281"/>
      <c r="GPP42" s="3281"/>
      <c r="GPQ42" s="3281"/>
      <c r="GPR42" s="3281"/>
      <c r="GPS42" s="3281"/>
      <c r="GPT42" s="3281"/>
      <c r="GPU42" s="3281"/>
      <c r="GPV42" s="3281"/>
      <c r="GPW42" s="3281"/>
      <c r="GPX42" s="3281"/>
      <c r="GPY42" s="3281"/>
      <c r="GPZ42" s="3281"/>
      <c r="GQA42" s="3281"/>
      <c r="GQB42" s="3281"/>
      <c r="GQC42" s="3281"/>
      <c r="GQD42" s="3281"/>
      <c r="GQE42" s="3281"/>
      <c r="GQF42" s="3281"/>
      <c r="GQG42" s="3281"/>
      <c r="GQH42" s="3281"/>
      <c r="GQI42" s="3281"/>
      <c r="GQJ42" s="3281"/>
      <c r="GQK42" s="3281"/>
      <c r="GQL42" s="3281"/>
      <c r="GQM42" s="3281"/>
      <c r="GQN42" s="3281"/>
      <c r="GQO42" s="3281"/>
      <c r="GQP42" s="3281"/>
      <c r="GQQ42" s="3281"/>
      <c r="GQR42" s="3281"/>
      <c r="GQS42" s="3281"/>
      <c r="GQT42" s="3281"/>
      <c r="GQU42" s="3281"/>
      <c r="GQV42" s="3281"/>
      <c r="GQW42" s="3281"/>
      <c r="GQX42" s="3281"/>
      <c r="GQY42" s="3281"/>
      <c r="GQZ42" s="3281"/>
      <c r="GRA42" s="3281"/>
      <c r="GRB42" s="3281"/>
      <c r="GRC42" s="3281"/>
      <c r="GRD42" s="3281"/>
      <c r="GRE42" s="3281"/>
      <c r="GRF42" s="3281"/>
      <c r="GRG42" s="3281"/>
      <c r="GRH42" s="3281"/>
      <c r="GRI42" s="3281"/>
      <c r="GRJ42" s="3281"/>
      <c r="GRK42" s="3281"/>
      <c r="GRL42" s="3281"/>
      <c r="GRM42" s="3281"/>
      <c r="GRN42" s="3281"/>
      <c r="GRO42" s="3281"/>
      <c r="GRP42" s="3281"/>
      <c r="GRQ42" s="3281"/>
      <c r="GRR42" s="3281"/>
      <c r="GRS42" s="3281"/>
      <c r="GRT42" s="3281"/>
      <c r="GRU42" s="3281"/>
      <c r="GRV42" s="3281"/>
      <c r="GRW42" s="3281"/>
      <c r="GRX42" s="3281"/>
      <c r="GRY42" s="3281"/>
      <c r="GRZ42" s="3281"/>
      <c r="GSA42" s="3281"/>
      <c r="GSB42" s="3281"/>
      <c r="GSC42" s="3281"/>
      <c r="GSD42" s="3281"/>
      <c r="GSE42" s="3281"/>
      <c r="GSF42" s="3281"/>
      <c r="GSG42" s="3281"/>
      <c r="GSH42" s="3281"/>
      <c r="GSI42" s="3281"/>
      <c r="GSJ42" s="3281"/>
      <c r="GSK42" s="3281"/>
      <c r="GSL42" s="3281"/>
      <c r="GSM42" s="3281"/>
      <c r="GSN42" s="3281"/>
      <c r="GSO42" s="3281"/>
      <c r="GSP42" s="3281"/>
      <c r="GSQ42" s="3281"/>
      <c r="GSR42" s="3281"/>
      <c r="GSS42" s="3281"/>
      <c r="GST42" s="3281"/>
      <c r="GSU42" s="3281"/>
      <c r="GSV42" s="3281"/>
      <c r="GSW42" s="3281"/>
      <c r="GSX42" s="3281"/>
      <c r="GSY42" s="3281"/>
      <c r="GSZ42" s="3281"/>
      <c r="GTA42" s="3281"/>
      <c r="GTB42" s="3281"/>
      <c r="GTC42" s="3281"/>
      <c r="GTD42" s="3281"/>
      <c r="GTE42" s="3281"/>
      <c r="GTF42" s="3281"/>
      <c r="GTG42" s="3281"/>
      <c r="GTH42" s="3281"/>
      <c r="GTI42" s="3281"/>
      <c r="GTJ42" s="3281"/>
      <c r="GTK42" s="3281"/>
      <c r="GTL42" s="3281"/>
      <c r="GTM42" s="3281"/>
      <c r="GTN42" s="3281"/>
      <c r="GTO42" s="3281"/>
      <c r="GTP42" s="3281"/>
      <c r="GTQ42" s="3281"/>
      <c r="GTR42" s="3281"/>
      <c r="GTS42" s="3281"/>
      <c r="GTT42" s="3281"/>
      <c r="GTU42" s="3281"/>
      <c r="GTV42" s="3281"/>
      <c r="GTW42" s="3281"/>
      <c r="GTX42" s="3281"/>
      <c r="GTY42" s="3281"/>
      <c r="GTZ42" s="3281"/>
      <c r="GUA42" s="3281"/>
      <c r="GUB42" s="3281"/>
      <c r="GUC42" s="3281"/>
      <c r="GUD42" s="3281"/>
      <c r="GUE42" s="3281"/>
      <c r="GUF42" s="3281"/>
      <c r="GUG42" s="3281"/>
      <c r="GUH42" s="3281"/>
      <c r="GUI42" s="3281"/>
      <c r="GUJ42" s="3281"/>
      <c r="GUK42" s="3281"/>
      <c r="GUL42" s="3281"/>
      <c r="GUM42" s="3281"/>
      <c r="GUN42" s="3281"/>
      <c r="GUO42" s="3281"/>
      <c r="GUP42" s="3281"/>
      <c r="GUQ42" s="3281"/>
      <c r="GUR42" s="3281"/>
      <c r="GUS42" s="3281"/>
      <c r="GUT42" s="3281"/>
      <c r="GUU42" s="3281"/>
      <c r="GUV42" s="3281"/>
      <c r="GUW42" s="3281"/>
      <c r="GUX42" s="3281"/>
      <c r="GUY42" s="3281"/>
      <c r="GUZ42" s="3281"/>
      <c r="GVA42" s="3281"/>
      <c r="GVB42" s="3281"/>
      <c r="GVC42" s="3281"/>
      <c r="GVD42" s="3281"/>
      <c r="GVE42" s="3281"/>
      <c r="GVF42" s="3281"/>
      <c r="GVG42" s="3281"/>
      <c r="GVH42" s="3281"/>
      <c r="GVI42" s="3281"/>
      <c r="GVJ42" s="3281"/>
      <c r="GVK42" s="3281"/>
      <c r="GVL42" s="3281"/>
      <c r="GVM42" s="3281"/>
      <c r="GVN42" s="3281"/>
      <c r="GVO42" s="3281"/>
      <c r="GVP42" s="3281"/>
      <c r="GVQ42" s="3281"/>
      <c r="GVR42" s="3281"/>
      <c r="GVS42" s="3281"/>
      <c r="GVT42" s="3281"/>
      <c r="GVU42" s="3281"/>
      <c r="GVV42" s="3281"/>
      <c r="GVW42" s="3281"/>
      <c r="GVX42" s="3281"/>
      <c r="GVY42" s="3281"/>
      <c r="GVZ42" s="3281"/>
      <c r="GWA42" s="3281"/>
      <c r="GWB42" s="3281"/>
      <c r="GWC42" s="3281"/>
      <c r="GWD42" s="3281"/>
      <c r="GWE42" s="3281"/>
      <c r="GWF42" s="3281"/>
      <c r="GWG42" s="3281"/>
      <c r="GWH42" s="3281"/>
      <c r="GWI42" s="3281"/>
      <c r="GWJ42" s="3281"/>
      <c r="GWK42" s="3281"/>
      <c r="GWL42" s="3281"/>
      <c r="GWM42" s="3281"/>
      <c r="GWN42" s="3281"/>
      <c r="GWO42" s="3281"/>
      <c r="GWP42" s="3281"/>
      <c r="GWQ42" s="3281"/>
      <c r="GWR42" s="3281"/>
      <c r="GWS42" s="3281"/>
      <c r="GWT42" s="3281"/>
      <c r="GWU42" s="3281"/>
      <c r="GWV42" s="3281"/>
      <c r="GWW42" s="3281"/>
      <c r="GWX42" s="3281"/>
      <c r="GWY42" s="3281"/>
      <c r="GWZ42" s="3281"/>
      <c r="GXA42" s="3281"/>
      <c r="GXB42" s="3281"/>
      <c r="GXC42" s="3281"/>
      <c r="GXD42" s="3281"/>
      <c r="GXE42" s="3281"/>
      <c r="GXF42" s="3281"/>
      <c r="GXG42" s="3281"/>
      <c r="GXH42" s="3281"/>
      <c r="GXI42" s="3281"/>
      <c r="GXJ42" s="3281"/>
      <c r="GXK42" s="3281"/>
      <c r="GXL42" s="3281"/>
      <c r="GXM42" s="3281"/>
      <c r="GXN42" s="3281"/>
      <c r="GXO42" s="3281"/>
      <c r="GXP42" s="3281"/>
      <c r="GXQ42" s="3281"/>
      <c r="GXR42" s="3281"/>
      <c r="GXS42" s="3281"/>
      <c r="GXT42" s="3281"/>
      <c r="GXU42" s="3281"/>
      <c r="GXV42" s="3281"/>
      <c r="GXW42" s="3281"/>
      <c r="GXX42" s="3281"/>
      <c r="GXY42" s="3281"/>
      <c r="GXZ42" s="3281"/>
      <c r="GYA42" s="3281"/>
      <c r="GYB42" s="3281"/>
      <c r="GYC42" s="3281"/>
      <c r="GYD42" s="3281"/>
      <c r="GYE42" s="3281"/>
      <c r="GYF42" s="3281"/>
      <c r="GYG42" s="3281"/>
      <c r="GYH42" s="3281"/>
      <c r="GYI42" s="3281"/>
      <c r="GYJ42" s="3281"/>
      <c r="GYK42" s="3281"/>
      <c r="GYL42" s="3281"/>
      <c r="GYM42" s="3281"/>
      <c r="GYN42" s="3281"/>
      <c r="GYO42" s="3281"/>
      <c r="GYP42" s="3281"/>
      <c r="GYQ42" s="3281"/>
      <c r="GYR42" s="3281"/>
      <c r="GYS42" s="3281"/>
      <c r="GYT42" s="3281"/>
      <c r="GYU42" s="3281"/>
      <c r="GYV42" s="3281"/>
      <c r="GYW42" s="3281"/>
      <c r="GYX42" s="3281"/>
      <c r="GYY42" s="3281"/>
      <c r="GYZ42" s="3281"/>
      <c r="GZA42" s="3281"/>
      <c r="GZB42" s="3281"/>
      <c r="GZC42" s="3281"/>
      <c r="GZD42" s="3281"/>
      <c r="GZE42" s="3281"/>
      <c r="GZF42" s="3281"/>
      <c r="GZG42" s="3281"/>
      <c r="GZH42" s="3281"/>
      <c r="GZI42" s="3281"/>
      <c r="GZJ42" s="3281"/>
      <c r="GZK42" s="3281"/>
      <c r="GZL42" s="3281"/>
      <c r="GZM42" s="3281"/>
      <c r="GZN42" s="3281"/>
      <c r="GZO42" s="3281"/>
      <c r="GZP42" s="3281"/>
      <c r="GZQ42" s="3281"/>
      <c r="GZR42" s="3281"/>
      <c r="GZS42" s="3281"/>
      <c r="GZT42" s="3281"/>
      <c r="GZU42" s="3281"/>
      <c r="GZV42" s="3281"/>
      <c r="GZW42" s="3281"/>
      <c r="GZX42" s="3281"/>
      <c r="GZY42" s="3281"/>
      <c r="GZZ42" s="3281"/>
      <c r="HAA42" s="3281"/>
      <c r="HAB42" s="3281"/>
      <c r="HAC42" s="3281"/>
      <c r="HAD42" s="3281"/>
      <c r="HAE42" s="3281"/>
      <c r="HAF42" s="3281"/>
      <c r="HAG42" s="3281"/>
      <c r="HAH42" s="3281"/>
      <c r="HAI42" s="3281"/>
      <c r="HAJ42" s="3281"/>
      <c r="HAK42" s="3281"/>
      <c r="HAL42" s="3281"/>
      <c r="HAM42" s="3281"/>
      <c r="HAN42" s="3281"/>
      <c r="HAO42" s="3281"/>
      <c r="HAP42" s="3281"/>
      <c r="HAQ42" s="3281"/>
      <c r="HAR42" s="3281"/>
      <c r="HAS42" s="3281"/>
      <c r="HAT42" s="3281"/>
      <c r="HAU42" s="3281"/>
      <c r="HAV42" s="3281"/>
      <c r="HAW42" s="3281"/>
      <c r="HAX42" s="3281"/>
      <c r="HAY42" s="3281"/>
      <c r="HAZ42" s="3281"/>
      <c r="HBA42" s="3281"/>
      <c r="HBB42" s="3281"/>
      <c r="HBC42" s="3281"/>
      <c r="HBD42" s="3281"/>
      <c r="HBE42" s="3281"/>
      <c r="HBF42" s="3281"/>
      <c r="HBG42" s="3281"/>
      <c r="HBH42" s="3281"/>
      <c r="HBI42" s="3281"/>
      <c r="HBJ42" s="3281"/>
      <c r="HBK42" s="3281"/>
      <c r="HBL42" s="3281"/>
      <c r="HBM42" s="3281"/>
      <c r="HBN42" s="3281"/>
      <c r="HBO42" s="3281"/>
      <c r="HBP42" s="3281"/>
      <c r="HBQ42" s="3281"/>
      <c r="HBR42" s="3281"/>
      <c r="HBS42" s="3281"/>
      <c r="HBT42" s="3281"/>
      <c r="HBU42" s="3281"/>
      <c r="HBV42" s="3281"/>
      <c r="HBW42" s="3281"/>
      <c r="HBX42" s="3281"/>
      <c r="HBY42" s="3281"/>
      <c r="HBZ42" s="3281"/>
      <c r="HCA42" s="3281"/>
      <c r="HCB42" s="3281"/>
      <c r="HCC42" s="3281"/>
      <c r="HCD42" s="3281"/>
      <c r="HCE42" s="3281"/>
      <c r="HCF42" s="3281"/>
      <c r="HCG42" s="3281"/>
      <c r="HCH42" s="3281"/>
      <c r="HCI42" s="3281"/>
      <c r="HCJ42" s="3281"/>
      <c r="HCK42" s="3281"/>
      <c r="HCL42" s="3281"/>
      <c r="HCM42" s="3281"/>
      <c r="HCN42" s="3281"/>
      <c r="HCO42" s="3281"/>
      <c r="HCP42" s="3281"/>
      <c r="HCQ42" s="3281"/>
      <c r="HCR42" s="3281"/>
      <c r="HCS42" s="3281"/>
      <c r="HCT42" s="3281"/>
      <c r="HCU42" s="3281"/>
      <c r="HCV42" s="3281"/>
      <c r="HCW42" s="3281"/>
      <c r="HCX42" s="3281"/>
      <c r="HCY42" s="3281"/>
      <c r="HCZ42" s="3281"/>
      <c r="HDA42" s="3281"/>
      <c r="HDB42" s="3281"/>
      <c r="HDC42" s="3281"/>
      <c r="HDD42" s="3281"/>
      <c r="HDE42" s="3281"/>
      <c r="HDF42" s="3281"/>
      <c r="HDG42" s="3281"/>
      <c r="HDH42" s="3281"/>
      <c r="HDI42" s="3281"/>
      <c r="HDJ42" s="3281"/>
      <c r="HDK42" s="3281"/>
      <c r="HDL42" s="3281"/>
      <c r="HDM42" s="3281"/>
      <c r="HDN42" s="3281"/>
      <c r="HDO42" s="3281"/>
      <c r="HDP42" s="3281"/>
      <c r="HDQ42" s="3281"/>
      <c r="HDR42" s="3281"/>
      <c r="HDS42" s="3281"/>
      <c r="HDT42" s="3281"/>
      <c r="HDU42" s="3281"/>
      <c r="HDV42" s="3281"/>
      <c r="HDW42" s="3281"/>
      <c r="HDX42" s="3281"/>
      <c r="HDY42" s="3281"/>
      <c r="HDZ42" s="3281"/>
      <c r="HEA42" s="3281"/>
      <c r="HEB42" s="3281"/>
      <c r="HEC42" s="3281"/>
      <c r="HED42" s="3281"/>
      <c r="HEE42" s="3281"/>
      <c r="HEF42" s="3281"/>
      <c r="HEG42" s="3281"/>
      <c r="HEH42" s="3281"/>
      <c r="HEI42" s="3281"/>
      <c r="HEJ42" s="3281"/>
      <c r="HEK42" s="3281"/>
      <c r="HEL42" s="3281"/>
      <c r="HEM42" s="3281"/>
      <c r="HEN42" s="3281"/>
      <c r="HEO42" s="3281"/>
      <c r="HEP42" s="3281"/>
      <c r="HEQ42" s="3281"/>
      <c r="HER42" s="3281"/>
      <c r="HES42" s="3281"/>
      <c r="HET42" s="3281"/>
      <c r="HEU42" s="3281"/>
      <c r="HEV42" s="3281"/>
      <c r="HEW42" s="3281"/>
      <c r="HEX42" s="3281"/>
      <c r="HEY42" s="3281"/>
      <c r="HEZ42" s="3281"/>
      <c r="HFA42" s="3281"/>
      <c r="HFB42" s="3281"/>
      <c r="HFC42" s="3281"/>
      <c r="HFD42" s="3281"/>
      <c r="HFE42" s="3281"/>
      <c r="HFF42" s="3281"/>
      <c r="HFG42" s="3281"/>
      <c r="HFH42" s="3281"/>
      <c r="HFI42" s="3281"/>
      <c r="HFJ42" s="3281"/>
      <c r="HFK42" s="3281"/>
      <c r="HFL42" s="3281"/>
      <c r="HFM42" s="3281"/>
      <c r="HFN42" s="3281"/>
      <c r="HFO42" s="3281"/>
      <c r="HFP42" s="3281"/>
      <c r="HFQ42" s="3281"/>
      <c r="HFR42" s="3281"/>
      <c r="HFS42" s="3281"/>
      <c r="HFT42" s="3281"/>
      <c r="HFU42" s="3281"/>
      <c r="HFV42" s="3281"/>
      <c r="HFW42" s="3281"/>
      <c r="HFX42" s="3281"/>
      <c r="HFY42" s="3281"/>
      <c r="HFZ42" s="3281"/>
      <c r="HGA42" s="3281"/>
      <c r="HGB42" s="3281"/>
      <c r="HGC42" s="3281"/>
      <c r="HGD42" s="3281"/>
      <c r="HGE42" s="3281"/>
      <c r="HGF42" s="3281"/>
      <c r="HGG42" s="3281"/>
      <c r="HGH42" s="3281"/>
      <c r="HGI42" s="3281"/>
      <c r="HGJ42" s="3281"/>
      <c r="HGK42" s="3281"/>
      <c r="HGL42" s="3281"/>
      <c r="HGM42" s="3281"/>
      <c r="HGN42" s="3281"/>
      <c r="HGO42" s="3281"/>
      <c r="HGP42" s="3281"/>
      <c r="HGQ42" s="3281"/>
      <c r="HGR42" s="3281"/>
      <c r="HGS42" s="3281"/>
      <c r="HGT42" s="3281"/>
      <c r="HGU42" s="3281"/>
      <c r="HGV42" s="3281"/>
      <c r="HGW42" s="3281"/>
      <c r="HGX42" s="3281"/>
      <c r="HGY42" s="3281"/>
      <c r="HGZ42" s="3281"/>
      <c r="HHA42" s="3281"/>
      <c r="HHB42" s="3281"/>
      <c r="HHC42" s="3281"/>
      <c r="HHD42" s="3281"/>
      <c r="HHE42" s="3281"/>
      <c r="HHF42" s="3281"/>
      <c r="HHG42" s="3281"/>
      <c r="HHH42" s="3281"/>
      <c r="HHI42" s="3281"/>
      <c r="HHJ42" s="3281"/>
      <c r="HHK42" s="3281"/>
      <c r="HHL42" s="3281"/>
      <c r="HHM42" s="3281"/>
      <c r="HHN42" s="3281"/>
      <c r="HHO42" s="3281"/>
      <c r="HHP42" s="3281"/>
      <c r="HHQ42" s="3281"/>
      <c r="HHR42" s="3281"/>
      <c r="HHS42" s="3281"/>
      <c r="HHT42" s="3281"/>
      <c r="HHU42" s="3281"/>
      <c r="HHV42" s="3281"/>
      <c r="HHW42" s="3281"/>
      <c r="HHX42" s="3281"/>
      <c r="HHY42" s="3281"/>
      <c r="HHZ42" s="3281"/>
      <c r="HIA42" s="3281"/>
      <c r="HIB42" s="3281"/>
      <c r="HIC42" s="3281"/>
      <c r="HID42" s="3281"/>
      <c r="HIE42" s="3281"/>
      <c r="HIF42" s="3281"/>
      <c r="HIG42" s="3281"/>
      <c r="HIH42" s="3281"/>
      <c r="HII42" s="3281"/>
      <c r="HIJ42" s="3281"/>
      <c r="HIK42" s="3281"/>
      <c r="HIL42" s="3281"/>
      <c r="HIM42" s="3281"/>
      <c r="HIN42" s="3281"/>
      <c r="HIO42" s="3281"/>
      <c r="HIP42" s="3281"/>
      <c r="HIQ42" s="3281"/>
      <c r="HIR42" s="3281"/>
      <c r="HIS42" s="3281"/>
      <c r="HIT42" s="3281"/>
      <c r="HIU42" s="3281"/>
      <c r="HIV42" s="3281"/>
      <c r="HIW42" s="3281"/>
      <c r="HIX42" s="3281"/>
      <c r="HIY42" s="3281"/>
      <c r="HIZ42" s="3281"/>
      <c r="HJA42" s="3281"/>
      <c r="HJB42" s="3281"/>
      <c r="HJC42" s="3281"/>
      <c r="HJD42" s="3281"/>
      <c r="HJE42" s="3281"/>
      <c r="HJF42" s="3281"/>
      <c r="HJG42" s="3281"/>
      <c r="HJH42" s="3281"/>
      <c r="HJI42" s="3281"/>
      <c r="HJJ42" s="3281"/>
      <c r="HJK42" s="3281"/>
      <c r="HJL42" s="3281"/>
      <c r="HJM42" s="3281"/>
      <c r="HJN42" s="3281"/>
      <c r="HJO42" s="3281"/>
      <c r="HJP42" s="3281"/>
      <c r="HJQ42" s="3281"/>
      <c r="HJR42" s="3281"/>
      <c r="HJS42" s="3281"/>
      <c r="HJT42" s="3281"/>
      <c r="HJU42" s="3281"/>
      <c r="HJV42" s="3281"/>
      <c r="HJW42" s="3281"/>
      <c r="HJX42" s="3281"/>
      <c r="HJY42" s="3281"/>
      <c r="HJZ42" s="3281"/>
      <c r="HKA42" s="3281"/>
      <c r="HKB42" s="3281"/>
      <c r="HKC42" s="3281"/>
      <c r="HKD42" s="3281"/>
      <c r="HKE42" s="3281"/>
      <c r="HKF42" s="3281"/>
      <c r="HKG42" s="3281"/>
      <c r="HKH42" s="3281"/>
      <c r="HKI42" s="3281"/>
      <c r="HKJ42" s="3281"/>
      <c r="HKK42" s="3281"/>
      <c r="HKL42" s="3281"/>
      <c r="HKM42" s="3281"/>
      <c r="HKN42" s="3281"/>
      <c r="HKO42" s="3281"/>
      <c r="HKP42" s="3281"/>
      <c r="HKQ42" s="3281"/>
      <c r="HKR42" s="3281"/>
      <c r="HKS42" s="3281"/>
      <c r="HKT42" s="3281"/>
      <c r="HKU42" s="3281"/>
      <c r="HKV42" s="3281"/>
      <c r="HKW42" s="3281"/>
      <c r="HKX42" s="3281"/>
      <c r="HKY42" s="3281"/>
      <c r="HKZ42" s="3281"/>
      <c r="HLA42" s="3281"/>
      <c r="HLB42" s="3281"/>
      <c r="HLC42" s="3281"/>
      <c r="HLD42" s="3281"/>
      <c r="HLE42" s="3281"/>
      <c r="HLF42" s="3281"/>
      <c r="HLG42" s="3281"/>
      <c r="HLH42" s="3281"/>
      <c r="HLI42" s="3281"/>
      <c r="HLJ42" s="3281"/>
      <c r="HLK42" s="3281"/>
      <c r="HLL42" s="3281"/>
      <c r="HLM42" s="3281"/>
      <c r="HLN42" s="3281"/>
      <c r="HLO42" s="3281"/>
      <c r="HLP42" s="3281"/>
      <c r="HLQ42" s="3281"/>
      <c r="HLR42" s="3281"/>
      <c r="HLS42" s="3281"/>
      <c r="HLT42" s="3281"/>
      <c r="HLU42" s="3281"/>
      <c r="HLV42" s="3281"/>
      <c r="HLW42" s="3281"/>
      <c r="HLX42" s="3281"/>
      <c r="HLY42" s="3281"/>
      <c r="HLZ42" s="3281"/>
      <c r="HMA42" s="3281"/>
      <c r="HMB42" s="3281"/>
      <c r="HMC42" s="3281"/>
      <c r="HMD42" s="3281"/>
      <c r="HME42" s="3281"/>
      <c r="HMF42" s="3281"/>
      <c r="HMG42" s="3281"/>
      <c r="HMH42" s="3281"/>
      <c r="HMI42" s="3281"/>
      <c r="HMJ42" s="3281"/>
      <c r="HMK42" s="3281"/>
      <c r="HML42" s="3281"/>
      <c r="HMM42" s="3281"/>
      <c r="HMN42" s="3281"/>
      <c r="HMO42" s="3281"/>
      <c r="HMP42" s="3281"/>
      <c r="HMQ42" s="3281"/>
      <c r="HMR42" s="3281"/>
      <c r="HMS42" s="3281"/>
      <c r="HMT42" s="3281"/>
      <c r="HMU42" s="3281"/>
      <c r="HMV42" s="3281"/>
      <c r="HMW42" s="3281"/>
      <c r="HMX42" s="3281"/>
      <c r="HMY42" s="3281"/>
      <c r="HMZ42" s="3281"/>
      <c r="HNA42" s="3281"/>
      <c r="HNB42" s="3281"/>
      <c r="HNC42" s="3281"/>
      <c r="HND42" s="3281"/>
      <c r="HNE42" s="3281"/>
      <c r="HNF42" s="3281"/>
      <c r="HNG42" s="3281"/>
      <c r="HNH42" s="3281"/>
      <c r="HNI42" s="3281"/>
      <c r="HNJ42" s="3281"/>
      <c r="HNK42" s="3281"/>
      <c r="HNL42" s="3281"/>
      <c r="HNM42" s="3281"/>
      <c r="HNN42" s="3281"/>
      <c r="HNO42" s="3281"/>
      <c r="HNP42" s="3281"/>
      <c r="HNQ42" s="3281"/>
      <c r="HNR42" s="3281"/>
      <c r="HNS42" s="3281"/>
      <c r="HNT42" s="3281"/>
      <c r="HNU42" s="3281"/>
      <c r="HNV42" s="3281"/>
      <c r="HNW42" s="3281"/>
      <c r="HNX42" s="3281"/>
      <c r="HNY42" s="3281"/>
      <c r="HNZ42" s="3281"/>
      <c r="HOA42" s="3281"/>
      <c r="HOB42" s="3281"/>
      <c r="HOC42" s="3281"/>
      <c r="HOD42" s="3281"/>
      <c r="HOE42" s="3281"/>
      <c r="HOF42" s="3281"/>
      <c r="HOG42" s="3281"/>
      <c r="HOH42" s="3281"/>
      <c r="HOI42" s="3281"/>
      <c r="HOJ42" s="3281"/>
      <c r="HOK42" s="3281"/>
      <c r="HOL42" s="3281"/>
      <c r="HOM42" s="3281"/>
      <c r="HON42" s="3281"/>
      <c r="HOO42" s="3281"/>
      <c r="HOP42" s="3281"/>
      <c r="HOQ42" s="3281"/>
      <c r="HOR42" s="3281"/>
      <c r="HOS42" s="3281"/>
      <c r="HOT42" s="3281"/>
      <c r="HOU42" s="3281"/>
      <c r="HOV42" s="3281"/>
      <c r="HOW42" s="3281"/>
      <c r="HOX42" s="3281"/>
      <c r="HOY42" s="3281"/>
      <c r="HOZ42" s="3281"/>
      <c r="HPA42" s="3281"/>
      <c r="HPB42" s="3281"/>
      <c r="HPC42" s="3281"/>
      <c r="HPD42" s="3281"/>
      <c r="HPE42" s="3281"/>
      <c r="HPF42" s="3281"/>
      <c r="HPG42" s="3281"/>
      <c r="HPH42" s="3281"/>
      <c r="HPI42" s="3281"/>
      <c r="HPJ42" s="3281"/>
      <c r="HPK42" s="3281"/>
      <c r="HPL42" s="3281"/>
      <c r="HPM42" s="3281"/>
      <c r="HPN42" s="3281"/>
      <c r="HPO42" s="3281"/>
      <c r="HPP42" s="3281"/>
      <c r="HPQ42" s="3281"/>
      <c r="HPR42" s="3281"/>
      <c r="HPS42" s="3281"/>
      <c r="HPT42" s="3281"/>
      <c r="HPU42" s="3281"/>
      <c r="HPV42" s="3281"/>
      <c r="HPW42" s="3281"/>
      <c r="HPX42" s="3281"/>
      <c r="HPY42" s="3281"/>
      <c r="HPZ42" s="3281"/>
      <c r="HQA42" s="3281"/>
      <c r="HQB42" s="3281"/>
      <c r="HQC42" s="3281"/>
      <c r="HQD42" s="3281"/>
      <c r="HQE42" s="3281"/>
      <c r="HQF42" s="3281"/>
      <c r="HQG42" s="3281"/>
      <c r="HQH42" s="3281"/>
      <c r="HQI42" s="3281"/>
      <c r="HQJ42" s="3281"/>
      <c r="HQK42" s="3281"/>
      <c r="HQL42" s="3281"/>
      <c r="HQM42" s="3281"/>
      <c r="HQN42" s="3281"/>
      <c r="HQO42" s="3281"/>
      <c r="HQP42" s="3281"/>
      <c r="HQQ42" s="3281"/>
      <c r="HQR42" s="3281"/>
      <c r="HQS42" s="3281"/>
      <c r="HQT42" s="3281"/>
      <c r="HQU42" s="3281"/>
      <c r="HQV42" s="3281"/>
      <c r="HQW42" s="3281"/>
      <c r="HQX42" s="3281"/>
      <c r="HQY42" s="3281"/>
      <c r="HQZ42" s="3281"/>
      <c r="HRA42" s="3281"/>
      <c r="HRB42" s="3281"/>
      <c r="HRC42" s="3281"/>
      <c r="HRD42" s="3281"/>
      <c r="HRE42" s="3281"/>
      <c r="HRF42" s="3281"/>
      <c r="HRG42" s="3281"/>
      <c r="HRH42" s="3281"/>
      <c r="HRI42" s="3281"/>
      <c r="HRJ42" s="3281"/>
      <c r="HRK42" s="3281"/>
      <c r="HRL42" s="3281"/>
      <c r="HRM42" s="3281"/>
      <c r="HRN42" s="3281"/>
      <c r="HRO42" s="3281"/>
      <c r="HRP42" s="3281"/>
      <c r="HRQ42" s="3281"/>
      <c r="HRR42" s="3281"/>
      <c r="HRS42" s="3281"/>
      <c r="HRT42" s="3281"/>
      <c r="HRU42" s="3281"/>
      <c r="HRV42" s="3281"/>
      <c r="HRW42" s="3281"/>
      <c r="HRX42" s="3281"/>
      <c r="HRY42" s="3281"/>
      <c r="HRZ42" s="3281"/>
      <c r="HSA42" s="3281"/>
      <c r="HSB42" s="3281"/>
      <c r="HSC42" s="3281"/>
      <c r="HSD42" s="3281"/>
      <c r="HSE42" s="3281"/>
      <c r="HSF42" s="3281"/>
      <c r="HSG42" s="3281"/>
      <c r="HSH42" s="3281"/>
      <c r="HSI42" s="3281"/>
      <c r="HSJ42" s="3281"/>
      <c r="HSK42" s="3281"/>
      <c r="HSL42" s="3281"/>
      <c r="HSM42" s="3281"/>
      <c r="HSN42" s="3281"/>
      <c r="HSO42" s="3281"/>
      <c r="HSP42" s="3281"/>
      <c r="HSQ42" s="3281"/>
      <c r="HSR42" s="3281"/>
      <c r="HSS42" s="3281"/>
      <c r="HST42" s="3281"/>
      <c r="HSU42" s="3281"/>
      <c r="HSV42" s="3281"/>
      <c r="HSW42" s="3281"/>
      <c r="HSX42" s="3281"/>
      <c r="HSY42" s="3281"/>
      <c r="HSZ42" s="3281"/>
      <c r="HTA42" s="3281"/>
      <c r="HTB42" s="3281"/>
      <c r="HTC42" s="3281"/>
      <c r="HTD42" s="3281"/>
      <c r="HTE42" s="3281"/>
      <c r="HTF42" s="3281"/>
      <c r="HTG42" s="3281"/>
      <c r="HTH42" s="3281"/>
      <c r="HTI42" s="3281"/>
      <c r="HTJ42" s="3281"/>
      <c r="HTK42" s="3281"/>
      <c r="HTL42" s="3281"/>
      <c r="HTM42" s="3281"/>
      <c r="HTN42" s="3281"/>
      <c r="HTO42" s="3281"/>
      <c r="HTP42" s="3281"/>
      <c r="HTQ42" s="3281"/>
      <c r="HTR42" s="3281"/>
      <c r="HTS42" s="3281"/>
      <c r="HTT42" s="3281"/>
      <c r="HTU42" s="3281"/>
      <c r="HTV42" s="3281"/>
      <c r="HTW42" s="3281"/>
      <c r="HTX42" s="3281"/>
      <c r="HTY42" s="3281"/>
      <c r="HTZ42" s="3281"/>
      <c r="HUA42" s="3281"/>
      <c r="HUB42" s="3281"/>
      <c r="HUC42" s="3281"/>
      <c r="HUD42" s="3281"/>
      <c r="HUE42" s="3281"/>
      <c r="HUF42" s="3281"/>
      <c r="HUG42" s="3281"/>
      <c r="HUH42" s="3281"/>
      <c r="HUI42" s="3281"/>
      <c r="HUJ42" s="3281"/>
      <c r="HUK42" s="3281"/>
      <c r="HUL42" s="3281"/>
      <c r="HUM42" s="3281"/>
      <c r="HUN42" s="3281"/>
      <c r="HUO42" s="3281"/>
      <c r="HUP42" s="3281"/>
      <c r="HUQ42" s="3281"/>
      <c r="HUR42" s="3281"/>
      <c r="HUS42" s="3281"/>
      <c r="HUT42" s="3281"/>
      <c r="HUU42" s="3281"/>
      <c r="HUV42" s="3281"/>
      <c r="HUW42" s="3281"/>
      <c r="HUX42" s="3281"/>
      <c r="HUY42" s="3281"/>
      <c r="HUZ42" s="3281"/>
      <c r="HVA42" s="3281"/>
      <c r="HVB42" s="3281"/>
      <c r="HVC42" s="3281"/>
      <c r="HVD42" s="3281"/>
      <c r="HVE42" s="3281"/>
      <c r="HVF42" s="3281"/>
      <c r="HVG42" s="3281"/>
      <c r="HVH42" s="3281"/>
      <c r="HVI42" s="3281"/>
      <c r="HVJ42" s="3281"/>
      <c r="HVK42" s="3281"/>
      <c r="HVL42" s="3281"/>
      <c r="HVM42" s="3281"/>
      <c r="HVN42" s="3281"/>
      <c r="HVO42" s="3281"/>
      <c r="HVP42" s="3281"/>
      <c r="HVQ42" s="3281"/>
      <c r="HVR42" s="3281"/>
      <c r="HVS42" s="3281"/>
      <c r="HVT42" s="3281"/>
      <c r="HVU42" s="3281"/>
      <c r="HVV42" s="3281"/>
      <c r="HVW42" s="3281"/>
      <c r="HVX42" s="3281"/>
      <c r="HVY42" s="3281"/>
      <c r="HVZ42" s="3281"/>
      <c r="HWA42" s="3281"/>
      <c r="HWB42" s="3281"/>
      <c r="HWC42" s="3281"/>
      <c r="HWD42" s="3281"/>
      <c r="HWE42" s="3281"/>
      <c r="HWF42" s="3281"/>
      <c r="HWG42" s="3281"/>
      <c r="HWH42" s="3281"/>
      <c r="HWI42" s="3281"/>
      <c r="HWJ42" s="3281"/>
      <c r="HWK42" s="3281"/>
      <c r="HWL42" s="3281"/>
      <c r="HWM42" s="3281"/>
      <c r="HWN42" s="3281"/>
      <c r="HWO42" s="3281"/>
      <c r="HWP42" s="3281"/>
      <c r="HWQ42" s="3281"/>
      <c r="HWR42" s="3281"/>
      <c r="HWS42" s="3281"/>
      <c r="HWT42" s="3281"/>
      <c r="HWU42" s="3281"/>
      <c r="HWV42" s="3281"/>
      <c r="HWW42" s="3281"/>
      <c r="HWX42" s="3281"/>
      <c r="HWY42" s="3281"/>
      <c r="HWZ42" s="3281"/>
      <c r="HXA42" s="3281"/>
      <c r="HXB42" s="3281"/>
      <c r="HXC42" s="3281"/>
      <c r="HXD42" s="3281"/>
      <c r="HXE42" s="3281"/>
      <c r="HXF42" s="3281"/>
      <c r="HXG42" s="3281"/>
      <c r="HXH42" s="3281"/>
      <c r="HXI42" s="3281"/>
      <c r="HXJ42" s="3281"/>
      <c r="HXK42" s="3281"/>
      <c r="HXL42" s="3281"/>
      <c r="HXM42" s="3281"/>
      <c r="HXN42" s="3281"/>
      <c r="HXO42" s="3281"/>
      <c r="HXP42" s="3281"/>
      <c r="HXQ42" s="3281"/>
      <c r="HXR42" s="3281"/>
      <c r="HXS42" s="3281"/>
      <c r="HXT42" s="3281"/>
      <c r="HXU42" s="3281"/>
      <c r="HXV42" s="3281"/>
      <c r="HXW42" s="3281"/>
      <c r="HXX42" s="3281"/>
      <c r="HXY42" s="3281"/>
      <c r="HXZ42" s="3281"/>
      <c r="HYA42" s="3281"/>
      <c r="HYB42" s="3281"/>
      <c r="HYC42" s="3281"/>
      <c r="HYD42" s="3281"/>
      <c r="HYE42" s="3281"/>
      <c r="HYF42" s="3281"/>
      <c r="HYG42" s="3281"/>
      <c r="HYH42" s="3281"/>
      <c r="HYI42" s="3281"/>
      <c r="HYJ42" s="3281"/>
      <c r="HYK42" s="3281"/>
      <c r="HYL42" s="3281"/>
      <c r="HYM42" s="3281"/>
      <c r="HYN42" s="3281"/>
      <c r="HYO42" s="3281"/>
      <c r="HYP42" s="3281"/>
      <c r="HYQ42" s="3281"/>
      <c r="HYR42" s="3281"/>
      <c r="HYS42" s="3281"/>
      <c r="HYT42" s="3281"/>
      <c r="HYU42" s="3281"/>
      <c r="HYV42" s="3281"/>
      <c r="HYW42" s="3281"/>
      <c r="HYX42" s="3281"/>
      <c r="HYY42" s="3281"/>
      <c r="HYZ42" s="3281"/>
      <c r="HZA42" s="3281"/>
      <c r="HZB42" s="3281"/>
      <c r="HZC42" s="3281"/>
      <c r="HZD42" s="3281"/>
      <c r="HZE42" s="3281"/>
      <c r="HZF42" s="3281"/>
      <c r="HZG42" s="3281"/>
      <c r="HZH42" s="3281"/>
      <c r="HZI42" s="3281"/>
      <c r="HZJ42" s="3281"/>
      <c r="HZK42" s="3281"/>
      <c r="HZL42" s="3281"/>
      <c r="HZM42" s="3281"/>
      <c r="HZN42" s="3281"/>
      <c r="HZO42" s="3281"/>
      <c r="HZP42" s="3281"/>
      <c r="HZQ42" s="3281"/>
      <c r="HZR42" s="3281"/>
      <c r="HZS42" s="3281"/>
      <c r="HZT42" s="3281"/>
      <c r="HZU42" s="3281"/>
      <c r="HZV42" s="3281"/>
      <c r="HZW42" s="3281"/>
      <c r="HZX42" s="3281"/>
      <c r="HZY42" s="3281"/>
      <c r="HZZ42" s="3281"/>
      <c r="IAA42" s="3281"/>
      <c r="IAB42" s="3281"/>
      <c r="IAC42" s="3281"/>
      <c r="IAD42" s="3281"/>
      <c r="IAE42" s="3281"/>
      <c r="IAF42" s="3281"/>
      <c r="IAG42" s="3281"/>
      <c r="IAH42" s="3281"/>
      <c r="IAI42" s="3281"/>
      <c r="IAJ42" s="3281"/>
      <c r="IAK42" s="3281"/>
      <c r="IAL42" s="3281"/>
      <c r="IAM42" s="3281"/>
      <c r="IAN42" s="3281"/>
      <c r="IAO42" s="3281"/>
      <c r="IAP42" s="3281"/>
      <c r="IAQ42" s="3281"/>
      <c r="IAR42" s="3281"/>
      <c r="IAS42" s="3281"/>
      <c r="IAT42" s="3281"/>
      <c r="IAU42" s="3281"/>
      <c r="IAV42" s="3281"/>
      <c r="IAW42" s="3281"/>
      <c r="IAX42" s="3281"/>
      <c r="IAY42" s="3281"/>
      <c r="IAZ42" s="3281"/>
      <c r="IBA42" s="3281"/>
      <c r="IBB42" s="3281"/>
      <c r="IBC42" s="3281"/>
      <c r="IBD42" s="3281"/>
      <c r="IBE42" s="3281"/>
      <c r="IBF42" s="3281"/>
      <c r="IBG42" s="3281"/>
      <c r="IBH42" s="3281"/>
      <c r="IBI42" s="3281"/>
      <c r="IBJ42" s="3281"/>
      <c r="IBK42" s="3281"/>
      <c r="IBL42" s="3281"/>
      <c r="IBM42" s="3281"/>
      <c r="IBN42" s="3281"/>
      <c r="IBO42" s="3281"/>
      <c r="IBP42" s="3281"/>
      <c r="IBQ42" s="3281"/>
      <c r="IBR42" s="3281"/>
      <c r="IBS42" s="3281"/>
      <c r="IBT42" s="3281"/>
      <c r="IBU42" s="3281"/>
      <c r="IBV42" s="3281"/>
      <c r="IBW42" s="3281"/>
      <c r="IBX42" s="3281"/>
      <c r="IBY42" s="3281"/>
      <c r="IBZ42" s="3281"/>
      <c r="ICA42" s="3281"/>
      <c r="ICB42" s="3281"/>
      <c r="ICC42" s="3281"/>
      <c r="ICD42" s="3281"/>
      <c r="ICE42" s="3281"/>
      <c r="ICF42" s="3281"/>
      <c r="ICG42" s="3281"/>
      <c r="ICH42" s="3281"/>
      <c r="ICI42" s="3281"/>
      <c r="ICJ42" s="3281"/>
      <c r="ICK42" s="3281"/>
      <c r="ICL42" s="3281"/>
      <c r="ICM42" s="3281"/>
      <c r="ICN42" s="3281"/>
      <c r="ICO42" s="3281"/>
      <c r="ICP42" s="3281"/>
      <c r="ICQ42" s="3281"/>
      <c r="ICR42" s="3281"/>
      <c r="ICS42" s="3281"/>
      <c r="ICT42" s="3281"/>
      <c r="ICU42" s="3281"/>
      <c r="ICV42" s="3281"/>
      <c r="ICW42" s="3281"/>
      <c r="ICX42" s="3281"/>
      <c r="ICY42" s="3281"/>
      <c r="ICZ42" s="3281"/>
      <c r="IDA42" s="3281"/>
      <c r="IDB42" s="3281"/>
      <c r="IDC42" s="3281"/>
      <c r="IDD42" s="3281"/>
      <c r="IDE42" s="3281"/>
      <c r="IDF42" s="3281"/>
      <c r="IDG42" s="3281"/>
      <c r="IDH42" s="3281"/>
      <c r="IDI42" s="3281"/>
      <c r="IDJ42" s="3281"/>
      <c r="IDK42" s="3281"/>
      <c r="IDL42" s="3281"/>
      <c r="IDM42" s="3281"/>
      <c r="IDN42" s="3281"/>
      <c r="IDO42" s="3281"/>
      <c r="IDP42" s="3281"/>
      <c r="IDQ42" s="3281"/>
      <c r="IDR42" s="3281"/>
      <c r="IDS42" s="3281"/>
      <c r="IDT42" s="3281"/>
      <c r="IDU42" s="3281"/>
      <c r="IDV42" s="3281"/>
      <c r="IDW42" s="3281"/>
      <c r="IDX42" s="3281"/>
      <c r="IDY42" s="3281"/>
      <c r="IDZ42" s="3281"/>
      <c r="IEA42" s="3281"/>
      <c r="IEB42" s="3281"/>
      <c r="IEC42" s="3281"/>
      <c r="IED42" s="3281"/>
      <c r="IEE42" s="3281"/>
      <c r="IEF42" s="3281"/>
      <c r="IEG42" s="3281"/>
      <c r="IEH42" s="3281"/>
      <c r="IEI42" s="3281"/>
      <c r="IEJ42" s="3281"/>
      <c r="IEK42" s="3281"/>
      <c r="IEL42" s="3281"/>
      <c r="IEM42" s="3281"/>
      <c r="IEN42" s="3281"/>
      <c r="IEO42" s="3281"/>
      <c r="IEP42" s="3281"/>
      <c r="IEQ42" s="3281"/>
      <c r="IER42" s="3281"/>
      <c r="IES42" s="3281"/>
      <c r="IET42" s="3281"/>
      <c r="IEU42" s="3281"/>
      <c r="IEV42" s="3281"/>
      <c r="IEW42" s="3281"/>
      <c r="IEX42" s="3281"/>
      <c r="IEY42" s="3281"/>
      <c r="IEZ42" s="3281"/>
      <c r="IFA42" s="3281"/>
      <c r="IFB42" s="3281"/>
      <c r="IFC42" s="3281"/>
      <c r="IFD42" s="3281"/>
      <c r="IFE42" s="3281"/>
      <c r="IFF42" s="3281"/>
      <c r="IFG42" s="3281"/>
      <c r="IFH42" s="3281"/>
      <c r="IFI42" s="3281"/>
      <c r="IFJ42" s="3281"/>
      <c r="IFK42" s="3281"/>
      <c r="IFL42" s="3281"/>
      <c r="IFM42" s="3281"/>
      <c r="IFN42" s="3281"/>
      <c r="IFO42" s="3281"/>
      <c r="IFP42" s="3281"/>
      <c r="IFQ42" s="3281"/>
      <c r="IFR42" s="3281"/>
      <c r="IFS42" s="3281"/>
      <c r="IFT42" s="3281"/>
      <c r="IFU42" s="3281"/>
      <c r="IFV42" s="3281"/>
      <c r="IFW42" s="3281"/>
      <c r="IFX42" s="3281"/>
      <c r="IFY42" s="3281"/>
      <c r="IFZ42" s="3281"/>
      <c r="IGA42" s="3281"/>
      <c r="IGB42" s="3281"/>
      <c r="IGC42" s="3281"/>
      <c r="IGD42" s="3281"/>
      <c r="IGE42" s="3281"/>
      <c r="IGF42" s="3281"/>
      <c r="IGG42" s="3281"/>
      <c r="IGH42" s="3281"/>
      <c r="IGI42" s="3281"/>
      <c r="IGJ42" s="3281"/>
      <c r="IGK42" s="3281"/>
      <c r="IGL42" s="3281"/>
      <c r="IGM42" s="3281"/>
      <c r="IGN42" s="3281"/>
      <c r="IGO42" s="3281"/>
      <c r="IGP42" s="3281"/>
      <c r="IGQ42" s="3281"/>
      <c r="IGR42" s="3281"/>
      <c r="IGS42" s="3281"/>
      <c r="IGT42" s="3281"/>
      <c r="IGU42" s="3281"/>
      <c r="IGV42" s="3281"/>
      <c r="IGW42" s="3281"/>
      <c r="IGX42" s="3281"/>
      <c r="IGY42" s="3281"/>
      <c r="IGZ42" s="3281"/>
      <c r="IHA42" s="3281"/>
      <c r="IHB42" s="3281"/>
      <c r="IHC42" s="3281"/>
      <c r="IHD42" s="3281"/>
      <c r="IHE42" s="3281"/>
      <c r="IHF42" s="3281"/>
      <c r="IHG42" s="3281"/>
      <c r="IHH42" s="3281"/>
      <c r="IHI42" s="3281"/>
      <c r="IHJ42" s="3281"/>
      <c r="IHK42" s="3281"/>
      <c r="IHL42" s="3281"/>
      <c r="IHM42" s="3281"/>
      <c r="IHN42" s="3281"/>
      <c r="IHO42" s="3281"/>
      <c r="IHP42" s="3281"/>
      <c r="IHQ42" s="3281"/>
      <c r="IHR42" s="3281"/>
      <c r="IHS42" s="3281"/>
      <c r="IHT42" s="3281"/>
      <c r="IHU42" s="3281"/>
      <c r="IHV42" s="3281"/>
      <c r="IHW42" s="3281"/>
      <c r="IHX42" s="3281"/>
      <c r="IHY42" s="3281"/>
      <c r="IHZ42" s="3281"/>
      <c r="IIA42" s="3281"/>
      <c r="IIB42" s="3281"/>
      <c r="IIC42" s="3281"/>
      <c r="IID42" s="3281"/>
      <c r="IIE42" s="3281"/>
      <c r="IIF42" s="3281"/>
      <c r="IIG42" s="3281"/>
      <c r="IIH42" s="3281"/>
      <c r="III42" s="3281"/>
      <c r="IIJ42" s="3281"/>
      <c r="IIK42" s="3281"/>
      <c r="IIL42" s="3281"/>
      <c r="IIM42" s="3281"/>
      <c r="IIN42" s="3281"/>
      <c r="IIO42" s="3281"/>
      <c r="IIP42" s="3281"/>
      <c r="IIQ42" s="3281"/>
      <c r="IIR42" s="3281"/>
      <c r="IIS42" s="3281"/>
      <c r="IIT42" s="3281"/>
      <c r="IIU42" s="3281"/>
      <c r="IIV42" s="3281"/>
      <c r="IIW42" s="3281"/>
      <c r="IIX42" s="3281"/>
      <c r="IIY42" s="3281"/>
      <c r="IIZ42" s="3281"/>
      <c r="IJA42" s="3281"/>
      <c r="IJB42" s="3281"/>
      <c r="IJC42" s="3281"/>
      <c r="IJD42" s="3281"/>
      <c r="IJE42" s="3281"/>
      <c r="IJF42" s="3281"/>
      <c r="IJG42" s="3281"/>
      <c r="IJH42" s="3281"/>
      <c r="IJI42" s="3281"/>
      <c r="IJJ42" s="3281"/>
      <c r="IJK42" s="3281"/>
      <c r="IJL42" s="3281"/>
      <c r="IJM42" s="3281"/>
      <c r="IJN42" s="3281"/>
      <c r="IJO42" s="3281"/>
      <c r="IJP42" s="3281"/>
      <c r="IJQ42" s="3281"/>
      <c r="IJR42" s="3281"/>
      <c r="IJS42" s="3281"/>
      <c r="IJT42" s="3281"/>
      <c r="IJU42" s="3281"/>
      <c r="IJV42" s="3281"/>
      <c r="IJW42" s="3281"/>
      <c r="IJX42" s="3281"/>
      <c r="IJY42" s="3281"/>
      <c r="IJZ42" s="3281"/>
      <c r="IKA42" s="3281"/>
      <c r="IKB42" s="3281"/>
      <c r="IKC42" s="3281"/>
      <c r="IKD42" s="3281"/>
      <c r="IKE42" s="3281"/>
      <c r="IKF42" s="3281"/>
      <c r="IKG42" s="3281"/>
      <c r="IKH42" s="3281"/>
      <c r="IKI42" s="3281"/>
      <c r="IKJ42" s="3281"/>
      <c r="IKK42" s="3281"/>
      <c r="IKL42" s="3281"/>
      <c r="IKM42" s="3281"/>
      <c r="IKN42" s="3281"/>
      <c r="IKO42" s="3281"/>
      <c r="IKP42" s="3281"/>
      <c r="IKQ42" s="3281"/>
      <c r="IKR42" s="3281"/>
      <c r="IKS42" s="3281"/>
      <c r="IKT42" s="3281"/>
      <c r="IKU42" s="3281"/>
      <c r="IKV42" s="3281"/>
      <c r="IKW42" s="3281"/>
      <c r="IKX42" s="3281"/>
      <c r="IKY42" s="3281"/>
      <c r="IKZ42" s="3281"/>
      <c r="ILA42" s="3281"/>
      <c r="ILB42" s="3281"/>
      <c r="ILC42" s="3281"/>
      <c r="ILD42" s="3281"/>
      <c r="ILE42" s="3281"/>
      <c r="ILF42" s="3281"/>
      <c r="ILG42" s="3281"/>
      <c r="ILH42" s="3281"/>
      <c r="ILI42" s="3281"/>
      <c r="ILJ42" s="3281"/>
      <c r="ILK42" s="3281"/>
      <c r="ILL42" s="3281"/>
      <c r="ILM42" s="3281"/>
      <c r="ILN42" s="3281"/>
      <c r="ILO42" s="3281"/>
      <c r="ILP42" s="3281"/>
      <c r="ILQ42" s="3281"/>
      <c r="ILR42" s="3281"/>
      <c r="ILS42" s="3281"/>
      <c r="ILT42" s="3281"/>
      <c r="ILU42" s="3281"/>
      <c r="ILV42" s="3281"/>
      <c r="ILW42" s="3281"/>
      <c r="ILX42" s="3281"/>
      <c r="ILY42" s="3281"/>
      <c r="ILZ42" s="3281"/>
      <c r="IMA42" s="3281"/>
      <c r="IMB42" s="3281"/>
      <c r="IMC42" s="3281"/>
      <c r="IMD42" s="3281"/>
      <c r="IME42" s="3281"/>
      <c r="IMF42" s="3281"/>
      <c r="IMG42" s="3281"/>
      <c r="IMH42" s="3281"/>
      <c r="IMI42" s="3281"/>
      <c r="IMJ42" s="3281"/>
      <c r="IMK42" s="3281"/>
      <c r="IML42" s="3281"/>
      <c r="IMM42" s="3281"/>
      <c r="IMN42" s="3281"/>
      <c r="IMO42" s="3281"/>
      <c r="IMP42" s="3281"/>
      <c r="IMQ42" s="3281"/>
      <c r="IMR42" s="3281"/>
      <c r="IMS42" s="3281"/>
      <c r="IMT42" s="3281"/>
      <c r="IMU42" s="3281"/>
      <c r="IMV42" s="3281"/>
      <c r="IMW42" s="3281"/>
      <c r="IMX42" s="3281"/>
      <c r="IMY42" s="3281"/>
      <c r="IMZ42" s="3281"/>
      <c r="INA42" s="3281"/>
      <c r="INB42" s="3281"/>
      <c r="INC42" s="3281"/>
      <c r="IND42" s="3281"/>
      <c r="INE42" s="3281"/>
      <c r="INF42" s="3281"/>
      <c r="ING42" s="3281"/>
      <c r="INH42" s="3281"/>
      <c r="INI42" s="3281"/>
      <c r="INJ42" s="3281"/>
      <c r="INK42" s="3281"/>
      <c r="INL42" s="3281"/>
      <c r="INM42" s="3281"/>
      <c r="INN42" s="3281"/>
      <c r="INO42" s="3281"/>
      <c r="INP42" s="3281"/>
      <c r="INQ42" s="3281"/>
      <c r="INR42" s="3281"/>
      <c r="INS42" s="3281"/>
      <c r="INT42" s="3281"/>
      <c r="INU42" s="3281"/>
      <c r="INV42" s="3281"/>
      <c r="INW42" s="3281"/>
      <c r="INX42" s="3281"/>
      <c r="INY42" s="3281"/>
      <c r="INZ42" s="3281"/>
      <c r="IOA42" s="3281"/>
      <c r="IOB42" s="3281"/>
      <c r="IOC42" s="3281"/>
      <c r="IOD42" s="3281"/>
      <c r="IOE42" s="3281"/>
      <c r="IOF42" s="3281"/>
      <c r="IOG42" s="3281"/>
      <c r="IOH42" s="3281"/>
      <c r="IOI42" s="3281"/>
      <c r="IOJ42" s="3281"/>
      <c r="IOK42" s="3281"/>
      <c r="IOL42" s="3281"/>
      <c r="IOM42" s="3281"/>
      <c r="ION42" s="3281"/>
      <c r="IOO42" s="3281"/>
      <c r="IOP42" s="3281"/>
      <c r="IOQ42" s="3281"/>
      <c r="IOR42" s="3281"/>
      <c r="IOS42" s="3281"/>
      <c r="IOT42" s="3281"/>
      <c r="IOU42" s="3281"/>
      <c r="IOV42" s="3281"/>
      <c r="IOW42" s="3281"/>
      <c r="IOX42" s="3281"/>
      <c r="IOY42" s="3281"/>
      <c r="IOZ42" s="3281"/>
      <c r="IPA42" s="3281"/>
      <c r="IPB42" s="3281"/>
      <c r="IPC42" s="3281"/>
      <c r="IPD42" s="3281"/>
      <c r="IPE42" s="3281"/>
      <c r="IPF42" s="3281"/>
      <c r="IPG42" s="3281"/>
      <c r="IPH42" s="3281"/>
      <c r="IPI42" s="3281"/>
      <c r="IPJ42" s="3281"/>
      <c r="IPK42" s="3281"/>
      <c r="IPL42" s="3281"/>
      <c r="IPM42" s="3281"/>
      <c r="IPN42" s="3281"/>
      <c r="IPO42" s="3281"/>
      <c r="IPP42" s="3281"/>
      <c r="IPQ42" s="3281"/>
      <c r="IPR42" s="3281"/>
      <c r="IPS42" s="3281"/>
      <c r="IPT42" s="3281"/>
      <c r="IPU42" s="3281"/>
      <c r="IPV42" s="3281"/>
      <c r="IPW42" s="3281"/>
      <c r="IPX42" s="3281"/>
      <c r="IPY42" s="3281"/>
      <c r="IPZ42" s="3281"/>
      <c r="IQA42" s="3281"/>
      <c r="IQB42" s="3281"/>
      <c r="IQC42" s="3281"/>
      <c r="IQD42" s="3281"/>
      <c r="IQE42" s="3281"/>
      <c r="IQF42" s="3281"/>
      <c r="IQG42" s="3281"/>
      <c r="IQH42" s="3281"/>
      <c r="IQI42" s="3281"/>
      <c r="IQJ42" s="3281"/>
      <c r="IQK42" s="3281"/>
      <c r="IQL42" s="3281"/>
      <c r="IQM42" s="3281"/>
      <c r="IQN42" s="3281"/>
      <c r="IQO42" s="3281"/>
      <c r="IQP42" s="3281"/>
      <c r="IQQ42" s="3281"/>
      <c r="IQR42" s="3281"/>
      <c r="IQS42" s="3281"/>
      <c r="IQT42" s="3281"/>
      <c r="IQU42" s="3281"/>
      <c r="IQV42" s="3281"/>
      <c r="IQW42" s="3281"/>
      <c r="IQX42" s="3281"/>
      <c r="IQY42" s="3281"/>
      <c r="IQZ42" s="3281"/>
      <c r="IRA42" s="3281"/>
      <c r="IRB42" s="3281"/>
      <c r="IRC42" s="3281"/>
      <c r="IRD42" s="3281"/>
      <c r="IRE42" s="3281"/>
      <c r="IRF42" s="3281"/>
      <c r="IRG42" s="3281"/>
      <c r="IRH42" s="3281"/>
      <c r="IRI42" s="3281"/>
      <c r="IRJ42" s="3281"/>
      <c r="IRK42" s="3281"/>
      <c r="IRL42" s="3281"/>
      <c r="IRM42" s="3281"/>
      <c r="IRN42" s="3281"/>
      <c r="IRO42" s="3281"/>
      <c r="IRP42" s="3281"/>
      <c r="IRQ42" s="3281"/>
      <c r="IRR42" s="3281"/>
      <c r="IRS42" s="3281"/>
      <c r="IRT42" s="3281"/>
      <c r="IRU42" s="3281"/>
      <c r="IRV42" s="3281"/>
      <c r="IRW42" s="3281"/>
      <c r="IRX42" s="3281"/>
      <c r="IRY42" s="3281"/>
      <c r="IRZ42" s="3281"/>
      <c r="ISA42" s="3281"/>
      <c r="ISB42" s="3281"/>
      <c r="ISC42" s="3281"/>
      <c r="ISD42" s="3281"/>
      <c r="ISE42" s="3281"/>
      <c r="ISF42" s="3281"/>
      <c r="ISG42" s="3281"/>
      <c r="ISH42" s="3281"/>
      <c r="ISI42" s="3281"/>
      <c r="ISJ42" s="3281"/>
      <c r="ISK42" s="3281"/>
      <c r="ISL42" s="3281"/>
      <c r="ISM42" s="3281"/>
      <c r="ISN42" s="3281"/>
      <c r="ISO42" s="3281"/>
      <c r="ISP42" s="3281"/>
      <c r="ISQ42" s="3281"/>
      <c r="ISR42" s="3281"/>
      <c r="ISS42" s="3281"/>
      <c r="IST42" s="3281"/>
      <c r="ISU42" s="3281"/>
      <c r="ISV42" s="3281"/>
      <c r="ISW42" s="3281"/>
      <c r="ISX42" s="3281"/>
      <c r="ISY42" s="3281"/>
      <c r="ISZ42" s="3281"/>
      <c r="ITA42" s="3281"/>
      <c r="ITB42" s="3281"/>
      <c r="ITC42" s="3281"/>
      <c r="ITD42" s="3281"/>
      <c r="ITE42" s="3281"/>
      <c r="ITF42" s="3281"/>
      <c r="ITG42" s="3281"/>
      <c r="ITH42" s="3281"/>
      <c r="ITI42" s="3281"/>
      <c r="ITJ42" s="3281"/>
      <c r="ITK42" s="3281"/>
      <c r="ITL42" s="3281"/>
      <c r="ITM42" s="3281"/>
      <c r="ITN42" s="3281"/>
      <c r="ITO42" s="3281"/>
      <c r="ITP42" s="3281"/>
      <c r="ITQ42" s="3281"/>
      <c r="ITR42" s="3281"/>
      <c r="ITS42" s="3281"/>
      <c r="ITT42" s="3281"/>
      <c r="ITU42" s="3281"/>
      <c r="ITV42" s="3281"/>
      <c r="ITW42" s="3281"/>
      <c r="ITX42" s="3281"/>
      <c r="ITY42" s="3281"/>
      <c r="ITZ42" s="3281"/>
      <c r="IUA42" s="3281"/>
      <c r="IUB42" s="3281"/>
      <c r="IUC42" s="3281"/>
      <c r="IUD42" s="3281"/>
      <c r="IUE42" s="3281"/>
      <c r="IUF42" s="3281"/>
      <c r="IUG42" s="3281"/>
      <c r="IUH42" s="3281"/>
      <c r="IUI42" s="3281"/>
      <c r="IUJ42" s="3281"/>
      <c r="IUK42" s="3281"/>
      <c r="IUL42" s="3281"/>
      <c r="IUM42" s="3281"/>
      <c r="IUN42" s="3281"/>
      <c r="IUO42" s="3281"/>
      <c r="IUP42" s="3281"/>
      <c r="IUQ42" s="3281"/>
      <c r="IUR42" s="3281"/>
      <c r="IUS42" s="3281"/>
      <c r="IUT42" s="3281"/>
      <c r="IUU42" s="3281"/>
      <c r="IUV42" s="3281"/>
      <c r="IUW42" s="3281"/>
      <c r="IUX42" s="3281"/>
      <c r="IUY42" s="3281"/>
      <c r="IUZ42" s="3281"/>
      <c r="IVA42" s="3281"/>
      <c r="IVB42" s="3281"/>
      <c r="IVC42" s="3281"/>
      <c r="IVD42" s="3281"/>
      <c r="IVE42" s="3281"/>
      <c r="IVF42" s="3281"/>
      <c r="IVG42" s="3281"/>
      <c r="IVH42" s="3281"/>
      <c r="IVI42" s="3281"/>
      <c r="IVJ42" s="3281"/>
      <c r="IVK42" s="3281"/>
      <c r="IVL42" s="3281"/>
      <c r="IVM42" s="3281"/>
      <c r="IVN42" s="3281"/>
      <c r="IVO42" s="3281"/>
      <c r="IVP42" s="3281"/>
      <c r="IVQ42" s="3281"/>
      <c r="IVR42" s="3281"/>
      <c r="IVS42" s="3281"/>
      <c r="IVT42" s="3281"/>
      <c r="IVU42" s="3281"/>
      <c r="IVV42" s="3281"/>
      <c r="IVW42" s="3281"/>
      <c r="IVX42" s="3281"/>
      <c r="IVY42" s="3281"/>
      <c r="IVZ42" s="3281"/>
      <c r="IWA42" s="3281"/>
      <c r="IWB42" s="3281"/>
      <c r="IWC42" s="3281"/>
      <c r="IWD42" s="3281"/>
      <c r="IWE42" s="3281"/>
      <c r="IWF42" s="3281"/>
      <c r="IWG42" s="3281"/>
      <c r="IWH42" s="3281"/>
      <c r="IWI42" s="3281"/>
      <c r="IWJ42" s="3281"/>
      <c r="IWK42" s="3281"/>
      <c r="IWL42" s="3281"/>
      <c r="IWM42" s="3281"/>
      <c r="IWN42" s="3281"/>
      <c r="IWO42" s="3281"/>
      <c r="IWP42" s="3281"/>
      <c r="IWQ42" s="3281"/>
      <c r="IWR42" s="3281"/>
      <c r="IWS42" s="3281"/>
      <c r="IWT42" s="3281"/>
      <c r="IWU42" s="3281"/>
      <c r="IWV42" s="3281"/>
      <c r="IWW42" s="3281"/>
      <c r="IWX42" s="3281"/>
      <c r="IWY42" s="3281"/>
      <c r="IWZ42" s="3281"/>
      <c r="IXA42" s="3281"/>
      <c r="IXB42" s="3281"/>
      <c r="IXC42" s="3281"/>
      <c r="IXD42" s="3281"/>
      <c r="IXE42" s="3281"/>
      <c r="IXF42" s="3281"/>
      <c r="IXG42" s="3281"/>
      <c r="IXH42" s="3281"/>
      <c r="IXI42" s="3281"/>
      <c r="IXJ42" s="3281"/>
      <c r="IXK42" s="3281"/>
      <c r="IXL42" s="3281"/>
      <c r="IXM42" s="3281"/>
      <c r="IXN42" s="3281"/>
      <c r="IXO42" s="3281"/>
      <c r="IXP42" s="3281"/>
      <c r="IXQ42" s="3281"/>
      <c r="IXR42" s="3281"/>
      <c r="IXS42" s="3281"/>
      <c r="IXT42" s="3281"/>
      <c r="IXU42" s="3281"/>
      <c r="IXV42" s="3281"/>
      <c r="IXW42" s="3281"/>
      <c r="IXX42" s="3281"/>
      <c r="IXY42" s="3281"/>
      <c r="IXZ42" s="3281"/>
      <c r="IYA42" s="3281"/>
      <c r="IYB42" s="3281"/>
      <c r="IYC42" s="3281"/>
      <c r="IYD42" s="3281"/>
      <c r="IYE42" s="3281"/>
      <c r="IYF42" s="3281"/>
      <c r="IYG42" s="3281"/>
      <c r="IYH42" s="3281"/>
      <c r="IYI42" s="3281"/>
      <c r="IYJ42" s="3281"/>
      <c r="IYK42" s="3281"/>
      <c r="IYL42" s="3281"/>
      <c r="IYM42" s="3281"/>
      <c r="IYN42" s="3281"/>
      <c r="IYO42" s="3281"/>
      <c r="IYP42" s="3281"/>
      <c r="IYQ42" s="3281"/>
      <c r="IYR42" s="3281"/>
      <c r="IYS42" s="3281"/>
      <c r="IYT42" s="3281"/>
      <c r="IYU42" s="3281"/>
      <c r="IYV42" s="3281"/>
      <c r="IYW42" s="3281"/>
      <c r="IYX42" s="3281"/>
      <c r="IYY42" s="3281"/>
      <c r="IYZ42" s="3281"/>
      <c r="IZA42" s="3281"/>
      <c r="IZB42" s="3281"/>
      <c r="IZC42" s="3281"/>
      <c r="IZD42" s="3281"/>
      <c r="IZE42" s="3281"/>
      <c r="IZF42" s="3281"/>
      <c r="IZG42" s="3281"/>
      <c r="IZH42" s="3281"/>
      <c r="IZI42" s="3281"/>
      <c r="IZJ42" s="3281"/>
      <c r="IZK42" s="3281"/>
      <c r="IZL42" s="3281"/>
      <c r="IZM42" s="3281"/>
      <c r="IZN42" s="3281"/>
      <c r="IZO42" s="3281"/>
      <c r="IZP42" s="3281"/>
      <c r="IZQ42" s="3281"/>
      <c r="IZR42" s="3281"/>
      <c r="IZS42" s="3281"/>
      <c r="IZT42" s="3281"/>
      <c r="IZU42" s="3281"/>
      <c r="IZV42" s="3281"/>
      <c r="IZW42" s="3281"/>
      <c r="IZX42" s="3281"/>
      <c r="IZY42" s="3281"/>
      <c r="IZZ42" s="3281"/>
      <c r="JAA42" s="3281"/>
      <c r="JAB42" s="3281"/>
      <c r="JAC42" s="3281"/>
      <c r="JAD42" s="3281"/>
      <c r="JAE42" s="3281"/>
      <c r="JAF42" s="3281"/>
      <c r="JAG42" s="3281"/>
      <c r="JAH42" s="3281"/>
      <c r="JAI42" s="3281"/>
      <c r="JAJ42" s="3281"/>
      <c r="JAK42" s="3281"/>
      <c r="JAL42" s="3281"/>
      <c r="JAM42" s="3281"/>
      <c r="JAN42" s="3281"/>
      <c r="JAO42" s="3281"/>
      <c r="JAP42" s="3281"/>
      <c r="JAQ42" s="3281"/>
      <c r="JAR42" s="3281"/>
      <c r="JAS42" s="3281"/>
      <c r="JAT42" s="3281"/>
      <c r="JAU42" s="3281"/>
      <c r="JAV42" s="3281"/>
      <c r="JAW42" s="3281"/>
      <c r="JAX42" s="3281"/>
      <c r="JAY42" s="3281"/>
      <c r="JAZ42" s="3281"/>
      <c r="JBA42" s="3281"/>
      <c r="JBB42" s="3281"/>
      <c r="JBC42" s="3281"/>
      <c r="JBD42" s="3281"/>
      <c r="JBE42" s="3281"/>
      <c r="JBF42" s="3281"/>
      <c r="JBG42" s="3281"/>
      <c r="JBH42" s="3281"/>
      <c r="JBI42" s="3281"/>
      <c r="JBJ42" s="3281"/>
      <c r="JBK42" s="3281"/>
      <c r="JBL42" s="3281"/>
      <c r="JBM42" s="3281"/>
      <c r="JBN42" s="3281"/>
      <c r="JBO42" s="3281"/>
      <c r="JBP42" s="3281"/>
      <c r="JBQ42" s="3281"/>
      <c r="JBR42" s="3281"/>
      <c r="JBS42" s="3281"/>
      <c r="JBT42" s="3281"/>
      <c r="JBU42" s="3281"/>
      <c r="JBV42" s="3281"/>
      <c r="JBW42" s="3281"/>
      <c r="JBX42" s="3281"/>
      <c r="JBY42" s="3281"/>
      <c r="JBZ42" s="3281"/>
      <c r="JCA42" s="3281"/>
      <c r="JCB42" s="3281"/>
      <c r="JCC42" s="3281"/>
      <c r="JCD42" s="3281"/>
      <c r="JCE42" s="3281"/>
      <c r="JCF42" s="3281"/>
      <c r="JCG42" s="3281"/>
      <c r="JCH42" s="3281"/>
      <c r="JCI42" s="3281"/>
      <c r="JCJ42" s="3281"/>
      <c r="JCK42" s="3281"/>
      <c r="JCL42" s="3281"/>
      <c r="JCM42" s="3281"/>
      <c r="JCN42" s="3281"/>
      <c r="JCO42" s="3281"/>
      <c r="JCP42" s="3281"/>
      <c r="JCQ42" s="3281"/>
      <c r="JCR42" s="3281"/>
      <c r="JCS42" s="3281"/>
      <c r="JCT42" s="3281"/>
      <c r="JCU42" s="3281"/>
      <c r="JCV42" s="3281"/>
      <c r="JCW42" s="3281"/>
      <c r="JCX42" s="3281"/>
      <c r="JCY42" s="3281"/>
      <c r="JCZ42" s="3281"/>
      <c r="JDA42" s="3281"/>
      <c r="JDB42" s="3281"/>
      <c r="JDC42" s="3281"/>
      <c r="JDD42" s="3281"/>
      <c r="JDE42" s="3281"/>
      <c r="JDF42" s="3281"/>
      <c r="JDG42" s="3281"/>
      <c r="JDH42" s="3281"/>
      <c r="JDI42" s="3281"/>
      <c r="JDJ42" s="3281"/>
      <c r="JDK42" s="3281"/>
      <c r="JDL42" s="3281"/>
      <c r="JDM42" s="3281"/>
      <c r="JDN42" s="3281"/>
      <c r="JDO42" s="3281"/>
      <c r="JDP42" s="3281"/>
      <c r="JDQ42" s="3281"/>
      <c r="JDR42" s="3281"/>
      <c r="JDS42" s="3281"/>
      <c r="JDT42" s="3281"/>
      <c r="JDU42" s="3281"/>
      <c r="JDV42" s="3281"/>
      <c r="JDW42" s="3281"/>
      <c r="JDX42" s="3281"/>
      <c r="JDY42" s="3281"/>
      <c r="JDZ42" s="3281"/>
      <c r="JEA42" s="3281"/>
      <c r="JEB42" s="3281"/>
      <c r="JEC42" s="3281"/>
      <c r="JED42" s="3281"/>
      <c r="JEE42" s="3281"/>
      <c r="JEF42" s="3281"/>
      <c r="JEG42" s="3281"/>
      <c r="JEH42" s="3281"/>
      <c r="JEI42" s="3281"/>
      <c r="JEJ42" s="3281"/>
      <c r="JEK42" s="3281"/>
      <c r="JEL42" s="3281"/>
      <c r="JEM42" s="3281"/>
      <c r="JEN42" s="3281"/>
      <c r="JEO42" s="3281"/>
      <c r="JEP42" s="3281"/>
      <c r="JEQ42" s="3281"/>
      <c r="JER42" s="3281"/>
      <c r="JES42" s="3281"/>
      <c r="JET42" s="3281"/>
      <c r="JEU42" s="3281"/>
      <c r="JEV42" s="3281"/>
      <c r="JEW42" s="3281"/>
      <c r="JEX42" s="3281"/>
      <c r="JEY42" s="3281"/>
      <c r="JEZ42" s="3281"/>
      <c r="JFA42" s="3281"/>
      <c r="JFB42" s="3281"/>
      <c r="JFC42" s="3281"/>
      <c r="JFD42" s="3281"/>
      <c r="JFE42" s="3281"/>
      <c r="JFF42" s="3281"/>
      <c r="JFG42" s="3281"/>
      <c r="JFH42" s="3281"/>
      <c r="JFI42" s="3281"/>
      <c r="JFJ42" s="3281"/>
      <c r="JFK42" s="3281"/>
      <c r="JFL42" s="3281"/>
      <c r="JFM42" s="3281"/>
      <c r="JFN42" s="3281"/>
      <c r="JFO42" s="3281"/>
      <c r="JFP42" s="3281"/>
      <c r="JFQ42" s="3281"/>
      <c r="JFR42" s="3281"/>
      <c r="JFS42" s="3281"/>
      <c r="JFT42" s="3281"/>
      <c r="JFU42" s="3281"/>
      <c r="JFV42" s="3281"/>
      <c r="JFW42" s="3281"/>
      <c r="JFX42" s="3281"/>
      <c r="JFY42" s="3281"/>
      <c r="JFZ42" s="3281"/>
      <c r="JGA42" s="3281"/>
      <c r="JGB42" s="3281"/>
      <c r="JGC42" s="3281"/>
      <c r="JGD42" s="3281"/>
      <c r="JGE42" s="3281"/>
      <c r="JGF42" s="3281"/>
      <c r="JGG42" s="3281"/>
      <c r="JGH42" s="3281"/>
      <c r="JGI42" s="3281"/>
      <c r="JGJ42" s="3281"/>
      <c r="JGK42" s="3281"/>
      <c r="JGL42" s="3281"/>
      <c r="JGM42" s="3281"/>
      <c r="JGN42" s="3281"/>
      <c r="JGO42" s="3281"/>
      <c r="JGP42" s="3281"/>
      <c r="JGQ42" s="3281"/>
      <c r="JGR42" s="3281"/>
      <c r="JGS42" s="3281"/>
      <c r="JGT42" s="3281"/>
      <c r="JGU42" s="3281"/>
      <c r="JGV42" s="3281"/>
      <c r="JGW42" s="3281"/>
      <c r="JGX42" s="3281"/>
      <c r="JGY42" s="3281"/>
      <c r="JGZ42" s="3281"/>
      <c r="JHA42" s="3281"/>
      <c r="JHB42" s="3281"/>
      <c r="JHC42" s="3281"/>
      <c r="JHD42" s="3281"/>
      <c r="JHE42" s="3281"/>
      <c r="JHF42" s="3281"/>
      <c r="JHG42" s="3281"/>
      <c r="JHH42" s="3281"/>
      <c r="JHI42" s="3281"/>
      <c r="JHJ42" s="3281"/>
      <c r="JHK42" s="3281"/>
      <c r="JHL42" s="3281"/>
      <c r="JHM42" s="3281"/>
      <c r="JHN42" s="3281"/>
      <c r="JHO42" s="3281"/>
      <c r="JHP42" s="3281"/>
      <c r="JHQ42" s="3281"/>
      <c r="JHR42" s="3281"/>
      <c r="JHS42" s="3281"/>
      <c r="JHT42" s="3281"/>
      <c r="JHU42" s="3281"/>
      <c r="JHV42" s="3281"/>
      <c r="JHW42" s="3281"/>
      <c r="JHX42" s="3281"/>
      <c r="JHY42" s="3281"/>
      <c r="JHZ42" s="3281"/>
      <c r="JIA42" s="3281"/>
      <c r="JIB42" s="3281"/>
      <c r="JIC42" s="3281"/>
      <c r="JID42" s="3281"/>
      <c r="JIE42" s="3281"/>
      <c r="JIF42" s="3281"/>
      <c r="JIG42" s="3281"/>
      <c r="JIH42" s="3281"/>
      <c r="JII42" s="3281"/>
      <c r="JIJ42" s="3281"/>
      <c r="JIK42" s="3281"/>
      <c r="JIL42" s="3281"/>
      <c r="JIM42" s="3281"/>
      <c r="JIN42" s="3281"/>
      <c r="JIO42" s="3281"/>
      <c r="JIP42" s="3281"/>
      <c r="JIQ42" s="3281"/>
      <c r="JIR42" s="3281"/>
      <c r="JIS42" s="3281"/>
      <c r="JIT42" s="3281"/>
      <c r="JIU42" s="3281"/>
      <c r="JIV42" s="3281"/>
      <c r="JIW42" s="3281"/>
      <c r="JIX42" s="3281"/>
      <c r="JIY42" s="3281"/>
      <c r="JIZ42" s="3281"/>
      <c r="JJA42" s="3281"/>
      <c r="JJB42" s="3281"/>
      <c r="JJC42" s="3281"/>
      <c r="JJD42" s="3281"/>
      <c r="JJE42" s="3281"/>
      <c r="JJF42" s="3281"/>
      <c r="JJG42" s="3281"/>
      <c r="JJH42" s="3281"/>
      <c r="JJI42" s="3281"/>
      <c r="JJJ42" s="3281"/>
      <c r="JJK42" s="3281"/>
      <c r="JJL42" s="3281"/>
      <c r="JJM42" s="3281"/>
      <c r="JJN42" s="3281"/>
      <c r="JJO42" s="3281"/>
      <c r="JJP42" s="3281"/>
      <c r="JJQ42" s="3281"/>
      <c r="JJR42" s="3281"/>
      <c r="JJS42" s="3281"/>
      <c r="JJT42" s="3281"/>
      <c r="JJU42" s="3281"/>
      <c r="JJV42" s="3281"/>
      <c r="JJW42" s="3281"/>
      <c r="JJX42" s="3281"/>
      <c r="JJY42" s="3281"/>
      <c r="JJZ42" s="3281"/>
      <c r="JKA42" s="3281"/>
      <c r="JKB42" s="3281"/>
      <c r="JKC42" s="3281"/>
      <c r="JKD42" s="3281"/>
      <c r="JKE42" s="3281"/>
      <c r="JKF42" s="3281"/>
      <c r="JKG42" s="3281"/>
      <c r="JKH42" s="3281"/>
      <c r="JKI42" s="3281"/>
      <c r="JKJ42" s="3281"/>
      <c r="JKK42" s="3281"/>
      <c r="JKL42" s="3281"/>
      <c r="JKM42" s="3281"/>
      <c r="JKN42" s="3281"/>
      <c r="JKO42" s="3281"/>
      <c r="JKP42" s="3281"/>
      <c r="JKQ42" s="3281"/>
      <c r="JKR42" s="3281"/>
      <c r="JKS42" s="3281"/>
      <c r="JKT42" s="3281"/>
      <c r="JKU42" s="3281"/>
      <c r="JKV42" s="3281"/>
      <c r="JKW42" s="3281"/>
      <c r="JKX42" s="3281"/>
      <c r="JKY42" s="3281"/>
      <c r="JKZ42" s="3281"/>
      <c r="JLA42" s="3281"/>
      <c r="JLB42" s="3281"/>
      <c r="JLC42" s="3281"/>
      <c r="JLD42" s="3281"/>
      <c r="JLE42" s="3281"/>
      <c r="JLF42" s="3281"/>
      <c r="JLG42" s="3281"/>
      <c r="JLH42" s="3281"/>
      <c r="JLI42" s="3281"/>
      <c r="JLJ42" s="3281"/>
      <c r="JLK42" s="3281"/>
      <c r="JLL42" s="3281"/>
      <c r="JLM42" s="3281"/>
      <c r="JLN42" s="3281"/>
      <c r="JLO42" s="3281"/>
      <c r="JLP42" s="3281"/>
      <c r="JLQ42" s="3281"/>
      <c r="JLR42" s="3281"/>
      <c r="JLS42" s="3281"/>
      <c r="JLT42" s="3281"/>
      <c r="JLU42" s="3281"/>
      <c r="JLV42" s="3281"/>
      <c r="JLW42" s="3281"/>
      <c r="JLX42" s="3281"/>
      <c r="JLY42" s="3281"/>
      <c r="JLZ42" s="3281"/>
      <c r="JMA42" s="3281"/>
      <c r="JMB42" s="3281"/>
      <c r="JMC42" s="3281"/>
      <c r="JMD42" s="3281"/>
      <c r="JME42" s="3281"/>
      <c r="JMF42" s="3281"/>
      <c r="JMG42" s="3281"/>
      <c r="JMH42" s="3281"/>
      <c r="JMI42" s="3281"/>
      <c r="JMJ42" s="3281"/>
      <c r="JMK42" s="3281"/>
      <c r="JML42" s="3281"/>
      <c r="JMM42" s="3281"/>
      <c r="JMN42" s="3281"/>
      <c r="JMO42" s="3281"/>
      <c r="JMP42" s="3281"/>
      <c r="JMQ42" s="3281"/>
      <c r="JMR42" s="3281"/>
      <c r="JMS42" s="3281"/>
      <c r="JMT42" s="3281"/>
      <c r="JMU42" s="3281"/>
      <c r="JMV42" s="3281"/>
      <c r="JMW42" s="3281"/>
      <c r="JMX42" s="3281"/>
      <c r="JMY42" s="3281"/>
      <c r="JMZ42" s="3281"/>
      <c r="JNA42" s="3281"/>
      <c r="JNB42" s="3281"/>
      <c r="JNC42" s="3281"/>
      <c r="JND42" s="3281"/>
      <c r="JNE42" s="3281"/>
      <c r="JNF42" s="3281"/>
      <c r="JNG42" s="3281"/>
      <c r="JNH42" s="3281"/>
      <c r="JNI42" s="3281"/>
      <c r="JNJ42" s="3281"/>
      <c r="JNK42" s="3281"/>
      <c r="JNL42" s="3281"/>
      <c r="JNM42" s="3281"/>
      <c r="JNN42" s="3281"/>
      <c r="JNO42" s="3281"/>
      <c r="JNP42" s="3281"/>
      <c r="JNQ42" s="3281"/>
      <c r="JNR42" s="3281"/>
      <c r="JNS42" s="3281"/>
      <c r="JNT42" s="3281"/>
      <c r="JNU42" s="3281"/>
      <c r="JNV42" s="3281"/>
      <c r="JNW42" s="3281"/>
      <c r="JNX42" s="3281"/>
      <c r="JNY42" s="3281"/>
      <c r="JNZ42" s="3281"/>
      <c r="JOA42" s="3281"/>
      <c r="JOB42" s="3281"/>
      <c r="JOC42" s="3281"/>
      <c r="JOD42" s="3281"/>
      <c r="JOE42" s="3281"/>
      <c r="JOF42" s="3281"/>
      <c r="JOG42" s="3281"/>
      <c r="JOH42" s="3281"/>
      <c r="JOI42" s="3281"/>
      <c r="JOJ42" s="3281"/>
      <c r="JOK42" s="3281"/>
      <c r="JOL42" s="3281"/>
      <c r="JOM42" s="3281"/>
      <c r="JON42" s="3281"/>
      <c r="JOO42" s="3281"/>
      <c r="JOP42" s="3281"/>
      <c r="JOQ42" s="3281"/>
      <c r="JOR42" s="3281"/>
      <c r="JOS42" s="3281"/>
      <c r="JOT42" s="3281"/>
      <c r="JOU42" s="3281"/>
      <c r="JOV42" s="3281"/>
      <c r="JOW42" s="3281"/>
      <c r="JOX42" s="3281"/>
      <c r="JOY42" s="3281"/>
      <c r="JOZ42" s="3281"/>
      <c r="JPA42" s="3281"/>
      <c r="JPB42" s="3281"/>
      <c r="JPC42" s="3281"/>
      <c r="JPD42" s="3281"/>
      <c r="JPE42" s="3281"/>
      <c r="JPF42" s="3281"/>
      <c r="JPG42" s="3281"/>
      <c r="JPH42" s="3281"/>
      <c r="JPI42" s="3281"/>
      <c r="JPJ42" s="3281"/>
      <c r="JPK42" s="3281"/>
      <c r="JPL42" s="3281"/>
      <c r="JPM42" s="3281"/>
      <c r="JPN42" s="3281"/>
      <c r="JPO42" s="3281"/>
      <c r="JPP42" s="3281"/>
      <c r="JPQ42" s="3281"/>
      <c r="JPR42" s="3281"/>
      <c r="JPS42" s="3281"/>
      <c r="JPT42" s="3281"/>
      <c r="JPU42" s="3281"/>
      <c r="JPV42" s="3281"/>
      <c r="JPW42" s="3281"/>
      <c r="JPX42" s="3281"/>
      <c r="JPY42" s="3281"/>
      <c r="JPZ42" s="3281"/>
      <c r="JQA42" s="3281"/>
      <c r="JQB42" s="3281"/>
      <c r="JQC42" s="3281"/>
      <c r="JQD42" s="3281"/>
      <c r="JQE42" s="3281"/>
      <c r="JQF42" s="3281"/>
      <c r="JQG42" s="3281"/>
      <c r="JQH42" s="3281"/>
      <c r="JQI42" s="3281"/>
      <c r="JQJ42" s="3281"/>
      <c r="JQK42" s="3281"/>
      <c r="JQL42" s="3281"/>
      <c r="JQM42" s="3281"/>
      <c r="JQN42" s="3281"/>
      <c r="JQO42" s="3281"/>
      <c r="JQP42" s="3281"/>
      <c r="JQQ42" s="3281"/>
      <c r="JQR42" s="3281"/>
      <c r="JQS42" s="3281"/>
      <c r="JQT42" s="3281"/>
      <c r="JQU42" s="3281"/>
      <c r="JQV42" s="3281"/>
      <c r="JQW42" s="3281"/>
      <c r="JQX42" s="3281"/>
      <c r="JQY42" s="3281"/>
      <c r="JQZ42" s="3281"/>
      <c r="JRA42" s="3281"/>
      <c r="JRB42" s="3281"/>
      <c r="JRC42" s="3281"/>
      <c r="JRD42" s="3281"/>
      <c r="JRE42" s="3281"/>
      <c r="JRF42" s="3281"/>
      <c r="JRG42" s="3281"/>
      <c r="JRH42" s="3281"/>
      <c r="JRI42" s="3281"/>
      <c r="JRJ42" s="3281"/>
      <c r="JRK42" s="3281"/>
      <c r="JRL42" s="3281"/>
      <c r="JRM42" s="3281"/>
      <c r="JRN42" s="3281"/>
      <c r="JRO42" s="3281"/>
      <c r="JRP42" s="3281"/>
      <c r="JRQ42" s="3281"/>
      <c r="JRR42" s="3281"/>
      <c r="JRS42" s="3281"/>
      <c r="JRT42" s="3281"/>
      <c r="JRU42" s="3281"/>
      <c r="JRV42" s="3281"/>
      <c r="JRW42" s="3281"/>
      <c r="JRX42" s="3281"/>
      <c r="JRY42" s="3281"/>
      <c r="JRZ42" s="3281"/>
      <c r="JSA42" s="3281"/>
      <c r="JSB42" s="3281"/>
      <c r="JSC42" s="3281"/>
      <c r="JSD42" s="3281"/>
      <c r="JSE42" s="3281"/>
      <c r="JSF42" s="3281"/>
      <c r="JSG42" s="3281"/>
      <c r="JSH42" s="3281"/>
      <c r="JSI42" s="3281"/>
      <c r="JSJ42" s="3281"/>
      <c r="JSK42" s="3281"/>
      <c r="JSL42" s="3281"/>
      <c r="JSM42" s="3281"/>
      <c r="JSN42" s="3281"/>
      <c r="JSO42" s="3281"/>
      <c r="JSP42" s="3281"/>
      <c r="JSQ42" s="3281"/>
      <c r="JSR42" s="3281"/>
      <c r="JSS42" s="3281"/>
      <c r="JST42" s="3281"/>
      <c r="JSU42" s="3281"/>
      <c r="JSV42" s="3281"/>
      <c r="JSW42" s="3281"/>
      <c r="JSX42" s="3281"/>
      <c r="JSY42" s="3281"/>
      <c r="JSZ42" s="3281"/>
      <c r="JTA42" s="3281"/>
      <c r="JTB42" s="3281"/>
      <c r="JTC42" s="3281"/>
      <c r="JTD42" s="3281"/>
      <c r="JTE42" s="3281"/>
      <c r="JTF42" s="3281"/>
      <c r="JTG42" s="3281"/>
      <c r="JTH42" s="3281"/>
      <c r="JTI42" s="3281"/>
      <c r="JTJ42" s="3281"/>
      <c r="JTK42" s="3281"/>
      <c r="JTL42" s="3281"/>
      <c r="JTM42" s="3281"/>
      <c r="JTN42" s="3281"/>
      <c r="JTO42" s="3281"/>
      <c r="JTP42" s="3281"/>
      <c r="JTQ42" s="3281"/>
      <c r="JTR42" s="3281"/>
      <c r="JTS42" s="3281"/>
      <c r="JTT42" s="3281"/>
      <c r="JTU42" s="3281"/>
      <c r="JTV42" s="3281"/>
      <c r="JTW42" s="3281"/>
      <c r="JTX42" s="3281"/>
      <c r="JTY42" s="3281"/>
      <c r="JTZ42" s="3281"/>
      <c r="JUA42" s="3281"/>
      <c r="JUB42" s="3281"/>
      <c r="JUC42" s="3281"/>
      <c r="JUD42" s="3281"/>
      <c r="JUE42" s="3281"/>
      <c r="JUF42" s="3281"/>
      <c r="JUG42" s="3281"/>
      <c r="JUH42" s="3281"/>
      <c r="JUI42" s="3281"/>
      <c r="JUJ42" s="3281"/>
      <c r="JUK42" s="3281"/>
      <c r="JUL42" s="3281"/>
      <c r="JUM42" s="3281"/>
      <c r="JUN42" s="3281"/>
      <c r="JUO42" s="3281"/>
      <c r="JUP42" s="3281"/>
      <c r="JUQ42" s="3281"/>
      <c r="JUR42" s="3281"/>
      <c r="JUS42" s="3281"/>
      <c r="JUT42" s="3281"/>
      <c r="JUU42" s="3281"/>
      <c r="JUV42" s="3281"/>
      <c r="JUW42" s="3281"/>
      <c r="JUX42" s="3281"/>
      <c r="JUY42" s="3281"/>
      <c r="JUZ42" s="3281"/>
      <c r="JVA42" s="3281"/>
      <c r="JVB42" s="3281"/>
      <c r="JVC42" s="3281"/>
      <c r="JVD42" s="3281"/>
      <c r="JVE42" s="3281"/>
      <c r="JVF42" s="3281"/>
      <c r="JVG42" s="3281"/>
      <c r="JVH42" s="3281"/>
      <c r="JVI42" s="3281"/>
      <c r="JVJ42" s="3281"/>
      <c r="JVK42" s="3281"/>
      <c r="JVL42" s="3281"/>
      <c r="JVM42" s="3281"/>
      <c r="JVN42" s="3281"/>
      <c r="JVO42" s="3281"/>
      <c r="JVP42" s="3281"/>
      <c r="JVQ42" s="3281"/>
      <c r="JVR42" s="3281"/>
      <c r="JVS42" s="3281"/>
      <c r="JVT42" s="3281"/>
      <c r="JVU42" s="3281"/>
      <c r="JVV42" s="3281"/>
      <c r="JVW42" s="3281"/>
      <c r="JVX42" s="3281"/>
      <c r="JVY42" s="3281"/>
      <c r="JVZ42" s="3281"/>
      <c r="JWA42" s="3281"/>
      <c r="JWB42" s="3281"/>
      <c r="JWC42" s="3281"/>
      <c r="JWD42" s="3281"/>
      <c r="JWE42" s="3281"/>
      <c r="JWF42" s="3281"/>
      <c r="JWG42" s="3281"/>
      <c r="JWH42" s="3281"/>
      <c r="JWI42" s="3281"/>
      <c r="JWJ42" s="3281"/>
      <c r="JWK42" s="3281"/>
      <c r="JWL42" s="3281"/>
      <c r="JWM42" s="3281"/>
      <c r="JWN42" s="3281"/>
      <c r="JWO42" s="3281"/>
      <c r="JWP42" s="3281"/>
      <c r="JWQ42" s="3281"/>
      <c r="JWR42" s="3281"/>
      <c r="JWS42" s="3281"/>
      <c r="JWT42" s="3281"/>
      <c r="JWU42" s="3281"/>
      <c r="JWV42" s="3281"/>
      <c r="JWW42" s="3281"/>
      <c r="JWX42" s="3281"/>
      <c r="JWY42" s="3281"/>
      <c r="JWZ42" s="3281"/>
      <c r="JXA42" s="3281"/>
      <c r="JXB42" s="3281"/>
      <c r="JXC42" s="3281"/>
      <c r="JXD42" s="3281"/>
      <c r="JXE42" s="3281"/>
      <c r="JXF42" s="3281"/>
      <c r="JXG42" s="3281"/>
      <c r="JXH42" s="3281"/>
      <c r="JXI42" s="3281"/>
      <c r="JXJ42" s="3281"/>
      <c r="JXK42" s="3281"/>
      <c r="JXL42" s="3281"/>
      <c r="JXM42" s="3281"/>
      <c r="JXN42" s="3281"/>
      <c r="JXO42" s="3281"/>
      <c r="JXP42" s="3281"/>
      <c r="JXQ42" s="3281"/>
      <c r="JXR42" s="3281"/>
      <c r="JXS42" s="3281"/>
      <c r="JXT42" s="3281"/>
      <c r="JXU42" s="3281"/>
      <c r="JXV42" s="3281"/>
      <c r="JXW42" s="3281"/>
      <c r="JXX42" s="3281"/>
      <c r="JXY42" s="3281"/>
      <c r="JXZ42" s="3281"/>
      <c r="JYA42" s="3281"/>
      <c r="JYB42" s="3281"/>
      <c r="JYC42" s="3281"/>
      <c r="JYD42" s="3281"/>
      <c r="JYE42" s="3281"/>
      <c r="JYF42" s="3281"/>
      <c r="JYG42" s="3281"/>
      <c r="JYH42" s="3281"/>
      <c r="JYI42" s="3281"/>
      <c r="JYJ42" s="3281"/>
      <c r="JYK42" s="3281"/>
      <c r="JYL42" s="3281"/>
      <c r="JYM42" s="3281"/>
      <c r="JYN42" s="3281"/>
      <c r="JYO42" s="3281"/>
      <c r="JYP42" s="3281"/>
      <c r="JYQ42" s="3281"/>
      <c r="JYR42" s="3281"/>
      <c r="JYS42" s="3281"/>
      <c r="JYT42" s="3281"/>
      <c r="JYU42" s="3281"/>
      <c r="JYV42" s="3281"/>
      <c r="JYW42" s="3281"/>
      <c r="JYX42" s="3281"/>
      <c r="JYY42" s="3281"/>
      <c r="JYZ42" s="3281"/>
      <c r="JZA42" s="3281"/>
      <c r="JZB42" s="3281"/>
      <c r="JZC42" s="3281"/>
      <c r="JZD42" s="3281"/>
      <c r="JZE42" s="3281"/>
      <c r="JZF42" s="3281"/>
      <c r="JZG42" s="3281"/>
      <c r="JZH42" s="3281"/>
      <c r="JZI42" s="3281"/>
      <c r="JZJ42" s="3281"/>
      <c r="JZK42" s="3281"/>
      <c r="JZL42" s="3281"/>
      <c r="JZM42" s="3281"/>
      <c r="JZN42" s="3281"/>
      <c r="JZO42" s="3281"/>
      <c r="JZP42" s="3281"/>
      <c r="JZQ42" s="3281"/>
      <c r="JZR42" s="3281"/>
      <c r="JZS42" s="3281"/>
      <c r="JZT42" s="3281"/>
      <c r="JZU42" s="3281"/>
      <c r="JZV42" s="3281"/>
      <c r="JZW42" s="3281"/>
      <c r="JZX42" s="3281"/>
      <c r="JZY42" s="3281"/>
      <c r="JZZ42" s="3281"/>
      <c r="KAA42" s="3281"/>
      <c r="KAB42" s="3281"/>
      <c r="KAC42" s="3281"/>
      <c r="KAD42" s="3281"/>
      <c r="KAE42" s="3281"/>
      <c r="KAF42" s="3281"/>
      <c r="KAG42" s="3281"/>
      <c r="KAH42" s="3281"/>
      <c r="KAI42" s="3281"/>
      <c r="KAJ42" s="3281"/>
      <c r="KAK42" s="3281"/>
      <c r="KAL42" s="3281"/>
      <c r="KAM42" s="3281"/>
      <c r="KAN42" s="3281"/>
      <c r="KAO42" s="3281"/>
      <c r="KAP42" s="3281"/>
      <c r="KAQ42" s="3281"/>
      <c r="KAR42" s="3281"/>
      <c r="KAS42" s="3281"/>
      <c r="KAT42" s="3281"/>
      <c r="KAU42" s="3281"/>
      <c r="KAV42" s="3281"/>
      <c r="KAW42" s="3281"/>
      <c r="KAX42" s="3281"/>
      <c r="KAY42" s="3281"/>
      <c r="KAZ42" s="3281"/>
      <c r="KBA42" s="3281"/>
      <c r="KBB42" s="3281"/>
      <c r="KBC42" s="3281"/>
      <c r="KBD42" s="3281"/>
      <c r="KBE42" s="3281"/>
      <c r="KBF42" s="3281"/>
      <c r="KBG42" s="3281"/>
      <c r="KBH42" s="3281"/>
      <c r="KBI42" s="3281"/>
      <c r="KBJ42" s="3281"/>
      <c r="KBK42" s="3281"/>
      <c r="KBL42" s="3281"/>
      <c r="KBM42" s="3281"/>
      <c r="KBN42" s="3281"/>
      <c r="KBO42" s="3281"/>
      <c r="KBP42" s="3281"/>
      <c r="KBQ42" s="3281"/>
      <c r="KBR42" s="3281"/>
      <c r="KBS42" s="3281"/>
      <c r="KBT42" s="3281"/>
      <c r="KBU42" s="3281"/>
      <c r="KBV42" s="3281"/>
      <c r="KBW42" s="3281"/>
      <c r="KBX42" s="3281"/>
      <c r="KBY42" s="3281"/>
      <c r="KBZ42" s="3281"/>
      <c r="KCA42" s="3281"/>
      <c r="KCB42" s="3281"/>
      <c r="KCC42" s="3281"/>
      <c r="KCD42" s="3281"/>
      <c r="KCE42" s="3281"/>
      <c r="KCF42" s="3281"/>
      <c r="KCG42" s="3281"/>
      <c r="KCH42" s="3281"/>
      <c r="KCI42" s="3281"/>
      <c r="KCJ42" s="3281"/>
      <c r="KCK42" s="3281"/>
      <c r="KCL42" s="3281"/>
      <c r="KCM42" s="3281"/>
      <c r="KCN42" s="3281"/>
      <c r="KCO42" s="3281"/>
      <c r="KCP42" s="3281"/>
      <c r="KCQ42" s="3281"/>
      <c r="KCR42" s="3281"/>
      <c r="KCS42" s="3281"/>
      <c r="KCT42" s="3281"/>
      <c r="KCU42" s="3281"/>
      <c r="KCV42" s="3281"/>
      <c r="KCW42" s="3281"/>
      <c r="KCX42" s="3281"/>
      <c r="KCY42" s="3281"/>
      <c r="KCZ42" s="3281"/>
      <c r="KDA42" s="3281"/>
      <c r="KDB42" s="3281"/>
      <c r="KDC42" s="3281"/>
      <c r="KDD42" s="3281"/>
      <c r="KDE42" s="3281"/>
      <c r="KDF42" s="3281"/>
      <c r="KDG42" s="3281"/>
      <c r="KDH42" s="3281"/>
      <c r="KDI42" s="3281"/>
      <c r="KDJ42" s="3281"/>
      <c r="KDK42" s="3281"/>
      <c r="KDL42" s="3281"/>
      <c r="KDM42" s="3281"/>
      <c r="KDN42" s="3281"/>
      <c r="KDO42" s="3281"/>
      <c r="KDP42" s="3281"/>
      <c r="KDQ42" s="3281"/>
      <c r="KDR42" s="3281"/>
      <c r="KDS42" s="3281"/>
      <c r="KDT42" s="3281"/>
      <c r="KDU42" s="3281"/>
      <c r="KDV42" s="3281"/>
      <c r="KDW42" s="3281"/>
      <c r="KDX42" s="3281"/>
      <c r="KDY42" s="3281"/>
      <c r="KDZ42" s="3281"/>
      <c r="KEA42" s="3281"/>
      <c r="KEB42" s="3281"/>
      <c r="KEC42" s="3281"/>
      <c r="KED42" s="3281"/>
      <c r="KEE42" s="3281"/>
      <c r="KEF42" s="3281"/>
      <c r="KEG42" s="3281"/>
      <c r="KEH42" s="3281"/>
      <c r="KEI42" s="3281"/>
      <c r="KEJ42" s="3281"/>
      <c r="KEK42" s="3281"/>
      <c r="KEL42" s="3281"/>
      <c r="KEM42" s="3281"/>
      <c r="KEN42" s="3281"/>
      <c r="KEO42" s="3281"/>
      <c r="KEP42" s="3281"/>
      <c r="KEQ42" s="3281"/>
      <c r="KER42" s="3281"/>
      <c r="KES42" s="3281"/>
      <c r="KET42" s="3281"/>
      <c r="KEU42" s="3281"/>
      <c r="KEV42" s="3281"/>
      <c r="KEW42" s="3281"/>
      <c r="KEX42" s="3281"/>
      <c r="KEY42" s="3281"/>
      <c r="KEZ42" s="3281"/>
      <c r="KFA42" s="3281"/>
      <c r="KFB42" s="3281"/>
      <c r="KFC42" s="3281"/>
      <c r="KFD42" s="3281"/>
      <c r="KFE42" s="3281"/>
      <c r="KFF42" s="3281"/>
      <c r="KFG42" s="3281"/>
      <c r="KFH42" s="3281"/>
      <c r="KFI42" s="3281"/>
      <c r="KFJ42" s="3281"/>
      <c r="KFK42" s="3281"/>
      <c r="KFL42" s="3281"/>
      <c r="KFM42" s="3281"/>
      <c r="KFN42" s="3281"/>
      <c r="KFO42" s="3281"/>
      <c r="KFP42" s="3281"/>
      <c r="KFQ42" s="3281"/>
      <c r="KFR42" s="3281"/>
      <c r="KFS42" s="3281"/>
      <c r="KFT42" s="3281"/>
      <c r="KFU42" s="3281"/>
      <c r="KFV42" s="3281"/>
      <c r="KFW42" s="3281"/>
      <c r="KFX42" s="3281"/>
      <c r="KFY42" s="3281"/>
      <c r="KFZ42" s="3281"/>
      <c r="KGA42" s="3281"/>
      <c r="KGB42" s="3281"/>
      <c r="KGC42" s="3281"/>
      <c r="KGD42" s="3281"/>
      <c r="KGE42" s="3281"/>
      <c r="KGF42" s="3281"/>
      <c r="KGG42" s="3281"/>
      <c r="KGH42" s="3281"/>
      <c r="KGI42" s="3281"/>
      <c r="KGJ42" s="3281"/>
      <c r="KGK42" s="3281"/>
      <c r="KGL42" s="3281"/>
      <c r="KGM42" s="3281"/>
      <c r="KGN42" s="3281"/>
      <c r="KGO42" s="3281"/>
      <c r="KGP42" s="3281"/>
      <c r="KGQ42" s="3281"/>
      <c r="KGR42" s="3281"/>
      <c r="KGS42" s="3281"/>
      <c r="KGT42" s="3281"/>
      <c r="KGU42" s="3281"/>
      <c r="KGV42" s="3281"/>
      <c r="KGW42" s="3281"/>
      <c r="KGX42" s="3281"/>
      <c r="KGY42" s="3281"/>
      <c r="KGZ42" s="3281"/>
      <c r="KHA42" s="3281"/>
      <c r="KHB42" s="3281"/>
      <c r="KHC42" s="3281"/>
      <c r="KHD42" s="3281"/>
      <c r="KHE42" s="3281"/>
      <c r="KHF42" s="3281"/>
      <c r="KHG42" s="3281"/>
      <c r="KHH42" s="3281"/>
      <c r="KHI42" s="3281"/>
      <c r="KHJ42" s="3281"/>
      <c r="KHK42" s="3281"/>
      <c r="KHL42" s="3281"/>
      <c r="KHM42" s="3281"/>
      <c r="KHN42" s="3281"/>
      <c r="KHO42" s="3281"/>
      <c r="KHP42" s="3281"/>
      <c r="KHQ42" s="3281"/>
      <c r="KHR42" s="3281"/>
      <c r="KHS42" s="3281"/>
      <c r="KHT42" s="3281"/>
      <c r="KHU42" s="3281"/>
      <c r="KHV42" s="3281"/>
      <c r="KHW42" s="3281"/>
      <c r="KHX42" s="3281"/>
      <c r="KHY42" s="3281"/>
      <c r="KHZ42" s="3281"/>
      <c r="KIA42" s="3281"/>
      <c r="KIB42" s="3281"/>
      <c r="KIC42" s="3281"/>
      <c r="KID42" s="3281"/>
      <c r="KIE42" s="3281"/>
      <c r="KIF42" s="3281"/>
      <c r="KIG42" s="3281"/>
      <c r="KIH42" s="3281"/>
      <c r="KII42" s="3281"/>
      <c r="KIJ42" s="3281"/>
      <c r="KIK42" s="3281"/>
      <c r="KIL42" s="3281"/>
      <c r="KIM42" s="3281"/>
      <c r="KIN42" s="3281"/>
      <c r="KIO42" s="3281"/>
      <c r="KIP42" s="3281"/>
      <c r="KIQ42" s="3281"/>
      <c r="KIR42" s="3281"/>
      <c r="KIS42" s="3281"/>
      <c r="KIT42" s="3281"/>
      <c r="KIU42" s="3281"/>
      <c r="KIV42" s="3281"/>
      <c r="KIW42" s="3281"/>
      <c r="KIX42" s="3281"/>
      <c r="KIY42" s="3281"/>
      <c r="KIZ42" s="3281"/>
      <c r="KJA42" s="3281"/>
      <c r="KJB42" s="3281"/>
      <c r="KJC42" s="3281"/>
      <c r="KJD42" s="3281"/>
      <c r="KJE42" s="3281"/>
      <c r="KJF42" s="3281"/>
      <c r="KJG42" s="3281"/>
      <c r="KJH42" s="3281"/>
      <c r="KJI42" s="3281"/>
      <c r="KJJ42" s="3281"/>
      <c r="KJK42" s="3281"/>
      <c r="KJL42" s="3281"/>
      <c r="KJM42" s="3281"/>
      <c r="KJN42" s="3281"/>
      <c r="KJO42" s="3281"/>
      <c r="KJP42" s="3281"/>
      <c r="KJQ42" s="3281"/>
      <c r="KJR42" s="3281"/>
      <c r="KJS42" s="3281"/>
      <c r="KJT42" s="3281"/>
      <c r="KJU42" s="3281"/>
      <c r="KJV42" s="3281"/>
      <c r="KJW42" s="3281"/>
      <c r="KJX42" s="3281"/>
      <c r="KJY42" s="3281"/>
      <c r="KJZ42" s="3281"/>
      <c r="KKA42" s="3281"/>
      <c r="KKB42" s="3281"/>
      <c r="KKC42" s="3281"/>
      <c r="KKD42" s="3281"/>
      <c r="KKE42" s="3281"/>
      <c r="KKF42" s="3281"/>
      <c r="KKG42" s="3281"/>
      <c r="KKH42" s="3281"/>
      <c r="KKI42" s="3281"/>
      <c r="KKJ42" s="3281"/>
      <c r="KKK42" s="3281"/>
      <c r="KKL42" s="3281"/>
      <c r="KKM42" s="3281"/>
      <c r="KKN42" s="3281"/>
      <c r="KKO42" s="3281"/>
      <c r="KKP42" s="3281"/>
      <c r="KKQ42" s="3281"/>
      <c r="KKR42" s="3281"/>
      <c r="KKS42" s="3281"/>
      <c r="KKT42" s="3281"/>
      <c r="KKU42" s="3281"/>
      <c r="KKV42" s="3281"/>
      <c r="KKW42" s="3281"/>
      <c r="KKX42" s="3281"/>
      <c r="KKY42" s="3281"/>
      <c r="KKZ42" s="3281"/>
      <c r="KLA42" s="3281"/>
      <c r="KLB42" s="3281"/>
      <c r="KLC42" s="3281"/>
      <c r="KLD42" s="3281"/>
      <c r="KLE42" s="3281"/>
      <c r="KLF42" s="3281"/>
      <c r="KLG42" s="3281"/>
      <c r="KLH42" s="3281"/>
      <c r="KLI42" s="3281"/>
      <c r="KLJ42" s="3281"/>
      <c r="KLK42" s="3281"/>
      <c r="KLL42" s="3281"/>
      <c r="KLM42" s="3281"/>
      <c r="KLN42" s="3281"/>
      <c r="KLO42" s="3281"/>
      <c r="KLP42" s="3281"/>
      <c r="KLQ42" s="3281"/>
      <c r="KLR42" s="3281"/>
      <c r="KLS42" s="3281"/>
      <c r="KLT42" s="3281"/>
      <c r="KLU42" s="3281"/>
      <c r="KLV42" s="3281"/>
      <c r="KLW42" s="3281"/>
      <c r="KLX42" s="3281"/>
      <c r="KLY42" s="3281"/>
      <c r="KLZ42" s="3281"/>
      <c r="KMA42" s="3281"/>
      <c r="KMB42" s="3281"/>
      <c r="KMC42" s="3281"/>
      <c r="KMD42" s="3281"/>
      <c r="KME42" s="3281"/>
      <c r="KMF42" s="3281"/>
      <c r="KMG42" s="3281"/>
      <c r="KMH42" s="3281"/>
      <c r="KMI42" s="3281"/>
      <c r="KMJ42" s="3281"/>
      <c r="KMK42" s="3281"/>
      <c r="KML42" s="3281"/>
      <c r="KMM42" s="3281"/>
      <c r="KMN42" s="3281"/>
      <c r="KMO42" s="3281"/>
      <c r="KMP42" s="3281"/>
      <c r="KMQ42" s="3281"/>
      <c r="KMR42" s="3281"/>
      <c r="KMS42" s="3281"/>
      <c r="KMT42" s="3281"/>
      <c r="KMU42" s="3281"/>
      <c r="KMV42" s="3281"/>
      <c r="KMW42" s="3281"/>
      <c r="KMX42" s="3281"/>
      <c r="KMY42" s="3281"/>
      <c r="KMZ42" s="3281"/>
      <c r="KNA42" s="3281"/>
      <c r="KNB42" s="3281"/>
      <c r="KNC42" s="3281"/>
      <c r="KND42" s="3281"/>
      <c r="KNE42" s="3281"/>
      <c r="KNF42" s="3281"/>
      <c r="KNG42" s="3281"/>
      <c r="KNH42" s="3281"/>
      <c r="KNI42" s="3281"/>
      <c r="KNJ42" s="3281"/>
      <c r="KNK42" s="3281"/>
      <c r="KNL42" s="3281"/>
      <c r="KNM42" s="3281"/>
      <c r="KNN42" s="3281"/>
      <c r="KNO42" s="3281"/>
      <c r="KNP42" s="3281"/>
      <c r="KNQ42" s="3281"/>
      <c r="KNR42" s="3281"/>
      <c r="KNS42" s="3281"/>
      <c r="KNT42" s="3281"/>
      <c r="KNU42" s="3281"/>
      <c r="KNV42" s="3281"/>
      <c r="KNW42" s="3281"/>
      <c r="KNX42" s="3281"/>
      <c r="KNY42" s="3281"/>
      <c r="KNZ42" s="3281"/>
      <c r="KOA42" s="3281"/>
      <c r="KOB42" s="3281"/>
      <c r="KOC42" s="3281"/>
      <c r="KOD42" s="3281"/>
      <c r="KOE42" s="3281"/>
      <c r="KOF42" s="3281"/>
      <c r="KOG42" s="3281"/>
      <c r="KOH42" s="3281"/>
      <c r="KOI42" s="3281"/>
      <c r="KOJ42" s="3281"/>
      <c r="KOK42" s="3281"/>
      <c r="KOL42" s="3281"/>
      <c r="KOM42" s="3281"/>
      <c r="KON42" s="3281"/>
      <c r="KOO42" s="3281"/>
      <c r="KOP42" s="3281"/>
      <c r="KOQ42" s="3281"/>
      <c r="KOR42" s="3281"/>
      <c r="KOS42" s="3281"/>
      <c r="KOT42" s="3281"/>
      <c r="KOU42" s="3281"/>
      <c r="KOV42" s="3281"/>
      <c r="KOW42" s="3281"/>
      <c r="KOX42" s="3281"/>
      <c r="KOY42" s="3281"/>
      <c r="KOZ42" s="3281"/>
      <c r="KPA42" s="3281"/>
      <c r="KPB42" s="3281"/>
      <c r="KPC42" s="3281"/>
      <c r="KPD42" s="3281"/>
      <c r="KPE42" s="3281"/>
      <c r="KPF42" s="3281"/>
      <c r="KPG42" s="3281"/>
      <c r="KPH42" s="3281"/>
      <c r="KPI42" s="3281"/>
      <c r="KPJ42" s="3281"/>
      <c r="KPK42" s="3281"/>
      <c r="KPL42" s="3281"/>
      <c r="KPM42" s="3281"/>
      <c r="KPN42" s="3281"/>
      <c r="KPO42" s="3281"/>
      <c r="KPP42" s="3281"/>
      <c r="KPQ42" s="3281"/>
      <c r="KPR42" s="3281"/>
      <c r="KPS42" s="3281"/>
      <c r="KPT42" s="3281"/>
      <c r="KPU42" s="3281"/>
      <c r="KPV42" s="3281"/>
      <c r="KPW42" s="3281"/>
      <c r="KPX42" s="3281"/>
      <c r="KPY42" s="3281"/>
      <c r="KPZ42" s="3281"/>
      <c r="KQA42" s="3281"/>
      <c r="KQB42" s="3281"/>
      <c r="KQC42" s="3281"/>
      <c r="KQD42" s="3281"/>
      <c r="KQE42" s="3281"/>
      <c r="KQF42" s="3281"/>
      <c r="KQG42" s="3281"/>
      <c r="KQH42" s="3281"/>
      <c r="KQI42" s="3281"/>
      <c r="KQJ42" s="3281"/>
      <c r="KQK42" s="3281"/>
      <c r="KQL42" s="3281"/>
      <c r="KQM42" s="3281"/>
      <c r="KQN42" s="3281"/>
      <c r="KQO42" s="3281"/>
      <c r="KQP42" s="3281"/>
      <c r="KQQ42" s="3281"/>
      <c r="KQR42" s="3281"/>
      <c r="KQS42" s="3281"/>
      <c r="KQT42" s="3281"/>
      <c r="KQU42" s="3281"/>
      <c r="KQV42" s="3281"/>
      <c r="KQW42" s="3281"/>
      <c r="KQX42" s="3281"/>
      <c r="KQY42" s="3281"/>
      <c r="KQZ42" s="3281"/>
      <c r="KRA42" s="3281"/>
      <c r="KRB42" s="3281"/>
      <c r="KRC42" s="3281"/>
      <c r="KRD42" s="3281"/>
      <c r="KRE42" s="3281"/>
      <c r="KRF42" s="3281"/>
      <c r="KRG42" s="3281"/>
      <c r="KRH42" s="3281"/>
      <c r="KRI42" s="3281"/>
      <c r="KRJ42" s="3281"/>
      <c r="KRK42" s="3281"/>
      <c r="KRL42" s="3281"/>
      <c r="KRM42" s="3281"/>
      <c r="KRN42" s="3281"/>
      <c r="KRO42" s="3281"/>
      <c r="KRP42" s="3281"/>
      <c r="KRQ42" s="3281"/>
      <c r="KRR42" s="3281"/>
      <c r="KRS42" s="3281"/>
      <c r="KRT42" s="3281"/>
      <c r="KRU42" s="3281"/>
      <c r="KRV42" s="3281"/>
      <c r="KRW42" s="3281"/>
      <c r="KRX42" s="3281"/>
      <c r="KRY42" s="3281"/>
      <c r="KRZ42" s="3281"/>
      <c r="KSA42" s="3281"/>
      <c r="KSB42" s="3281"/>
      <c r="KSC42" s="3281"/>
      <c r="KSD42" s="3281"/>
      <c r="KSE42" s="3281"/>
      <c r="KSF42" s="3281"/>
      <c r="KSG42" s="3281"/>
      <c r="KSH42" s="3281"/>
      <c r="KSI42" s="3281"/>
      <c r="KSJ42" s="3281"/>
      <c r="KSK42" s="3281"/>
      <c r="KSL42" s="3281"/>
      <c r="KSM42" s="3281"/>
      <c r="KSN42" s="3281"/>
      <c r="KSO42" s="3281"/>
      <c r="KSP42" s="3281"/>
      <c r="KSQ42" s="3281"/>
      <c r="KSR42" s="3281"/>
      <c r="KSS42" s="3281"/>
      <c r="KST42" s="3281"/>
      <c r="KSU42" s="3281"/>
      <c r="KSV42" s="3281"/>
      <c r="KSW42" s="3281"/>
      <c r="KSX42" s="3281"/>
      <c r="KSY42" s="3281"/>
      <c r="KSZ42" s="3281"/>
      <c r="KTA42" s="3281"/>
      <c r="KTB42" s="3281"/>
      <c r="KTC42" s="3281"/>
      <c r="KTD42" s="3281"/>
      <c r="KTE42" s="3281"/>
      <c r="KTF42" s="3281"/>
      <c r="KTG42" s="3281"/>
      <c r="KTH42" s="3281"/>
      <c r="KTI42" s="3281"/>
      <c r="KTJ42" s="3281"/>
      <c r="KTK42" s="3281"/>
      <c r="KTL42" s="3281"/>
      <c r="KTM42" s="3281"/>
      <c r="KTN42" s="3281"/>
      <c r="KTO42" s="3281"/>
      <c r="KTP42" s="3281"/>
      <c r="KTQ42" s="3281"/>
      <c r="KTR42" s="3281"/>
      <c r="KTS42" s="3281"/>
      <c r="KTT42" s="3281"/>
      <c r="KTU42" s="3281"/>
      <c r="KTV42" s="3281"/>
      <c r="KTW42" s="3281"/>
      <c r="KTX42" s="3281"/>
      <c r="KTY42" s="3281"/>
      <c r="KTZ42" s="3281"/>
      <c r="KUA42" s="3281"/>
      <c r="KUB42" s="3281"/>
      <c r="KUC42" s="3281"/>
      <c r="KUD42" s="3281"/>
      <c r="KUE42" s="3281"/>
      <c r="KUF42" s="3281"/>
      <c r="KUG42" s="3281"/>
      <c r="KUH42" s="3281"/>
      <c r="KUI42" s="3281"/>
      <c r="KUJ42" s="3281"/>
      <c r="KUK42" s="3281"/>
      <c r="KUL42" s="3281"/>
      <c r="KUM42" s="3281"/>
      <c r="KUN42" s="3281"/>
      <c r="KUO42" s="3281"/>
      <c r="KUP42" s="3281"/>
      <c r="KUQ42" s="3281"/>
      <c r="KUR42" s="3281"/>
      <c r="KUS42" s="3281"/>
      <c r="KUT42" s="3281"/>
      <c r="KUU42" s="3281"/>
      <c r="KUV42" s="3281"/>
      <c r="KUW42" s="3281"/>
      <c r="KUX42" s="3281"/>
      <c r="KUY42" s="3281"/>
      <c r="KUZ42" s="3281"/>
      <c r="KVA42" s="3281"/>
      <c r="KVB42" s="3281"/>
      <c r="KVC42" s="3281"/>
      <c r="KVD42" s="3281"/>
      <c r="KVE42" s="3281"/>
      <c r="KVF42" s="3281"/>
      <c r="KVG42" s="3281"/>
      <c r="KVH42" s="3281"/>
      <c r="KVI42" s="3281"/>
      <c r="KVJ42" s="3281"/>
      <c r="KVK42" s="3281"/>
      <c r="KVL42" s="3281"/>
      <c r="KVM42" s="3281"/>
      <c r="KVN42" s="3281"/>
      <c r="KVO42" s="3281"/>
      <c r="KVP42" s="3281"/>
      <c r="KVQ42" s="3281"/>
      <c r="KVR42" s="3281"/>
      <c r="KVS42" s="3281"/>
      <c r="KVT42" s="3281"/>
      <c r="KVU42" s="3281"/>
      <c r="KVV42" s="3281"/>
      <c r="KVW42" s="3281"/>
      <c r="KVX42" s="3281"/>
      <c r="KVY42" s="3281"/>
      <c r="KVZ42" s="3281"/>
      <c r="KWA42" s="3281"/>
      <c r="KWB42" s="3281"/>
      <c r="KWC42" s="3281"/>
      <c r="KWD42" s="3281"/>
      <c r="KWE42" s="3281"/>
      <c r="KWF42" s="3281"/>
      <c r="KWG42" s="3281"/>
      <c r="KWH42" s="3281"/>
      <c r="KWI42" s="3281"/>
      <c r="KWJ42" s="3281"/>
      <c r="KWK42" s="3281"/>
      <c r="KWL42" s="3281"/>
      <c r="KWM42" s="3281"/>
      <c r="KWN42" s="3281"/>
      <c r="KWO42" s="3281"/>
      <c r="KWP42" s="3281"/>
      <c r="KWQ42" s="3281"/>
      <c r="KWR42" s="3281"/>
      <c r="KWS42" s="3281"/>
      <c r="KWT42" s="3281"/>
      <c r="KWU42" s="3281"/>
      <c r="KWV42" s="3281"/>
      <c r="KWW42" s="3281"/>
      <c r="KWX42" s="3281"/>
      <c r="KWY42" s="3281"/>
      <c r="KWZ42" s="3281"/>
      <c r="KXA42" s="3281"/>
      <c r="KXB42" s="3281"/>
      <c r="KXC42" s="3281"/>
      <c r="KXD42" s="3281"/>
      <c r="KXE42" s="3281"/>
      <c r="KXF42" s="3281"/>
      <c r="KXG42" s="3281"/>
      <c r="KXH42" s="3281"/>
      <c r="KXI42" s="3281"/>
      <c r="KXJ42" s="3281"/>
      <c r="KXK42" s="3281"/>
      <c r="KXL42" s="3281"/>
      <c r="KXM42" s="3281"/>
      <c r="KXN42" s="3281"/>
      <c r="KXO42" s="3281"/>
      <c r="KXP42" s="3281"/>
      <c r="KXQ42" s="3281"/>
      <c r="KXR42" s="3281"/>
      <c r="KXS42" s="3281"/>
      <c r="KXT42" s="3281"/>
      <c r="KXU42" s="3281"/>
      <c r="KXV42" s="3281"/>
      <c r="KXW42" s="3281"/>
      <c r="KXX42" s="3281"/>
      <c r="KXY42" s="3281"/>
      <c r="KXZ42" s="3281"/>
      <c r="KYA42" s="3281"/>
      <c r="KYB42" s="3281"/>
      <c r="KYC42" s="3281"/>
      <c r="KYD42" s="3281"/>
      <c r="KYE42" s="3281"/>
      <c r="KYF42" s="3281"/>
      <c r="KYG42" s="3281"/>
      <c r="KYH42" s="3281"/>
      <c r="KYI42" s="3281"/>
      <c r="KYJ42" s="3281"/>
      <c r="KYK42" s="3281"/>
      <c r="KYL42" s="3281"/>
      <c r="KYM42" s="3281"/>
      <c r="KYN42" s="3281"/>
      <c r="KYO42" s="3281"/>
      <c r="KYP42" s="3281"/>
      <c r="KYQ42" s="3281"/>
      <c r="KYR42" s="3281"/>
      <c r="KYS42" s="3281"/>
      <c r="KYT42" s="3281"/>
      <c r="KYU42" s="3281"/>
      <c r="KYV42" s="3281"/>
      <c r="KYW42" s="3281"/>
      <c r="KYX42" s="3281"/>
      <c r="KYY42" s="3281"/>
      <c r="KYZ42" s="3281"/>
      <c r="KZA42" s="3281"/>
      <c r="KZB42" s="3281"/>
      <c r="KZC42" s="3281"/>
      <c r="KZD42" s="3281"/>
      <c r="KZE42" s="3281"/>
      <c r="KZF42" s="3281"/>
      <c r="KZG42" s="3281"/>
      <c r="KZH42" s="3281"/>
      <c r="KZI42" s="3281"/>
      <c r="KZJ42" s="3281"/>
      <c r="KZK42" s="3281"/>
      <c r="KZL42" s="3281"/>
      <c r="KZM42" s="3281"/>
      <c r="KZN42" s="3281"/>
      <c r="KZO42" s="3281"/>
      <c r="KZP42" s="3281"/>
      <c r="KZQ42" s="3281"/>
      <c r="KZR42" s="3281"/>
      <c r="KZS42" s="3281"/>
      <c r="KZT42" s="3281"/>
      <c r="KZU42" s="3281"/>
      <c r="KZV42" s="3281"/>
      <c r="KZW42" s="3281"/>
      <c r="KZX42" s="3281"/>
      <c r="KZY42" s="3281"/>
      <c r="KZZ42" s="3281"/>
      <c r="LAA42" s="3281"/>
      <c r="LAB42" s="3281"/>
      <c r="LAC42" s="3281"/>
      <c r="LAD42" s="3281"/>
      <c r="LAE42" s="3281"/>
      <c r="LAF42" s="3281"/>
      <c r="LAG42" s="3281"/>
      <c r="LAH42" s="3281"/>
      <c r="LAI42" s="3281"/>
      <c r="LAJ42" s="3281"/>
      <c r="LAK42" s="3281"/>
      <c r="LAL42" s="3281"/>
      <c r="LAM42" s="3281"/>
      <c r="LAN42" s="3281"/>
      <c r="LAO42" s="3281"/>
      <c r="LAP42" s="3281"/>
      <c r="LAQ42" s="3281"/>
      <c r="LAR42" s="3281"/>
      <c r="LAS42" s="3281"/>
      <c r="LAT42" s="3281"/>
      <c r="LAU42" s="3281"/>
      <c r="LAV42" s="3281"/>
      <c r="LAW42" s="3281"/>
      <c r="LAX42" s="3281"/>
      <c r="LAY42" s="3281"/>
      <c r="LAZ42" s="3281"/>
      <c r="LBA42" s="3281"/>
      <c r="LBB42" s="3281"/>
      <c r="LBC42" s="3281"/>
      <c r="LBD42" s="3281"/>
      <c r="LBE42" s="3281"/>
      <c r="LBF42" s="3281"/>
      <c r="LBG42" s="3281"/>
      <c r="LBH42" s="3281"/>
      <c r="LBI42" s="3281"/>
      <c r="LBJ42" s="3281"/>
      <c r="LBK42" s="3281"/>
      <c r="LBL42" s="3281"/>
      <c r="LBM42" s="3281"/>
      <c r="LBN42" s="3281"/>
      <c r="LBO42" s="3281"/>
      <c r="LBP42" s="3281"/>
      <c r="LBQ42" s="3281"/>
      <c r="LBR42" s="3281"/>
      <c r="LBS42" s="3281"/>
      <c r="LBT42" s="3281"/>
      <c r="LBU42" s="3281"/>
      <c r="LBV42" s="3281"/>
      <c r="LBW42" s="3281"/>
      <c r="LBX42" s="3281"/>
      <c r="LBY42" s="3281"/>
      <c r="LBZ42" s="3281"/>
      <c r="LCA42" s="3281"/>
      <c r="LCB42" s="3281"/>
      <c r="LCC42" s="3281"/>
      <c r="LCD42" s="3281"/>
      <c r="LCE42" s="3281"/>
      <c r="LCF42" s="3281"/>
      <c r="LCG42" s="3281"/>
      <c r="LCH42" s="3281"/>
      <c r="LCI42" s="3281"/>
      <c r="LCJ42" s="3281"/>
      <c r="LCK42" s="3281"/>
      <c r="LCL42" s="3281"/>
      <c r="LCM42" s="3281"/>
      <c r="LCN42" s="3281"/>
      <c r="LCO42" s="3281"/>
      <c r="LCP42" s="3281"/>
      <c r="LCQ42" s="3281"/>
      <c r="LCR42" s="3281"/>
      <c r="LCS42" s="3281"/>
      <c r="LCT42" s="3281"/>
      <c r="LCU42" s="3281"/>
      <c r="LCV42" s="3281"/>
      <c r="LCW42" s="3281"/>
      <c r="LCX42" s="3281"/>
      <c r="LCY42" s="3281"/>
      <c r="LCZ42" s="3281"/>
      <c r="LDA42" s="3281"/>
      <c r="LDB42" s="3281"/>
      <c r="LDC42" s="3281"/>
      <c r="LDD42" s="3281"/>
      <c r="LDE42" s="3281"/>
      <c r="LDF42" s="3281"/>
      <c r="LDG42" s="3281"/>
      <c r="LDH42" s="3281"/>
      <c r="LDI42" s="3281"/>
      <c r="LDJ42" s="3281"/>
      <c r="LDK42" s="3281"/>
      <c r="LDL42" s="3281"/>
      <c r="LDM42" s="3281"/>
      <c r="LDN42" s="3281"/>
      <c r="LDO42" s="3281"/>
      <c r="LDP42" s="3281"/>
      <c r="LDQ42" s="3281"/>
      <c r="LDR42" s="3281"/>
      <c r="LDS42" s="3281"/>
      <c r="LDT42" s="3281"/>
      <c r="LDU42" s="3281"/>
      <c r="LDV42" s="3281"/>
      <c r="LDW42" s="3281"/>
      <c r="LDX42" s="3281"/>
      <c r="LDY42" s="3281"/>
      <c r="LDZ42" s="3281"/>
      <c r="LEA42" s="3281"/>
      <c r="LEB42" s="3281"/>
      <c r="LEC42" s="3281"/>
      <c r="LED42" s="3281"/>
      <c r="LEE42" s="3281"/>
      <c r="LEF42" s="3281"/>
      <c r="LEG42" s="3281"/>
      <c r="LEH42" s="3281"/>
      <c r="LEI42" s="3281"/>
      <c r="LEJ42" s="3281"/>
      <c r="LEK42" s="3281"/>
      <c r="LEL42" s="3281"/>
      <c r="LEM42" s="3281"/>
      <c r="LEN42" s="3281"/>
      <c r="LEO42" s="3281"/>
      <c r="LEP42" s="3281"/>
      <c r="LEQ42" s="3281"/>
      <c r="LER42" s="3281"/>
      <c r="LES42" s="3281"/>
      <c r="LET42" s="3281"/>
      <c r="LEU42" s="3281"/>
      <c r="LEV42" s="3281"/>
      <c r="LEW42" s="3281"/>
      <c r="LEX42" s="3281"/>
      <c r="LEY42" s="3281"/>
      <c r="LEZ42" s="3281"/>
      <c r="LFA42" s="3281"/>
      <c r="LFB42" s="3281"/>
      <c r="LFC42" s="3281"/>
      <c r="LFD42" s="3281"/>
      <c r="LFE42" s="3281"/>
      <c r="LFF42" s="3281"/>
      <c r="LFG42" s="3281"/>
      <c r="LFH42" s="3281"/>
      <c r="LFI42" s="3281"/>
      <c r="LFJ42" s="3281"/>
      <c r="LFK42" s="3281"/>
      <c r="LFL42" s="3281"/>
      <c r="LFM42" s="3281"/>
      <c r="LFN42" s="3281"/>
      <c r="LFO42" s="3281"/>
      <c r="LFP42" s="3281"/>
      <c r="LFQ42" s="3281"/>
      <c r="LFR42" s="3281"/>
      <c r="LFS42" s="3281"/>
      <c r="LFT42" s="3281"/>
      <c r="LFU42" s="3281"/>
      <c r="LFV42" s="3281"/>
      <c r="LFW42" s="3281"/>
      <c r="LFX42" s="3281"/>
      <c r="LFY42" s="3281"/>
      <c r="LFZ42" s="3281"/>
      <c r="LGA42" s="3281"/>
      <c r="LGB42" s="3281"/>
      <c r="LGC42" s="3281"/>
      <c r="LGD42" s="3281"/>
      <c r="LGE42" s="3281"/>
      <c r="LGF42" s="3281"/>
      <c r="LGG42" s="3281"/>
      <c r="LGH42" s="3281"/>
      <c r="LGI42" s="3281"/>
      <c r="LGJ42" s="3281"/>
      <c r="LGK42" s="3281"/>
      <c r="LGL42" s="3281"/>
      <c r="LGM42" s="3281"/>
      <c r="LGN42" s="3281"/>
      <c r="LGO42" s="3281"/>
      <c r="LGP42" s="3281"/>
      <c r="LGQ42" s="3281"/>
      <c r="LGR42" s="3281"/>
      <c r="LGS42" s="3281"/>
      <c r="LGT42" s="3281"/>
      <c r="LGU42" s="3281"/>
      <c r="LGV42" s="3281"/>
      <c r="LGW42" s="3281"/>
      <c r="LGX42" s="3281"/>
      <c r="LGY42" s="3281"/>
      <c r="LGZ42" s="3281"/>
      <c r="LHA42" s="3281"/>
      <c r="LHB42" s="3281"/>
      <c r="LHC42" s="3281"/>
      <c r="LHD42" s="3281"/>
      <c r="LHE42" s="3281"/>
      <c r="LHF42" s="3281"/>
      <c r="LHG42" s="3281"/>
      <c r="LHH42" s="3281"/>
      <c r="LHI42" s="3281"/>
      <c r="LHJ42" s="3281"/>
      <c r="LHK42" s="3281"/>
      <c r="LHL42" s="3281"/>
      <c r="LHM42" s="3281"/>
      <c r="LHN42" s="3281"/>
      <c r="LHO42" s="3281"/>
      <c r="LHP42" s="3281"/>
      <c r="LHQ42" s="3281"/>
      <c r="LHR42" s="3281"/>
      <c r="LHS42" s="3281"/>
      <c r="LHT42" s="3281"/>
      <c r="LHU42" s="3281"/>
      <c r="LHV42" s="3281"/>
      <c r="LHW42" s="3281"/>
      <c r="LHX42" s="3281"/>
      <c r="LHY42" s="3281"/>
      <c r="LHZ42" s="3281"/>
      <c r="LIA42" s="3281"/>
      <c r="LIB42" s="3281"/>
      <c r="LIC42" s="3281"/>
      <c r="LID42" s="3281"/>
      <c r="LIE42" s="3281"/>
      <c r="LIF42" s="3281"/>
      <c r="LIG42" s="3281"/>
      <c r="LIH42" s="3281"/>
      <c r="LII42" s="3281"/>
      <c r="LIJ42" s="3281"/>
      <c r="LIK42" s="3281"/>
      <c r="LIL42" s="3281"/>
      <c r="LIM42" s="3281"/>
      <c r="LIN42" s="3281"/>
      <c r="LIO42" s="3281"/>
      <c r="LIP42" s="3281"/>
      <c r="LIQ42" s="3281"/>
      <c r="LIR42" s="3281"/>
      <c r="LIS42" s="3281"/>
      <c r="LIT42" s="3281"/>
      <c r="LIU42" s="3281"/>
      <c r="LIV42" s="3281"/>
      <c r="LIW42" s="3281"/>
      <c r="LIX42" s="3281"/>
      <c r="LIY42" s="3281"/>
      <c r="LIZ42" s="3281"/>
      <c r="LJA42" s="3281"/>
      <c r="LJB42" s="3281"/>
      <c r="LJC42" s="3281"/>
      <c r="LJD42" s="3281"/>
      <c r="LJE42" s="3281"/>
      <c r="LJF42" s="3281"/>
      <c r="LJG42" s="3281"/>
      <c r="LJH42" s="3281"/>
      <c r="LJI42" s="3281"/>
      <c r="LJJ42" s="3281"/>
      <c r="LJK42" s="3281"/>
      <c r="LJL42" s="3281"/>
      <c r="LJM42" s="3281"/>
      <c r="LJN42" s="3281"/>
      <c r="LJO42" s="3281"/>
      <c r="LJP42" s="3281"/>
      <c r="LJQ42" s="3281"/>
      <c r="LJR42" s="3281"/>
      <c r="LJS42" s="3281"/>
      <c r="LJT42" s="3281"/>
      <c r="LJU42" s="3281"/>
      <c r="LJV42" s="3281"/>
      <c r="LJW42" s="3281"/>
      <c r="LJX42" s="3281"/>
      <c r="LJY42" s="3281"/>
      <c r="LJZ42" s="3281"/>
      <c r="LKA42" s="3281"/>
      <c r="LKB42" s="3281"/>
      <c r="LKC42" s="3281"/>
      <c r="LKD42" s="3281"/>
      <c r="LKE42" s="3281"/>
      <c r="LKF42" s="3281"/>
      <c r="LKG42" s="3281"/>
      <c r="LKH42" s="3281"/>
      <c r="LKI42" s="3281"/>
      <c r="LKJ42" s="3281"/>
      <c r="LKK42" s="3281"/>
      <c r="LKL42" s="3281"/>
      <c r="LKM42" s="3281"/>
      <c r="LKN42" s="3281"/>
      <c r="LKO42" s="3281"/>
      <c r="LKP42" s="3281"/>
      <c r="LKQ42" s="3281"/>
      <c r="LKR42" s="3281"/>
      <c r="LKS42" s="3281"/>
      <c r="LKT42" s="3281"/>
      <c r="LKU42" s="3281"/>
      <c r="LKV42" s="3281"/>
      <c r="LKW42" s="3281"/>
      <c r="LKX42" s="3281"/>
      <c r="LKY42" s="3281"/>
      <c r="LKZ42" s="3281"/>
      <c r="LLA42" s="3281"/>
      <c r="LLB42" s="3281"/>
      <c r="LLC42" s="3281"/>
      <c r="LLD42" s="3281"/>
      <c r="LLE42" s="3281"/>
      <c r="LLF42" s="3281"/>
      <c r="LLG42" s="3281"/>
      <c r="LLH42" s="3281"/>
      <c r="LLI42" s="3281"/>
      <c r="LLJ42" s="3281"/>
      <c r="LLK42" s="3281"/>
      <c r="LLL42" s="3281"/>
      <c r="LLM42" s="3281"/>
      <c r="LLN42" s="3281"/>
      <c r="LLO42" s="3281"/>
      <c r="LLP42" s="3281"/>
      <c r="LLQ42" s="3281"/>
      <c r="LLR42" s="3281"/>
      <c r="LLS42" s="3281"/>
      <c r="LLT42" s="3281"/>
      <c r="LLU42" s="3281"/>
      <c r="LLV42" s="3281"/>
      <c r="LLW42" s="3281"/>
      <c r="LLX42" s="3281"/>
      <c r="LLY42" s="3281"/>
      <c r="LLZ42" s="3281"/>
      <c r="LMA42" s="3281"/>
      <c r="LMB42" s="3281"/>
      <c r="LMC42" s="3281"/>
      <c r="LMD42" s="3281"/>
      <c r="LME42" s="3281"/>
      <c r="LMF42" s="3281"/>
      <c r="LMG42" s="3281"/>
      <c r="LMH42" s="3281"/>
      <c r="LMI42" s="3281"/>
      <c r="LMJ42" s="3281"/>
      <c r="LMK42" s="3281"/>
      <c r="LML42" s="3281"/>
      <c r="LMM42" s="3281"/>
      <c r="LMN42" s="3281"/>
      <c r="LMO42" s="3281"/>
      <c r="LMP42" s="3281"/>
      <c r="LMQ42" s="3281"/>
      <c r="LMR42" s="3281"/>
      <c r="LMS42" s="3281"/>
      <c r="LMT42" s="3281"/>
      <c r="LMU42" s="3281"/>
      <c r="LMV42" s="3281"/>
      <c r="LMW42" s="3281"/>
      <c r="LMX42" s="3281"/>
      <c r="LMY42" s="3281"/>
      <c r="LMZ42" s="3281"/>
      <c r="LNA42" s="3281"/>
      <c r="LNB42" s="3281"/>
      <c r="LNC42" s="3281"/>
      <c r="LND42" s="3281"/>
      <c r="LNE42" s="3281"/>
      <c r="LNF42" s="3281"/>
      <c r="LNG42" s="3281"/>
      <c r="LNH42" s="3281"/>
      <c r="LNI42" s="3281"/>
      <c r="LNJ42" s="3281"/>
      <c r="LNK42" s="3281"/>
      <c r="LNL42" s="3281"/>
      <c r="LNM42" s="3281"/>
      <c r="LNN42" s="3281"/>
      <c r="LNO42" s="3281"/>
      <c r="LNP42" s="3281"/>
      <c r="LNQ42" s="3281"/>
      <c r="LNR42" s="3281"/>
      <c r="LNS42" s="3281"/>
      <c r="LNT42" s="3281"/>
      <c r="LNU42" s="3281"/>
      <c r="LNV42" s="3281"/>
      <c r="LNW42" s="3281"/>
      <c r="LNX42" s="3281"/>
      <c r="LNY42" s="3281"/>
      <c r="LNZ42" s="3281"/>
      <c r="LOA42" s="3281"/>
      <c r="LOB42" s="3281"/>
      <c r="LOC42" s="3281"/>
      <c r="LOD42" s="3281"/>
      <c r="LOE42" s="3281"/>
      <c r="LOF42" s="3281"/>
      <c r="LOG42" s="3281"/>
      <c r="LOH42" s="3281"/>
      <c r="LOI42" s="3281"/>
      <c r="LOJ42" s="3281"/>
      <c r="LOK42" s="3281"/>
      <c r="LOL42" s="3281"/>
      <c r="LOM42" s="3281"/>
      <c r="LON42" s="3281"/>
      <c r="LOO42" s="3281"/>
      <c r="LOP42" s="3281"/>
      <c r="LOQ42" s="3281"/>
      <c r="LOR42" s="3281"/>
      <c r="LOS42" s="3281"/>
      <c r="LOT42" s="3281"/>
      <c r="LOU42" s="3281"/>
      <c r="LOV42" s="3281"/>
      <c r="LOW42" s="3281"/>
      <c r="LOX42" s="3281"/>
      <c r="LOY42" s="3281"/>
      <c r="LOZ42" s="3281"/>
      <c r="LPA42" s="3281"/>
      <c r="LPB42" s="3281"/>
      <c r="LPC42" s="3281"/>
      <c r="LPD42" s="3281"/>
      <c r="LPE42" s="3281"/>
      <c r="LPF42" s="3281"/>
      <c r="LPG42" s="3281"/>
      <c r="LPH42" s="3281"/>
      <c r="LPI42" s="3281"/>
      <c r="LPJ42" s="3281"/>
      <c r="LPK42" s="3281"/>
      <c r="LPL42" s="3281"/>
      <c r="LPM42" s="3281"/>
      <c r="LPN42" s="3281"/>
      <c r="LPO42" s="3281"/>
      <c r="LPP42" s="3281"/>
      <c r="LPQ42" s="3281"/>
      <c r="LPR42" s="3281"/>
      <c r="LPS42" s="3281"/>
      <c r="LPT42" s="3281"/>
      <c r="LPU42" s="3281"/>
      <c r="LPV42" s="3281"/>
      <c r="LPW42" s="3281"/>
      <c r="LPX42" s="3281"/>
      <c r="LPY42" s="3281"/>
      <c r="LPZ42" s="3281"/>
      <c r="LQA42" s="3281"/>
      <c r="LQB42" s="3281"/>
      <c r="LQC42" s="3281"/>
      <c r="LQD42" s="3281"/>
      <c r="LQE42" s="3281"/>
      <c r="LQF42" s="3281"/>
      <c r="LQG42" s="3281"/>
      <c r="LQH42" s="3281"/>
      <c r="LQI42" s="3281"/>
      <c r="LQJ42" s="3281"/>
      <c r="LQK42" s="3281"/>
      <c r="LQL42" s="3281"/>
      <c r="LQM42" s="3281"/>
      <c r="LQN42" s="3281"/>
      <c r="LQO42" s="3281"/>
      <c r="LQP42" s="3281"/>
      <c r="LQQ42" s="3281"/>
      <c r="LQR42" s="3281"/>
      <c r="LQS42" s="3281"/>
      <c r="LQT42" s="3281"/>
      <c r="LQU42" s="3281"/>
      <c r="LQV42" s="3281"/>
      <c r="LQW42" s="3281"/>
      <c r="LQX42" s="3281"/>
      <c r="LQY42" s="3281"/>
      <c r="LQZ42" s="3281"/>
      <c r="LRA42" s="3281"/>
      <c r="LRB42" s="3281"/>
      <c r="LRC42" s="3281"/>
      <c r="LRD42" s="3281"/>
      <c r="LRE42" s="3281"/>
      <c r="LRF42" s="3281"/>
      <c r="LRG42" s="3281"/>
      <c r="LRH42" s="3281"/>
      <c r="LRI42" s="3281"/>
      <c r="LRJ42" s="3281"/>
      <c r="LRK42" s="3281"/>
      <c r="LRL42" s="3281"/>
      <c r="LRM42" s="3281"/>
      <c r="LRN42" s="3281"/>
      <c r="LRO42" s="3281"/>
      <c r="LRP42" s="3281"/>
      <c r="LRQ42" s="3281"/>
      <c r="LRR42" s="3281"/>
      <c r="LRS42" s="3281"/>
      <c r="LRT42" s="3281"/>
      <c r="LRU42" s="3281"/>
      <c r="LRV42" s="3281"/>
      <c r="LRW42" s="3281"/>
      <c r="LRX42" s="3281"/>
      <c r="LRY42" s="3281"/>
      <c r="LRZ42" s="3281"/>
      <c r="LSA42" s="3281"/>
      <c r="LSB42" s="3281"/>
      <c r="LSC42" s="3281"/>
      <c r="LSD42" s="3281"/>
      <c r="LSE42" s="3281"/>
      <c r="LSF42" s="3281"/>
      <c r="LSG42" s="3281"/>
      <c r="LSH42" s="3281"/>
      <c r="LSI42" s="3281"/>
      <c r="LSJ42" s="3281"/>
      <c r="LSK42" s="3281"/>
      <c r="LSL42" s="3281"/>
      <c r="LSM42" s="3281"/>
      <c r="LSN42" s="3281"/>
      <c r="LSO42" s="3281"/>
      <c r="LSP42" s="3281"/>
      <c r="LSQ42" s="3281"/>
      <c r="LSR42" s="3281"/>
      <c r="LSS42" s="3281"/>
      <c r="LST42" s="3281"/>
      <c r="LSU42" s="3281"/>
      <c r="LSV42" s="3281"/>
      <c r="LSW42" s="3281"/>
      <c r="LSX42" s="3281"/>
      <c r="LSY42" s="3281"/>
      <c r="LSZ42" s="3281"/>
      <c r="LTA42" s="3281"/>
      <c r="LTB42" s="3281"/>
      <c r="LTC42" s="3281"/>
      <c r="LTD42" s="3281"/>
      <c r="LTE42" s="3281"/>
      <c r="LTF42" s="3281"/>
      <c r="LTG42" s="3281"/>
      <c r="LTH42" s="3281"/>
      <c r="LTI42" s="3281"/>
      <c r="LTJ42" s="3281"/>
      <c r="LTK42" s="3281"/>
      <c r="LTL42" s="3281"/>
      <c r="LTM42" s="3281"/>
      <c r="LTN42" s="3281"/>
      <c r="LTO42" s="3281"/>
      <c r="LTP42" s="3281"/>
      <c r="LTQ42" s="3281"/>
      <c r="LTR42" s="3281"/>
      <c r="LTS42" s="3281"/>
      <c r="LTT42" s="3281"/>
      <c r="LTU42" s="3281"/>
      <c r="LTV42" s="3281"/>
      <c r="LTW42" s="3281"/>
      <c r="LTX42" s="3281"/>
      <c r="LTY42" s="3281"/>
      <c r="LTZ42" s="3281"/>
      <c r="LUA42" s="3281"/>
      <c r="LUB42" s="3281"/>
      <c r="LUC42" s="3281"/>
      <c r="LUD42" s="3281"/>
      <c r="LUE42" s="3281"/>
      <c r="LUF42" s="3281"/>
      <c r="LUG42" s="3281"/>
      <c r="LUH42" s="3281"/>
      <c r="LUI42" s="3281"/>
      <c r="LUJ42" s="3281"/>
      <c r="LUK42" s="3281"/>
      <c r="LUL42" s="3281"/>
      <c r="LUM42" s="3281"/>
      <c r="LUN42" s="3281"/>
      <c r="LUO42" s="3281"/>
      <c r="LUP42" s="3281"/>
      <c r="LUQ42" s="3281"/>
      <c r="LUR42" s="3281"/>
      <c r="LUS42" s="3281"/>
      <c r="LUT42" s="3281"/>
      <c r="LUU42" s="3281"/>
      <c r="LUV42" s="3281"/>
      <c r="LUW42" s="3281"/>
      <c r="LUX42" s="3281"/>
      <c r="LUY42" s="3281"/>
      <c r="LUZ42" s="3281"/>
      <c r="LVA42" s="3281"/>
      <c r="LVB42" s="3281"/>
      <c r="LVC42" s="3281"/>
      <c r="LVD42" s="3281"/>
      <c r="LVE42" s="3281"/>
      <c r="LVF42" s="3281"/>
      <c r="LVG42" s="3281"/>
      <c r="LVH42" s="3281"/>
      <c r="LVI42" s="3281"/>
      <c r="LVJ42" s="3281"/>
      <c r="LVK42" s="3281"/>
      <c r="LVL42" s="3281"/>
      <c r="LVM42" s="3281"/>
      <c r="LVN42" s="3281"/>
      <c r="LVO42" s="3281"/>
      <c r="LVP42" s="3281"/>
      <c r="LVQ42" s="3281"/>
      <c r="LVR42" s="3281"/>
      <c r="LVS42" s="3281"/>
      <c r="LVT42" s="3281"/>
      <c r="LVU42" s="3281"/>
      <c r="LVV42" s="3281"/>
      <c r="LVW42" s="3281"/>
      <c r="LVX42" s="3281"/>
      <c r="LVY42" s="3281"/>
      <c r="LVZ42" s="3281"/>
      <c r="LWA42" s="3281"/>
      <c r="LWB42" s="3281"/>
      <c r="LWC42" s="3281"/>
      <c r="LWD42" s="3281"/>
      <c r="LWE42" s="3281"/>
      <c r="LWF42" s="3281"/>
      <c r="LWG42" s="3281"/>
      <c r="LWH42" s="3281"/>
      <c r="LWI42" s="3281"/>
      <c r="LWJ42" s="3281"/>
      <c r="LWK42" s="3281"/>
      <c r="LWL42" s="3281"/>
      <c r="LWM42" s="3281"/>
      <c r="LWN42" s="3281"/>
      <c r="LWO42" s="3281"/>
      <c r="LWP42" s="3281"/>
      <c r="LWQ42" s="3281"/>
      <c r="LWR42" s="3281"/>
      <c r="LWS42" s="3281"/>
      <c r="LWT42" s="3281"/>
      <c r="LWU42" s="3281"/>
      <c r="LWV42" s="3281"/>
      <c r="LWW42" s="3281"/>
      <c r="LWX42" s="3281"/>
      <c r="LWY42" s="3281"/>
      <c r="LWZ42" s="3281"/>
      <c r="LXA42" s="3281"/>
      <c r="LXB42" s="3281"/>
      <c r="LXC42" s="3281"/>
      <c r="LXD42" s="3281"/>
      <c r="LXE42" s="3281"/>
      <c r="LXF42" s="3281"/>
      <c r="LXG42" s="3281"/>
      <c r="LXH42" s="3281"/>
      <c r="LXI42" s="3281"/>
      <c r="LXJ42" s="3281"/>
      <c r="LXK42" s="3281"/>
      <c r="LXL42" s="3281"/>
      <c r="LXM42" s="3281"/>
      <c r="LXN42" s="3281"/>
      <c r="LXO42" s="3281"/>
      <c r="LXP42" s="3281"/>
      <c r="LXQ42" s="3281"/>
      <c r="LXR42" s="3281"/>
      <c r="LXS42" s="3281"/>
      <c r="LXT42" s="3281"/>
      <c r="LXU42" s="3281"/>
      <c r="LXV42" s="3281"/>
      <c r="LXW42" s="3281"/>
      <c r="LXX42" s="3281"/>
      <c r="LXY42" s="3281"/>
      <c r="LXZ42" s="3281"/>
      <c r="LYA42" s="3281"/>
      <c r="LYB42" s="3281"/>
      <c r="LYC42" s="3281"/>
      <c r="LYD42" s="3281"/>
      <c r="LYE42" s="3281"/>
      <c r="LYF42" s="3281"/>
      <c r="LYG42" s="3281"/>
      <c r="LYH42" s="3281"/>
      <c r="LYI42" s="3281"/>
      <c r="LYJ42" s="3281"/>
      <c r="LYK42" s="3281"/>
      <c r="LYL42" s="3281"/>
      <c r="LYM42" s="3281"/>
      <c r="LYN42" s="3281"/>
      <c r="LYO42" s="3281"/>
      <c r="LYP42" s="3281"/>
      <c r="LYQ42" s="3281"/>
      <c r="LYR42" s="3281"/>
      <c r="LYS42" s="3281"/>
      <c r="LYT42" s="3281"/>
      <c r="LYU42" s="3281"/>
      <c r="LYV42" s="3281"/>
      <c r="LYW42" s="3281"/>
      <c r="LYX42" s="3281"/>
      <c r="LYY42" s="3281"/>
      <c r="LYZ42" s="3281"/>
      <c r="LZA42" s="3281"/>
      <c r="LZB42" s="3281"/>
      <c r="LZC42" s="3281"/>
      <c r="LZD42" s="3281"/>
      <c r="LZE42" s="3281"/>
      <c r="LZF42" s="3281"/>
      <c r="LZG42" s="3281"/>
      <c r="LZH42" s="3281"/>
      <c r="LZI42" s="3281"/>
      <c r="LZJ42" s="3281"/>
      <c r="LZK42" s="3281"/>
      <c r="LZL42" s="3281"/>
      <c r="LZM42" s="3281"/>
      <c r="LZN42" s="3281"/>
      <c r="LZO42" s="3281"/>
      <c r="LZP42" s="3281"/>
      <c r="LZQ42" s="3281"/>
      <c r="LZR42" s="3281"/>
      <c r="LZS42" s="3281"/>
      <c r="LZT42" s="3281"/>
      <c r="LZU42" s="3281"/>
      <c r="LZV42" s="3281"/>
      <c r="LZW42" s="3281"/>
      <c r="LZX42" s="3281"/>
      <c r="LZY42" s="3281"/>
      <c r="LZZ42" s="3281"/>
      <c r="MAA42" s="3281"/>
      <c r="MAB42" s="3281"/>
      <c r="MAC42" s="3281"/>
      <c r="MAD42" s="3281"/>
      <c r="MAE42" s="3281"/>
      <c r="MAF42" s="3281"/>
      <c r="MAG42" s="3281"/>
      <c r="MAH42" s="3281"/>
      <c r="MAI42" s="3281"/>
      <c r="MAJ42" s="3281"/>
      <c r="MAK42" s="3281"/>
      <c r="MAL42" s="3281"/>
      <c r="MAM42" s="3281"/>
      <c r="MAN42" s="3281"/>
      <c r="MAO42" s="3281"/>
      <c r="MAP42" s="3281"/>
      <c r="MAQ42" s="3281"/>
      <c r="MAR42" s="3281"/>
      <c r="MAS42" s="3281"/>
      <c r="MAT42" s="3281"/>
      <c r="MAU42" s="3281"/>
      <c r="MAV42" s="3281"/>
      <c r="MAW42" s="3281"/>
      <c r="MAX42" s="3281"/>
      <c r="MAY42" s="3281"/>
      <c r="MAZ42" s="3281"/>
      <c r="MBA42" s="3281"/>
      <c r="MBB42" s="3281"/>
      <c r="MBC42" s="3281"/>
      <c r="MBD42" s="3281"/>
      <c r="MBE42" s="3281"/>
      <c r="MBF42" s="3281"/>
      <c r="MBG42" s="3281"/>
      <c r="MBH42" s="3281"/>
      <c r="MBI42" s="3281"/>
      <c r="MBJ42" s="3281"/>
      <c r="MBK42" s="3281"/>
      <c r="MBL42" s="3281"/>
      <c r="MBM42" s="3281"/>
      <c r="MBN42" s="3281"/>
      <c r="MBO42" s="3281"/>
      <c r="MBP42" s="3281"/>
      <c r="MBQ42" s="3281"/>
      <c r="MBR42" s="3281"/>
      <c r="MBS42" s="3281"/>
      <c r="MBT42" s="3281"/>
      <c r="MBU42" s="3281"/>
      <c r="MBV42" s="3281"/>
      <c r="MBW42" s="3281"/>
      <c r="MBX42" s="3281"/>
      <c r="MBY42" s="3281"/>
      <c r="MBZ42" s="3281"/>
      <c r="MCA42" s="3281"/>
      <c r="MCB42" s="3281"/>
      <c r="MCC42" s="3281"/>
      <c r="MCD42" s="3281"/>
      <c r="MCE42" s="3281"/>
      <c r="MCF42" s="3281"/>
      <c r="MCG42" s="3281"/>
      <c r="MCH42" s="3281"/>
      <c r="MCI42" s="3281"/>
      <c r="MCJ42" s="3281"/>
      <c r="MCK42" s="3281"/>
      <c r="MCL42" s="3281"/>
      <c r="MCM42" s="3281"/>
      <c r="MCN42" s="3281"/>
      <c r="MCO42" s="3281"/>
      <c r="MCP42" s="3281"/>
      <c r="MCQ42" s="3281"/>
      <c r="MCR42" s="3281"/>
      <c r="MCS42" s="3281"/>
      <c r="MCT42" s="3281"/>
      <c r="MCU42" s="3281"/>
      <c r="MCV42" s="3281"/>
      <c r="MCW42" s="3281"/>
      <c r="MCX42" s="3281"/>
      <c r="MCY42" s="3281"/>
      <c r="MCZ42" s="3281"/>
      <c r="MDA42" s="3281"/>
      <c r="MDB42" s="3281"/>
      <c r="MDC42" s="3281"/>
      <c r="MDD42" s="3281"/>
      <c r="MDE42" s="3281"/>
      <c r="MDF42" s="3281"/>
      <c r="MDG42" s="3281"/>
      <c r="MDH42" s="3281"/>
      <c r="MDI42" s="3281"/>
      <c r="MDJ42" s="3281"/>
      <c r="MDK42" s="3281"/>
      <c r="MDL42" s="3281"/>
      <c r="MDM42" s="3281"/>
      <c r="MDN42" s="3281"/>
      <c r="MDO42" s="3281"/>
      <c r="MDP42" s="3281"/>
      <c r="MDQ42" s="3281"/>
      <c r="MDR42" s="3281"/>
      <c r="MDS42" s="3281"/>
      <c r="MDT42" s="3281"/>
      <c r="MDU42" s="3281"/>
      <c r="MDV42" s="3281"/>
      <c r="MDW42" s="3281"/>
      <c r="MDX42" s="3281"/>
      <c r="MDY42" s="3281"/>
      <c r="MDZ42" s="3281"/>
      <c r="MEA42" s="3281"/>
      <c r="MEB42" s="3281"/>
      <c r="MEC42" s="3281"/>
      <c r="MED42" s="3281"/>
      <c r="MEE42" s="3281"/>
      <c r="MEF42" s="3281"/>
      <c r="MEG42" s="3281"/>
      <c r="MEH42" s="3281"/>
      <c r="MEI42" s="3281"/>
      <c r="MEJ42" s="3281"/>
      <c r="MEK42" s="3281"/>
      <c r="MEL42" s="3281"/>
      <c r="MEM42" s="3281"/>
      <c r="MEN42" s="3281"/>
      <c r="MEO42" s="3281"/>
      <c r="MEP42" s="3281"/>
      <c r="MEQ42" s="3281"/>
      <c r="MER42" s="3281"/>
      <c r="MES42" s="3281"/>
      <c r="MET42" s="3281"/>
      <c r="MEU42" s="3281"/>
      <c r="MEV42" s="3281"/>
      <c r="MEW42" s="3281"/>
      <c r="MEX42" s="3281"/>
      <c r="MEY42" s="3281"/>
      <c r="MEZ42" s="3281"/>
      <c r="MFA42" s="3281"/>
      <c r="MFB42" s="3281"/>
      <c r="MFC42" s="3281"/>
      <c r="MFD42" s="3281"/>
      <c r="MFE42" s="3281"/>
      <c r="MFF42" s="3281"/>
      <c r="MFG42" s="3281"/>
      <c r="MFH42" s="3281"/>
      <c r="MFI42" s="3281"/>
      <c r="MFJ42" s="3281"/>
      <c r="MFK42" s="3281"/>
      <c r="MFL42" s="3281"/>
      <c r="MFM42" s="3281"/>
      <c r="MFN42" s="3281"/>
      <c r="MFO42" s="3281"/>
      <c r="MFP42" s="3281"/>
      <c r="MFQ42" s="3281"/>
      <c r="MFR42" s="3281"/>
      <c r="MFS42" s="3281"/>
      <c r="MFT42" s="3281"/>
      <c r="MFU42" s="3281"/>
      <c r="MFV42" s="3281"/>
      <c r="MFW42" s="3281"/>
      <c r="MFX42" s="3281"/>
      <c r="MFY42" s="3281"/>
      <c r="MFZ42" s="3281"/>
      <c r="MGA42" s="3281"/>
      <c r="MGB42" s="3281"/>
      <c r="MGC42" s="3281"/>
      <c r="MGD42" s="3281"/>
      <c r="MGE42" s="3281"/>
      <c r="MGF42" s="3281"/>
      <c r="MGG42" s="3281"/>
      <c r="MGH42" s="3281"/>
      <c r="MGI42" s="3281"/>
      <c r="MGJ42" s="3281"/>
      <c r="MGK42" s="3281"/>
      <c r="MGL42" s="3281"/>
      <c r="MGM42" s="3281"/>
      <c r="MGN42" s="3281"/>
      <c r="MGO42" s="3281"/>
      <c r="MGP42" s="3281"/>
      <c r="MGQ42" s="3281"/>
      <c r="MGR42" s="3281"/>
      <c r="MGS42" s="3281"/>
      <c r="MGT42" s="3281"/>
      <c r="MGU42" s="3281"/>
      <c r="MGV42" s="3281"/>
      <c r="MGW42" s="3281"/>
      <c r="MGX42" s="3281"/>
      <c r="MGY42" s="3281"/>
      <c r="MGZ42" s="3281"/>
      <c r="MHA42" s="3281"/>
      <c r="MHB42" s="3281"/>
      <c r="MHC42" s="3281"/>
      <c r="MHD42" s="3281"/>
      <c r="MHE42" s="3281"/>
      <c r="MHF42" s="3281"/>
      <c r="MHG42" s="3281"/>
      <c r="MHH42" s="3281"/>
      <c r="MHI42" s="3281"/>
      <c r="MHJ42" s="3281"/>
      <c r="MHK42" s="3281"/>
      <c r="MHL42" s="3281"/>
      <c r="MHM42" s="3281"/>
      <c r="MHN42" s="3281"/>
      <c r="MHO42" s="3281"/>
      <c r="MHP42" s="3281"/>
      <c r="MHQ42" s="3281"/>
      <c r="MHR42" s="3281"/>
      <c r="MHS42" s="3281"/>
      <c r="MHT42" s="3281"/>
      <c r="MHU42" s="3281"/>
      <c r="MHV42" s="3281"/>
      <c r="MHW42" s="3281"/>
      <c r="MHX42" s="3281"/>
      <c r="MHY42" s="3281"/>
      <c r="MHZ42" s="3281"/>
      <c r="MIA42" s="3281"/>
      <c r="MIB42" s="3281"/>
      <c r="MIC42" s="3281"/>
      <c r="MID42" s="3281"/>
      <c r="MIE42" s="3281"/>
      <c r="MIF42" s="3281"/>
      <c r="MIG42" s="3281"/>
      <c r="MIH42" s="3281"/>
      <c r="MII42" s="3281"/>
      <c r="MIJ42" s="3281"/>
      <c r="MIK42" s="3281"/>
      <c r="MIL42" s="3281"/>
      <c r="MIM42" s="3281"/>
      <c r="MIN42" s="3281"/>
      <c r="MIO42" s="3281"/>
      <c r="MIP42" s="3281"/>
      <c r="MIQ42" s="3281"/>
      <c r="MIR42" s="3281"/>
      <c r="MIS42" s="3281"/>
      <c r="MIT42" s="3281"/>
      <c r="MIU42" s="3281"/>
      <c r="MIV42" s="3281"/>
      <c r="MIW42" s="3281"/>
      <c r="MIX42" s="3281"/>
      <c r="MIY42" s="3281"/>
      <c r="MIZ42" s="3281"/>
      <c r="MJA42" s="3281"/>
      <c r="MJB42" s="3281"/>
      <c r="MJC42" s="3281"/>
      <c r="MJD42" s="3281"/>
      <c r="MJE42" s="3281"/>
      <c r="MJF42" s="3281"/>
      <c r="MJG42" s="3281"/>
      <c r="MJH42" s="3281"/>
      <c r="MJI42" s="3281"/>
      <c r="MJJ42" s="3281"/>
      <c r="MJK42" s="3281"/>
      <c r="MJL42" s="3281"/>
      <c r="MJM42" s="3281"/>
      <c r="MJN42" s="3281"/>
      <c r="MJO42" s="3281"/>
      <c r="MJP42" s="3281"/>
      <c r="MJQ42" s="3281"/>
      <c r="MJR42" s="3281"/>
      <c r="MJS42" s="3281"/>
      <c r="MJT42" s="3281"/>
      <c r="MJU42" s="3281"/>
      <c r="MJV42" s="3281"/>
      <c r="MJW42" s="3281"/>
      <c r="MJX42" s="3281"/>
      <c r="MJY42" s="3281"/>
      <c r="MJZ42" s="3281"/>
      <c r="MKA42" s="3281"/>
      <c r="MKB42" s="3281"/>
      <c r="MKC42" s="3281"/>
      <c r="MKD42" s="3281"/>
      <c r="MKE42" s="3281"/>
      <c r="MKF42" s="3281"/>
      <c r="MKG42" s="3281"/>
      <c r="MKH42" s="3281"/>
      <c r="MKI42" s="3281"/>
      <c r="MKJ42" s="3281"/>
      <c r="MKK42" s="3281"/>
      <c r="MKL42" s="3281"/>
      <c r="MKM42" s="3281"/>
      <c r="MKN42" s="3281"/>
      <c r="MKO42" s="3281"/>
      <c r="MKP42" s="3281"/>
      <c r="MKQ42" s="3281"/>
      <c r="MKR42" s="3281"/>
      <c r="MKS42" s="3281"/>
      <c r="MKT42" s="3281"/>
      <c r="MKU42" s="3281"/>
      <c r="MKV42" s="3281"/>
      <c r="MKW42" s="3281"/>
      <c r="MKX42" s="3281"/>
      <c r="MKY42" s="3281"/>
      <c r="MKZ42" s="3281"/>
      <c r="MLA42" s="3281"/>
      <c r="MLB42" s="3281"/>
      <c r="MLC42" s="3281"/>
      <c r="MLD42" s="3281"/>
      <c r="MLE42" s="3281"/>
      <c r="MLF42" s="3281"/>
      <c r="MLG42" s="3281"/>
      <c r="MLH42" s="3281"/>
      <c r="MLI42" s="3281"/>
      <c r="MLJ42" s="3281"/>
      <c r="MLK42" s="3281"/>
      <c r="MLL42" s="3281"/>
      <c r="MLM42" s="3281"/>
      <c r="MLN42" s="3281"/>
      <c r="MLO42" s="3281"/>
      <c r="MLP42" s="3281"/>
      <c r="MLQ42" s="3281"/>
      <c r="MLR42" s="3281"/>
      <c r="MLS42" s="3281"/>
      <c r="MLT42" s="3281"/>
      <c r="MLU42" s="3281"/>
      <c r="MLV42" s="3281"/>
      <c r="MLW42" s="3281"/>
      <c r="MLX42" s="3281"/>
      <c r="MLY42" s="3281"/>
      <c r="MLZ42" s="3281"/>
      <c r="MMA42" s="3281"/>
      <c r="MMB42" s="3281"/>
      <c r="MMC42" s="3281"/>
      <c r="MMD42" s="3281"/>
      <c r="MME42" s="3281"/>
      <c r="MMF42" s="3281"/>
      <c r="MMG42" s="3281"/>
      <c r="MMH42" s="3281"/>
      <c r="MMI42" s="3281"/>
      <c r="MMJ42" s="3281"/>
      <c r="MMK42" s="3281"/>
      <c r="MML42" s="3281"/>
      <c r="MMM42" s="3281"/>
      <c r="MMN42" s="3281"/>
      <c r="MMO42" s="3281"/>
      <c r="MMP42" s="3281"/>
      <c r="MMQ42" s="3281"/>
      <c r="MMR42" s="3281"/>
      <c r="MMS42" s="3281"/>
      <c r="MMT42" s="3281"/>
      <c r="MMU42" s="3281"/>
      <c r="MMV42" s="3281"/>
      <c r="MMW42" s="3281"/>
      <c r="MMX42" s="3281"/>
      <c r="MMY42" s="3281"/>
      <c r="MMZ42" s="3281"/>
      <c r="MNA42" s="3281"/>
      <c r="MNB42" s="3281"/>
      <c r="MNC42" s="3281"/>
      <c r="MND42" s="3281"/>
      <c r="MNE42" s="3281"/>
      <c r="MNF42" s="3281"/>
      <c r="MNG42" s="3281"/>
      <c r="MNH42" s="3281"/>
      <c r="MNI42" s="3281"/>
      <c r="MNJ42" s="3281"/>
      <c r="MNK42" s="3281"/>
      <c r="MNL42" s="3281"/>
      <c r="MNM42" s="3281"/>
      <c r="MNN42" s="3281"/>
      <c r="MNO42" s="3281"/>
      <c r="MNP42" s="3281"/>
      <c r="MNQ42" s="3281"/>
      <c r="MNR42" s="3281"/>
      <c r="MNS42" s="3281"/>
      <c r="MNT42" s="3281"/>
      <c r="MNU42" s="3281"/>
      <c r="MNV42" s="3281"/>
      <c r="MNW42" s="3281"/>
      <c r="MNX42" s="3281"/>
      <c r="MNY42" s="3281"/>
      <c r="MNZ42" s="3281"/>
      <c r="MOA42" s="3281"/>
      <c r="MOB42" s="3281"/>
      <c r="MOC42" s="3281"/>
      <c r="MOD42" s="3281"/>
      <c r="MOE42" s="3281"/>
      <c r="MOF42" s="3281"/>
      <c r="MOG42" s="3281"/>
      <c r="MOH42" s="3281"/>
      <c r="MOI42" s="3281"/>
      <c r="MOJ42" s="3281"/>
      <c r="MOK42" s="3281"/>
      <c r="MOL42" s="3281"/>
      <c r="MOM42" s="3281"/>
      <c r="MON42" s="3281"/>
      <c r="MOO42" s="3281"/>
      <c r="MOP42" s="3281"/>
      <c r="MOQ42" s="3281"/>
      <c r="MOR42" s="3281"/>
      <c r="MOS42" s="3281"/>
      <c r="MOT42" s="3281"/>
      <c r="MOU42" s="3281"/>
      <c r="MOV42" s="3281"/>
      <c r="MOW42" s="3281"/>
      <c r="MOX42" s="3281"/>
      <c r="MOY42" s="3281"/>
      <c r="MOZ42" s="3281"/>
      <c r="MPA42" s="3281"/>
      <c r="MPB42" s="3281"/>
      <c r="MPC42" s="3281"/>
      <c r="MPD42" s="3281"/>
      <c r="MPE42" s="3281"/>
      <c r="MPF42" s="3281"/>
      <c r="MPG42" s="3281"/>
      <c r="MPH42" s="3281"/>
      <c r="MPI42" s="3281"/>
      <c r="MPJ42" s="3281"/>
      <c r="MPK42" s="3281"/>
      <c r="MPL42" s="3281"/>
      <c r="MPM42" s="3281"/>
      <c r="MPN42" s="3281"/>
      <c r="MPO42" s="3281"/>
      <c r="MPP42" s="3281"/>
      <c r="MPQ42" s="3281"/>
      <c r="MPR42" s="3281"/>
      <c r="MPS42" s="3281"/>
      <c r="MPT42" s="3281"/>
      <c r="MPU42" s="3281"/>
      <c r="MPV42" s="3281"/>
      <c r="MPW42" s="3281"/>
      <c r="MPX42" s="3281"/>
      <c r="MPY42" s="3281"/>
      <c r="MPZ42" s="3281"/>
      <c r="MQA42" s="3281"/>
      <c r="MQB42" s="3281"/>
      <c r="MQC42" s="3281"/>
      <c r="MQD42" s="3281"/>
      <c r="MQE42" s="3281"/>
      <c r="MQF42" s="3281"/>
      <c r="MQG42" s="3281"/>
      <c r="MQH42" s="3281"/>
      <c r="MQI42" s="3281"/>
      <c r="MQJ42" s="3281"/>
      <c r="MQK42" s="3281"/>
      <c r="MQL42" s="3281"/>
      <c r="MQM42" s="3281"/>
      <c r="MQN42" s="3281"/>
      <c r="MQO42" s="3281"/>
      <c r="MQP42" s="3281"/>
      <c r="MQQ42" s="3281"/>
      <c r="MQR42" s="3281"/>
      <c r="MQS42" s="3281"/>
      <c r="MQT42" s="3281"/>
      <c r="MQU42" s="3281"/>
      <c r="MQV42" s="3281"/>
      <c r="MQW42" s="3281"/>
      <c r="MQX42" s="3281"/>
      <c r="MQY42" s="3281"/>
      <c r="MQZ42" s="3281"/>
      <c r="MRA42" s="3281"/>
      <c r="MRB42" s="3281"/>
      <c r="MRC42" s="3281"/>
      <c r="MRD42" s="3281"/>
      <c r="MRE42" s="3281"/>
      <c r="MRF42" s="3281"/>
      <c r="MRG42" s="3281"/>
      <c r="MRH42" s="3281"/>
      <c r="MRI42" s="3281"/>
      <c r="MRJ42" s="3281"/>
      <c r="MRK42" s="3281"/>
      <c r="MRL42" s="3281"/>
      <c r="MRM42" s="3281"/>
      <c r="MRN42" s="3281"/>
      <c r="MRO42" s="3281"/>
      <c r="MRP42" s="3281"/>
      <c r="MRQ42" s="3281"/>
      <c r="MRR42" s="3281"/>
      <c r="MRS42" s="3281"/>
      <c r="MRT42" s="3281"/>
      <c r="MRU42" s="3281"/>
      <c r="MRV42" s="3281"/>
      <c r="MRW42" s="3281"/>
      <c r="MRX42" s="3281"/>
      <c r="MRY42" s="3281"/>
      <c r="MRZ42" s="3281"/>
      <c r="MSA42" s="3281"/>
      <c r="MSB42" s="3281"/>
      <c r="MSC42" s="3281"/>
      <c r="MSD42" s="3281"/>
      <c r="MSE42" s="3281"/>
      <c r="MSF42" s="3281"/>
      <c r="MSG42" s="3281"/>
      <c r="MSH42" s="3281"/>
      <c r="MSI42" s="3281"/>
      <c r="MSJ42" s="3281"/>
      <c r="MSK42" s="3281"/>
      <c r="MSL42" s="3281"/>
      <c r="MSM42" s="3281"/>
      <c r="MSN42" s="3281"/>
      <c r="MSO42" s="3281"/>
      <c r="MSP42" s="3281"/>
      <c r="MSQ42" s="3281"/>
      <c r="MSR42" s="3281"/>
      <c r="MSS42" s="3281"/>
      <c r="MST42" s="3281"/>
      <c r="MSU42" s="3281"/>
      <c r="MSV42" s="3281"/>
      <c r="MSW42" s="3281"/>
      <c r="MSX42" s="3281"/>
      <c r="MSY42" s="3281"/>
      <c r="MSZ42" s="3281"/>
      <c r="MTA42" s="3281"/>
      <c r="MTB42" s="3281"/>
      <c r="MTC42" s="3281"/>
      <c r="MTD42" s="3281"/>
      <c r="MTE42" s="3281"/>
      <c r="MTF42" s="3281"/>
      <c r="MTG42" s="3281"/>
      <c r="MTH42" s="3281"/>
      <c r="MTI42" s="3281"/>
      <c r="MTJ42" s="3281"/>
      <c r="MTK42" s="3281"/>
      <c r="MTL42" s="3281"/>
      <c r="MTM42" s="3281"/>
      <c r="MTN42" s="3281"/>
      <c r="MTO42" s="3281"/>
      <c r="MTP42" s="3281"/>
      <c r="MTQ42" s="3281"/>
      <c r="MTR42" s="3281"/>
      <c r="MTS42" s="3281"/>
      <c r="MTT42" s="3281"/>
      <c r="MTU42" s="3281"/>
      <c r="MTV42" s="3281"/>
      <c r="MTW42" s="3281"/>
      <c r="MTX42" s="3281"/>
      <c r="MTY42" s="3281"/>
      <c r="MTZ42" s="3281"/>
      <c r="MUA42" s="3281"/>
      <c r="MUB42" s="3281"/>
      <c r="MUC42" s="3281"/>
      <c r="MUD42" s="3281"/>
      <c r="MUE42" s="3281"/>
      <c r="MUF42" s="3281"/>
      <c r="MUG42" s="3281"/>
      <c r="MUH42" s="3281"/>
      <c r="MUI42" s="3281"/>
      <c r="MUJ42" s="3281"/>
      <c r="MUK42" s="3281"/>
      <c r="MUL42" s="3281"/>
      <c r="MUM42" s="3281"/>
      <c r="MUN42" s="3281"/>
      <c r="MUO42" s="3281"/>
      <c r="MUP42" s="3281"/>
      <c r="MUQ42" s="3281"/>
      <c r="MUR42" s="3281"/>
      <c r="MUS42" s="3281"/>
      <c r="MUT42" s="3281"/>
      <c r="MUU42" s="3281"/>
      <c r="MUV42" s="3281"/>
      <c r="MUW42" s="3281"/>
      <c r="MUX42" s="3281"/>
      <c r="MUY42" s="3281"/>
      <c r="MUZ42" s="3281"/>
      <c r="MVA42" s="3281"/>
      <c r="MVB42" s="3281"/>
      <c r="MVC42" s="3281"/>
      <c r="MVD42" s="3281"/>
      <c r="MVE42" s="3281"/>
      <c r="MVF42" s="3281"/>
      <c r="MVG42" s="3281"/>
      <c r="MVH42" s="3281"/>
      <c r="MVI42" s="3281"/>
      <c r="MVJ42" s="3281"/>
      <c r="MVK42" s="3281"/>
      <c r="MVL42" s="3281"/>
      <c r="MVM42" s="3281"/>
      <c r="MVN42" s="3281"/>
      <c r="MVO42" s="3281"/>
      <c r="MVP42" s="3281"/>
      <c r="MVQ42" s="3281"/>
      <c r="MVR42" s="3281"/>
      <c r="MVS42" s="3281"/>
      <c r="MVT42" s="3281"/>
      <c r="MVU42" s="3281"/>
      <c r="MVV42" s="3281"/>
      <c r="MVW42" s="3281"/>
      <c r="MVX42" s="3281"/>
      <c r="MVY42" s="3281"/>
      <c r="MVZ42" s="3281"/>
      <c r="MWA42" s="3281"/>
      <c r="MWB42" s="3281"/>
      <c r="MWC42" s="3281"/>
      <c r="MWD42" s="3281"/>
      <c r="MWE42" s="3281"/>
      <c r="MWF42" s="3281"/>
      <c r="MWG42" s="3281"/>
      <c r="MWH42" s="3281"/>
      <c r="MWI42" s="3281"/>
      <c r="MWJ42" s="3281"/>
      <c r="MWK42" s="3281"/>
      <c r="MWL42" s="3281"/>
      <c r="MWM42" s="3281"/>
      <c r="MWN42" s="3281"/>
      <c r="MWO42" s="3281"/>
      <c r="MWP42" s="3281"/>
      <c r="MWQ42" s="3281"/>
      <c r="MWR42" s="3281"/>
      <c r="MWS42" s="3281"/>
      <c r="MWT42" s="3281"/>
      <c r="MWU42" s="3281"/>
      <c r="MWV42" s="3281"/>
      <c r="MWW42" s="3281"/>
      <c r="MWX42" s="3281"/>
      <c r="MWY42" s="3281"/>
      <c r="MWZ42" s="3281"/>
      <c r="MXA42" s="3281"/>
      <c r="MXB42" s="3281"/>
      <c r="MXC42" s="3281"/>
      <c r="MXD42" s="3281"/>
      <c r="MXE42" s="3281"/>
      <c r="MXF42" s="3281"/>
      <c r="MXG42" s="3281"/>
      <c r="MXH42" s="3281"/>
      <c r="MXI42" s="3281"/>
      <c r="MXJ42" s="3281"/>
      <c r="MXK42" s="3281"/>
      <c r="MXL42" s="3281"/>
      <c r="MXM42" s="3281"/>
      <c r="MXN42" s="3281"/>
      <c r="MXO42" s="3281"/>
      <c r="MXP42" s="3281"/>
      <c r="MXQ42" s="3281"/>
      <c r="MXR42" s="3281"/>
      <c r="MXS42" s="3281"/>
      <c r="MXT42" s="3281"/>
      <c r="MXU42" s="3281"/>
      <c r="MXV42" s="3281"/>
      <c r="MXW42" s="3281"/>
      <c r="MXX42" s="3281"/>
      <c r="MXY42" s="3281"/>
      <c r="MXZ42" s="3281"/>
      <c r="MYA42" s="3281"/>
      <c r="MYB42" s="3281"/>
      <c r="MYC42" s="3281"/>
      <c r="MYD42" s="3281"/>
      <c r="MYE42" s="3281"/>
      <c r="MYF42" s="3281"/>
      <c r="MYG42" s="3281"/>
      <c r="MYH42" s="3281"/>
      <c r="MYI42" s="3281"/>
      <c r="MYJ42" s="3281"/>
      <c r="MYK42" s="3281"/>
      <c r="MYL42" s="3281"/>
      <c r="MYM42" s="3281"/>
      <c r="MYN42" s="3281"/>
      <c r="MYO42" s="3281"/>
      <c r="MYP42" s="3281"/>
      <c r="MYQ42" s="3281"/>
      <c r="MYR42" s="3281"/>
      <c r="MYS42" s="3281"/>
      <c r="MYT42" s="3281"/>
      <c r="MYU42" s="3281"/>
      <c r="MYV42" s="3281"/>
      <c r="MYW42" s="3281"/>
      <c r="MYX42" s="3281"/>
      <c r="MYY42" s="3281"/>
      <c r="MYZ42" s="3281"/>
      <c r="MZA42" s="3281"/>
      <c r="MZB42" s="3281"/>
      <c r="MZC42" s="3281"/>
      <c r="MZD42" s="3281"/>
      <c r="MZE42" s="3281"/>
      <c r="MZF42" s="3281"/>
      <c r="MZG42" s="3281"/>
      <c r="MZH42" s="3281"/>
      <c r="MZI42" s="3281"/>
      <c r="MZJ42" s="3281"/>
      <c r="MZK42" s="3281"/>
      <c r="MZL42" s="3281"/>
      <c r="MZM42" s="3281"/>
      <c r="MZN42" s="3281"/>
      <c r="MZO42" s="3281"/>
      <c r="MZP42" s="3281"/>
      <c r="MZQ42" s="3281"/>
      <c r="MZR42" s="3281"/>
      <c r="MZS42" s="3281"/>
      <c r="MZT42" s="3281"/>
      <c r="MZU42" s="3281"/>
      <c r="MZV42" s="3281"/>
      <c r="MZW42" s="3281"/>
      <c r="MZX42" s="3281"/>
      <c r="MZY42" s="3281"/>
      <c r="MZZ42" s="3281"/>
      <c r="NAA42" s="3281"/>
      <c r="NAB42" s="3281"/>
      <c r="NAC42" s="3281"/>
      <c r="NAD42" s="3281"/>
      <c r="NAE42" s="3281"/>
      <c r="NAF42" s="3281"/>
      <c r="NAG42" s="3281"/>
      <c r="NAH42" s="3281"/>
      <c r="NAI42" s="3281"/>
      <c r="NAJ42" s="3281"/>
      <c r="NAK42" s="3281"/>
      <c r="NAL42" s="3281"/>
      <c r="NAM42" s="3281"/>
      <c r="NAN42" s="3281"/>
      <c r="NAO42" s="3281"/>
      <c r="NAP42" s="3281"/>
      <c r="NAQ42" s="3281"/>
      <c r="NAR42" s="3281"/>
      <c r="NAS42" s="3281"/>
      <c r="NAT42" s="3281"/>
      <c r="NAU42" s="3281"/>
      <c r="NAV42" s="3281"/>
      <c r="NAW42" s="3281"/>
      <c r="NAX42" s="3281"/>
      <c r="NAY42" s="3281"/>
      <c r="NAZ42" s="3281"/>
      <c r="NBA42" s="3281"/>
      <c r="NBB42" s="3281"/>
      <c r="NBC42" s="3281"/>
      <c r="NBD42" s="3281"/>
      <c r="NBE42" s="3281"/>
      <c r="NBF42" s="3281"/>
      <c r="NBG42" s="3281"/>
      <c r="NBH42" s="3281"/>
      <c r="NBI42" s="3281"/>
      <c r="NBJ42" s="3281"/>
      <c r="NBK42" s="3281"/>
      <c r="NBL42" s="3281"/>
      <c r="NBM42" s="3281"/>
      <c r="NBN42" s="3281"/>
      <c r="NBO42" s="3281"/>
      <c r="NBP42" s="3281"/>
      <c r="NBQ42" s="3281"/>
      <c r="NBR42" s="3281"/>
      <c r="NBS42" s="3281"/>
      <c r="NBT42" s="3281"/>
      <c r="NBU42" s="3281"/>
      <c r="NBV42" s="3281"/>
      <c r="NBW42" s="3281"/>
      <c r="NBX42" s="3281"/>
      <c r="NBY42" s="3281"/>
      <c r="NBZ42" s="3281"/>
      <c r="NCA42" s="3281"/>
      <c r="NCB42" s="3281"/>
      <c r="NCC42" s="3281"/>
      <c r="NCD42" s="3281"/>
      <c r="NCE42" s="3281"/>
      <c r="NCF42" s="3281"/>
      <c r="NCG42" s="3281"/>
      <c r="NCH42" s="3281"/>
      <c r="NCI42" s="3281"/>
      <c r="NCJ42" s="3281"/>
      <c r="NCK42" s="3281"/>
      <c r="NCL42" s="3281"/>
      <c r="NCM42" s="3281"/>
      <c r="NCN42" s="3281"/>
      <c r="NCO42" s="3281"/>
      <c r="NCP42" s="3281"/>
      <c r="NCQ42" s="3281"/>
      <c r="NCR42" s="3281"/>
      <c r="NCS42" s="3281"/>
      <c r="NCT42" s="3281"/>
      <c r="NCU42" s="3281"/>
      <c r="NCV42" s="3281"/>
      <c r="NCW42" s="3281"/>
      <c r="NCX42" s="3281"/>
      <c r="NCY42" s="3281"/>
      <c r="NCZ42" s="3281"/>
      <c r="NDA42" s="3281"/>
      <c r="NDB42" s="3281"/>
      <c r="NDC42" s="3281"/>
      <c r="NDD42" s="3281"/>
      <c r="NDE42" s="3281"/>
      <c r="NDF42" s="3281"/>
      <c r="NDG42" s="3281"/>
      <c r="NDH42" s="3281"/>
      <c r="NDI42" s="3281"/>
      <c r="NDJ42" s="3281"/>
      <c r="NDK42" s="3281"/>
      <c r="NDL42" s="3281"/>
      <c r="NDM42" s="3281"/>
      <c r="NDN42" s="3281"/>
      <c r="NDO42" s="3281"/>
      <c r="NDP42" s="3281"/>
      <c r="NDQ42" s="3281"/>
      <c r="NDR42" s="3281"/>
      <c r="NDS42" s="3281"/>
      <c r="NDT42" s="3281"/>
      <c r="NDU42" s="3281"/>
      <c r="NDV42" s="3281"/>
      <c r="NDW42" s="3281"/>
      <c r="NDX42" s="3281"/>
      <c r="NDY42" s="3281"/>
      <c r="NDZ42" s="3281"/>
      <c r="NEA42" s="3281"/>
      <c r="NEB42" s="3281"/>
      <c r="NEC42" s="3281"/>
      <c r="NED42" s="3281"/>
      <c r="NEE42" s="3281"/>
      <c r="NEF42" s="3281"/>
      <c r="NEG42" s="3281"/>
      <c r="NEH42" s="3281"/>
      <c r="NEI42" s="3281"/>
      <c r="NEJ42" s="3281"/>
      <c r="NEK42" s="3281"/>
      <c r="NEL42" s="3281"/>
      <c r="NEM42" s="3281"/>
      <c r="NEN42" s="3281"/>
      <c r="NEO42" s="3281"/>
      <c r="NEP42" s="3281"/>
      <c r="NEQ42" s="3281"/>
      <c r="NER42" s="3281"/>
      <c r="NES42" s="3281"/>
      <c r="NET42" s="3281"/>
      <c r="NEU42" s="3281"/>
      <c r="NEV42" s="3281"/>
      <c r="NEW42" s="3281"/>
      <c r="NEX42" s="3281"/>
      <c r="NEY42" s="3281"/>
      <c r="NEZ42" s="3281"/>
      <c r="NFA42" s="3281"/>
      <c r="NFB42" s="3281"/>
      <c r="NFC42" s="3281"/>
      <c r="NFD42" s="3281"/>
      <c r="NFE42" s="3281"/>
      <c r="NFF42" s="3281"/>
      <c r="NFG42" s="3281"/>
      <c r="NFH42" s="3281"/>
      <c r="NFI42" s="3281"/>
      <c r="NFJ42" s="3281"/>
      <c r="NFK42" s="3281"/>
      <c r="NFL42" s="3281"/>
      <c r="NFM42" s="3281"/>
      <c r="NFN42" s="3281"/>
      <c r="NFO42" s="3281"/>
      <c r="NFP42" s="3281"/>
      <c r="NFQ42" s="3281"/>
      <c r="NFR42" s="3281"/>
      <c r="NFS42" s="3281"/>
      <c r="NFT42" s="3281"/>
      <c r="NFU42" s="3281"/>
      <c r="NFV42" s="3281"/>
      <c r="NFW42" s="3281"/>
      <c r="NFX42" s="3281"/>
      <c r="NFY42" s="3281"/>
      <c r="NFZ42" s="3281"/>
      <c r="NGA42" s="3281"/>
      <c r="NGB42" s="3281"/>
      <c r="NGC42" s="3281"/>
      <c r="NGD42" s="3281"/>
      <c r="NGE42" s="3281"/>
      <c r="NGF42" s="3281"/>
      <c r="NGG42" s="3281"/>
      <c r="NGH42" s="3281"/>
      <c r="NGI42" s="3281"/>
      <c r="NGJ42" s="3281"/>
      <c r="NGK42" s="3281"/>
      <c r="NGL42" s="3281"/>
      <c r="NGM42" s="3281"/>
      <c r="NGN42" s="3281"/>
      <c r="NGO42" s="3281"/>
      <c r="NGP42" s="3281"/>
      <c r="NGQ42" s="3281"/>
      <c r="NGR42" s="3281"/>
      <c r="NGS42" s="3281"/>
      <c r="NGT42" s="3281"/>
      <c r="NGU42" s="3281"/>
      <c r="NGV42" s="3281"/>
      <c r="NGW42" s="3281"/>
      <c r="NGX42" s="3281"/>
      <c r="NGY42" s="3281"/>
      <c r="NGZ42" s="3281"/>
      <c r="NHA42" s="3281"/>
      <c r="NHB42" s="3281"/>
      <c r="NHC42" s="3281"/>
      <c r="NHD42" s="3281"/>
      <c r="NHE42" s="3281"/>
      <c r="NHF42" s="3281"/>
      <c r="NHG42" s="3281"/>
      <c r="NHH42" s="3281"/>
      <c r="NHI42" s="3281"/>
      <c r="NHJ42" s="3281"/>
      <c r="NHK42" s="3281"/>
      <c r="NHL42" s="3281"/>
      <c r="NHM42" s="3281"/>
      <c r="NHN42" s="3281"/>
      <c r="NHO42" s="3281"/>
      <c r="NHP42" s="3281"/>
      <c r="NHQ42" s="3281"/>
      <c r="NHR42" s="3281"/>
      <c r="NHS42" s="3281"/>
      <c r="NHT42" s="3281"/>
      <c r="NHU42" s="3281"/>
      <c r="NHV42" s="3281"/>
      <c r="NHW42" s="3281"/>
      <c r="NHX42" s="3281"/>
      <c r="NHY42" s="3281"/>
      <c r="NHZ42" s="3281"/>
      <c r="NIA42" s="3281"/>
      <c r="NIB42" s="3281"/>
      <c r="NIC42" s="3281"/>
      <c r="NID42" s="3281"/>
      <c r="NIE42" s="3281"/>
      <c r="NIF42" s="3281"/>
      <c r="NIG42" s="3281"/>
      <c r="NIH42" s="3281"/>
      <c r="NII42" s="3281"/>
      <c r="NIJ42" s="3281"/>
      <c r="NIK42" s="3281"/>
      <c r="NIL42" s="3281"/>
      <c r="NIM42" s="3281"/>
      <c r="NIN42" s="3281"/>
      <c r="NIO42" s="3281"/>
      <c r="NIP42" s="3281"/>
      <c r="NIQ42" s="3281"/>
      <c r="NIR42" s="3281"/>
      <c r="NIS42" s="3281"/>
      <c r="NIT42" s="3281"/>
      <c r="NIU42" s="3281"/>
      <c r="NIV42" s="3281"/>
      <c r="NIW42" s="3281"/>
      <c r="NIX42" s="3281"/>
      <c r="NIY42" s="3281"/>
      <c r="NIZ42" s="3281"/>
      <c r="NJA42" s="3281"/>
      <c r="NJB42" s="3281"/>
      <c r="NJC42" s="3281"/>
      <c r="NJD42" s="3281"/>
      <c r="NJE42" s="3281"/>
      <c r="NJF42" s="3281"/>
      <c r="NJG42" s="3281"/>
      <c r="NJH42" s="3281"/>
      <c r="NJI42" s="3281"/>
      <c r="NJJ42" s="3281"/>
      <c r="NJK42" s="3281"/>
      <c r="NJL42" s="3281"/>
      <c r="NJM42" s="3281"/>
      <c r="NJN42" s="3281"/>
      <c r="NJO42" s="3281"/>
      <c r="NJP42" s="3281"/>
      <c r="NJQ42" s="3281"/>
      <c r="NJR42" s="3281"/>
      <c r="NJS42" s="3281"/>
      <c r="NJT42" s="3281"/>
      <c r="NJU42" s="3281"/>
      <c r="NJV42" s="3281"/>
      <c r="NJW42" s="3281"/>
      <c r="NJX42" s="3281"/>
      <c r="NJY42" s="3281"/>
      <c r="NJZ42" s="3281"/>
      <c r="NKA42" s="3281"/>
      <c r="NKB42" s="3281"/>
      <c r="NKC42" s="3281"/>
      <c r="NKD42" s="3281"/>
      <c r="NKE42" s="3281"/>
      <c r="NKF42" s="3281"/>
      <c r="NKG42" s="3281"/>
      <c r="NKH42" s="3281"/>
      <c r="NKI42" s="3281"/>
      <c r="NKJ42" s="3281"/>
      <c r="NKK42" s="3281"/>
      <c r="NKL42" s="3281"/>
      <c r="NKM42" s="3281"/>
      <c r="NKN42" s="3281"/>
      <c r="NKO42" s="3281"/>
      <c r="NKP42" s="3281"/>
      <c r="NKQ42" s="3281"/>
      <c r="NKR42" s="3281"/>
      <c r="NKS42" s="3281"/>
      <c r="NKT42" s="3281"/>
      <c r="NKU42" s="3281"/>
      <c r="NKV42" s="3281"/>
      <c r="NKW42" s="3281"/>
      <c r="NKX42" s="3281"/>
      <c r="NKY42" s="3281"/>
      <c r="NKZ42" s="3281"/>
      <c r="NLA42" s="3281"/>
      <c r="NLB42" s="3281"/>
      <c r="NLC42" s="3281"/>
      <c r="NLD42" s="3281"/>
      <c r="NLE42" s="3281"/>
      <c r="NLF42" s="3281"/>
      <c r="NLG42" s="3281"/>
      <c r="NLH42" s="3281"/>
      <c r="NLI42" s="3281"/>
      <c r="NLJ42" s="3281"/>
      <c r="NLK42" s="3281"/>
      <c r="NLL42" s="3281"/>
      <c r="NLM42" s="3281"/>
      <c r="NLN42" s="3281"/>
      <c r="NLO42" s="3281"/>
      <c r="NLP42" s="3281"/>
      <c r="NLQ42" s="3281"/>
      <c r="NLR42" s="3281"/>
      <c r="NLS42" s="3281"/>
      <c r="NLT42" s="3281"/>
      <c r="NLU42" s="3281"/>
      <c r="NLV42" s="3281"/>
      <c r="NLW42" s="3281"/>
      <c r="NLX42" s="3281"/>
      <c r="NLY42" s="3281"/>
      <c r="NLZ42" s="3281"/>
      <c r="NMA42" s="3281"/>
      <c r="NMB42" s="3281"/>
      <c r="NMC42" s="3281"/>
      <c r="NMD42" s="3281"/>
      <c r="NME42" s="3281"/>
      <c r="NMF42" s="3281"/>
      <c r="NMG42" s="3281"/>
      <c r="NMH42" s="3281"/>
      <c r="NMI42" s="3281"/>
      <c r="NMJ42" s="3281"/>
      <c r="NMK42" s="3281"/>
      <c r="NML42" s="3281"/>
      <c r="NMM42" s="3281"/>
      <c r="NMN42" s="3281"/>
      <c r="NMO42" s="3281"/>
      <c r="NMP42" s="3281"/>
      <c r="NMQ42" s="3281"/>
      <c r="NMR42" s="3281"/>
      <c r="NMS42" s="3281"/>
      <c r="NMT42" s="3281"/>
      <c r="NMU42" s="3281"/>
      <c r="NMV42" s="3281"/>
      <c r="NMW42" s="3281"/>
      <c r="NMX42" s="3281"/>
      <c r="NMY42" s="3281"/>
      <c r="NMZ42" s="3281"/>
      <c r="NNA42" s="3281"/>
      <c r="NNB42" s="3281"/>
      <c r="NNC42" s="3281"/>
      <c r="NND42" s="3281"/>
      <c r="NNE42" s="3281"/>
      <c r="NNF42" s="3281"/>
      <c r="NNG42" s="3281"/>
      <c r="NNH42" s="3281"/>
      <c r="NNI42" s="3281"/>
      <c r="NNJ42" s="3281"/>
      <c r="NNK42" s="3281"/>
      <c r="NNL42" s="3281"/>
      <c r="NNM42" s="3281"/>
      <c r="NNN42" s="3281"/>
      <c r="NNO42" s="3281"/>
      <c r="NNP42" s="3281"/>
      <c r="NNQ42" s="3281"/>
      <c r="NNR42" s="3281"/>
      <c r="NNS42" s="3281"/>
      <c r="NNT42" s="3281"/>
      <c r="NNU42" s="3281"/>
      <c r="NNV42" s="3281"/>
      <c r="NNW42" s="3281"/>
      <c r="NNX42" s="3281"/>
      <c r="NNY42" s="3281"/>
      <c r="NNZ42" s="3281"/>
      <c r="NOA42" s="3281"/>
      <c r="NOB42" s="3281"/>
      <c r="NOC42" s="3281"/>
      <c r="NOD42" s="3281"/>
      <c r="NOE42" s="3281"/>
      <c r="NOF42" s="3281"/>
      <c r="NOG42" s="3281"/>
      <c r="NOH42" s="3281"/>
      <c r="NOI42" s="3281"/>
      <c r="NOJ42" s="3281"/>
      <c r="NOK42" s="3281"/>
      <c r="NOL42" s="3281"/>
      <c r="NOM42" s="3281"/>
      <c r="NON42" s="3281"/>
      <c r="NOO42" s="3281"/>
      <c r="NOP42" s="3281"/>
      <c r="NOQ42" s="3281"/>
      <c r="NOR42" s="3281"/>
      <c r="NOS42" s="3281"/>
      <c r="NOT42" s="3281"/>
      <c r="NOU42" s="3281"/>
      <c r="NOV42" s="3281"/>
      <c r="NOW42" s="3281"/>
      <c r="NOX42" s="3281"/>
      <c r="NOY42" s="3281"/>
      <c r="NOZ42" s="3281"/>
      <c r="NPA42" s="3281"/>
      <c r="NPB42" s="3281"/>
      <c r="NPC42" s="3281"/>
      <c r="NPD42" s="3281"/>
      <c r="NPE42" s="3281"/>
      <c r="NPF42" s="3281"/>
      <c r="NPG42" s="3281"/>
      <c r="NPH42" s="3281"/>
      <c r="NPI42" s="3281"/>
      <c r="NPJ42" s="3281"/>
      <c r="NPK42" s="3281"/>
      <c r="NPL42" s="3281"/>
      <c r="NPM42" s="3281"/>
      <c r="NPN42" s="3281"/>
      <c r="NPO42" s="3281"/>
      <c r="NPP42" s="3281"/>
      <c r="NPQ42" s="3281"/>
      <c r="NPR42" s="3281"/>
      <c r="NPS42" s="3281"/>
      <c r="NPT42" s="3281"/>
      <c r="NPU42" s="3281"/>
      <c r="NPV42" s="3281"/>
      <c r="NPW42" s="3281"/>
      <c r="NPX42" s="3281"/>
      <c r="NPY42" s="3281"/>
      <c r="NPZ42" s="3281"/>
      <c r="NQA42" s="3281"/>
      <c r="NQB42" s="3281"/>
      <c r="NQC42" s="3281"/>
      <c r="NQD42" s="3281"/>
      <c r="NQE42" s="3281"/>
      <c r="NQF42" s="3281"/>
      <c r="NQG42" s="3281"/>
      <c r="NQH42" s="3281"/>
      <c r="NQI42" s="3281"/>
      <c r="NQJ42" s="3281"/>
      <c r="NQK42" s="3281"/>
      <c r="NQL42" s="3281"/>
      <c r="NQM42" s="3281"/>
      <c r="NQN42" s="3281"/>
      <c r="NQO42" s="3281"/>
      <c r="NQP42" s="3281"/>
      <c r="NQQ42" s="3281"/>
      <c r="NQR42" s="3281"/>
      <c r="NQS42" s="3281"/>
      <c r="NQT42" s="3281"/>
      <c r="NQU42" s="3281"/>
      <c r="NQV42" s="3281"/>
      <c r="NQW42" s="3281"/>
      <c r="NQX42" s="3281"/>
      <c r="NQY42" s="3281"/>
      <c r="NQZ42" s="3281"/>
      <c r="NRA42" s="3281"/>
      <c r="NRB42" s="3281"/>
      <c r="NRC42" s="3281"/>
      <c r="NRD42" s="3281"/>
      <c r="NRE42" s="3281"/>
      <c r="NRF42" s="3281"/>
      <c r="NRG42" s="3281"/>
      <c r="NRH42" s="3281"/>
      <c r="NRI42" s="3281"/>
      <c r="NRJ42" s="3281"/>
      <c r="NRK42" s="3281"/>
      <c r="NRL42" s="3281"/>
      <c r="NRM42" s="3281"/>
      <c r="NRN42" s="3281"/>
      <c r="NRO42" s="3281"/>
      <c r="NRP42" s="3281"/>
      <c r="NRQ42" s="3281"/>
      <c r="NRR42" s="3281"/>
      <c r="NRS42" s="3281"/>
      <c r="NRT42" s="3281"/>
      <c r="NRU42" s="3281"/>
      <c r="NRV42" s="3281"/>
      <c r="NRW42" s="3281"/>
      <c r="NRX42" s="3281"/>
      <c r="NRY42" s="3281"/>
      <c r="NRZ42" s="3281"/>
      <c r="NSA42" s="3281"/>
      <c r="NSB42" s="3281"/>
      <c r="NSC42" s="3281"/>
      <c r="NSD42" s="3281"/>
      <c r="NSE42" s="3281"/>
      <c r="NSF42" s="3281"/>
      <c r="NSG42" s="3281"/>
      <c r="NSH42" s="3281"/>
      <c r="NSI42" s="3281"/>
      <c r="NSJ42" s="3281"/>
      <c r="NSK42" s="3281"/>
      <c r="NSL42" s="3281"/>
      <c r="NSM42" s="3281"/>
      <c r="NSN42" s="3281"/>
      <c r="NSO42" s="3281"/>
      <c r="NSP42" s="3281"/>
      <c r="NSQ42" s="3281"/>
      <c r="NSR42" s="3281"/>
      <c r="NSS42" s="3281"/>
      <c r="NST42" s="3281"/>
      <c r="NSU42" s="3281"/>
      <c r="NSV42" s="3281"/>
      <c r="NSW42" s="3281"/>
      <c r="NSX42" s="3281"/>
      <c r="NSY42" s="3281"/>
      <c r="NSZ42" s="3281"/>
      <c r="NTA42" s="3281"/>
      <c r="NTB42" s="3281"/>
      <c r="NTC42" s="3281"/>
      <c r="NTD42" s="3281"/>
      <c r="NTE42" s="3281"/>
      <c r="NTF42" s="3281"/>
      <c r="NTG42" s="3281"/>
      <c r="NTH42" s="3281"/>
      <c r="NTI42" s="3281"/>
      <c r="NTJ42" s="3281"/>
      <c r="NTK42" s="3281"/>
      <c r="NTL42" s="3281"/>
      <c r="NTM42" s="3281"/>
      <c r="NTN42" s="3281"/>
      <c r="NTO42" s="3281"/>
      <c r="NTP42" s="3281"/>
      <c r="NTQ42" s="3281"/>
      <c r="NTR42" s="3281"/>
      <c r="NTS42" s="3281"/>
      <c r="NTT42" s="3281"/>
      <c r="NTU42" s="3281"/>
      <c r="NTV42" s="3281"/>
      <c r="NTW42" s="3281"/>
      <c r="NTX42" s="3281"/>
      <c r="NTY42" s="3281"/>
      <c r="NTZ42" s="3281"/>
      <c r="NUA42" s="3281"/>
      <c r="NUB42" s="3281"/>
      <c r="NUC42" s="3281"/>
      <c r="NUD42" s="3281"/>
      <c r="NUE42" s="3281"/>
      <c r="NUF42" s="3281"/>
      <c r="NUG42" s="3281"/>
      <c r="NUH42" s="3281"/>
      <c r="NUI42" s="3281"/>
      <c r="NUJ42" s="3281"/>
      <c r="NUK42" s="3281"/>
      <c r="NUL42" s="3281"/>
      <c r="NUM42" s="3281"/>
      <c r="NUN42" s="3281"/>
      <c r="NUO42" s="3281"/>
      <c r="NUP42" s="3281"/>
      <c r="NUQ42" s="3281"/>
      <c r="NUR42" s="3281"/>
      <c r="NUS42" s="3281"/>
      <c r="NUT42" s="3281"/>
      <c r="NUU42" s="3281"/>
      <c r="NUV42" s="3281"/>
      <c r="NUW42" s="3281"/>
      <c r="NUX42" s="3281"/>
      <c r="NUY42" s="3281"/>
      <c r="NUZ42" s="3281"/>
      <c r="NVA42" s="3281"/>
      <c r="NVB42" s="3281"/>
      <c r="NVC42" s="3281"/>
      <c r="NVD42" s="3281"/>
      <c r="NVE42" s="3281"/>
      <c r="NVF42" s="3281"/>
      <c r="NVG42" s="3281"/>
      <c r="NVH42" s="3281"/>
      <c r="NVI42" s="3281"/>
      <c r="NVJ42" s="3281"/>
      <c r="NVK42" s="3281"/>
      <c r="NVL42" s="3281"/>
      <c r="NVM42" s="3281"/>
      <c r="NVN42" s="3281"/>
      <c r="NVO42" s="3281"/>
      <c r="NVP42" s="3281"/>
      <c r="NVQ42" s="3281"/>
      <c r="NVR42" s="3281"/>
      <c r="NVS42" s="3281"/>
      <c r="NVT42" s="3281"/>
      <c r="NVU42" s="3281"/>
      <c r="NVV42" s="3281"/>
      <c r="NVW42" s="3281"/>
      <c r="NVX42" s="3281"/>
      <c r="NVY42" s="3281"/>
      <c r="NVZ42" s="3281"/>
      <c r="NWA42" s="3281"/>
      <c r="NWB42" s="3281"/>
      <c r="NWC42" s="3281"/>
      <c r="NWD42" s="3281"/>
      <c r="NWE42" s="3281"/>
      <c r="NWF42" s="3281"/>
      <c r="NWG42" s="3281"/>
      <c r="NWH42" s="3281"/>
      <c r="NWI42" s="3281"/>
      <c r="NWJ42" s="3281"/>
      <c r="NWK42" s="3281"/>
      <c r="NWL42" s="3281"/>
      <c r="NWM42" s="3281"/>
      <c r="NWN42" s="3281"/>
      <c r="NWO42" s="3281"/>
      <c r="NWP42" s="3281"/>
      <c r="NWQ42" s="3281"/>
      <c r="NWR42" s="3281"/>
      <c r="NWS42" s="3281"/>
      <c r="NWT42" s="3281"/>
      <c r="NWU42" s="3281"/>
      <c r="NWV42" s="3281"/>
      <c r="NWW42" s="3281"/>
      <c r="NWX42" s="3281"/>
      <c r="NWY42" s="3281"/>
      <c r="NWZ42" s="3281"/>
      <c r="NXA42" s="3281"/>
      <c r="NXB42" s="3281"/>
      <c r="NXC42" s="3281"/>
      <c r="NXD42" s="3281"/>
      <c r="NXE42" s="3281"/>
      <c r="NXF42" s="3281"/>
      <c r="NXG42" s="3281"/>
      <c r="NXH42" s="3281"/>
      <c r="NXI42" s="3281"/>
      <c r="NXJ42" s="3281"/>
      <c r="NXK42" s="3281"/>
      <c r="NXL42" s="3281"/>
      <c r="NXM42" s="3281"/>
      <c r="NXN42" s="3281"/>
      <c r="NXO42" s="3281"/>
      <c r="NXP42" s="3281"/>
      <c r="NXQ42" s="3281"/>
      <c r="NXR42" s="3281"/>
      <c r="NXS42" s="3281"/>
      <c r="NXT42" s="3281"/>
      <c r="NXU42" s="3281"/>
      <c r="NXV42" s="3281"/>
      <c r="NXW42" s="3281"/>
      <c r="NXX42" s="3281"/>
      <c r="NXY42" s="3281"/>
      <c r="NXZ42" s="3281"/>
      <c r="NYA42" s="3281"/>
      <c r="NYB42" s="3281"/>
      <c r="NYC42" s="3281"/>
      <c r="NYD42" s="3281"/>
      <c r="NYE42" s="3281"/>
      <c r="NYF42" s="3281"/>
      <c r="NYG42" s="3281"/>
      <c r="NYH42" s="3281"/>
      <c r="NYI42" s="3281"/>
      <c r="NYJ42" s="3281"/>
      <c r="NYK42" s="3281"/>
      <c r="NYL42" s="3281"/>
      <c r="NYM42" s="3281"/>
      <c r="NYN42" s="3281"/>
      <c r="NYO42" s="3281"/>
      <c r="NYP42" s="3281"/>
      <c r="NYQ42" s="3281"/>
      <c r="NYR42" s="3281"/>
      <c r="NYS42" s="3281"/>
      <c r="NYT42" s="3281"/>
      <c r="NYU42" s="3281"/>
      <c r="NYV42" s="3281"/>
      <c r="NYW42" s="3281"/>
      <c r="NYX42" s="3281"/>
      <c r="NYY42" s="3281"/>
      <c r="NYZ42" s="3281"/>
      <c r="NZA42" s="3281"/>
      <c r="NZB42" s="3281"/>
      <c r="NZC42" s="3281"/>
      <c r="NZD42" s="3281"/>
      <c r="NZE42" s="3281"/>
      <c r="NZF42" s="3281"/>
      <c r="NZG42" s="3281"/>
      <c r="NZH42" s="3281"/>
      <c r="NZI42" s="3281"/>
      <c r="NZJ42" s="3281"/>
      <c r="NZK42" s="3281"/>
      <c r="NZL42" s="3281"/>
      <c r="NZM42" s="3281"/>
      <c r="NZN42" s="3281"/>
      <c r="NZO42" s="3281"/>
      <c r="NZP42" s="3281"/>
      <c r="NZQ42" s="3281"/>
      <c r="NZR42" s="3281"/>
      <c r="NZS42" s="3281"/>
      <c r="NZT42" s="3281"/>
      <c r="NZU42" s="3281"/>
      <c r="NZV42" s="3281"/>
      <c r="NZW42" s="3281"/>
      <c r="NZX42" s="3281"/>
      <c r="NZY42" s="3281"/>
      <c r="NZZ42" s="3281"/>
      <c r="OAA42" s="3281"/>
      <c r="OAB42" s="3281"/>
      <c r="OAC42" s="3281"/>
      <c r="OAD42" s="3281"/>
      <c r="OAE42" s="3281"/>
      <c r="OAF42" s="3281"/>
      <c r="OAG42" s="3281"/>
      <c r="OAH42" s="3281"/>
      <c r="OAI42" s="3281"/>
      <c r="OAJ42" s="3281"/>
      <c r="OAK42" s="3281"/>
      <c r="OAL42" s="3281"/>
      <c r="OAM42" s="3281"/>
      <c r="OAN42" s="3281"/>
      <c r="OAO42" s="3281"/>
      <c r="OAP42" s="3281"/>
      <c r="OAQ42" s="3281"/>
      <c r="OAR42" s="3281"/>
      <c r="OAS42" s="3281"/>
      <c r="OAT42" s="3281"/>
      <c r="OAU42" s="3281"/>
      <c r="OAV42" s="3281"/>
      <c r="OAW42" s="3281"/>
      <c r="OAX42" s="3281"/>
      <c r="OAY42" s="3281"/>
      <c r="OAZ42" s="3281"/>
      <c r="OBA42" s="3281"/>
      <c r="OBB42" s="3281"/>
      <c r="OBC42" s="3281"/>
      <c r="OBD42" s="3281"/>
      <c r="OBE42" s="3281"/>
      <c r="OBF42" s="3281"/>
      <c r="OBG42" s="3281"/>
      <c r="OBH42" s="3281"/>
      <c r="OBI42" s="3281"/>
      <c r="OBJ42" s="3281"/>
      <c r="OBK42" s="3281"/>
      <c r="OBL42" s="3281"/>
      <c r="OBM42" s="3281"/>
      <c r="OBN42" s="3281"/>
      <c r="OBO42" s="3281"/>
      <c r="OBP42" s="3281"/>
      <c r="OBQ42" s="3281"/>
      <c r="OBR42" s="3281"/>
      <c r="OBS42" s="3281"/>
      <c r="OBT42" s="3281"/>
      <c r="OBU42" s="3281"/>
      <c r="OBV42" s="3281"/>
      <c r="OBW42" s="3281"/>
      <c r="OBX42" s="3281"/>
      <c r="OBY42" s="3281"/>
      <c r="OBZ42" s="3281"/>
      <c r="OCA42" s="3281"/>
      <c r="OCB42" s="3281"/>
      <c r="OCC42" s="3281"/>
      <c r="OCD42" s="3281"/>
      <c r="OCE42" s="3281"/>
      <c r="OCF42" s="3281"/>
      <c r="OCG42" s="3281"/>
      <c r="OCH42" s="3281"/>
      <c r="OCI42" s="3281"/>
      <c r="OCJ42" s="3281"/>
      <c r="OCK42" s="3281"/>
      <c r="OCL42" s="3281"/>
      <c r="OCM42" s="3281"/>
      <c r="OCN42" s="3281"/>
      <c r="OCO42" s="3281"/>
      <c r="OCP42" s="3281"/>
      <c r="OCQ42" s="3281"/>
      <c r="OCR42" s="3281"/>
      <c r="OCS42" s="3281"/>
      <c r="OCT42" s="3281"/>
      <c r="OCU42" s="3281"/>
      <c r="OCV42" s="3281"/>
      <c r="OCW42" s="3281"/>
      <c r="OCX42" s="3281"/>
      <c r="OCY42" s="3281"/>
      <c r="OCZ42" s="3281"/>
      <c r="ODA42" s="3281"/>
      <c r="ODB42" s="3281"/>
      <c r="ODC42" s="3281"/>
      <c r="ODD42" s="3281"/>
      <c r="ODE42" s="3281"/>
      <c r="ODF42" s="3281"/>
      <c r="ODG42" s="3281"/>
      <c r="ODH42" s="3281"/>
      <c r="ODI42" s="3281"/>
      <c r="ODJ42" s="3281"/>
      <c r="ODK42" s="3281"/>
      <c r="ODL42" s="3281"/>
      <c r="ODM42" s="3281"/>
      <c r="ODN42" s="3281"/>
      <c r="ODO42" s="3281"/>
      <c r="ODP42" s="3281"/>
      <c r="ODQ42" s="3281"/>
      <c r="ODR42" s="3281"/>
      <c r="ODS42" s="3281"/>
      <c r="ODT42" s="3281"/>
      <c r="ODU42" s="3281"/>
      <c r="ODV42" s="3281"/>
      <c r="ODW42" s="3281"/>
      <c r="ODX42" s="3281"/>
      <c r="ODY42" s="3281"/>
      <c r="ODZ42" s="3281"/>
      <c r="OEA42" s="3281"/>
      <c r="OEB42" s="3281"/>
      <c r="OEC42" s="3281"/>
      <c r="OED42" s="3281"/>
      <c r="OEE42" s="3281"/>
      <c r="OEF42" s="3281"/>
      <c r="OEG42" s="3281"/>
      <c r="OEH42" s="3281"/>
      <c r="OEI42" s="3281"/>
      <c r="OEJ42" s="3281"/>
      <c r="OEK42" s="3281"/>
      <c r="OEL42" s="3281"/>
      <c r="OEM42" s="3281"/>
      <c r="OEN42" s="3281"/>
      <c r="OEO42" s="3281"/>
      <c r="OEP42" s="3281"/>
      <c r="OEQ42" s="3281"/>
      <c r="OER42" s="3281"/>
      <c r="OES42" s="3281"/>
      <c r="OET42" s="3281"/>
      <c r="OEU42" s="3281"/>
      <c r="OEV42" s="3281"/>
      <c r="OEW42" s="3281"/>
      <c r="OEX42" s="3281"/>
      <c r="OEY42" s="3281"/>
      <c r="OEZ42" s="3281"/>
      <c r="OFA42" s="3281"/>
      <c r="OFB42" s="3281"/>
      <c r="OFC42" s="3281"/>
      <c r="OFD42" s="3281"/>
      <c r="OFE42" s="3281"/>
      <c r="OFF42" s="3281"/>
      <c r="OFG42" s="3281"/>
      <c r="OFH42" s="3281"/>
      <c r="OFI42" s="3281"/>
      <c r="OFJ42" s="3281"/>
      <c r="OFK42" s="3281"/>
      <c r="OFL42" s="3281"/>
      <c r="OFM42" s="3281"/>
      <c r="OFN42" s="3281"/>
      <c r="OFO42" s="3281"/>
      <c r="OFP42" s="3281"/>
      <c r="OFQ42" s="3281"/>
      <c r="OFR42" s="3281"/>
      <c r="OFS42" s="3281"/>
      <c r="OFT42" s="3281"/>
      <c r="OFU42" s="3281"/>
      <c r="OFV42" s="3281"/>
      <c r="OFW42" s="3281"/>
      <c r="OFX42" s="3281"/>
      <c r="OFY42" s="3281"/>
      <c r="OFZ42" s="3281"/>
      <c r="OGA42" s="3281"/>
      <c r="OGB42" s="3281"/>
      <c r="OGC42" s="3281"/>
      <c r="OGD42" s="3281"/>
      <c r="OGE42" s="3281"/>
      <c r="OGF42" s="3281"/>
      <c r="OGG42" s="3281"/>
      <c r="OGH42" s="3281"/>
      <c r="OGI42" s="3281"/>
      <c r="OGJ42" s="3281"/>
      <c r="OGK42" s="3281"/>
      <c r="OGL42" s="3281"/>
      <c r="OGM42" s="3281"/>
      <c r="OGN42" s="3281"/>
      <c r="OGO42" s="3281"/>
      <c r="OGP42" s="3281"/>
      <c r="OGQ42" s="3281"/>
      <c r="OGR42" s="3281"/>
      <c r="OGS42" s="3281"/>
      <c r="OGT42" s="3281"/>
      <c r="OGU42" s="3281"/>
      <c r="OGV42" s="3281"/>
      <c r="OGW42" s="3281"/>
      <c r="OGX42" s="3281"/>
      <c r="OGY42" s="3281"/>
      <c r="OGZ42" s="3281"/>
      <c r="OHA42" s="3281"/>
      <c r="OHB42" s="3281"/>
      <c r="OHC42" s="3281"/>
      <c r="OHD42" s="3281"/>
      <c r="OHE42" s="3281"/>
      <c r="OHF42" s="3281"/>
      <c r="OHG42" s="3281"/>
      <c r="OHH42" s="3281"/>
      <c r="OHI42" s="3281"/>
      <c r="OHJ42" s="3281"/>
      <c r="OHK42" s="3281"/>
      <c r="OHL42" s="3281"/>
      <c r="OHM42" s="3281"/>
      <c r="OHN42" s="3281"/>
      <c r="OHO42" s="3281"/>
      <c r="OHP42" s="3281"/>
      <c r="OHQ42" s="3281"/>
      <c r="OHR42" s="3281"/>
      <c r="OHS42" s="3281"/>
      <c r="OHT42" s="3281"/>
      <c r="OHU42" s="3281"/>
      <c r="OHV42" s="3281"/>
      <c r="OHW42" s="3281"/>
      <c r="OHX42" s="3281"/>
      <c r="OHY42" s="3281"/>
      <c r="OHZ42" s="3281"/>
      <c r="OIA42" s="3281"/>
      <c r="OIB42" s="3281"/>
      <c r="OIC42" s="3281"/>
      <c r="OID42" s="3281"/>
      <c r="OIE42" s="3281"/>
      <c r="OIF42" s="3281"/>
      <c r="OIG42" s="3281"/>
      <c r="OIH42" s="3281"/>
      <c r="OII42" s="3281"/>
      <c r="OIJ42" s="3281"/>
      <c r="OIK42" s="3281"/>
      <c r="OIL42" s="3281"/>
      <c r="OIM42" s="3281"/>
      <c r="OIN42" s="3281"/>
      <c r="OIO42" s="3281"/>
      <c r="OIP42" s="3281"/>
      <c r="OIQ42" s="3281"/>
      <c r="OIR42" s="3281"/>
      <c r="OIS42" s="3281"/>
      <c r="OIT42" s="3281"/>
      <c r="OIU42" s="3281"/>
      <c r="OIV42" s="3281"/>
      <c r="OIW42" s="3281"/>
      <c r="OIX42" s="3281"/>
      <c r="OIY42" s="3281"/>
      <c r="OIZ42" s="3281"/>
      <c r="OJA42" s="3281"/>
      <c r="OJB42" s="3281"/>
      <c r="OJC42" s="3281"/>
      <c r="OJD42" s="3281"/>
      <c r="OJE42" s="3281"/>
      <c r="OJF42" s="3281"/>
      <c r="OJG42" s="3281"/>
      <c r="OJH42" s="3281"/>
      <c r="OJI42" s="3281"/>
      <c r="OJJ42" s="3281"/>
      <c r="OJK42" s="3281"/>
      <c r="OJL42" s="3281"/>
      <c r="OJM42" s="3281"/>
      <c r="OJN42" s="3281"/>
      <c r="OJO42" s="3281"/>
      <c r="OJP42" s="3281"/>
      <c r="OJQ42" s="3281"/>
      <c r="OJR42" s="3281"/>
      <c r="OJS42" s="3281"/>
      <c r="OJT42" s="3281"/>
      <c r="OJU42" s="3281"/>
      <c r="OJV42" s="3281"/>
      <c r="OJW42" s="3281"/>
      <c r="OJX42" s="3281"/>
      <c r="OJY42" s="3281"/>
      <c r="OJZ42" s="3281"/>
      <c r="OKA42" s="3281"/>
      <c r="OKB42" s="3281"/>
      <c r="OKC42" s="3281"/>
      <c r="OKD42" s="3281"/>
      <c r="OKE42" s="3281"/>
      <c r="OKF42" s="3281"/>
      <c r="OKG42" s="3281"/>
      <c r="OKH42" s="3281"/>
      <c r="OKI42" s="3281"/>
      <c r="OKJ42" s="3281"/>
      <c r="OKK42" s="3281"/>
      <c r="OKL42" s="3281"/>
      <c r="OKM42" s="3281"/>
      <c r="OKN42" s="3281"/>
      <c r="OKO42" s="3281"/>
      <c r="OKP42" s="3281"/>
      <c r="OKQ42" s="3281"/>
      <c r="OKR42" s="3281"/>
      <c r="OKS42" s="3281"/>
      <c r="OKT42" s="3281"/>
      <c r="OKU42" s="3281"/>
      <c r="OKV42" s="3281"/>
      <c r="OKW42" s="3281"/>
      <c r="OKX42" s="3281"/>
      <c r="OKY42" s="3281"/>
      <c r="OKZ42" s="3281"/>
      <c r="OLA42" s="3281"/>
      <c r="OLB42" s="3281"/>
      <c r="OLC42" s="3281"/>
      <c r="OLD42" s="3281"/>
      <c r="OLE42" s="3281"/>
      <c r="OLF42" s="3281"/>
      <c r="OLG42" s="3281"/>
      <c r="OLH42" s="3281"/>
      <c r="OLI42" s="3281"/>
      <c r="OLJ42" s="3281"/>
      <c r="OLK42" s="3281"/>
      <c r="OLL42" s="3281"/>
      <c r="OLM42" s="3281"/>
      <c r="OLN42" s="3281"/>
      <c r="OLO42" s="3281"/>
      <c r="OLP42" s="3281"/>
      <c r="OLQ42" s="3281"/>
      <c r="OLR42" s="3281"/>
      <c r="OLS42" s="3281"/>
      <c r="OLT42" s="3281"/>
      <c r="OLU42" s="3281"/>
      <c r="OLV42" s="3281"/>
      <c r="OLW42" s="3281"/>
      <c r="OLX42" s="3281"/>
      <c r="OLY42" s="3281"/>
      <c r="OLZ42" s="3281"/>
      <c r="OMA42" s="3281"/>
      <c r="OMB42" s="3281"/>
      <c r="OMC42" s="3281"/>
      <c r="OMD42" s="3281"/>
      <c r="OME42" s="3281"/>
      <c r="OMF42" s="3281"/>
      <c r="OMG42" s="3281"/>
      <c r="OMH42" s="3281"/>
      <c r="OMI42" s="3281"/>
      <c r="OMJ42" s="3281"/>
      <c r="OMK42" s="3281"/>
      <c r="OML42" s="3281"/>
      <c r="OMM42" s="3281"/>
      <c r="OMN42" s="3281"/>
      <c r="OMO42" s="3281"/>
      <c r="OMP42" s="3281"/>
      <c r="OMQ42" s="3281"/>
      <c r="OMR42" s="3281"/>
      <c r="OMS42" s="3281"/>
      <c r="OMT42" s="3281"/>
      <c r="OMU42" s="3281"/>
      <c r="OMV42" s="3281"/>
      <c r="OMW42" s="3281"/>
      <c r="OMX42" s="3281"/>
      <c r="OMY42" s="3281"/>
      <c r="OMZ42" s="3281"/>
      <c r="ONA42" s="3281"/>
      <c r="ONB42" s="3281"/>
      <c r="ONC42" s="3281"/>
      <c r="OND42" s="3281"/>
      <c r="ONE42" s="3281"/>
      <c r="ONF42" s="3281"/>
      <c r="ONG42" s="3281"/>
      <c r="ONH42" s="3281"/>
      <c r="ONI42" s="3281"/>
      <c r="ONJ42" s="3281"/>
      <c r="ONK42" s="3281"/>
      <c r="ONL42" s="3281"/>
      <c r="ONM42" s="3281"/>
      <c r="ONN42" s="3281"/>
      <c r="ONO42" s="3281"/>
      <c r="ONP42" s="3281"/>
      <c r="ONQ42" s="3281"/>
      <c r="ONR42" s="3281"/>
      <c r="ONS42" s="3281"/>
      <c r="ONT42" s="3281"/>
      <c r="ONU42" s="3281"/>
      <c r="ONV42" s="3281"/>
      <c r="ONW42" s="3281"/>
      <c r="ONX42" s="3281"/>
      <c r="ONY42" s="3281"/>
      <c r="ONZ42" s="3281"/>
      <c r="OOA42" s="3281"/>
      <c r="OOB42" s="3281"/>
      <c r="OOC42" s="3281"/>
      <c r="OOD42" s="3281"/>
      <c r="OOE42" s="3281"/>
      <c r="OOF42" s="3281"/>
      <c r="OOG42" s="3281"/>
      <c r="OOH42" s="3281"/>
      <c r="OOI42" s="3281"/>
      <c r="OOJ42" s="3281"/>
      <c r="OOK42" s="3281"/>
      <c r="OOL42" s="3281"/>
      <c r="OOM42" s="3281"/>
      <c r="OON42" s="3281"/>
      <c r="OOO42" s="3281"/>
      <c r="OOP42" s="3281"/>
      <c r="OOQ42" s="3281"/>
      <c r="OOR42" s="3281"/>
      <c r="OOS42" s="3281"/>
      <c r="OOT42" s="3281"/>
      <c r="OOU42" s="3281"/>
      <c r="OOV42" s="3281"/>
      <c r="OOW42" s="3281"/>
      <c r="OOX42" s="3281"/>
      <c r="OOY42" s="3281"/>
      <c r="OOZ42" s="3281"/>
      <c r="OPA42" s="3281"/>
      <c r="OPB42" s="3281"/>
      <c r="OPC42" s="3281"/>
      <c r="OPD42" s="3281"/>
      <c r="OPE42" s="3281"/>
      <c r="OPF42" s="3281"/>
      <c r="OPG42" s="3281"/>
      <c r="OPH42" s="3281"/>
      <c r="OPI42" s="3281"/>
      <c r="OPJ42" s="3281"/>
      <c r="OPK42" s="3281"/>
      <c r="OPL42" s="3281"/>
      <c r="OPM42" s="3281"/>
      <c r="OPN42" s="3281"/>
      <c r="OPO42" s="3281"/>
      <c r="OPP42" s="3281"/>
      <c r="OPQ42" s="3281"/>
      <c r="OPR42" s="3281"/>
      <c r="OPS42" s="3281"/>
      <c r="OPT42" s="3281"/>
      <c r="OPU42" s="3281"/>
      <c r="OPV42" s="3281"/>
      <c r="OPW42" s="3281"/>
      <c r="OPX42" s="3281"/>
      <c r="OPY42" s="3281"/>
      <c r="OPZ42" s="3281"/>
      <c r="OQA42" s="3281"/>
      <c r="OQB42" s="3281"/>
      <c r="OQC42" s="3281"/>
      <c r="OQD42" s="3281"/>
      <c r="OQE42" s="3281"/>
      <c r="OQF42" s="3281"/>
      <c r="OQG42" s="3281"/>
      <c r="OQH42" s="3281"/>
      <c r="OQI42" s="3281"/>
      <c r="OQJ42" s="3281"/>
      <c r="OQK42" s="3281"/>
      <c r="OQL42" s="3281"/>
      <c r="OQM42" s="3281"/>
      <c r="OQN42" s="3281"/>
      <c r="OQO42" s="3281"/>
      <c r="OQP42" s="3281"/>
      <c r="OQQ42" s="3281"/>
      <c r="OQR42" s="3281"/>
      <c r="OQS42" s="3281"/>
      <c r="OQT42" s="3281"/>
      <c r="OQU42" s="3281"/>
      <c r="OQV42" s="3281"/>
      <c r="OQW42" s="3281"/>
      <c r="OQX42" s="3281"/>
      <c r="OQY42" s="3281"/>
      <c r="OQZ42" s="3281"/>
      <c r="ORA42" s="3281"/>
      <c r="ORB42" s="3281"/>
      <c r="ORC42" s="3281"/>
      <c r="ORD42" s="3281"/>
      <c r="ORE42" s="3281"/>
      <c r="ORF42" s="3281"/>
      <c r="ORG42" s="3281"/>
      <c r="ORH42" s="3281"/>
      <c r="ORI42" s="3281"/>
      <c r="ORJ42" s="3281"/>
      <c r="ORK42" s="3281"/>
      <c r="ORL42" s="3281"/>
      <c r="ORM42" s="3281"/>
      <c r="ORN42" s="3281"/>
      <c r="ORO42" s="3281"/>
      <c r="ORP42" s="3281"/>
      <c r="ORQ42" s="3281"/>
      <c r="ORR42" s="3281"/>
      <c r="ORS42" s="3281"/>
      <c r="ORT42" s="3281"/>
      <c r="ORU42" s="3281"/>
      <c r="ORV42" s="3281"/>
      <c r="ORW42" s="3281"/>
      <c r="ORX42" s="3281"/>
      <c r="ORY42" s="3281"/>
      <c r="ORZ42" s="3281"/>
      <c r="OSA42" s="3281"/>
      <c r="OSB42" s="3281"/>
      <c r="OSC42" s="3281"/>
      <c r="OSD42" s="3281"/>
      <c r="OSE42" s="3281"/>
      <c r="OSF42" s="3281"/>
      <c r="OSG42" s="3281"/>
      <c r="OSH42" s="3281"/>
      <c r="OSI42" s="3281"/>
      <c r="OSJ42" s="3281"/>
      <c r="OSK42" s="3281"/>
      <c r="OSL42" s="3281"/>
      <c r="OSM42" s="3281"/>
      <c r="OSN42" s="3281"/>
      <c r="OSO42" s="3281"/>
      <c r="OSP42" s="3281"/>
      <c r="OSQ42" s="3281"/>
      <c r="OSR42" s="3281"/>
      <c r="OSS42" s="3281"/>
      <c r="OST42" s="3281"/>
      <c r="OSU42" s="3281"/>
      <c r="OSV42" s="3281"/>
      <c r="OSW42" s="3281"/>
      <c r="OSX42" s="3281"/>
      <c r="OSY42" s="3281"/>
      <c r="OSZ42" s="3281"/>
      <c r="OTA42" s="3281"/>
      <c r="OTB42" s="3281"/>
      <c r="OTC42" s="3281"/>
      <c r="OTD42" s="3281"/>
      <c r="OTE42" s="3281"/>
      <c r="OTF42" s="3281"/>
      <c r="OTG42" s="3281"/>
      <c r="OTH42" s="3281"/>
      <c r="OTI42" s="3281"/>
      <c r="OTJ42" s="3281"/>
      <c r="OTK42" s="3281"/>
      <c r="OTL42" s="3281"/>
      <c r="OTM42" s="3281"/>
      <c r="OTN42" s="3281"/>
      <c r="OTO42" s="3281"/>
      <c r="OTP42" s="3281"/>
      <c r="OTQ42" s="3281"/>
      <c r="OTR42" s="3281"/>
      <c r="OTS42" s="3281"/>
      <c r="OTT42" s="3281"/>
      <c r="OTU42" s="3281"/>
      <c r="OTV42" s="3281"/>
      <c r="OTW42" s="3281"/>
      <c r="OTX42" s="3281"/>
      <c r="OTY42" s="3281"/>
      <c r="OTZ42" s="3281"/>
      <c r="OUA42" s="3281"/>
      <c r="OUB42" s="3281"/>
      <c r="OUC42" s="3281"/>
      <c r="OUD42" s="3281"/>
      <c r="OUE42" s="3281"/>
      <c r="OUF42" s="3281"/>
      <c r="OUG42" s="3281"/>
      <c r="OUH42" s="3281"/>
      <c r="OUI42" s="3281"/>
      <c r="OUJ42" s="3281"/>
      <c r="OUK42" s="3281"/>
      <c r="OUL42" s="3281"/>
      <c r="OUM42" s="3281"/>
      <c r="OUN42" s="3281"/>
      <c r="OUO42" s="3281"/>
      <c r="OUP42" s="3281"/>
      <c r="OUQ42" s="3281"/>
      <c r="OUR42" s="3281"/>
      <c r="OUS42" s="3281"/>
      <c r="OUT42" s="3281"/>
      <c r="OUU42" s="3281"/>
      <c r="OUV42" s="3281"/>
      <c r="OUW42" s="3281"/>
      <c r="OUX42" s="3281"/>
      <c r="OUY42" s="3281"/>
      <c r="OUZ42" s="3281"/>
      <c r="OVA42" s="3281"/>
      <c r="OVB42" s="3281"/>
      <c r="OVC42" s="3281"/>
      <c r="OVD42" s="3281"/>
      <c r="OVE42" s="3281"/>
      <c r="OVF42" s="3281"/>
      <c r="OVG42" s="3281"/>
      <c r="OVH42" s="3281"/>
      <c r="OVI42" s="3281"/>
      <c r="OVJ42" s="3281"/>
      <c r="OVK42" s="3281"/>
      <c r="OVL42" s="3281"/>
      <c r="OVM42" s="3281"/>
      <c r="OVN42" s="3281"/>
      <c r="OVO42" s="3281"/>
      <c r="OVP42" s="3281"/>
      <c r="OVQ42" s="3281"/>
      <c r="OVR42" s="3281"/>
      <c r="OVS42" s="3281"/>
      <c r="OVT42" s="3281"/>
      <c r="OVU42" s="3281"/>
      <c r="OVV42" s="3281"/>
      <c r="OVW42" s="3281"/>
      <c r="OVX42" s="3281"/>
      <c r="OVY42" s="3281"/>
      <c r="OVZ42" s="3281"/>
      <c r="OWA42" s="3281"/>
      <c r="OWB42" s="3281"/>
      <c r="OWC42" s="3281"/>
      <c r="OWD42" s="3281"/>
      <c r="OWE42" s="3281"/>
      <c r="OWF42" s="3281"/>
      <c r="OWG42" s="3281"/>
      <c r="OWH42" s="3281"/>
      <c r="OWI42" s="3281"/>
      <c r="OWJ42" s="3281"/>
      <c r="OWK42" s="3281"/>
      <c r="OWL42" s="3281"/>
      <c r="OWM42" s="3281"/>
      <c r="OWN42" s="3281"/>
      <c r="OWO42" s="3281"/>
      <c r="OWP42" s="3281"/>
      <c r="OWQ42" s="3281"/>
      <c r="OWR42" s="3281"/>
      <c r="OWS42" s="3281"/>
      <c r="OWT42" s="3281"/>
      <c r="OWU42" s="3281"/>
      <c r="OWV42" s="3281"/>
      <c r="OWW42" s="3281"/>
      <c r="OWX42" s="3281"/>
      <c r="OWY42" s="3281"/>
      <c r="OWZ42" s="3281"/>
      <c r="OXA42" s="3281"/>
      <c r="OXB42" s="3281"/>
      <c r="OXC42" s="3281"/>
      <c r="OXD42" s="3281"/>
      <c r="OXE42" s="3281"/>
      <c r="OXF42" s="3281"/>
      <c r="OXG42" s="3281"/>
      <c r="OXH42" s="3281"/>
      <c r="OXI42" s="3281"/>
      <c r="OXJ42" s="3281"/>
      <c r="OXK42" s="3281"/>
      <c r="OXL42" s="3281"/>
      <c r="OXM42" s="3281"/>
      <c r="OXN42" s="3281"/>
      <c r="OXO42" s="3281"/>
      <c r="OXP42" s="3281"/>
      <c r="OXQ42" s="3281"/>
      <c r="OXR42" s="3281"/>
      <c r="OXS42" s="3281"/>
      <c r="OXT42" s="3281"/>
      <c r="OXU42" s="3281"/>
      <c r="OXV42" s="3281"/>
      <c r="OXW42" s="3281"/>
      <c r="OXX42" s="3281"/>
      <c r="OXY42" s="3281"/>
      <c r="OXZ42" s="3281"/>
      <c r="OYA42" s="3281"/>
      <c r="OYB42" s="3281"/>
      <c r="OYC42" s="3281"/>
      <c r="OYD42" s="3281"/>
      <c r="OYE42" s="3281"/>
      <c r="OYF42" s="3281"/>
      <c r="OYG42" s="3281"/>
      <c r="OYH42" s="3281"/>
      <c r="OYI42" s="3281"/>
      <c r="OYJ42" s="3281"/>
      <c r="OYK42" s="3281"/>
      <c r="OYL42" s="3281"/>
      <c r="OYM42" s="3281"/>
      <c r="OYN42" s="3281"/>
      <c r="OYO42" s="3281"/>
      <c r="OYP42" s="3281"/>
      <c r="OYQ42" s="3281"/>
      <c r="OYR42" s="3281"/>
      <c r="OYS42" s="3281"/>
      <c r="OYT42" s="3281"/>
      <c r="OYU42" s="3281"/>
      <c r="OYV42" s="3281"/>
      <c r="OYW42" s="3281"/>
      <c r="OYX42" s="3281"/>
      <c r="OYY42" s="3281"/>
      <c r="OYZ42" s="3281"/>
      <c r="OZA42" s="3281"/>
      <c r="OZB42" s="3281"/>
      <c r="OZC42" s="3281"/>
      <c r="OZD42" s="3281"/>
      <c r="OZE42" s="3281"/>
      <c r="OZF42" s="3281"/>
      <c r="OZG42" s="3281"/>
      <c r="OZH42" s="3281"/>
      <c r="OZI42" s="3281"/>
      <c r="OZJ42" s="3281"/>
      <c r="OZK42" s="3281"/>
      <c r="OZL42" s="3281"/>
      <c r="OZM42" s="3281"/>
      <c r="OZN42" s="3281"/>
      <c r="OZO42" s="3281"/>
      <c r="OZP42" s="3281"/>
      <c r="OZQ42" s="3281"/>
      <c r="OZR42" s="3281"/>
      <c r="OZS42" s="3281"/>
      <c r="OZT42" s="3281"/>
      <c r="OZU42" s="3281"/>
      <c r="OZV42" s="3281"/>
      <c r="OZW42" s="3281"/>
      <c r="OZX42" s="3281"/>
      <c r="OZY42" s="3281"/>
      <c r="OZZ42" s="3281"/>
      <c r="PAA42" s="3281"/>
      <c r="PAB42" s="3281"/>
      <c r="PAC42" s="3281"/>
      <c r="PAD42" s="3281"/>
      <c r="PAE42" s="3281"/>
      <c r="PAF42" s="3281"/>
      <c r="PAG42" s="3281"/>
      <c r="PAH42" s="3281"/>
      <c r="PAI42" s="3281"/>
      <c r="PAJ42" s="3281"/>
      <c r="PAK42" s="3281"/>
      <c r="PAL42" s="3281"/>
      <c r="PAM42" s="3281"/>
      <c r="PAN42" s="3281"/>
      <c r="PAO42" s="3281"/>
      <c r="PAP42" s="3281"/>
      <c r="PAQ42" s="3281"/>
      <c r="PAR42" s="3281"/>
      <c r="PAS42" s="3281"/>
      <c r="PAT42" s="3281"/>
      <c r="PAU42" s="3281"/>
      <c r="PAV42" s="3281"/>
      <c r="PAW42" s="3281"/>
      <c r="PAX42" s="3281"/>
      <c r="PAY42" s="3281"/>
      <c r="PAZ42" s="3281"/>
      <c r="PBA42" s="3281"/>
      <c r="PBB42" s="3281"/>
      <c r="PBC42" s="3281"/>
      <c r="PBD42" s="3281"/>
      <c r="PBE42" s="3281"/>
      <c r="PBF42" s="3281"/>
      <c r="PBG42" s="3281"/>
      <c r="PBH42" s="3281"/>
      <c r="PBI42" s="3281"/>
      <c r="PBJ42" s="3281"/>
      <c r="PBK42" s="3281"/>
      <c r="PBL42" s="3281"/>
      <c r="PBM42" s="3281"/>
      <c r="PBN42" s="3281"/>
      <c r="PBO42" s="3281"/>
      <c r="PBP42" s="3281"/>
      <c r="PBQ42" s="3281"/>
      <c r="PBR42" s="3281"/>
      <c r="PBS42" s="3281"/>
      <c r="PBT42" s="3281"/>
      <c r="PBU42" s="3281"/>
      <c r="PBV42" s="3281"/>
      <c r="PBW42" s="3281"/>
      <c r="PBX42" s="3281"/>
      <c r="PBY42" s="3281"/>
      <c r="PBZ42" s="3281"/>
      <c r="PCA42" s="3281"/>
      <c r="PCB42" s="3281"/>
      <c r="PCC42" s="3281"/>
      <c r="PCD42" s="3281"/>
      <c r="PCE42" s="3281"/>
      <c r="PCF42" s="3281"/>
      <c r="PCG42" s="3281"/>
      <c r="PCH42" s="3281"/>
      <c r="PCI42" s="3281"/>
      <c r="PCJ42" s="3281"/>
      <c r="PCK42" s="3281"/>
      <c r="PCL42" s="3281"/>
      <c r="PCM42" s="3281"/>
      <c r="PCN42" s="3281"/>
      <c r="PCO42" s="3281"/>
      <c r="PCP42" s="3281"/>
      <c r="PCQ42" s="3281"/>
      <c r="PCR42" s="3281"/>
      <c r="PCS42" s="3281"/>
      <c r="PCT42" s="3281"/>
      <c r="PCU42" s="3281"/>
      <c r="PCV42" s="3281"/>
      <c r="PCW42" s="3281"/>
      <c r="PCX42" s="3281"/>
      <c r="PCY42" s="3281"/>
      <c r="PCZ42" s="3281"/>
      <c r="PDA42" s="3281"/>
      <c r="PDB42" s="3281"/>
      <c r="PDC42" s="3281"/>
      <c r="PDD42" s="3281"/>
      <c r="PDE42" s="3281"/>
      <c r="PDF42" s="3281"/>
      <c r="PDG42" s="3281"/>
      <c r="PDH42" s="3281"/>
      <c r="PDI42" s="3281"/>
      <c r="PDJ42" s="3281"/>
      <c r="PDK42" s="3281"/>
      <c r="PDL42" s="3281"/>
      <c r="PDM42" s="3281"/>
      <c r="PDN42" s="3281"/>
      <c r="PDO42" s="3281"/>
      <c r="PDP42" s="3281"/>
      <c r="PDQ42" s="3281"/>
      <c r="PDR42" s="3281"/>
      <c r="PDS42" s="3281"/>
      <c r="PDT42" s="3281"/>
      <c r="PDU42" s="3281"/>
      <c r="PDV42" s="3281"/>
      <c r="PDW42" s="3281"/>
      <c r="PDX42" s="3281"/>
      <c r="PDY42" s="3281"/>
      <c r="PDZ42" s="3281"/>
      <c r="PEA42" s="3281"/>
      <c r="PEB42" s="3281"/>
      <c r="PEC42" s="3281"/>
      <c r="PED42" s="3281"/>
      <c r="PEE42" s="3281"/>
      <c r="PEF42" s="3281"/>
      <c r="PEG42" s="3281"/>
      <c r="PEH42" s="3281"/>
      <c r="PEI42" s="3281"/>
      <c r="PEJ42" s="3281"/>
      <c r="PEK42" s="3281"/>
      <c r="PEL42" s="3281"/>
      <c r="PEM42" s="3281"/>
      <c r="PEN42" s="3281"/>
      <c r="PEO42" s="3281"/>
      <c r="PEP42" s="3281"/>
      <c r="PEQ42" s="3281"/>
      <c r="PER42" s="3281"/>
      <c r="PES42" s="3281"/>
      <c r="PET42" s="3281"/>
      <c r="PEU42" s="3281"/>
      <c r="PEV42" s="3281"/>
      <c r="PEW42" s="3281"/>
      <c r="PEX42" s="3281"/>
      <c r="PEY42" s="3281"/>
      <c r="PEZ42" s="3281"/>
      <c r="PFA42" s="3281"/>
      <c r="PFB42" s="3281"/>
      <c r="PFC42" s="3281"/>
      <c r="PFD42" s="3281"/>
      <c r="PFE42" s="3281"/>
      <c r="PFF42" s="3281"/>
      <c r="PFG42" s="3281"/>
      <c r="PFH42" s="3281"/>
      <c r="PFI42" s="3281"/>
      <c r="PFJ42" s="3281"/>
      <c r="PFK42" s="3281"/>
      <c r="PFL42" s="3281"/>
      <c r="PFM42" s="3281"/>
      <c r="PFN42" s="3281"/>
      <c r="PFO42" s="3281"/>
      <c r="PFP42" s="3281"/>
      <c r="PFQ42" s="3281"/>
      <c r="PFR42" s="3281"/>
      <c r="PFS42" s="3281"/>
      <c r="PFT42" s="3281"/>
      <c r="PFU42" s="3281"/>
      <c r="PFV42" s="3281"/>
      <c r="PFW42" s="3281"/>
      <c r="PFX42" s="3281"/>
      <c r="PFY42" s="3281"/>
      <c r="PFZ42" s="3281"/>
      <c r="PGA42" s="3281"/>
      <c r="PGB42" s="3281"/>
      <c r="PGC42" s="3281"/>
      <c r="PGD42" s="3281"/>
      <c r="PGE42" s="3281"/>
      <c r="PGF42" s="3281"/>
      <c r="PGG42" s="3281"/>
      <c r="PGH42" s="3281"/>
      <c r="PGI42" s="3281"/>
      <c r="PGJ42" s="3281"/>
      <c r="PGK42" s="3281"/>
      <c r="PGL42" s="3281"/>
      <c r="PGM42" s="3281"/>
      <c r="PGN42" s="3281"/>
      <c r="PGO42" s="3281"/>
      <c r="PGP42" s="3281"/>
      <c r="PGQ42" s="3281"/>
      <c r="PGR42" s="3281"/>
      <c r="PGS42" s="3281"/>
      <c r="PGT42" s="3281"/>
      <c r="PGU42" s="3281"/>
      <c r="PGV42" s="3281"/>
      <c r="PGW42" s="3281"/>
      <c r="PGX42" s="3281"/>
      <c r="PGY42" s="3281"/>
      <c r="PGZ42" s="3281"/>
      <c r="PHA42" s="3281"/>
      <c r="PHB42" s="3281"/>
      <c r="PHC42" s="3281"/>
      <c r="PHD42" s="3281"/>
      <c r="PHE42" s="3281"/>
      <c r="PHF42" s="3281"/>
      <c r="PHG42" s="3281"/>
      <c r="PHH42" s="3281"/>
      <c r="PHI42" s="3281"/>
      <c r="PHJ42" s="3281"/>
      <c r="PHK42" s="3281"/>
      <c r="PHL42" s="3281"/>
      <c r="PHM42" s="3281"/>
      <c r="PHN42" s="3281"/>
      <c r="PHO42" s="3281"/>
      <c r="PHP42" s="3281"/>
      <c r="PHQ42" s="3281"/>
      <c r="PHR42" s="3281"/>
      <c r="PHS42" s="3281"/>
      <c r="PHT42" s="3281"/>
      <c r="PHU42" s="3281"/>
      <c r="PHV42" s="3281"/>
      <c r="PHW42" s="3281"/>
      <c r="PHX42" s="3281"/>
      <c r="PHY42" s="3281"/>
      <c r="PHZ42" s="3281"/>
      <c r="PIA42" s="3281"/>
      <c r="PIB42" s="3281"/>
      <c r="PIC42" s="3281"/>
      <c r="PID42" s="3281"/>
      <c r="PIE42" s="3281"/>
      <c r="PIF42" s="3281"/>
      <c r="PIG42" s="3281"/>
      <c r="PIH42" s="3281"/>
      <c r="PII42" s="3281"/>
      <c r="PIJ42" s="3281"/>
      <c r="PIK42" s="3281"/>
      <c r="PIL42" s="3281"/>
      <c r="PIM42" s="3281"/>
      <c r="PIN42" s="3281"/>
      <c r="PIO42" s="3281"/>
      <c r="PIP42" s="3281"/>
      <c r="PIQ42" s="3281"/>
      <c r="PIR42" s="3281"/>
      <c r="PIS42" s="3281"/>
      <c r="PIT42" s="3281"/>
      <c r="PIU42" s="3281"/>
      <c r="PIV42" s="3281"/>
      <c r="PIW42" s="3281"/>
      <c r="PIX42" s="3281"/>
      <c r="PIY42" s="3281"/>
      <c r="PIZ42" s="3281"/>
      <c r="PJA42" s="3281"/>
      <c r="PJB42" s="3281"/>
      <c r="PJC42" s="3281"/>
      <c r="PJD42" s="3281"/>
      <c r="PJE42" s="3281"/>
      <c r="PJF42" s="3281"/>
      <c r="PJG42" s="3281"/>
      <c r="PJH42" s="3281"/>
      <c r="PJI42" s="3281"/>
      <c r="PJJ42" s="3281"/>
      <c r="PJK42" s="3281"/>
      <c r="PJL42" s="3281"/>
      <c r="PJM42" s="3281"/>
      <c r="PJN42" s="3281"/>
      <c r="PJO42" s="3281"/>
      <c r="PJP42" s="3281"/>
      <c r="PJQ42" s="3281"/>
      <c r="PJR42" s="3281"/>
      <c r="PJS42" s="3281"/>
      <c r="PJT42" s="3281"/>
      <c r="PJU42" s="3281"/>
      <c r="PJV42" s="3281"/>
      <c r="PJW42" s="3281"/>
      <c r="PJX42" s="3281"/>
      <c r="PJY42" s="3281"/>
      <c r="PJZ42" s="3281"/>
      <c r="PKA42" s="3281"/>
      <c r="PKB42" s="3281"/>
      <c r="PKC42" s="3281"/>
      <c r="PKD42" s="3281"/>
      <c r="PKE42" s="3281"/>
      <c r="PKF42" s="3281"/>
      <c r="PKG42" s="3281"/>
      <c r="PKH42" s="3281"/>
      <c r="PKI42" s="3281"/>
      <c r="PKJ42" s="3281"/>
      <c r="PKK42" s="3281"/>
      <c r="PKL42" s="3281"/>
      <c r="PKM42" s="3281"/>
      <c r="PKN42" s="3281"/>
      <c r="PKO42" s="3281"/>
      <c r="PKP42" s="3281"/>
      <c r="PKQ42" s="3281"/>
      <c r="PKR42" s="3281"/>
      <c r="PKS42" s="3281"/>
      <c r="PKT42" s="3281"/>
      <c r="PKU42" s="3281"/>
      <c r="PKV42" s="3281"/>
      <c r="PKW42" s="3281"/>
      <c r="PKX42" s="3281"/>
      <c r="PKY42" s="3281"/>
      <c r="PKZ42" s="3281"/>
      <c r="PLA42" s="3281"/>
      <c r="PLB42" s="3281"/>
      <c r="PLC42" s="3281"/>
      <c r="PLD42" s="3281"/>
      <c r="PLE42" s="3281"/>
      <c r="PLF42" s="3281"/>
      <c r="PLG42" s="3281"/>
      <c r="PLH42" s="3281"/>
      <c r="PLI42" s="3281"/>
      <c r="PLJ42" s="3281"/>
      <c r="PLK42" s="3281"/>
      <c r="PLL42" s="3281"/>
      <c r="PLM42" s="3281"/>
      <c r="PLN42" s="3281"/>
      <c r="PLO42" s="3281"/>
      <c r="PLP42" s="3281"/>
      <c r="PLQ42" s="3281"/>
      <c r="PLR42" s="3281"/>
      <c r="PLS42" s="3281"/>
      <c r="PLT42" s="3281"/>
      <c r="PLU42" s="3281"/>
      <c r="PLV42" s="3281"/>
      <c r="PLW42" s="3281"/>
      <c r="PLX42" s="3281"/>
      <c r="PLY42" s="3281"/>
      <c r="PLZ42" s="3281"/>
      <c r="PMA42" s="3281"/>
      <c r="PMB42" s="3281"/>
      <c r="PMC42" s="3281"/>
      <c r="PMD42" s="3281"/>
      <c r="PME42" s="3281"/>
      <c r="PMF42" s="3281"/>
      <c r="PMG42" s="3281"/>
      <c r="PMH42" s="3281"/>
      <c r="PMI42" s="3281"/>
      <c r="PMJ42" s="3281"/>
      <c r="PMK42" s="3281"/>
      <c r="PML42" s="3281"/>
      <c r="PMM42" s="3281"/>
      <c r="PMN42" s="3281"/>
      <c r="PMO42" s="3281"/>
      <c r="PMP42" s="3281"/>
      <c r="PMQ42" s="3281"/>
      <c r="PMR42" s="3281"/>
      <c r="PMS42" s="3281"/>
      <c r="PMT42" s="3281"/>
      <c r="PMU42" s="3281"/>
      <c r="PMV42" s="3281"/>
      <c r="PMW42" s="3281"/>
      <c r="PMX42" s="3281"/>
      <c r="PMY42" s="3281"/>
      <c r="PMZ42" s="3281"/>
      <c r="PNA42" s="3281"/>
      <c r="PNB42" s="3281"/>
      <c r="PNC42" s="3281"/>
      <c r="PND42" s="3281"/>
      <c r="PNE42" s="3281"/>
      <c r="PNF42" s="3281"/>
      <c r="PNG42" s="3281"/>
      <c r="PNH42" s="3281"/>
      <c r="PNI42" s="3281"/>
      <c r="PNJ42" s="3281"/>
      <c r="PNK42" s="3281"/>
      <c r="PNL42" s="3281"/>
      <c r="PNM42" s="3281"/>
      <c r="PNN42" s="3281"/>
      <c r="PNO42" s="3281"/>
      <c r="PNP42" s="3281"/>
      <c r="PNQ42" s="3281"/>
      <c r="PNR42" s="3281"/>
      <c r="PNS42" s="3281"/>
      <c r="PNT42" s="3281"/>
      <c r="PNU42" s="3281"/>
      <c r="PNV42" s="3281"/>
      <c r="PNW42" s="3281"/>
      <c r="PNX42" s="3281"/>
      <c r="PNY42" s="3281"/>
      <c r="PNZ42" s="3281"/>
      <c r="POA42" s="3281"/>
      <c r="POB42" s="3281"/>
      <c r="POC42" s="3281"/>
      <c r="POD42" s="3281"/>
      <c r="POE42" s="3281"/>
      <c r="POF42" s="3281"/>
      <c r="POG42" s="3281"/>
      <c r="POH42" s="3281"/>
      <c r="POI42" s="3281"/>
      <c r="POJ42" s="3281"/>
      <c r="POK42" s="3281"/>
      <c r="POL42" s="3281"/>
      <c r="POM42" s="3281"/>
      <c r="PON42" s="3281"/>
      <c r="POO42" s="3281"/>
      <c r="POP42" s="3281"/>
      <c r="POQ42" s="3281"/>
      <c r="POR42" s="3281"/>
      <c r="POS42" s="3281"/>
      <c r="POT42" s="3281"/>
      <c r="POU42" s="3281"/>
      <c r="POV42" s="3281"/>
      <c r="POW42" s="3281"/>
      <c r="POX42" s="3281"/>
      <c r="POY42" s="3281"/>
      <c r="POZ42" s="3281"/>
      <c r="PPA42" s="3281"/>
      <c r="PPB42" s="3281"/>
      <c r="PPC42" s="3281"/>
      <c r="PPD42" s="3281"/>
      <c r="PPE42" s="3281"/>
      <c r="PPF42" s="3281"/>
      <c r="PPG42" s="3281"/>
      <c r="PPH42" s="3281"/>
      <c r="PPI42" s="3281"/>
      <c r="PPJ42" s="3281"/>
      <c r="PPK42" s="3281"/>
      <c r="PPL42" s="3281"/>
      <c r="PPM42" s="3281"/>
      <c r="PPN42" s="3281"/>
      <c r="PPO42" s="3281"/>
      <c r="PPP42" s="3281"/>
      <c r="PPQ42" s="3281"/>
      <c r="PPR42" s="3281"/>
      <c r="PPS42" s="3281"/>
      <c r="PPT42" s="3281"/>
      <c r="PPU42" s="3281"/>
      <c r="PPV42" s="3281"/>
      <c r="PPW42" s="3281"/>
      <c r="PPX42" s="3281"/>
      <c r="PPY42" s="3281"/>
      <c r="PPZ42" s="3281"/>
      <c r="PQA42" s="3281"/>
      <c r="PQB42" s="3281"/>
      <c r="PQC42" s="3281"/>
      <c r="PQD42" s="3281"/>
      <c r="PQE42" s="3281"/>
      <c r="PQF42" s="3281"/>
      <c r="PQG42" s="3281"/>
      <c r="PQH42" s="3281"/>
      <c r="PQI42" s="3281"/>
      <c r="PQJ42" s="3281"/>
      <c r="PQK42" s="3281"/>
      <c r="PQL42" s="3281"/>
      <c r="PQM42" s="3281"/>
      <c r="PQN42" s="3281"/>
      <c r="PQO42" s="3281"/>
      <c r="PQP42" s="3281"/>
      <c r="PQQ42" s="3281"/>
      <c r="PQR42" s="3281"/>
      <c r="PQS42" s="3281"/>
      <c r="PQT42" s="3281"/>
      <c r="PQU42" s="3281"/>
      <c r="PQV42" s="3281"/>
      <c r="PQW42" s="3281"/>
      <c r="PQX42" s="3281"/>
      <c r="PQY42" s="3281"/>
      <c r="PQZ42" s="3281"/>
      <c r="PRA42" s="3281"/>
      <c r="PRB42" s="3281"/>
      <c r="PRC42" s="3281"/>
      <c r="PRD42" s="3281"/>
      <c r="PRE42" s="3281"/>
      <c r="PRF42" s="3281"/>
      <c r="PRG42" s="3281"/>
      <c r="PRH42" s="3281"/>
      <c r="PRI42" s="3281"/>
      <c r="PRJ42" s="3281"/>
      <c r="PRK42" s="3281"/>
      <c r="PRL42" s="3281"/>
      <c r="PRM42" s="3281"/>
      <c r="PRN42" s="3281"/>
      <c r="PRO42" s="3281"/>
      <c r="PRP42" s="3281"/>
      <c r="PRQ42" s="3281"/>
      <c r="PRR42" s="3281"/>
      <c r="PRS42" s="3281"/>
      <c r="PRT42" s="3281"/>
      <c r="PRU42" s="3281"/>
      <c r="PRV42" s="3281"/>
      <c r="PRW42" s="3281"/>
      <c r="PRX42" s="3281"/>
      <c r="PRY42" s="3281"/>
      <c r="PRZ42" s="3281"/>
      <c r="PSA42" s="3281"/>
      <c r="PSB42" s="3281"/>
      <c r="PSC42" s="3281"/>
      <c r="PSD42" s="3281"/>
      <c r="PSE42" s="3281"/>
      <c r="PSF42" s="3281"/>
      <c r="PSG42" s="3281"/>
      <c r="PSH42" s="3281"/>
      <c r="PSI42" s="3281"/>
      <c r="PSJ42" s="3281"/>
      <c r="PSK42" s="3281"/>
      <c r="PSL42" s="3281"/>
      <c r="PSM42" s="3281"/>
      <c r="PSN42" s="3281"/>
      <c r="PSO42" s="3281"/>
      <c r="PSP42" s="3281"/>
      <c r="PSQ42" s="3281"/>
      <c r="PSR42" s="3281"/>
      <c r="PSS42" s="3281"/>
      <c r="PST42" s="3281"/>
      <c r="PSU42" s="3281"/>
      <c r="PSV42" s="3281"/>
      <c r="PSW42" s="3281"/>
      <c r="PSX42" s="3281"/>
      <c r="PSY42" s="3281"/>
      <c r="PSZ42" s="3281"/>
      <c r="PTA42" s="3281"/>
      <c r="PTB42" s="3281"/>
      <c r="PTC42" s="3281"/>
      <c r="PTD42" s="3281"/>
      <c r="PTE42" s="3281"/>
      <c r="PTF42" s="3281"/>
      <c r="PTG42" s="3281"/>
      <c r="PTH42" s="3281"/>
      <c r="PTI42" s="3281"/>
      <c r="PTJ42" s="3281"/>
      <c r="PTK42" s="3281"/>
      <c r="PTL42" s="3281"/>
      <c r="PTM42" s="3281"/>
      <c r="PTN42" s="3281"/>
      <c r="PTO42" s="3281"/>
      <c r="PTP42" s="3281"/>
      <c r="PTQ42" s="3281"/>
      <c r="PTR42" s="3281"/>
      <c r="PTS42" s="3281"/>
      <c r="PTT42" s="3281"/>
      <c r="PTU42" s="3281"/>
      <c r="PTV42" s="3281"/>
      <c r="PTW42" s="3281"/>
      <c r="PTX42" s="3281"/>
      <c r="PTY42" s="3281"/>
      <c r="PTZ42" s="3281"/>
      <c r="PUA42" s="3281"/>
      <c r="PUB42" s="3281"/>
      <c r="PUC42" s="3281"/>
      <c r="PUD42" s="3281"/>
      <c r="PUE42" s="3281"/>
      <c r="PUF42" s="3281"/>
      <c r="PUG42" s="3281"/>
      <c r="PUH42" s="3281"/>
      <c r="PUI42" s="3281"/>
      <c r="PUJ42" s="3281"/>
      <c r="PUK42" s="3281"/>
      <c r="PUL42" s="3281"/>
      <c r="PUM42" s="3281"/>
      <c r="PUN42" s="3281"/>
      <c r="PUO42" s="3281"/>
      <c r="PUP42" s="3281"/>
      <c r="PUQ42" s="3281"/>
      <c r="PUR42" s="3281"/>
      <c r="PUS42" s="3281"/>
      <c r="PUT42" s="3281"/>
      <c r="PUU42" s="3281"/>
      <c r="PUV42" s="3281"/>
      <c r="PUW42" s="3281"/>
      <c r="PUX42" s="3281"/>
      <c r="PUY42" s="3281"/>
      <c r="PUZ42" s="3281"/>
      <c r="PVA42" s="3281"/>
      <c r="PVB42" s="3281"/>
      <c r="PVC42" s="3281"/>
      <c r="PVD42" s="3281"/>
      <c r="PVE42" s="3281"/>
      <c r="PVF42" s="3281"/>
      <c r="PVG42" s="3281"/>
      <c r="PVH42" s="3281"/>
      <c r="PVI42" s="3281"/>
      <c r="PVJ42" s="3281"/>
      <c r="PVK42" s="3281"/>
      <c r="PVL42" s="3281"/>
      <c r="PVM42" s="3281"/>
      <c r="PVN42" s="3281"/>
      <c r="PVO42" s="3281"/>
      <c r="PVP42" s="3281"/>
      <c r="PVQ42" s="3281"/>
      <c r="PVR42" s="3281"/>
      <c r="PVS42" s="3281"/>
      <c r="PVT42" s="3281"/>
      <c r="PVU42" s="3281"/>
      <c r="PVV42" s="3281"/>
      <c r="PVW42" s="3281"/>
      <c r="PVX42" s="3281"/>
      <c r="PVY42" s="3281"/>
      <c r="PVZ42" s="3281"/>
      <c r="PWA42" s="3281"/>
      <c r="PWB42" s="3281"/>
      <c r="PWC42" s="3281"/>
      <c r="PWD42" s="3281"/>
      <c r="PWE42" s="3281"/>
      <c r="PWF42" s="3281"/>
      <c r="PWG42" s="3281"/>
      <c r="PWH42" s="3281"/>
      <c r="PWI42" s="3281"/>
      <c r="PWJ42" s="3281"/>
      <c r="PWK42" s="3281"/>
      <c r="PWL42" s="3281"/>
      <c r="PWM42" s="3281"/>
      <c r="PWN42" s="3281"/>
      <c r="PWO42" s="3281"/>
      <c r="PWP42" s="3281"/>
      <c r="PWQ42" s="3281"/>
      <c r="PWR42" s="3281"/>
      <c r="PWS42" s="3281"/>
      <c r="PWT42" s="3281"/>
      <c r="PWU42" s="3281"/>
      <c r="PWV42" s="3281"/>
      <c r="PWW42" s="3281"/>
      <c r="PWX42" s="3281"/>
      <c r="PWY42" s="3281"/>
      <c r="PWZ42" s="3281"/>
      <c r="PXA42" s="3281"/>
      <c r="PXB42" s="3281"/>
      <c r="PXC42" s="3281"/>
      <c r="PXD42" s="3281"/>
      <c r="PXE42" s="3281"/>
      <c r="PXF42" s="3281"/>
      <c r="PXG42" s="3281"/>
      <c r="PXH42" s="3281"/>
      <c r="PXI42" s="3281"/>
      <c r="PXJ42" s="3281"/>
      <c r="PXK42" s="3281"/>
      <c r="PXL42" s="3281"/>
      <c r="PXM42" s="3281"/>
      <c r="PXN42" s="3281"/>
      <c r="PXO42" s="3281"/>
      <c r="PXP42" s="3281"/>
      <c r="PXQ42" s="3281"/>
      <c r="PXR42" s="3281"/>
      <c r="PXS42" s="3281"/>
      <c r="PXT42" s="3281"/>
      <c r="PXU42" s="3281"/>
      <c r="PXV42" s="3281"/>
      <c r="PXW42" s="3281"/>
      <c r="PXX42" s="3281"/>
      <c r="PXY42" s="3281"/>
      <c r="PXZ42" s="3281"/>
      <c r="PYA42" s="3281"/>
      <c r="PYB42" s="3281"/>
      <c r="PYC42" s="3281"/>
      <c r="PYD42" s="3281"/>
      <c r="PYE42" s="3281"/>
      <c r="PYF42" s="3281"/>
      <c r="PYG42" s="3281"/>
      <c r="PYH42" s="3281"/>
      <c r="PYI42" s="3281"/>
      <c r="PYJ42" s="3281"/>
      <c r="PYK42" s="3281"/>
      <c r="PYL42" s="3281"/>
      <c r="PYM42" s="3281"/>
      <c r="PYN42" s="3281"/>
      <c r="PYO42" s="3281"/>
      <c r="PYP42" s="3281"/>
      <c r="PYQ42" s="3281"/>
      <c r="PYR42" s="3281"/>
      <c r="PYS42" s="3281"/>
      <c r="PYT42" s="3281"/>
      <c r="PYU42" s="3281"/>
      <c r="PYV42" s="3281"/>
      <c r="PYW42" s="3281"/>
      <c r="PYX42" s="3281"/>
      <c r="PYY42" s="3281"/>
      <c r="PYZ42" s="3281"/>
      <c r="PZA42" s="3281"/>
      <c r="PZB42" s="3281"/>
      <c r="PZC42" s="3281"/>
      <c r="PZD42" s="3281"/>
      <c r="PZE42" s="3281"/>
      <c r="PZF42" s="3281"/>
      <c r="PZG42" s="3281"/>
      <c r="PZH42" s="3281"/>
      <c r="PZI42" s="3281"/>
      <c r="PZJ42" s="3281"/>
      <c r="PZK42" s="3281"/>
      <c r="PZL42" s="3281"/>
      <c r="PZM42" s="3281"/>
      <c r="PZN42" s="3281"/>
      <c r="PZO42" s="3281"/>
      <c r="PZP42" s="3281"/>
      <c r="PZQ42" s="3281"/>
      <c r="PZR42" s="3281"/>
      <c r="PZS42" s="3281"/>
      <c r="PZT42" s="3281"/>
      <c r="PZU42" s="3281"/>
      <c r="PZV42" s="3281"/>
      <c r="PZW42" s="3281"/>
      <c r="PZX42" s="3281"/>
      <c r="PZY42" s="3281"/>
      <c r="PZZ42" s="3281"/>
      <c r="QAA42" s="3281"/>
      <c r="QAB42" s="3281"/>
      <c r="QAC42" s="3281"/>
      <c r="QAD42" s="3281"/>
      <c r="QAE42" s="3281"/>
      <c r="QAF42" s="3281"/>
      <c r="QAG42" s="3281"/>
      <c r="QAH42" s="3281"/>
      <c r="QAI42" s="3281"/>
      <c r="QAJ42" s="3281"/>
      <c r="QAK42" s="3281"/>
      <c r="QAL42" s="3281"/>
      <c r="QAM42" s="3281"/>
      <c r="QAN42" s="3281"/>
      <c r="QAO42" s="3281"/>
      <c r="QAP42" s="3281"/>
      <c r="QAQ42" s="3281"/>
      <c r="QAR42" s="3281"/>
      <c r="QAS42" s="3281"/>
      <c r="QAT42" s="3281"/>
      <c r="QAU42" s="3281"/>
      <c r="QAV42" s="3281"/>
      <c r="QAW42" s="3281"/>
      <c r="QAX42" s="3281"/>
      <c r="QAY42" s="3281"/>
      <c r="QAZ42" s="3281"/>
      <c r="QBA42" s="3281"/>
      <c r="QBB42" s="3281"/>
      <c r="QBC42" s="3281"/>
      <c r="QBD42" s="3281"/>
      <c r="QBE42" s="3281"/>
      <c r="QBF42" s="3281"/>
      <c r="QBG42" s="3281"/>
      <c r="QBH42" s="3281"/>
      <c r="QBI42" s="3281"/>
      <c r="QBJ42" s="3281"/>
      <c r="QBK42" s="3281"/>
      <c r="QBL42" s="3281"/>
      <c r="QBM42" s="3281"/>
      <c r="QBN42" s="3281"/>
      <c r="QBO42" s="3281"/>
      <c r="QBP42" s="3281"/>
      <c r="QBQ42" s="3281"/>
      <c r="QBR42" s="3281"/>
      <c r="QBS42" s="3281"/>
      <c r="QBT42" s="3281"/>
      <c r="QBU42" s="3281"/>
      <c r="QBV42" s="3281"/>
      <c r="QBW42" s="3281"/>
      <c r="QBX42" s="3281"/>
      <c r="QBY42" s="3281"/>
      <c r="QBZ42" s="3281"/>
      <c r="QCA42" s="3281"/>
      <c r="QCB42" s="3281"/>
      <c r="QCC42" s="3281"/>
      <c r="QCD42" s="3281"/>
      <c r="QCE42" s="3281"/>
      <c r="QCF42" s="3281"/>
      <c r="QCG42" s="3281"/>
      <c r="QCH42" s="3281"/>
      <c r="QCI42" s="3281"/>
      <c r="QCJ42" s="3281"/>
      <c r="QCK42" s="3281"/>
      <c r="QCL42" s="3281"/>
      <c r="QCM42" s="3281"/>
      <c r="QCN42" s="3281"/>
      <c r="QCO42" s="3281"/>
      <c r="QCP42" s="3281"/>
      <c r="QCQ42" s="3281"/>
      <c r="QCR42" s="3281"/>
      <c r="QCS42" s="3281"/>
      <c r="QCT42" s="3281"/>
      <c r="QCU42" s="3281"/>
      <c r="QCV42" s="3281"/>
      <c r="QCW42" s="3281"/>
      <c r="QCX42" s="3281"/>
      <c r="QCY42" s="3281"/>
      <c r="QCZ42" s="3281"/>
      <c r="QDA42" s="3281"/>
      <c r="QDB42" s="3281"/>
      <c r="QDC42" s="3281"/>
      <c r="QDD42" s="3281"/>
      <c r="QDE42" s="3281"/>
      <c r="QDF42" s="3281"/>
      <c r="QDG42" s="3281"/>
      <c r="QDH42" s="3281"/>
      <c r="QDI42" s="3281"/>
      <c r="QDJ42" s="3281"/>
      <c r="QDK42" s="3281"/>
      <c r="QDL42" s="3281"/>
      <c r="QDM42" s="3281"/>
      <c r="QDN42" s="3281"/>
      <c r="QDO42" s="3281"/>
      <c r="QDP42" s="3281"/>
      <c r="QDQ42" s="3281"/>
      <c r="QDR42" s="3281"/>
      <c r="QDS42" s="3281"/>
      <c r="QDT42" s="3281"/>
      <c r="QDU42" s="3281"/>
      <c r="QDV42" s="3281"/>
      <c r="QDW42" s="3281"/>
      <c r="QDX42" s="3281"/>
      <c r="QDY42" s="3281"/>
      <c r="QDZ42" s="3281"/>
      <c r="QEA42" s="3281"/>
      <c r="QEB42" s="3281"/>
      <c r="QEC42" s="3281"/>
      <c r="QED42" s="3281"/>
      <c r="QEE42" s="3281"/>
      <c r="QEF42" s="3281"/>
      <c r="QEG42" s="3281"/>
      <c r="QEH42" s="3281"/>
      <c r="QEI42" s="3281"/>
      <c r="QEJ42" s="3281"/>
      <c r="QEK42" s="3281"/>
      <c r="QEL42" s="3281"/>
      <c r="QEM42" s="3281"/>
      <c r="QEN42" s="3281"/>
      <c r="QEO42" s="3281"/>
      <c r="QEP42" s="3281"/>
      <c r="QEQ42" s="3281"/>
      <c r="QER42" s="3281"/>
      <c r="QES42" s="3281"/>
      <c r="QET42" s="3281"/>
      <c r="QEU42" s="3281"/>
      <c r="QEV42" s="3281"/>
      <c r="QEW42" s="3281"/>
      <c r="QEX42" s="3281"/>
      <c r="QEY42" s="3281"/>
      <c r="QEZ42" s="3281"/>
      <c r="QFA42" s="3281"/>
      <c r="QFB42" s="3281"/>
      <c r="QFC42" s="3281"/>
      <c r="QFD42" s="3281"/>
      <c r="QFE42" s="3281"/>
      <c r="QFF42" s="3281"/>
      <c r="QFG42" s="3281"/>
      <c r="QFH42" s="3281"/>
      <c r="QFI42" s="3281"/>
      <c r="QFJ42" s="3281"/>
      <c r="QFK42" s="3281"/>
      <c r="QFL42" s="3281"/>
      <c r="QFM42" s="3281"/>
      <c r="QFN42" s="3281"/>
      <c r="QFO42" s="3281"/>
      <c r="QFP42" s="3281"/>
      <c r="QFQ42" s="3281"/>
      <c r="QFR42" s="3281"/>
      <c r="QFS42" s="3281"/>
      <c r="QFT42" s="3281"/>
      <c r="QFU42" s="3281"/>
      <c r="QFV42" s="3281"/>
      <c r="QFW42" s="3281"/>
      <c r="QFX42" s="3281"/>
      <c r="QFY42" s="3281"/>
      <c r="QFZ42" s="3281"/>
      <c r="QGA42" s="3281"/>
      <c r="QGB42" s="3281"/>
      <c r="QGC42" s="3281"/>
      <c r="QGD42" s="3281"/>
      <c r="QGE42" s="3281"/>
      <c r="QGF42" s="3281"/>
      <c r="QGG42" s="3281"/>
      <c r="QGH42" s="3281"/>
      <c r="QGI42" s="3281"/>
      <c r="QGJ42" s="3281"/>
      <c r="QGK42" s="3281"/>
      <c r="QGL42" s="3281"/>
      <c r="QGM42" s="3281"/>
      <c r="QGN42" s="3281"/>
      <c r="QGO42" s="3281"/>
      <c r="QGP42" s="3281"/>
      <c r="QGQ42" s="3281"/>
      <c r="QGR42" s="3281"/>
      <c r="QGS42" s="3281"/>
      <c r="QGT42" s="3281"/>
      <c r="QGU42" s="3281"/>
      <c r="QGV42" s="3281"/>
      <c r="QGW42" s="3281"/>
      <c r="QGX42" s="3281"/>
      <c r="QGY42" s="3281"/>
      <c r="QGZ42" s="3281"/>
      <c r="QHA42" s="3281"/>
      <c r="QHB42" s="3281"/>
      <c r="QHC42" s="3281"/>
      <c r="QHD42" s="3281"/>
      <c r="QHE42" s="3281"/>
      <c r="QHF42" s="3281"/>
      <c r="QHG42" s="3281"/>
      <c r="QHH42" s="3281"/>
      <c r="QHI42" s="3281"/>
      <c r="QHJ42" s="3281"/>
      <c r="QHK42" s="3281"/>
      <c r="QHL42" s="3281"/>
      <c r="QHM42" s="3281"/>
      <c r="QHN42" s="3281"/>
      <c r="QHO42" s="3281"/>
      <c r="QHP42" s="3281"/>
      <c r="QHQ42" s="3281"/>
      <c r="QHR42" s="3281"/>
      <c r="QHS42" s="3281"/>
      <c r="QHT42" s="3281"/>
      <c r="QHU42" s="3281"/>
      <c r="QHV42" s="3281"/>
      <c r="QHW42" s="3281"/>
      <c r="QHX42" s="3281"/>
      <c r="QHY42" s="3281"/>
      <c r="QHZ42" s="3281"/>
      <c r="QIA42" s="3281"/>
      <c r="QIB42" s="3281"/>
      <c r="QIC42" s="3281"/>
      <c r="QID42" s="3281"/>
      <c r="QIE42" s="3281"/>
      <c r="QIF42" s="3281"/>
      <c r="QIG42" s="3281"/>
      <c r="QIH42" s="3281"/>
      <c r="QII42" s="3281"/>
      <c r="QIJ42" s="3281"/>
      <c r="QIK42" s="3281"/>
      <c r="QIL42" s="3281"/>
      <c r="QIM42" s="3281"/>
      <c r="QIN42" s="3281"/>
      <c r="QIO42" s="3281"/>
      <c r="QIP42" s="3281"/>
      <c r="QIQ42" s="3281"/>
      <c r="QIR42" s="3281"/>
      <c r="QIS42" s="3281"/>
      <c r="QIT42" s="3281"/>
      <c r="QIU42" s="3281"/>
      <c r="QIV42" s="3281"/>
      <c r="QIW42" s="3281"/>
      <c r="QIX42" s="3281"/>
      <c r="QIY42" s="3281"/>
      <c r="QIZ42" s="3281"/>
      <c r="QJA42" s="3281"/>
      <c r="QJB42" s="3281"/>
      <c r="QJC42" s="3281"/>
      <c r="QJD42" s="3281"/>
      <c r="QJE42" s="3281"/>
      <c r="QJF42" s="3281"/>
      <c r="QJG42" s="3281"/>
      <c r="QJH42" s="3281"/>
      <c r="QJI42" s="3281"/>
      <c r="QJJ42" s="3281"/>
      <c r="QJK42" s="3281"/>
      <c r="QJL42" s="3281"/>
      <c r="QJM42" s="3281"/>
      <c r="QJN42" s="3281"/>
      <c r="QJO42" s="3281"/>
      <c r="QJP42" s="3281"/>
      <c r="QJQ42" s="3281"/>
      <c r="QJR42" s="3281"/>
      <c r="QJS42" s="3281"/>
      <c r="QJT42" s="3281"/>
      <c r="QJU42" s="3281"/>
      <c r="QJV42" s="3281"/>
      <c r="QJW42" s="3281"/>
      <c r="QJX42" s="3281"/>
      <c r="QJY42" s="3281"/>
      <c r="QJZ42" s="3281"/>
      <c r="QKA42" s="3281"/>
      <c r="QKB42" s="3281"/>
      <c r="QKC42" s="3281"/>
      <c r="QKD42" s="3281"/>
      <c r="QKE42" s="3281"/>
      <c r="QKF42" s="3281"/>
      <c r="QKG42" s="3281"/>
      <c r="QKH42" s="3281"/>
      <c r="QKI42" s="3281"/>
      <c r="QKJ42" s="3281"/>
      <c r="QKK42" s="3281"/>
      <c r="QKL42" s="3281"/>
      <c r="QKM42" s="3281"/>
      <c r="QKN42" s="3281"/>
      <c r="QKO42" s="3281"/>
      <c r="QKP42" s="3281"/>
      <c r="QKQ42" s="3281"/>
      <c r="QKR42" s="3281"/>
      <c r="QKS42" s="3281"/>
      <c r="QKT42" s="3281"/>
      <c r="QKU42" s="3281"/>
      <c r="QKV42" s="3281"/>
      <c r="QKW42" s="3281"/>
      <c r="QKX42" s="3281"/>
      <c r="QKY42" s="3281"/>
      <c r="QKZ42" s="3281"/>
      <c r="QLA42" s="3281"/>
      <c r="QLB42" s="3281"/>
      <c r="QLC42" s="3281"/>
      <c r="QLD42" s="3281"/>
      <c r="QLE42" s="3281"/>
      <c r="QLF42" s="3281"/>
      <c r="QLG42" s="3281"/>
      <c r="QLH42" s="3281"/>
      <c r="QLI42" s="3281"/>
      <c r="QLJ42" s="3281"/>
      <c r="QLK42" s="3281"/>
      <c r="QLL42" s="3281"/>
      <c r="QLM42" s="3281"/>
      <c r="QLN42" s="3281"/>
      <c r="QLO42" s="3281"/>
      <c r="QLP42" s="3281"/>
      <c r="QLQ42" s="3281"/>
      <c r="QLR42" s="3281"/>
      <c r="QLS42" s="3281"/>
      <c r="QLT42" s="3281"/>
      <c r="QLU42" s="3281"/>
      <c r="QLV42" s="3281"/>
      <c r="QLW42" s="3281"/>
      <c r="QLX42" s="3281"/>
      <c r="QLY42" s="3281"/>
      <c r="QLZ42" s="3281"/>
      <c r="QMA42" s="3281"/>
      <c r="QMB42" s="3281"/>
      <c r="QMC42" s="3281"/>
      <c r="QMD42" s="3281"/>
      <c r="QME42" s="3281"/>
      <c r="QMF42" s="3281"/>
      <c r="QMG42" s="3281"/>
      <c r="QMH42" s="3281"/>
      <c r="QMI42" s="3281"/>
      <c r="QMJ42" s="3281"/>
      <c r="QMK42" s="3281"/>
      <c r="QML42" s="3281"/>
      <c r="QMM42" s="3281"/>
      <c r="QMN42" s="3281"/>
      <c r="QMO42" s="3281"/>
      <c r="QMP42" s="3281"/>
      <c r="QMQ42" s="3281"/>
      <c r="QMR42" s="3281"/>
      <c r="QMS42" s="3281"/>
      <c r="QMT42" s="3281"/>
      <c r="QMU42" s="3281"/>
      <c r="QMV42" s="3281"/>
      <c r="QMW42" s="3281"/>
      <c r="QMX42" s="3281"/>
      <c r="QMY42" s="3281"/>
      <c r="QMZ42" s="3281"/>
      <c r="QNA42" s="3281"/>
      <c r="QNB42" s="3281"/>
      <c r="QNC42" s="3281"/>
      <c r="QND42" s="3281"/>
      <c r="QNE42" s="3281"/>
      <c r="QNF42" s="3281"/>
      <c r="QNG42" s="3281"/>
      <c r="QNH42" s="3281"/>
      <c r="QNI42" s="3281"/>
      <c r="QNJ42" s="3281"/>
      <c r="QNK42" s="3281"/>
      <c r="QNL42" s="3281"/>
      <c r="QNM42" s="3281"/>
      <c r="QNN42" s="3281"/>
      <c r="QNO42" s="3281"/>
      <c r="QNP42" s="3281"/>
      <c r="QNQ42" s="3281"/>
      <c r="QNR42" s="3281"/>
      <c r="QNS42" s="3281"/>
      <c r="QNT42" s="3281"/>
      <c r="QNU42" s="3281"/>
      <c r="QNV42" s="3281"/>
      <c r="QNW42" s="3281"/>
      <c r="QNX42" s="3281"/>
      <c r="QNY42" s="3281"/>
      <c r="QNZ42" s="3281"/>
      <c r="QOA42" s="3281"/>
      <c r="QOB42" s="3281"/>
      <c r="QOC42" s="3281"/>
      <c r="QOD42" s="3281"/>
      <c r="QOE42" s="3281"/>
      <c r="QOF42" s="3281"/>
      <c r="QOG42" s="3281"/>
      <c r="QOH42" s="3281"/>
      <c r="QOI42" s="3281"/>
      <c r="QOJ42" s="3281"/>
      <c r="QOK42" s="3281"/>
      <c r="QOL42" s="3281"/>
      <c r="QOM42" s="3281"/>
      <c r="QON42" s="3281"/>
      <c r="QOO42" s="3281"/>
      <c r="QOP42" s="3281"/>
      <c r="QOQ42" s="3281"/>
      <c r="QOR42" s="3281"/>
      <c r="QOS42" s="3281"/>
      <c r="QOT42" s="3281"/>
      <c r="QOU42" s="3281"/>
      <c r="QOV42" s="3281"/>
      <c r="QOW42" s="3281"/>
      <c r="QOX42" s="3281"/>
      <c r="QOY42" s="3281"/>
      <c r="QOZ42" s="3281"/>
      <c r="QPA42" s="3281"/>
      <c r="QPB42" s="3281"/>
      <c r="QPC42" s="3281"/>
      <c r="QPD42" s="3281"/>
      <c r="QPE42" s="3281"/>
      <c r="QPF42" s="3281"/>
      <c r="QPG42" s="3281"/>
      <c r="QPH42" s="3281"/>
      <c r="QPI42" s="3281"/>
      <c r="QPJ42" s="3281"/>
      <c r="QPK42" s="3281"/>
      <c r="QPL42" s="3281"/>
      <c r="QPM42" s="3281"/>
      <c r="QPN42" s="3281"/>
      <c r="QPO42" s="3281"/>
      <c r="QPP42" s="3281"/>
      <c r="QPQ42" s="3281"/>
      <c r="QPR42" s="3281"/>
      <c r="QPS42" s="3281"/>
      <c r="QPT42" s="3281"/>
      <c r="QPU42" s="3281"/>
      <c r="QPV42" s="3281"/>
      <c r="QPW42" s="3281"/>
      <c r="QPX42" s="3281"/>
      <c r="QPY42" s="3281"/>
      <c r="QPZ42" s="3281"/>
      <c r="QQA42" s="3281"/>
      <c r="QQB42" s="3281"/>
      <c r="QQC42" s="3281"/>
      <c r="QQD42" s="3281"/>
      <c r="QQE42" s="3281"/>
      <c r="QQF42" s="3281"/>
      <c r="QQG42" s="3281"/>
      <c r="QQH42" s="3281"/>
      <c r="QQI42" s="3281"/>
      <c r="QQJ42" s="3281"/>
      <c r="QQK42" s="3281"/>
      <c r="QQL42" s="3281"/>
      <c r="QQM42" s="3281"/>
      <c r="QQN42" s="3281"/>
      <c r="QQO42" s="3281"/>
      <c r="QQP42" s="3281"/>
      <c r="QQQ42" s="3281"/>
      <c r="QQR42" s="3281"/>
      <c r="QQS42" s="3281"/>
      <c r="QQT42" s="3281"/>
      <c r="QQU42" s="3281"/>
      <c r="QQV42" s="3281"/>
      <c r="QQW42" s="3281"/>
      <c r="QQX42" s="3281"/>
      <c r="QQY42" s="3281"/>
      <c r="QQZ42" s="3281"/>
      <c r="QRA42" s="3281"/>
      <c r="QRB42" s="3281"/>
      <c r="QRC42" s="3281"/>
      <c r="QRD42" s="3281"/>
      <c r="QRE42" s="3281"/>
      <c r="QRF42" s="3281"/>
      <c r="QRG42" s="3281"/>
      <c r="QRH42" s="3281"/>
      <c r="QRI42" s="3281"/>
      <c r="QRJ42" s="3281"/>
      <c r="QRK42" s="3281"/>
      <c r="QRL42" s="3281"/>
      <c r="QRM42" s="3281"/>
      <c r="QRN42" s="3281"/>
      <c r="QRO42" s="3281"/>
      <c r="QRP42" s="3281"/>
      <c r="QRQ42" s="3281"/>
      <c r="QRR42" s="3281"/>
      <c r="QRS42" s="3281"/>
      <c r="QRT42" s="3281"/>
      <c r="QRU42" s="3281"/>
      <c r="QRV42" s="3281"/>
      <c r="QRW42" s="3281"/>
      <c r="QRX42" s="3281"/>
      <c r="QRY42" s="3281"/>
      <c r="QRZ42" s="3281"/>
      <c r="QSA42" s="3281"/>
      <c r="QSB42" s="3281"/>
      <c r="QSC42" s="3281"/>
      <c r="QSD42" s="3281"/>
      <c r="QSE42" s="3281"/>
      <c r="QSF42" s="3281"/>
      <c r="QSG42" s="3281"/>
      <c r="QSH42" s="3281"/>
      <c r="QSI42" s="3281"/>
      <c r="QSJ42" s="3281"/>
      <c r="QSK42" s="3281"/>
      <c r="QSL42" s="3281"/>
      <c r="QSM42" s="3281"/>
      <c r="QSN42" s="3281"/>
      <c r="QSO42" s="3281"/>
      <c r="QSP42" s="3281"/>
      <c r="QSQ42" s="3281"/>
      <c r="QSR42" s="3281"/>
      <c r="QSS42" s="3281"/>
      <c r="QST42" s="3281"/>
      <c r="QSU42" s="3281"/>
      <c r="QSV42" s="3281"/>
      <c r="QSW42" s="3281"/>
      <c r="QSX42" s="3281"/>
      <c r="QSY42" s="3281"/>
      <c r="QSZ42" s="3281"/>
      <c r="QTA42" s="3281"/>
      <c r="QTB42" s="3281"/>
      <c r="QTC42" s="3281"/>
      <c r="QTD42" s="3281"/>
      <c r="QTE42" s="3281"/>
      <c r="QTF42" s="3281"/>
      <c r="QTG42" s="3281"/>
      <c r="QTH42" s="3281"/>
      <c r="QTI42" s="3281"/>
      <c r="QTJ42" s="3281"/>
      <c r="QTK42" s="3281"/>
      <c r="QTL42" s="3281"/>
      <c r="QTM42" s="3281"/>
      <c r="QTN42" s="3281"/>
      <c r="QTO42" s="3281"/>
      <c r="QTP42" s="3281"/>
      <c r="QTQ42" s="3281"/>
      <c r="QTR42" s="3281"/>
      <c r="QTS42" s="3281"/>
      <c r="QTT42" s="3281"/>
      <c r="QTU42" s="3281"/>
      <c r="QTV42" s="3281"/>
      <c r="QTW42" s="3281"/>
      <c r="QTX42" s="3281"/>
      <c r="QTY42" s="3281"/>
      <c r="QTZ42" s="3281"/>
      <c r="QUA42" s="3281"/>
      <c r="QUB42" s="3281"/>
      <c r="QUC42" s="3281"/>
      <c r="QUD42" s="3281"/>
      <c r="QUE42" s="3281"/>
      <c r="QUF42" s="3281"/>
      <c r="QUG42" s="3281"/>
      <c r="QUH42" s="3281"/>
      <c r="QUI42" s="3281"/>
      <c r="QUJ42" s="3281"/>
      <c r="QUK42" s="3281"/>
      <c r="QUL42" s="3281"/>
      <c r="QUM42" s="3281"/>
      <c r="QUN42" s="3281"/>
      <c r="QUO42" s="3281"/>
      <c r="QUP42" s="3281"/>
      <c r="QUQ42" s="3281"/>
      <c r="QUR42" s="3281"/>
      <c r="QUS42" s="3281"/>
      <c r="QUT42" s="3281"/>
      <c r="QUU42" s="3281"/>
      <c r="QUV42" s="3281"/>
      <c r="QUW42" s="3281"/>
      <c r="QUX42" s="3281"/>
      <c r="QUY42" s="3281"/>
      <c r="QUZ42" s="3281"/>
      <c r="QVA42" s="3281"/>
      <c r="QVB42" s="3281"/>
      <c r="QVC42" s="3281"/>
      <c r="QVD42" s="3281"/>
      <c r="QVE42" s="3281"/>
      <c r="QVF42" s="3281"/>
      <c r="QVG42" s="3281"/>
      <c r="QVH42" s="3281"/>
      <c r="QVI42" s="3281"/>
      <c r="QVJ42" s="3281"/>
      <c r="QVK42" s="3281"/>
      <c r="QVL42" s="3281"/>
      <c r="QVM42" s="3281"/>
      <c r="QVN42" s="3281"/>
      <c r="QVO42" s="3281"/>
      <c r="QVP42" s="3281"/>
      <c r="QVQ42" s="3281"/>
      <c r="QVR42" s="3281"/>
      <c r="QVS42" s="3281"/>
      <c r="QVT42" s="3281"/>
      <c r="QVU42" s="3281"/>
      <c r="QVV42" s="3281"/>
      <c r="QVW42" s="3281"/>
      <c r="QVX42" s="3281"/>
      <c r="QVY42" s="3281"/>
      <c r="QVZ42" s="3281"/>
      <c r="QWA42" s="3281"/>
      <c r="QWB42" s="3281"/>
      <c r="QWC42" s="3281"/>
      <c r="QWD42" s="3281"/>
      <c r="QWE42" s="3281"/>
      <c r="QWF42" s="3281"/>
      <c r="QWG42" s="3281"/>
      <c r="QWH42" s="3281"/>
      <c r="QWI42" s="3281"/>
      <c r="QWJ42" s="3281"/>
      <c r="QWK42" s="3281"/>
      <c r="QWL42" s="3281"/>
      <c r="QWM42" s="3281"/>
      <c r="QWN42" s="3281"/>
      <c r="QWO42" s="3281"/>
      <c r="QWP42" s="3281"/>
      <c r="QWQ42" s="3281"/>
      <c r="QWR42" s="3281"/>
      <c r="QWS42" s="3281"/>
      <c r="QWT42" s="3281"/>
      <c r="QWU42" s="3281"/>
      <c r="QWV42" s="3281"/>
      <c r="QWW42" s="3281"/>
      <c r="QWX42" s="3281"/>
      <c r="QWY42" s="3281"/>
      <c r="QWZ42" s="3281"/>
      <c r="QXA42" s="3281"/>
      <c r="QXB42" s="3281"/>
      <c r="QXC42" s="3281"/>
      <c r="QXD42" s="3281"/>
      <c r="QXE42" s="3281"/>
      <c r="QXF42" s="3281"/>
      <c r="QXG42" s="3281"/>
      <c r="QXH42" s="3281"/>
      <c r="QXI42" s="3281"/>
      <c r="QXJ42" s="3281"/>
      <c r="QXK42" s="3281"/>
      <c r="QXL42" s="3281"/>
      <c r="QXM42" s="3281"/>
      <c r="QXN42" s="3281"/>
      <c r="QXO42" s="3281"/>
      <c r="QXP42" s="3281"/>
      <c r="QXQ42" s="3281"/>
      <c r="QXR42" s="3281"/>
      <c r="QXS42" s="3281"/>
      <c r="QXT42" s="3281"/>
      <c r="QXU42" s="3281"/>
      <c r="QXV42" s="3281"/>
      <c r="QXW42" s="3281"/>
      <c r="QXX42" s="3281"/>
      <c r="QXY42" s="3281"/>
      <c r="QXZ42" s="3281"/>
      <c r="QYA42" s="3281"/>
      <c r="QYB42" s="3281"/>
      <c r="QYC42" s="3281"/>
      <c r="QYD42" s="3281"/>
      <c r="QYE42" s="3281"/>
      <c r="QYF42" s="3281"/>
      <c r="QYG42" s="3281"/>
      <c r="QYH42" s="3281"/>
      <c r="QYI42" s="3281"/>
      <c r="QYJ42" s="3281"/>
      <c r="QYK42" s="3281"/>
      <c r="QYL42" s="3281"/>
      <c r="QYM42" s="3281"/>
      <c r="QYN42" s="3281"/>
      <c r="QYO42" s="3281"/>
      <c r="QYP42" s="3281"/>
      <c r="QYQ42" s="3281"/>
      <c r="QYR42" s="3281"/>
      <c r="QYS42" s="3281"/>
      <c r="QYT42" s="3281"/>
      <c r="QYU42" s="3281"/>
      <c r="QYV42" s="3281"/>
      <c r="QYW42" s="3281"/>
      <c r="QYX42" s="3281"/>
      <c r="QYY42" s="3281"/>
      <c r="QYZ42" s="3281"/>
      <c r="QZA42" s="3281"/>
      <c r="QZB42" s="3281"/>
      <c r="QZC42" s="3281"/>
      <c r="QZD42" s="3281"/>
      <c r="QZE42" s="3281"/>
      <c r="QZF42" s="3281"/>
      <c r="QZG42" s="3281"/>
      <c r="QZH42" s="3281"/>
      <c r="QZI42" s="3281"/>
      <c r="QZJ42" s="3281"/>
      <c r="QZK42" s="3281"/>
      <c r="QZL42" s="3281"/>
      <c r="QZM42" s="3281"/>
      <c r="QZN42" s="3281"/>
      <c r="QZO42" s="3281"/>
      <c r="QZP42" s="3281"/>
      <c r="QZQ42" s="3281"/>
      <c r="QZR42" s="3281"/>
      <c r="QZS42" s="3281"/>
      <c r="QZT42" s="3281"/>
      <c r="QZU42" s="3281"/>
      <c r="QZV42" s="3281"/>
      <c r="QZW42" s="3281"/>
      <c r="QZX42" s="3281"/>
      <c r="QZY42" s="3281"/>
      <c r="QZZ42" s="3281"/>
      <c r="RAA42" s="3281"/>
      <c r="RAB42" s="3281"/>
      <c r="RAC42" s="3281"/>
      <c r="RAD42" s="3281"/>
      <c r="RAE42" s="3281"/>
      <c r="RAF42" s="3281"/>
      <c r="RAG42" s="3281"/>
      <c r="RAH42" s="3281"/>
      <c r="RAI42" s="3281"/>
      <c r="RAJ42" s="3281"/>
      <c r="RAK42" s="3281"/>
      <c r="RAL42" s="3281"/>
      <c r="RAM42" s="3281"/>
      <c r="RAN42" s="3281"/>
      <c r="RAO42" s="3281"/>
      <c r="RAP42" s="3281"/>
      <c r="RAQ42" s="3281"/>
      <c r="RAR42" s="3281"/>
      <c r="RAS42" s="3281"/>
      <c r="RAT42" s="3281"/>
      <c r="RAU42" s="3281"/>
      <c r="RAV42" s="3281"/>
      <c r="RAW42" s="3281"/>
      <c r="RAX42" s="3281"/>
      <c r="RAY42" s="3281"/>
      <c r="RAZ42" s="3281"/>
      <c r="RBA42" s="3281"/>
      <c r="RBB42" s="3281"/>
      <c r="RBC42" s="3281"/>
      <c r="RBD42" s="3281"/>
      <c r="RBE42" s="3281"/>
      <c r="RBF42" s="3281"/>
      <c r="RBG42" s="3281"/>
      <c r="RBH42" s="3281"/>
      <c r="RBI42" s="3281"/>
      <c r="RBJ42" s="3281"/>
      <c r="RBK42" s="3281"/>
      <c r="RBL42" s="3281"/>
      <c r="RBM42" s="3281"/>
      <c r="RBN42" s="3281"/>
      <c r="RBO42" s="3281"/>
      <c r="RBP42" s="3281"/>
      <c r="RBQ42" s="3281"/>
      <c r="RBR42" s="3281"/>
      <c r="RBS42" s="3281"/>
      <c r="RBT42" s="3281"/>
      <c r="RBU42" s="3281"/>
      <c r="RBV42" s="3281"/>
      <c r="RBW42" s="3281"/>
      <c r="RBX42" s="3281"/>
      <c r="RBY42" s="3281"/>
      <c r="RBZ42" s="3281"/>
      <c r="RCA42" s="3281"/>
      <c r="RCB42" s="3281"/>
      <c r="RCC42" s="3281"/>
      <c r="RCD42" s="3281"/>
      <c r="RCE42" s="3281"/>
      <c r="RCF42" s="3281"/>
      <c r="RCG42" s="3281"/>
      <c r="RCH42" s="3281"/>
      <c r="RCI42" s="3281"/>
      <c r="RCJ42" s="3281"/>
      <c r="RCK42" s="3281"/>
      <c r="RCL42" s="3281"/>
      <c r="RCM42" s="3281"/>
      <c r="RCN42" s="3281"/>
      <c r="RCO42" s="3281"/>
      <c r="RCP42" s="3281"/>
      <c r="RCQ42" s="3281"/>
      <c r="RCR42" s="3281"/>
      <c r="RCS42" s="3281"/>
      <c r="RCT42" s="3281"/>
      <c r="RCU42" s="3281"/>
      <c r="RCV42" s="3281"/>
      <c r="RCW42" s="3281"/>
      <c r="RCX42" s="3281"/>
      <c r="RCY42" s="3281"/>
      <c r="RCZ42" s="3281"/>
      <c r="RDA42" s="3281"/>
      <c r="RDB42" s="3281"/>
      <c r="RDC42" s="3281"/>
      <c r="RDD42" s="3281"/>
      <c r="RDE42" s="3281"/>
      <c r="RDF42" s="3281"/>
      <c r="RDG42" s="3281"/>
      <c r="RDH42" s="3281"/>
      <c r="RDI42" s="3281"/>
      <c r="RDJ42" s="3281"/>
      <c r="RDK42" s="3281"/>
      <c r="RDL42" s="3281"/>
      <c r="RDM42" s="3281"/>
      <c r="RDN42" s="3281"/>
      <c r="RDO42" s="3281"/>
      <c r="RDP42" s="3281"/>
      <c r="RDQ42" s="3281"/>
      <c r="RDR42" s="3281"/>
      <c r="RDS42" s="3281"/>
      <c r="RDT42" s="3281"/>
      <c r="RDU42" s="3281"/>
      <c r="RDV42" s="3281"/>
      <c r="RDW42" s="3281"/>
      <c r="RDX42" s="3281"/>
      <c r="RDY42" s="3281"/>
      <c r="RDZ42" s="3281"/>
      <c r="REA42" s="3281"/>
      <c r="REB42" s="3281"/>
      <c r="REC42" s="3281"/>
      <c r="RED42" s="3281"/>
      <c r="REE42" s="3281"/>
      <c r="REF42" s="3281"/>
      <c r="REG42" s="3281"/>
      <c r="REH42" s="3281"/>
      <c r="REI42" s="3281"/>
      <c r="REJ42" s="3281"/>
      <c r="REK42" s="3281"/>
      <c r="REL42" s="3281"/>
      <c r="REM42" s="3281"/>
      <c r="REN42" s="3281"/>
      <c r="REO42" s="3281"/>
      <c r="REP42" s="3281"/>
      <c r="REQ42" s="3281"/>
      <c r="RER42" s="3281"/>
      <c r="RES42" s="3281"/>
      <c r="RET42" s="3281"/>
      <c r="REU42" s="3281"/>
      <c r="REV42" s="3281"/>
      <c r="REW42" s="3281"/>
      <c r="REX42" s="3281"/>
      <c r="REY42" s="3281"/>
      <c r="REZ42" s="3281"/>
      <c r="RFA42" s="3281"/>
      <c r="RFB42" s="3281"/>
      <c r="RFC42" s="3281"/>
      <c r="RFD42" s="3281"/>
      <c r="RFE42" s="3281"/>
      <c r="RFF42" s="3281"/>
      <c r="RFG42" s="3281"/>
      <c r="RFH42" s="3281"/>
      <c r="RFI42" s="3281"/>
      <c r="RFJ42" s="3281"/>
      <c r="RFK42" s="3281"/>
      <c r="RFL42" s="3281"/>
      <c r="RFM42" s="3281"/>
      <c r="RFN42" s="3281"/>
      <c r="RFO42" s="3281"/>
      <c r="RFP42" s="3281"/>
      <c r="RFQ42" s="3281"/>
      <c r="RFR42" s="3281"/>
      <c r="RFS42" s="3281"/>
      <c r="RFT42" s="3281"/>
      <c r="RFU42" s="3281"/>
      <c r="RFV42" s="3281"/>
      <c r="RFW42" s="3281"/>
      <c r="RFX42" s="3281"/>
      <c r="RFY42" s="3281"/>
      <c r="RFZ42" s="3281"/>
      <c r="RGA42" s="3281"/>
      <c r="RGB42" s="3281"/>
      <c r="RGC42" s="3281"/>
      <c r="RGD42" s="3281"/>
      <c r="RGE42" s="3281"/>
      <c r="RGF42" s="3281"/>
      <c r="RGG42" s="3281"/>
      <c r="RGH42" s="3281"/>
      <c r="RGI42" s="3281"/>
      <c r="RGJ42" s="3281"/>
      <c r="RGK42" s="3281"/>
      <c r="RGL42" s="3281"/>
      <c r="RGM42" s="3281"/>
      <c r="RGN42" s="3281"/>
      <c r="RGO42" s="3281"/>
      <c r="RGP42" s="3281"/>
      <c r="RGQ42" s="3281"/>
      <c r="RGR42" s="3281"/>
      <c r="RGS42" s="3281"/>
      <c r="RGT42" s="3281"/>
      <c r="RGU42" s="3281"/>
      <c r="RGV42" s="3281"/>
      <c r="RGW42" s="3281"/>
      <c r="RGX42" s="3281"/>
      <c r="RGY42" s="3281"/>
      <c r="RGZ42" s="3281"/>
      <c r="RHA42" s="3281"/>
      <c r="RHB42" s="3281"/>
      <c r="RHC42" s="3281"/>
      <c r="RHD42" s="3281"/>
      <c r="RHE42" s="3281"/>
      <c r="RHF42" s="3281"/>
      <c r="RHG42" s="3281"/>
      <c r="RHH42" s="3281"/>
      <c r="RHI42" s="3281"/>
      <c r="RHJ42" s="3281"/>
      <c r="RHK42" s="3281"/>
      <c r="RHL42" s="3281"/>
      <c r="RHM42" s="3281"/>
      <c r="RHN42" s="3281"/>
      <c r="RHO42" s="3281"/>
      <c r="RHP42" s="3281"/>
      <c r="RHQ42" s="3281"/>
      <c r="RHR42" s="3281"/>
      <c r="RHS42" s="3281"/>
      <c r="RHT42" s="3281"/>
      <c r="RHU42" s="3281"/>
      <c r="RHV42" s="3281"/>
      <c r="RHW42" s="3281"/>
      <c r="RHX42" s="3281"/>
      <c r="RHY42" s="3281"/>
      <c r="RHZ42" s="3281"/>
      <c r="RIA42" s="3281"/>
      <c r="RIB42" s="3281"/>
      <c r="RIC42" s="3281"/>
      <c r="RID42" s="3281"/>
      <c r="RIE42" s="3281"/>
      <c r="RIF42" s="3281"/>
      <c r="RIG42" s="3281"/>
      <c r="RIH42" s="3281"/>
      <c r="RII42" s="3281"/>
      <c r="RIJ42" s="3281"/>
      <c r="RIK42" s="3281"/>
      <c r="RIL42" s="3281"/>
      <c r="RIM42" s="3281"/>
      <c r="RIN42" s="3281"/>
      <c r="RIO42" s="3281"/>
      <c r="RIP42" s="3281"/>
      <c r="RIQ42" s="3281"/>
      <c r="RIR42" s="3281"/>
      <c r="RIS42" s="3281"/>
      <c r="RIT42" s="3281"/>
      <c r="RIU42" s="3281"/>
      <c r="RIV42" s="3281"/>
      <c r="RIW42" s="3281"/>
      <c r="RIX42" s="3281"/>
      <c r="RIY42" s="3281"/>
      <c r="RIZ42" s="3281"/>
      <c r="RJA42" s="3281"/>
      <c r="RJB42" s="3281"/>
      <c r="RJC42" s="3281"/>
      <c r="RJD42" s="3281"/>
      <c r="RJE42" s="3281"/>
      <c r="RJF42" s="3281"/>
      <c r="RJG42" s="3281"/>
      <c r="RJH42" s="3281"/>
      <c r="RJI42" s="3281"/>
      <c r="RJJ42" s="3281"/>
      <c r="RJK42" s="3281"/>
      <c r="RJL42" s="3281"/>
      <c r="RJM42" s="3281"/>
      <c r="RJN42" s="3281"/>
      <c r="RJO42" s="3281"/>
      <c r="RJP42" s="3281"/>
      <c r="RJQ42" s="3281"/>
      <c r="RJR42" s="3281"/>
      <c r="RJS42" s="3281"/>
      <c r="RJT42" s="3281"/>
      <c r="RJU42" s="3281"/>
      <c r="RJV42" s="3281"/>
      <c r="RJW42" s="3281"/>
      <c r="RJX42" s="3281"/>
      <c r="RJY42" s="3281"/>
      <c r="RJZ42" s="3281"/>
      <c r="RKA42" s="3281"/>
      <c r="RKB42" s="3281"/>
      <c r="RKC42" s="3281"/>
      <c r="RKD42" s="3281"/>
      <c r="RKE42" s="3281"/>
      <c r="RKF42" s="3281"/>
      <c r="RKG42" s="3281"/>
      <c r="RKH42" s="3281"/>
      <c r="RKI42" s="3281"/>
      <c r="RKJ42" s="3281"/>
      <c r="RKK42" s="3281"/>
      <c r="RKL42" s="3281"/>
      <c r="RKM42" s="3281"/>
      <c r="RKN42" s="3281"/>
      <c r="RKO42" s="3281"/>
      <c r="RKP42" s="3281"/>
      <c r="RKQ42" s="3281"/>
      <c r="RKR42" s="3281"/>
      <c r="RKS42" s="3281"/>
      <c r="RKT42" s="3281"/>
      <c r="RKU42" s="3281"/>
      <c r="RKV42" s="3281"/>
      <c r="RKW42" s="3281"/>
      <c r="RKX42" s="3281"/>
      <c r="RKY42" s="3281"/>
      <c r="RKZ42" s="3281"/>
      <c r="RLA42" s="3281"/>
      <c r="RLB42" s="3281"/>
      <c r="RLC42" s="3281"/>
      <c r="RLD42" s="3281"/>
      <c r="RLE42" s="3281"/>
      <c r="RLF42" s="3281"/>
      <c r="RLG42" s="3281"/>
      <c r="RLH42" s="3281"/>
      <c r="RLI42" s="3281"/>
      <c r="RLJ42" s="3281"/>
      <c r="RLK42" s="3281"/>
      <c r="RLL42" s="3281"/>
      <c r="RLM42" s="3281"/>
      <c r="RLN42" s="3281"/>
      <c r="RLO42" s="3281"/>
      <c r="RLP42" s="3281"/>
      <c r="RLQ42" s="3281"/>
      <c r="RLR42" s="3281"/>
      <c r="RLS42" s="3281"/>
      <c r="RLT42" s="3281"/>
      <c r="RLU42" s="3281"/>
      <c r="RLV42" s="3281"/>
      <c r="RLW42" s="3281"/>
      <c r="RLX42" s="3281"/>
      <c r="RLY42" s="3281"/>
      <c r="RLZ42" s="3281"/>
      <c r="RMA42" s="3281"/>
      <c r="RMB42" s="3281"/>
      <c r="RMC42" s="3281"/>
      <c r="RMD42" s="3281"/>
      <c r="RME42" s="3281"/>
      <c r="RMF42" s="3281"/>
      <c r="RMG42" s="3281"/>
      <c r="RMH42" s="3281"/>
      <c r="RMI42" s="3281"/>
      <c r="RMJ42" s="3281"/>
      <c r="RMK42" s="3281"/>
      <c r="RML42" s="3281"/>
      <c r="RMM42" s="3281"/>
      <c r="RMN42" s="3281"/>
      <c r="RMO42" s="3281"/>
      <c r="RMP42" s="3281"/>
      <c r="RMQ42" s="3281"/>
      <c r="RMR42" s="3281"/>
      <c r="RMS42" s="3281"/>
      <c r="RMT42" s="3281"/>
      <c r="RMU42" s="3281"/>
      <c r="RMV42" s="3281"/>
      <c r="RMW42" s="3281"/>
      <c r="RMX42" s="3281"/>
      <c r="RMY42" s="3281"/>
      <c r="RMZ42" s="3281"/>
      <c r="RNA42" s="3281"/>
      <c r="RNB42" s="3281"/>
      <c r="RNC42" s="3281"/>
      <c r="RND42" s="3281"/>
      <c r="RNE42" s="3281"/>
      <c r="RNF42" s="3281"/>
      <c r="RNG42" s="3281"/>
      <c r="RNH42" s="3281"/>
      <c r="RNI42" s="3281"/>
      <c r="RNJ42" s="3281"/>
      <c r="RNK42" s="3281"/>
      <c r="RNL42" s="3281"/>
      <c r="RNM42" s="3281"/>
      <c r="RNN42" s="3281"/>
      <c r="RNO42" s="3281"/>
      <c r="RNP42" s="3281"/>
      <c r="RNQ42" s="3281"/>
      <c r="RNR42" s="3281"/>
      <c r="RNS42" s="3281"/>
      <c r="RNT42" s="3281"/>
      <c r="RNU42" s="3281"/>
      <c r="RNV42" s="3281"/>
      <c r="RNW42" s="3281"/>
      <c r="RNX42" s="3281"/>
      <c r="RNY42" s="3281"/>
      <c r="RNZ42" s="3281"/>
      <c r="ROA42" s="3281"/>
      <c r="ROB42" s="3281"/>
      <c r="ROC42" s="3281"/>
      <c r="ROD42" s="3281"/>
      <c r="ROE42" s="3281"/>
      <c r="ROF42" s="3281"/>
      <c r="ROG42" s="3281"/>
      <c r="ROH42" s="3281"/>
      <c r="ROI42" s="3281"/>
      <c r="ROJ42" s="3281"/>
      <c r="ROK42" s="3281"/>
      <c r="ROL42" s="3281"/>
      <c r="ROM42" s="3281"/>
      <c r="RON42" s="3281"/>
      <c r="ROO42" s="3281"/>
      <c r="ROP42" s="3281"/>
      <c r="ROQ42" s="3281"/>
      <c r="ROR42" s="3281"/>
      <c r="ROS42" s="3281"/>
      <c r="ROT42" s="3281"/>
      <c r="ROU42" s="3281"/>
      <c r="ROV42" s="3281"/>
      <c r="ROW42" s="3281"/>
      <c r="ROX42" s="3281"/>
      <c r="ROY42" s="3281"/>
      <c r="ROZ42" s="3281"/>
      <c r="RPA42" s="3281"/>
      <c r="RPB42" s="3281"/>
      <c r="RPC42" s="3281"/>
      <c r="RPD42" s="3281"/>
      <c r="RPE42" s="3281"/>
      <c r="RPF42" s="3281"/>
      <c r="RPG42" s="3281"/>
      <c r="RPH42" s="3281"/>
      <c r="RPI42" s="3281"/>
      <c r="RPJ42" s="3281"/>
      <c r="RPK42" s="3281"/>
      <c r="RPL42" s="3281"/>
      <c r="RPM42" s="3281"/>
      <c r="RPN42" s="3281"/>
      <c r="RPO42" s="3281"/>
      <c r="RPP42" s="3281"/>
      <c r="RPQ42" s="3281"/>
      <c r="RPR42" s="3281"/>
      <c r="RPS42" s="3281"/>
      <c r="RPT42" s="3281"/>
      <c r="RPU42" s="3281"/>
      <c r="RPV42" s="3281"/>
      <c r="RPW42" s="3281"/>
      <c r="RPX42" s="3281"/>
      <c r="RPY42" s="3281"/>
      <c r="RPZ42" s="3281"/>
      <c r="RQA42" s="3281"/>
      <c r="RQB42" s="3281"/>
      <c r="RQC42" s="3281"/>
      <c r="RQD42" s="3281"/>
      <c r="RQE42" s="3281"/>
      <c r="RQF42" s="3281"/>
      <c r="RQG42" s="3281"/>
      <c r="RQH42" s="3281"/>
      <c r="RQI42" s="3281"/>
      <c r="RQJ42" s="3281"/>
      <c r="RQK42" s="3281"/>
      <c r="RQL42" s="3281"/>
      <c r="RQM42" s="3281"/>
      <c r="RQN42" s="3281"/>
      <c r="RQO42" s="3281"/>
      <c r="RQP42" s="3281"/>
      <c r="RQQ42" s="3281"/>
      <c r="RQR42" s="3281"/>
      <c r="RQS42" s="3281"/>
      <c r="RQT42" s="3281"/>
      <c r="RQU42" s="3281"/>
      <c r="RQV42" s="3281"/>
      <c r="RQW42" s="3281"/>
      <c r="RQX42" s="3281"/>
      <c r="RQY42" s="3281"/>
      <c r="RQZ42" s="3281"/>
      <c r="RRA42" s="3281"/>
      <c r="RRB42" s="3281"/>
      <c r="RRC42" s="3281"/>
      <c r="RRD42" s="3281"/>
      <c r="RRE42" s="3281"/>
      <c r="RRF42" s="3281"/>
      <c r="RRG42" s="3281"/>
      <c r="RRH42" s="3281"/>
      <c r="RRI42" s="3281"/>
      <c r="RRJ42" s="3281"/>
      <c r="RRK42" s="3281"/>
      <c r="RRL42" s="3281"/>
      <c r="RRM42" s="3281"/>
      <c r="RRN42" s="3281"/>
      <c r="RRO42" s="3281"/>
      <c r="RRP42" s="3281"/>
      <c r="RRQ42" s="3281"/>
      <c r="RRR42" s="3281"/>
      <c r="RRS42" s="3281"/>
      <c r="RRT42" s="3281"/>
      <c r="RRU42" s="3281"/>
      <c r="RRV42" s="3281"/>
      <c r="RRW42" s="3281"/>
      <c r="RRX42" s="3281"/>
      <c r="RRY42" s="3281"/>
      <c r="RRZ42" s="3281"/>
      <c r="RSA42" s="3281"/>
      <c r="RSB42" s="3281"/>
      <c r="RSC42" s="3281"/>
      <c r="RSD42" s="3281"/>
      <c r="RSE42" s="3281"/>
      <c r="RSF42" s="3281"/>
      <c r="RSG42" s="3281"/>
      <c r="RSH42" s="3281"/>
      <c r="RSI42" s="3281"/>
      <c r="RSJ42" s="3281"/>
      <c r="RSK42" s="3281"/>
      <c r="RSL42" s="3281"/>
      <c r="RSM42" s="3281"/>
      <c r="RSN42" s="3281"/>
      <c r="RSO42" s="3281"/>
      <c r="RSP42" s="3281"/>
      <c r="RSQ42" s="3281"/>
      <c r="RSR42" s="3281"/>
      <c r="RSS42" s="3281"/>
      <c r="RST42" s="3281"/>
      <c r="RSU42" s="3281"/>
      <c r="RSV42" s="3281"/>
      <c r="RSW42" s="3281"/>
      <c r="RSX42" s="3281"/>
      <c r="RSY42" s="3281"/>
      <c r="RSZ42" s="3281"/>
      <c r="RTA42" s="3281"/>
      <c r="RTB42" s="3281"/>
      <c r="RTC42" s="3281"/>
      <c r="RTD42" s="3281"/>
      <c r="RTE42" s="3281"/>
      <c r="RTF42" s="3281"/>
      <c r="RTG42" s="3281"/>
      <c r="RTH42" s="3281"/>
      <c r="RTI42" s="3281"/>
      <c r="RTJ42" s="3281"/>
      <c r="RTK42" s="3281"/>
      <c r="RTL42" s="3281"/>
      <c r="RTM42" s="3281"/>
      <c r="RTN42" s="3281"/>
      <c r="RTO42" s="3281"/>
      <c r="RTP42" s="3281"/>
      <c r="RTQ42" s="3281"/>
      <c r="RTR42" s="3281"/>
      <c r="RTS42" s="3281"/>
      <c r="RTT42" s="3281"/>
      <c r="RTU42" s="3281"/>
      <c r="RTV42" s="3281"/>
      <c r="RTW42" s="3281"/>
      <c r="RTX42" s="3281"/>
      <c r="RTY42" s="3281"/>
      <c r="RTZ42" s="3281"/>
      <c r="RUA42" s="3281"/>
      <c r="RUB42" s="3281"/>
      <c r="RUC42" s="3281"/>
      <c r="RUD42" s="3281"/>
      <c r="RUE42" s="3281"/>
      <c r="RUF42" s="3281"/>
      <c r="RUG42" s="3281"/>
      <c r="RUH42" s="3281"/>
      <c r="RUI42" s="3281"/>
      <c r="RUJ42" s="3281"/>
      <c r="RUK42" s="3281"/>
      <c r="RUL42" s="3281"/>
      <c r="RUM42" s="3281"/>
      <c r="RUN42" s="3281"/>
      <c r="RUO42" s="3281"/>
      <c r="RUP42" s="3281"/>
      <c r="RUQ42" s="3281"/>
      <c r="RUR42" s="3281"/>
      <c r="RUS42" s="3281"/>
      <c r="RUT42" s="3281"/>
      <c r="RUU42" s="3281"/>
      <c r="RUV42" s="3281"/>
      <c r="RUW42" s="3281"/>
      <c r="RUX42" s="3281"/>
      <c r="RUY42" s="3281"/>
      <c r="RUZ42" s="3281"/>
      <c r="RVA42" s="3281"/>
      <c r="RVB42" s="3281"/>
      <c r="RVC42" s="3281"/>
      <c r="RVD42" s="3281"/>
      <c r="RVE42" s="3281"/>
      <c r="RVF42" s="3281"/>
      <c r="RVG42" s="3281"/>
      <c r="RVH42" s="3281"/>
      <c r="RVI42" s="3281"/>
      <c r="RVJ42" s="3281"/>
      <c r="RVK42" s="3281"/>
      <c r="RVL42" s="3281"/>
      <c r="RVM42" s="3281"/>
      <c r="RVN42" s="3281"/>
      <c r="RVO42" s="3281"/>
      <c r="RVP42" s="3281"/>
      <c r="RVQ42" s="3281"/>
      <c r="RVR42" s="3281"/>
      <c r="RVS42" s="3281"/>
      <c r="RVT42" s="3281"/>
      <c r="RVU42" s="3281"/>
      <c r="RVV42" s="3281"/>
      <c r="RVW42" s="3281"/>
      <c r="RVX42" s="3281"/>
      <c r="RVY42" s="3281"/>
      <c r="RVZ42" s="3281"/>
      <c r="RWA42" s="3281"/>
      <c r="RWB42" s="3281"/>
      <c r="RWC42" s="3281"/>
      <c r="RWD42" s="3281"/>
      <c r="RWE42" s="3281"/>
      <c r="RWF42" s="3281"/>
      <c r="RWG42" s="3281"/>
      <c r="RWH42" s="3281"/>
      <c r="RWI42" s="3281"/>
      <c r="RWJ42" s="3281"/>
      <c r="RWK42" s="3281"/>
      <c r="RWL42" s="3281"/>
      <c r="RWM42" s="3281"/>
      <c r="RWN42" s="3281"/>
      <c r="RWO42" s="3281"/>
      <c r="RWP42" s="3281"/>
      <c r="RWQ42" s="3281"/>
      <c r="RWR42" s="3281"/>
      <c r="RWS42" s="3281"/>
      <c r="RWT42" s="3281"/>
      <c r="RWU42" s="3281"/>
      <c r="RWV42" s="3281"/>
      <c r="RWW42" s="3281"/>
      <c r="RWX42" s="3281"/>
      <c r="RWY42" s="3281"/>
      <c r="RWZ42" s="3281"/>
      <c r="RXA42" s="3281"/>
      <c r="RXB42" s="3281"/>
      <c r="RXC42" s="3281"/>
      <c r="RXD42" s="3281"/>
      <c r="RXE42" s="3281"/>
      <c r="RXF42" s="3281"/>
      <c r="RXG42" s="3281"/>
      <c r="RXH42" s="3281"/>
      <c r="RXI42" s="3281"/>
      <c r="RXJ42" s="3281"/>
      <c r="RXK42" s="3281"/>
      <c r="RXL42" s="3281"/>
      <c r="RXM42" s="3281"/>
      <c r="RXN42" s="3281"/>
      <c r="RXO42" s="3281"/>
      <c r="RXP42" s="3281"/>
      <c r="RXQ42" s="3281"/>
      <c r="RXR42" s="3281"/>
      <c r="RXS42" s="3281"/>
      <c r="RXT42" s="3281"/>
      <c r="RXU42" s="3281"/>
      <c r="RXV42" s="3281"/>
      <c r="RXW42" s="3281"/>
      <c r="RXX42" s="3281"/>
      <c r="RXY42" s="3281"/>
      <c r="RXZ42" s="3281"/>
      <c r="RYA42" s="3281"/>
      <c r="RYB42" s="3281"/>
      <c r="RYC42" s="3281"/>
      <c r="RYD42" s="3281"/>
      <c r="RYE42" s="3281"/>
      <c r="RYF42" s="3281"/>
      <c r="RYG42" s="3281"/>
      <c r="RYH42" s="3281"/>
      <c r="RYI42" s="3281"/>
      <c r="RYJ42" s="3281"/>
      <c r="RYK42" s="3281"/>
      <c r="RYL42" s="3281"/>
      <c r="RYM42" s="3281"/>
      <c r="RYN42" s="3281"/>
      <c r="RYO42" s="3281"/>
      <c r="RYP42" s="3281"/>
      <c r="RYQ42" s="3281"/>
      <c r="RYR42" s="3281"/>
      <c r="RYS42" s="3281"/>
      <c r="RYT42" s="3281"/>
      <c r="RYU42" s="3281"/>
      <c r="RYV42" s="3281"/>
      <c r="RYW42" s="3281"/>
      <c r="RYX42" s="3281"/>
      <c r="RYY42" s="3281"/>
      <c r="RYZ42" s="3281"/>
      <c r="RZA42" s="3281"/>
      <c r="RZB42" s="3281"/>
      <c r="RZC42" s="3281"/>
      <c r="RZD42" s="3281"/>
      <c r="RZE42" s="3281"/>
      <c r="RZF42" s="3281"/>
      <c r="RZG42" s="3281"/>
      <c r="RZH42" s="3281"/>
      <c r="RZI42" s="3281"/>
      <c r="RZJ42" s="3281"/>
      <c r="RZK42" s="3281"/>
      <c r="RZL42" s="3281"/>
      <c r="RZM42" s="3281"/>
      <c r="RZN42" s="3281"/>
      <c r="RZO42" s="3281"/>
      <c r="RZP42" s="3281"/>
      <c r="RZQ42" s="3281"/>
      <c r="RZR42" s="3281"/>
      <c r="RZS42" s="3281"/>
      <c r="RZT42" s="3281"/>
      <c r="RZU42" s="3281"/>
      <c r="RZV42" s="3281"/>
      <c r="RZW42" s="3281"/>
      <c r="RZX42" s="3281"/>
      <c r="RZY42" s="3281"/>
      <c r="RZZ42" s="3281"/>
      <c r="SAA42" s="3281"/>
      <c r="SAB42" s="3281"/>
      <c r="SAC42" s="3281"/>
      <c r="SAD42" s="3281"/>
      <c r="SAE42" s="3281"/>
      <c r="SAF42" s="3281"/>
      <c r="SAG42" s="3281"/>
      <c r="SAH42" s="3281"/>
      <c r="SAI42" s="3281"/>
      <c r="SAJ42" s="3281"/>
      <c r="SAK42" s="3281"/>
      <c r="SAL42" s="3281"/>
      <c r="SAM42" s="3281"/>
      <c r="SAN42" s="3281"/>
      <c r="SAO42" s="3281"/>
      <c r="SAP42" s="3281"/>
      <c r="SAQ42" s="3281"/>
      <c r="SAR42" s="3281"/>
      <c r="SAS42" s="3281"/>
      <c r="SAT42" s="3281"/>
      <c r="SAU42" s="3281"/>
      <c r="SAV42" s="3281"/>
      <c r="SAW42" s="3281"/>
      <c r="SAX42" s="3281"/>
      <c r="SAY42" s="3281"/>
      <c r="SAZ42" s="3281"/>
      <c r="SBA42" s="3281"/>
      <c r="SBB42" s="3281"/>
      <c r="SBC42" s="3281"/>
      <c r="SBD42" s="3281"/>
      <c r="SBE42" s="3281"/>
      <c r="SBF42" s="3281"/>
      <c r="SBG42" s="3281"/>
      <c r="SBH42" s="3281"/>
      <c r="SBI42" s="3281"/>
      <c r="SBJ42" s="3281"/>
      <c r="SBK42" s="3281"/>
      <c r="SBL42" s="3281"/>
      <c r="SBM42" s="3281"/>
      <c r="SBN42" s="3281"/>
      <c r="SBO42" s="3281"/>
      <c r="SBP42" s="3281"/>
      <c r="SBQ42" s="3281"/>
      <c r="SBR42" s="3281"/>
      <c r="SBS42" s="3281"/>
      <c r="SBT42" s="3281"/>
      <c r="SBU42" s="3281"/>
      <c r="SBV42" s="3281"/>
      <c r="SBW42" s="3281"/>
      <c r="SBX42" s="3281"/>
      <c r="SBY42" s="3281"/>
      <c r="SBZ42" s="3281"/>
      <c r="SCA42" s="3281"/>
      <c r="SCB42" s="3281"/>
      <c r="SCC42" s="3281"/>
      <c r="SCD42" s="3281"/>
      <c r="SCE42" s="3281"/>
      <c r="SCF42" s="3281"/>
      <c r="SCG42" s="3281"/>
      <c r="SCH42" s="3281"/>
      <c r="SCI42" s="3281"/>
      <c r="SCJ42" s="3281"/>
      <c r="SCK42" s="3281"/>
      <c r="SCL42" s="3281"/>
      <c r="SCM42" s="3281"/>
      <c r="SCN42" s="3281"/>
      <c r="SCO42" s="3281"/>
      <c r="SCP42" s="3281"/>
      <c r="SCQ42" s="3281"/>
      <c r="SCR42" s="3281"/>
      <c r="SCS42" s="3281"/>
      <c r="SCT42" s="3281"/>
      <c r="SCU42" s="3281"/>
      <c r="SCV42" s="3281"/>
      <c r="SCW42" s="3281"/>
      <c r="SCX42" s="3281"/>
      <c r="SCY42" s="3281"/>
      <c r="SCZ42" s="3281"/>
      <c r="SDA42" s="3281"/>
      <c r="SDB42" s="3281"/>
      <c r="SDC42" s="3281"/>
      <c r="SDD42" s="3281"/>
      <c r="SDE42" s="3281"/>
      <c r="SDF42" s="3281"/>
      <c r="SDG42" s="3281"/>
      <c r="SDH42" s="3281"/>
      <c r="SDI42" s="3281"/>
      <c r="SDJ42" s="3281"/>
      <c r="SDK42" s="3281"/>
      <c r="SDL42" s="3281"/>
      <c r="SDM42" s="3281"/>
      <c r="SDN42" s="3281"/>
      <c r="SDO42" s="3281"/>
      <c r="SDP42" s="3281"/>
      <c r="SDQ42" s="3281"/>
      <c r="SDR42" s="3281"/>
      <c r="SDS42" s="3281"/>
      <c r="SDT42" s="3281"/>
      <c r="SDU42" s="3281"/>
      <c r="SDV42" s="3281"/>
      <c r="SDW42" s="3281"/>
      <c r="SDX42" s="3281"/>
      <c r="SDY42" s="3281"/>
      <c r="SDZ42" s="3281"/>
      <c r="SEA42" s="3281"/>
      <c r="SEB42" s="3281"/>
      <c r="SEC42" s="3281"/>
      <c r="SED42" s="3281"/>
      <c r="SEE42" s="3281"/>
      <c r="SEF42" s="3281"/>
      <c r="SEG42" s="3281"/>
      <c r="SEH42" s="3281"/>
      <c r="SEI42" s="3281"/>
      <c r="SEJ42" s="3281"/>
      <c r="SEK42" s="3281"/>
      <c r="SEL42" s="3281"/>
      <c r="SEM42" s="3281"/>
      <c r="SEN42" s="3281"/>
      <c r="SEO42" s="3281"/>
      <c r="SEP42" s="3281"/>
      <c r="SEQ42" s="3281"/>
      <c r="SER42" s="3281"/>
      <c r="SES42" s="3281"/>
      <c r="SET42" s="3281"/>
      <c r="SEU42" s="3281"/>
      <c r="SEV42" s="3281"/>
      <c r="SEW42" s="3281"/>
      <c r="SEX42" s="3281"/>
      <c r="SEY42" s="3281"/>
      <c r="SEZ42" s="3281"/>
      <c r="SFA42" s="3281"/>
      <c r="SFB42" s="3281"/>
      <c r="SFC42" s="3281"/>
      <c r="SFD42" s="3281"/>
      <c r="SFE42" s="3281"/>
      <c r="SFF42" s="3281"/>
      <c r="SFG42" s="3281"/>
      <c r="SFH42" s="3281"/>
      <c r="SFI42" s="3281"/>
      <c r="SFJ42" s="3281"/>
      <c r="SFK42" s="3281"/>
      <c r="SFL42" s="3281"/>
      <c r="SFM42" s="3281"/>
      <c r="SFN42" s="3281"/>
      <c r="SFO42" s="3281"/>
      <c r="SFP42" s="3281"/>
      <c r="SFQ42" s="3281"/>
      <c r="SFR42" s="3281"/>
      <c r="SFS42" s="3281"/>
      <c r="SFT42" s="3281"/>
      <c r="SFU42" s="3281"/>
      <c r="SFV42" s="3281"/>
      <c r="SFW42" s="3281"/>
      <c r="SFX42" s="3281"/>
      <c r="SFY42" s="3281"/>
      <c r="SFZ42" s="3281"/>
      <c r="SGA42" s="3281"/>
      <c r="SGB42" s="3281"/>
      <c r="SGC42" s="3281"/>
      <c r="SGD42" s="3281"/>
      <c r="SGE42" s="3281"/>
      <c r="SGF42" s="3281"/>
      <c r="SGG42" s="3281"/>
      <c r="SGH42" s="3281"/>
      <c r="SGI42" s="3281"/>
      <c r="SGJ42" s="3281"/>
      <c r="SGK42" s="3281"/>
      <c r="SGL42" s="3281"/>
      <c r="SGM42" s="3281"/>
      <c r="SGN42" s="3281"/>
      <c r="SGO42" s="3281"/>
      <c r="SGP42" s="3281"/>
      <c r="SGQ42" s="3281"/>
      <c r="SGR42" s="3281"/>
      <c r="SGS42" s="3281"/>
      <c r="SGT42" s="3281"/>
      <c r="SGU42" s="3281"/>
      <c r="SGV42" s="3281"/>
      <c r="SGW42" s="3281"/>
      <c r="SGX42" s="3281"/>
      <c r="SGY42" s="3281"/>
      <c r="SGZ42" s="3281"/>
      <c r="SHA42" s="3281"/>
      <c r="SHB42" s="3281"/>
      <c r="SHC42" s="3281"/>
      <c r="SHD42" s="3281"/>
      <c r="SHE42" s="3281"/>
      <c r="SHF42" s="3281"/>
      <c r="SHG42" s="3281"/>
      <c r="SHH42" s="3281"/>
      <c r="SHI42" s="3281"/>
      <c r="SHJ42" s="3281"/>
      <c r="SHK42" s="3281"/>
      <c r="SHL42" s="3281"/>
      <c r="SHM42" s="3281"/>
      <c r="SHN42" s="3281"/>
      <c r="SHO42" s="3281"/>
      <c r="SHP42" s="3281"/>
      <c r="SHQ42" s="3281"/>
      <c r="SHR42" s="3281"/>
      <c r="SHS42" s="3281"/>
      <c r="SHT42" s="3281"/>
      <c r="SHU42" s="3281"/>
      <c r="SHV42" s="3281"/>
      <c r="SHW42" s="3281"/>
      <c r="SHX42" s="3281"/>
      <c r="SHY42" s="3281"/>
      <c r="SHZ42" s="3281"/>
      <c r="SIA42" s="3281"/>
      <c r="SIB42" s="3281"/>
      <c r="SIC42" s="3281"/>
      <c r="SID42" s="3281"/>
      <c r="SIE42" s="3281"/>
      <c r="SIF42" s="3281"/>
      <c r="SIG42" s="3281"/>
      <c r="SIH42" s="3281"/>
      <c r="SII42" s="3281"/>
      <c r="SIJ42" s="3281"/>
      <c r="SIK42" s="3281"/>
      <c r="SIL42" s="3281"/>
      <c r="SIM42" s="3281"/>
      <c r="SIN42" s="3281"/>
      <c r="SIO42" s="3281"/>
      <c r="SIP42" s="3281"/>
      <c r="SIQ42" s="3281"/>
      <c r="SIR42" s="3281"/>
      <c r="SIS42" s="3281"/>
      <c r="SIT42" s="3281"/>
      <c r="SIU42" s="3281"/>
      <c r="SIV42" s="3281"/>
      <c r="SIW42" s="3281"/>
      <c r="SIX42" s="3281"/>
      <c r="SIY42" s="3281"/>
      <c r="SIZ42" s="3281"/>
      <c r="SJA42" s="3281"/>
      <c r="SJB42" s="3281"/>
      <c r="SJC42" s="3281"/>
      <c r="SJD42" s="3281"/>
      <c r="SJE42" s="3281"/>
      <c r="SJF42" s="3281"/>
      <c r="SJG42" s="3281"/>
      <c r="SJH42" s="3281"/>
      <c r="SJI42" s="3281"/>
      <c r="SJJ42" s="3281"/>
      <c r="SJK42" s="3281"/>
      <c r="SJL42" s="3281"/>
      <c r="SJM42" s="3281"/>
      <c r="SJN42" s="3281"/>
      <c r="SJO42" s="3281"/>
      <c r="SJP42" s="3281"/>
      <c r="SJQ42" s="3281"/>
      <c r="SJR42" s="3281"/>
      <c r="SJS42" s="3281"/>
      <c r="SJT42" s="3281"/>
      <c r="SJU42" s="3281"/>
      <c r="SJV42" s="3281"/>
      <c r="SJW42" s="3281"/>
      <c r="SJX42" s="3281"/>
      <c r="SJY42" s="3281"/>
      <c r="SJZ42" s="3281"/>
      <c r="SKA42" s="3281"/>
      <c r="SKB42" s="3281"/>
      <c r="SKC42" s="3281"/>
      <c r="SKD42" s="3281"/>
      <c r="SKE42" s="3281"/>
      <c r="SKF42" s="3281"/>
      <c r="SKG42" s="3281"/>
      <c r="SKH42" s="3281"/>
      <c r="SKI42" s="3281"/>
      <c r="SKJ42" s="3281"/>
      <c r="SKK42" s="3281"/>
      <c r="SKL42" s="3281"/>
      <c r="SKM42" s="3281"/>
      <c r="SKN42" s="3281"/>
      <c r="SKO42" s="3281"/>
      <c r="SKP42" s="3281"/>
      <c r="SKQ42" s="3281"/>
      <c r="SKR42" s="3281"/>
      <c r="SKS42" s="3281"/>
      <c r="SKT42" s="3281"/>
      <c r="SKU42" s="3281"/>
      <c r="SKV42" s="3281"/>
      <c r="SKW42" s="3281"/>
      <c r="SKX42" s="3281"/>
      <c r="SKY42" s="3281"/>
      <c r="SKZ42" s="3281"/>
      <c r="SLA42" s="3281"/>
      <c r="SLB42" s="3281"/>
      <c r="SLC42" s="3281"/>
      <c r="SLD42" s="3281"/>
      <c r="SLE42" s="3281"/>
      <c r="SLF42" s="3281"/>
      <c r="SLG42" s="3281"/>
      <c r="SLH42" s="3281"/>
      <c r="SLI42" s="3281"/>
      <c r="SLJ42" s="3281"/>
      <c r="SLK42" s="3281"/>
      <c r="SLL42" s="3281"/>
      <c r="SLM42" s="3281"/>
      <c r="SLN42" s="3281"/>
      <c r="SLO42" s="3281"/>
      <c r="SLP42" s="3281"/>
      <c r="SLQ42" s="3281"/>
      <c r="SLR42" s="3281"/>
      <c r="SLS42" s="3281"/>
      <c r="SLT42" s="3281"/>
      <c r="SLU42" s="3281"/>
      <c r="SLV42" s="3281"/>
      <c r="SLW42" s="3281"/>
      <c r="SLX42" s="3281"/>
      <c r="SLY42" s="3281"/>
      <c r="SLZ42" s="3281"/>
      <c r="SMA42" s="3281"/>
      <c r="SMB42" s="3281"/>
      <c r="SMC42" s="3281"/>
      <c r="SMD42" s="3281"/>
      <c r="SME42" s="3281"/>
      <c r="SMF42" s="3281"/>
      <c r="SMG42" s="3281"/>
      <c r="SMH42" s="3281"/>
      <c r="SMI42" s="3281"/>
      <c r="SMJ42" s="3281"/>
      <c r="SMK42" s="3281"/>
      <c r="SML42" s="3281"/>
      <c r="SMM42" s="3281"/>
      <c r="SMN42" s="3281"/>
      <c r="SMO42" s="3281"/>
      <c r="SMP42" s="3281"/>
      <c r="SMQ42" s="3281"/>
      <c r="SMR42" s="3281"/>
      <c r="SMS42" s="3281"/>
      <c r="SMT42" s="3281"/>
      <c r="SMU42" s="3281"/>
      <c r="SMV42" s="3281"/>
      <c r="SMW42" s="3281"/>
      <c r="SMX42" s="3281"/>
      <c r="SMY42" s="3281"/>
      <c r="SMZ42" s="3281"/>
      <c r="SNA42" s="3281"/>
      <c r="SNB42" s="3281"/>
      <c r="SNC42" s="3281"/>
      <c r="SND42" s="3281"/>
      <c r="SNE42" s="3281"/>
      <c r="SNF42" s="3281"/>
      <c r="SNG42" s="3281"/>
      <c r="SNH42" s="3281"/>
      <c r="SNI42" s="3281"/>
      <c r="SNJ42" s="3281"/>
      <c r="SNK42" s="3281"/>
      <c r="SNL42" s="3281"/>
      <c r="SNM42" s="3281"/>
      <c r="SNN42" s="3281"/>
      <c r="SNO42" s="3281"/>
      <c r="SNP42" s="3281"/>
      <c r="SNQ42" s="3281"/>
      <c r="SNR42" s="3281"/>
      <c r="SNS42" s="3281"/>
      <c r="SNT42" s="3281"/>
      <c r="SNU42" s="3281"/>
      <c r="SNV42" s="3281"/>
      <c r="SNW42" s="3281"/>
      <c r="SNX42" s="3281"/>
      <c r="SNY42" s="3281"/>
      <c r="SNZ42" s="3281"/>
      <c r="SOA42" s="3281"/>
      <c r="SOB42" s="3281"/>
      <c r="SOC42" s="3281"/>
      <c r="SOD42" s="3281"/>
      <c r="SOE42" s="3281"/>
      <c r="SOF42" s="3281"/>
      <c r="SOG42" s="3281"/>
      <c r="SOH42" s="3281"/>
      <c r="SOI42" s="3281"/>
      <c r="SOJ42" s="3281"/>
      <c r="SOK42" s="3281"/>
      <c r="SOL42" s="3281"/>
      <c r="SOM42" s="3281"/>
      <c r="SON42" s="3281"/>
      <c r="SOO42" s="3281"/>
      <c r="SOP42" s="3281"/>
      <c r="SOQ42" s="3281"/>
      <c r="SOR42" s="3281"/>
      <c r="SOS42" s="3281"/>
      <c r="SOT42" s="3281"/>
      <c r="SOU42" s="3281"/>
      <c r="SOV42" s="3281"/>
      <c r="SOW42" s="3281"/>
      <c r="SOX42" s="3281"/>
      <c r="SOY42" s="3281"/>
      <c r="SOZ42" s="3281"/>
      <c r="SPA42" s="3281"/>
      <c r="SPB42" s="3281"/>
      <c r="SPC42" s="3281"/>
      <c r="SPD42" s="3281"/>
      <c r="SPE42" s="3281"/>
      <c r="SPF42" s="3281"/>
      <c r="SPG42" s="3281"/>
      <c r="SPH42" s="3281"/>
      <c r="SPI42" s="3281"/>
      <c r="SPJ42" s="3281"/>
      <c r="SPK42" s="3281"/>
      <c r="SPL42" s="3281"/>
      <c r="SPM42" s="3281"/>
      <c r="SPN42" s="3281"/>
      <c r="SPO42" s="3281"/>
      <c r="SPP42" s="3281"/>
      <c r="SPQ42" s="3281"/>
      <c r="SPR42" s="3281"/>
      <c r="SPS42" s="3281"/>
      <c r="SPT42" s="3281"/>
      <c r="SPU42" s="3281"/>
      <c r="SPV42" s="3281"/>
      <c r="SPW42" s="3281"/>
      <c r="SPX42" s="3281"/>
      <c r="SPY42" s="3281"/>
      <c r="SPZ42" s="3281"/>
      <c r="SQA42" s="3281"/>
      <c r="SQB42" s="3281"/>
      <c r="SQC42" s="3281"/>
      <c r="SQD42" s="3281"/>
      <c r="SQE42" s="3281"/>
      <c r="SQF42" s="3281"/>
      <c r="SQG42" s="3281"/>
      <c r="SQH42" s="3281"/>
      <c r="SQI42" s="3281"/>
      <c r="SQJ42" s="3281"/>
      <c r="SQK42" s="3281"/>
      <c r="SQL42" s="3281"/>
      <c r="SQM42" s="3281"/>
      <c r="SQN42" s="3281"/>
      <c r="SQO42" s="3281"/>
      <c r="SQP42" s="3281"/>
      <c r="SQQ42" s="3281"/>
      <c r="SQR42" s="3281"/>
      <c r="SQS42" s="3281"/>
      <c r="SQT42" s="3281"/>
      <c r="SQU42" s="3281"/>
      <c r="SQV42" s="3281"/>
      <c r="SQW42" s="3281"/>
      <c r="SQX42" s="3281"/>
      <c r="SQY42" s="3281"/>
      <c r="SQZ42" s="3281"/>
      <c r="SRA42" s="3281"/>
      <c r="SRB42" s="3281"/>
      <c r="SRC42" s="3281"/>
      <c r="SRD42" s="3281"/>
      <c r="SRE42" s="3281"/>
      <c r="SRF42" s="3281"/>
      <c r="SRG42" s="3281"/>
      <c r="SRH42" s="3281"/>
      <c r="SRI42" s="3281"/>
      <c r="SRJ42" s="3281"/>
      <c r="SRK42" s="3281"/>
      <c r="SRL42" s="3281"/>
      <c r="SRM42" s="3281"/>
      <c r="SRN42" s="3281"/>
      <c r="SRO42" s="3281"/>
      <c r="SRP42" s="3281"/>
      <c r="SRQ42" s="3281"/>
      <c r="SRR42" s="3281"/>
      <c r="SRS42" s="3281"/>
      <c r="SRT42" s="3281"/>
      <c r="SRU42" s="3281"/>
      <c r="SRV42" s="3281"/>
      <c r="SRW42" s="3281"/>
      <c r="SRX42" s="3281"/>
      <c r="SRY42" s="3281"/>
      <c r="SRZ42" s="3281"/>
      <c r="SSA42" s="3281"/>
      <c r="SSB42" s="3281"/>
      <c r="SSC42" s="3281"/>
      <c r="SSD42" s="3281"/>
      <c r="SSE42" s="3281"/>
      <c r="SSF42" s="3281"/>
      <c r="SSG42" s="3281"/>
      <c r="SSH42" s="3281"/>
      <c r="SSI42" s="3281"/>
      <c r="SSJ42" s="3281"/>
      <c r="SSK42" s="3281"/>
      <c r="SSL42" s="3281"/>
      <c r="SSM42" s="3281"/>
      <c r="SSN42" s="3281"/>
      <c r="SSO42" s="3281"/>
      <c r="SSP42" s="3281"/>
      <c r="SSQ42" s="3281"/>
      <c r="SSR42" s="3281"/>
      <c r="SSS42" s="3281"/>
      <c r="SST42" s="3281"/>
      <c r="SSU42" s="3281"/>
      <c r="SSV42" s="3281"/>
      <c r="SSW42" s="3281"/>
      <c r="SSX42" s="3281"/>
      <c r="SSY42" s="3281"/>
      <c r="SSZ42" s="3281"/>
      <c r="STA42" s="3281"/>
      <c r="STB42" s="3281"/>
      <c r="STC42" s="3281"/>
      <c r="STD42" s="3281"/>
      <c r="STE42" s="3281"/>
      <c r="STF42" s="3281"/>
      <c r="STG42" s="3281"/>
      <c r="STH42" s="3281"/>
      <c r="STI42" s="3281"/>
      <c r="STJ42" s="3281"/>
      <c r="STK42" s="3281"/>
      <c r="STL42" s="3281"/>
      <c r="STM42" s="3281"/>
      <c r="STN42" s="3281"/>
      <c r="STO42" s="3281"/>
      <c r="STP42" s="3281"/>
      <c r="STQ42" s="3281"/>
      <c r="STR42" s="3281"/>
      <c r="STS42" s="3281"/>
      <c r="STT42" s="3281"/>
      <c r="STU42" s="3281"/>
      <c r="STV42" s="3281"/>
      <c r="STW42" s="3281"/>
      <c r="STX42" s="3281"/>
      <c r="STY42" s="3281"/>
      <c r="STZ42" s="3281"/>
      <c r="SUA42" s="3281"/>
      <c r="SUB42" s="3281"/>
      <c r="SUC42" s="3281"/>
      <c r="SUD42" s="3281"/>
      <c r="SUE42" s="3281"/>
      <c r="SUF42" s="3281"/>
      <c r="SUG42" s="3281"/>
      <c r="SUH42" s="3281"/>
      <c r="SUI42" s="3281"/>
      <c r="SUJ42" s="3281"/>
      <c r="SUK42" s="3281"/>
      <c r="SUL42" s="3281"/>
      <c r="SUM42" s="3281"/>
      <c r="SUN42" s="3281"/>
      <c r="SUO42" s="3281"/>
      <c r="SUP42" s="3281"/>
      <c r="SUQ42" s="3281"/>
      <c r="SUR42" s="3281"/>
      <c r="SUS42" s="3281"/>
      <c r="SUT42" s="3281"/>
      <c r="SUU42" s="3281"/>
      <c r="SUV42" s="3281"/>
      <c r="SUW42" s="3281"/>
      <c r="SUX42" s="3281"/>
      <c r="SUY42" s="3281"/>
      <c r="SUZ42" s="3281"/>
      <c r="SVA42" s="3281"/>
      <c r="SVB42" s="3281"/>
      <c r="SVC42" s="3281"/>
      <c r="SVD42" s="3281"/>
      <c r="SVE42" s="3281"/>
      <c r="SVF42" s="3281"/>
      <c r="SVG42" s="3281"/>
      <c r="SVH42" s="3281"/>
      <c r="SVI42" s="3281"/>
      <c r="SVJ42" s="3281"/>
      <c r="SVK42" s="3281"/>
      <c r="SVL42" s="3281"/>
      <c r="SVM42" s="3281"/>
      <c r="SVN42" s="3281"/>
      <c r="SVO42" s="3281"/>
      <c r="SVP42" s="3281"/>
      <c r="SVQ42" s="3281"/>
      <c r="SVR42" s="3281"/>
      <c r="SVS42" s="3281"/>
      <c r="SVT42" s="3281"/>
      <c r="SVU42" s="3281"/>
      <c r="SVV42" s="3281"/>
      <c r="SVW42" s="3281"/>
      <c r="SVX42" s="3281"/>
      <c r="SVY42" s="3281"/>
      <c r="SVZ42" s="3281"/>
      <c r="SWA42" s="3281"/>
      <c r="SWB42" s="3281"/>
      <c r="SWC42" s="3281"/>
      <c r="SWD42" s="3281"/>
      <c r="SWE42" s="3281"/>
      <c r="SWF42" s="3281"/>
      <c r="SWG42" s="3281"/>
      <c r="SWH42" s="3281"/>
      <c r="SWI42" s="3281"/>
      <c r="SWJ42" s="3281"/>
      <c r="SWK42" s="3281"/>
      <c r="SWL42" s="3281"/>
      <c r="SWM42" s="3281"/>
      <c r="SWN42" s="3281"/>
      <c r="SWO42" s="3281"/>
      <c r="SWP42" s="3281"/>
      <c r="SWQ42" s="3281"/>
      <c r="SWR42" s="3281"/>
      <c r="SWS42" s="3281"/>
      <c r="SWT42" s="3281"/>
      <c r="SWU42" s="3281"/>
      <c r="SWV42" s="3281"/>
      <c r="SWW42" s="3281"/>
      <c r="SWX42" s="3281"/>
      <c r="SWY42" s="3281"/>
      <c r="SWZ42" s="3281"/>
      <c r="SXA42" s="3281"/>
      <c r="SXB42" s="3281"/>
      <c r="SXC42" s="3281"/>
      <c r="SXD42" s="3281"/>
      <c r="SXE42" s="3281"/>
      <c r="SXF42" s="3281"/>
      <c r="SXG42" s="3281"/>
      <c r="SXH42" s="3281"/>
      <c r="SXI42" s="3281"/>
      <c r="SXJ42" s="3281"/>
      <c r="SXK42" s="3281"/>
      <c r="SXL42" s="3281"/>
      <c r="SXM42" s="3281"/>
      <c r="SXN42" s="3281"/>
      <c r="SXO42" s="3281"/>
      <c r="SXP42" s="3281"/>
      <c r="SXQ42" s="3281"/>
      <c r="SXR42" s="3281"/>
      <c r="SXS42" s="3281"/>
      <c r="SXT42" s="3281"/>
      <c r="SXU42" s="3281"/>
      <c r="SXV42" s="3281"/>
      <c r="SXW42" s="3281"/>
      <c r="SXX42" s="3281"/>
      <c r="SXY42" s="3281"/>
      <c r="SXZ42" s="3281"/>
      <c r="SYA42" s="3281"/>
      <c r="SYB42" s="3281"/>
      <c r="SYC42" s="3281"/>
      <c r="SYD42" s="3281"/>
      <c r="SYE42" s="3281"/>
      <c r="SYF42" s="3281"/>
      <c r="SYG42" s="3281"/>
      <c r="SYH42" s="3281"/>
      <c r="SYI42" s="3281"/>
      <c r="SYJ42" s="3281"/>
      <c r="SYK42" s="3281"/>
      <c r="SYL42" s="3281"/>
      <c r="SYM42" s="3281"/>
      <c r="SYN42" s="3281"/>
      <c r="SYO42" s="3281"/>
      <c r="SYP42" s="3281"/>
      <c r="SYQ42" s="3281"/>
      <c r="SYR42" s="3281"/>
      <c r="SYS42" s="3281"/>
      <c r="SYT42" s="3281"/>
      <c r="SYU42" s="3281"/>
      <c r="SYV42" s="3281"/>
      <c r="SYW42" s="3281"/>
      <c r="SYX42" s="3281"/>
      <c r="SYY42" s="3281"/>
      <c r="SYZ42" s="3281"/>
      <c r="SZA42" s="3281"/>
      <c r="SZB42" s="3281"/>
      <c r="SZC42" s="3281"/>
      <c r="SZD42" s="3281"/>
      <c r="SZE42" s="3281"/>
      <c r="SZF42" s="3281"/>
      <c r="SZG42" s="3281"/>
      <c r="SZH42" s="3281"/>
      <c r="SZI42" s="3281"/>
      <c r="SZJ42" s="3281"/>
      <c r="SZK42" s="3281"/>
      <c r="SZL42" s="3281"/>
      <c r="SZM42" s="3281"/>
      <c r="SZN42" s="3281"/>
      <c r="SZO42" s="3281"/>
      <c r="SZP42" s="3281"/>
      <c r="SZQ42" s="3281"/>
      <c r="SZR42" s="3281"/>
      <c r="SZS42" s="3281"/>
      <c r="SZT42" s="3281"/>
      <c r="SZU42" s="3281"/>
      <c r="SZV42" s="3281"/>
      <c r="SZW42" s="3281"/>
      <c r="SZX42" s="3281"/>
      <c r="SZY42" s="3281"/>
      <c r="SZZ42" s="3281"/>
      <c r="TAA42" s="3281"/>
      <c r="TAB42" s="3281"/>
      <c r="TAC42" s="3281"/>
      <c r="TAD42" s="3281"/>
      <c r="TAE42" s="3281"/>
      <c r="TAF42" s="3281"/>
      <c r="TAG42" s="3281"/>
      <c r="TAH42" s="3281"/>
      <c r="TAI42" s="3281"/>
      <c r="TAJ42" s="3281"/>
      <c r="TAK42" s="3281"/>
      <c r="TAL42" s="3281"/>
      <c r="TAM42" s="3281"/>
      <c r="TAN42" s="3281"/>
      <c r="TAO42" s="3281"/>
      <c r="TAP42" s="3281"/>
      <c r="TAQ42" s="3281"/>
      <c r="TAR42" s="3281"/>
      <c r="TAS42" s="3281"/>
      <c r="TAT42" s="3281"/>
      <c r="TAU42" s="3281"/>
      <c r="TAV42" s="3281"/>
      <c r="TAW42" s="3281"/>
      <c r="TAX42" s="3281"/>
      <c r="TAY42" s="3281"/>
      <c r="TAZ42" s="3281"/>
      <c r="TBA42" s="3281"/>
      <c r="TBB42" s="3281"/>
      <c r="TBC42" s="3281"/>
      <c r="TBD42" s="3281"/>
      <c r="TBE42" s="3281"/>
      <c r="TBF42" s="3281"/>
      <c r="TBG42" s="3281"/>
      <c r="TBH42" s="3281"/>
      <c r="TBI42" s="3281"/>
      <c r="TBJ42" s="3281"/>
      <c r="TBK42" s="3281"/>
      <c r="TBL42" s="3281"/>
      <c r="TBM42" s="3281"/>
      <c r="TBN42" s="3281"/>
      <c r="TBO42" s="3281"/>
      <c r="TBP42" s="3281"/>
      <c r="TBQ42" s="3281"/>
      <c r="TBR42" s="3281"/>
      <c r="TBS42" s="3281"/>
      <c r="TBT42" s="3281"/>
      <c r="TBU42" s="3281"/>
      <c r="TBV42" s="3281"/>
      <c r="TBW42" s="3281"/>
      <c r="TBX42" s="3281"/>
      <c r="TBY42" s="3281"/>
      <c r="TBZ42" s="3281"/>
      <c r="TCA42" s="3281"/>
      <c r="TCB42" s="3281"/>
      <c r="TCC42" s="3281"/>
      <c r="TCD42" s="3281"/>
      <c r="TCE42" s="3281"/>
      <c r="TCF42" s="3281"/>
      <c r="TCG42" s="3281"/>
      <c r="TCH42" s="3281"/>
      <c r="TCI42" s="3281"/>
      <c r="TCJ42" s="3281"/>
      <c r="TCK42" s="3281"/>
      <c r="TCL42" s="3281"/>
      <c r="TCM42" s="3281"/>
      <c r="TCN42" s="3281"/>
      <c r="TCO42" s="3281"/>
      <c r="TCP42" s="3281"/>
      <c r="TCQ42" s="3281"/>
      <c r="TCR42" s="3281"/>
      <c r="TCS42" s="3281"/>
      <c r="TCT42" s="3281"/>
      <c r="TCU42" s="3281"/>
      <c r="TCV42" s="3281"/>
      <c r="TCW42" s="3281"/>
      <c r="TCX42" s="3281"/>
      <c r="TCY42" s="3281"/>
      <c r="TCZ42" s="3281"/>
      <c r="TDA42" s="3281"/>
      <c r="TDB42" s="3281"/>
      <c r="TDC42" s="3281"/>
      <c r="TDD42" s="3281"/>
      <c r="TDE42" s="3281"/>
      <c r="TDF42" s="3281"/>
      <c r="TDG42" s="3281"/>
      <c r="TDH42" s="3281"/>
      <c r="TDI42" s="3281"/>
      <c r="TDJ42" s="3281"/>
      <c r="TDK42" s="3281"/>
      <c r="TDL42" s="3281"/>
      <c r="TDM42" s="3281"/>
      <c r="TDN42" s="3281"/>
      <c r="TDO42" s="3281"/>
      <c r="TDP42" s="3281"/>
      <c r="TDQ42" s="3281"/>
      <c r="TDR42" s="3281"/>
      <c r="TDS42" s="3281"/>
      <c r="TDT42" s="3281"/>
      <c r="TDU42" s="3281"/>
      <c r="TDV42" s="3281"/>
      <c r="TDW42" s="3281"/>
      <c r="TDX42" s="3281"/>
      <c r="TDY42" s="3281"/>
      <c r="TDZ42" s="3281"/>
      <c r="TEA42" s="3281"/>
      <c r="TEB42" s="3281"/>
      <c r="TEC42" s="3281"/>
      <c r="TED42" s="3281"/>
      <c r="TEE42" s="3281"/>
      <c r="TEF42" s="3281"/>
      <c r="TEG42" s="3281"/>
      <c r="TEH42" s="3281"/>
      <c r="TEI42" s="3281"/>
      <c r="TEJ42" s="3281"/>
      <c r="TEK42" s="3281"/>
      <c r="TEL42" s="3281"/>
      <c r="TEM42" s="3281"/>
      <c r="TEN42" s="3281"/>
      <c r="TEO42" s="3281"/>
      <c r="TEP42" s="3281"/>
      <c r="TEQ42" s="3281"/>
      <c r="TER42" s="3281"/>
      <c r="TES42" s="3281"/>
      <c r="TET42" s="3281"/>
      <c r="TEU42" s="3281"/>
      <c r="TEV42" s="3281"/>
      <c r="TEW42" s="3281"/>
      <c r="TEX42" s="3281"/>
      <c r="TEY42" s="3281"/>
      <c r="TEZ42" s="3281"/>
      <c r="TFA42" s="3281"/>
      <c r="TFB42" s="3281"/>
      <c r="TFC42" s="3281"/>
      <c r="TFD42" s="3281"/>
      <c r="TFE42" s="3281"/>
      <c r="TFF42" s="3281"/>
      <c r="TFG42" s="3281"/>
      <c r="TFH42" s="3281"/>
      <c r="TFI42" s="3281"/>
      <c r="TFJ42" s="3281"/>
      <c r="TFK42" s="3281"/>
      <c r="TFL42" s="3281"/>
      <c r="TFM42" s="3281"/>
      <c r="TFN42" s="3281"/>
      <c r="TFO42" s="3281"/>
      <c r="TFP42" s="3281"/>
      <c r="TFQ42" s="3281"/>
      <c r="TFR42" s="3281"/>
      <c r="TFS42" s="3281"/>
      <c r="TFT42" s="3281"/>
      <c r="TFU42" s="3281"/>
      <c r="TFV42" s="3281"/>
      <c r="TFW42" s="3281"/>
      <c r="TFX42" s="3281"/>
      <c r="TFY42" s="3281"/>
      <c r="TFZ42" s="3281"/>
      <c r="TGA42" s="3281"/>
      <c r="TGB42" s="3281"/>
      <c r="TGC42" s="3281"/>
      <c r="TGD42" s="3281"/>
      <c r="TGE42" s="3281"/>
      <c r="TGF42" s="3281"/>
      <c r="TGG42" s="3281"/>
      <c r="TGH42" s="3281"/>
      <c r="TGI42" s="3281"/>
      <c r="TGJ42" s="3281"/>
      <c r="TGK42" s="3281"/>
      <c r="TGL42" s="3281"/>
      <c r="TGM42" s="3281"/>
      <c r="TGN42" s="3281"/>
      <c r="TGO42" s="3281"/>
      <c r="TGP42" s="3281"/>
      <c r="TGQ42" s="3281"/>
      <c r="TGR42" s="3281"/>
      <c r="TGS42" s="3281"/>
      <c r="TGT42" s="3281"/>
      <c r="TGU42" s="3281"/>
      <c r="TGV42" s="3281"/>
      <c r="TGW42" s="3281"/>
      <c r="TGX42" s="3281"/>
      <c r="TGY42" s="3281"/>
      <c r="TGZ42" s="3281"/>
      <c r="THA42" s="3281"/>
      <c r="THB42" s="3281"/>
      <c r="THC42" s="3281"/>
      <c r="THD42" s="3281"/>
      <c r="THE42" s="3281"/>
      <c r="THF42" s="3281"/>
      <c r="THG42" s="3281"/>
      <c r="THH42" s="3281"/>
      <c r="THI42" s="3281"/>
      <c r="THJ42" s="3281"/>
      <c r="THK42" s="3281"/>
      <c r="THL42" s="3281"/>
      <c r="THM42" s="3281"/>
      <c r="THN42" s="3281"/>
      <c r="THO42" s="3281"/>
      <c r="THP42" s="3281"/>
      <c r="THQ42" s="3281"/>
      <c r="THR42" s="3281"/>
      <c r="THS42" s="3281"/>
      <c r="THT42" s="3281"/>
      <c r="THU42" s="3281"/>
      <c r="THV42" s="3281"/>
      <c r="THW42" s="3281"/>
      <c r="THX42" s="3281"/>
      <c r="THY42" s="3281"/>
      <c r="THZ42" s="3281"/>
      <c r="TIA42" s="3281"/>
      <c r="TIB42" s="3281"/>
      <c r="TIC42" s="3281"/>
      <c r="TID42" s="3281"/>
      <c r="TIE42" s="3281"/>
      <c r="TIF42" s="3281"/>
      <c r="TIG42" s="3281"/>
      <c r="TIH42" s="3281"/>
      <c r="TII42" s="3281"/>
      <c r="TIJ42" s="3281"/>
      <c r="TIK42" s="3281"/>
      <c r="TIL42" s="3281"/>
      <c r="TIM42" s="3281"/>
      <c r="TIN42" s="3281"/>
      <c r="TIO42" s="3281"/>
      <c r="TIP42" s="3281"/>
      <c r="TIQ42" s="3281"/>
      <c r="TIR42" s="3281"/>
      <c r="TIS42" s="3281"/>
      <c r="TIT42" s="3281"/>
      <c r="TIU42" s="3281"/>
      <c r="TIV42" s="3281"/>
      <c r="TIW42" s="3281"/>
      <c r="TIX42" s="3281"/>
      <c r="TIY42" s="3281"/>
      <c r="TIZ42" s="3281"/>
      <c r="TJA42" s="3281"/>
      <c r="TJB42" s="3281"/>
      <c r="TJC42" s="3281"/>
      <c r="TJD42" s="3281"/>
      <c r="TJE42" s="3281"/>
      <c r="TJF42" s="3281"/>
      <c r="TJG42" s="3281"/>
      <c r="TJH42" s="3281"/>
      <c r="TJI42" s="3281"/>
      <c r="TJJ42" s="3281"/>
      <c r="TJK42" s="3281"/>
      <c r="TJL42" s="3281"/>
      <c r="TJM42" s="3281"/>
      <c r="TJN42" s="3281"/>
      <c r="TJO42" s="3281"/>
      <c r="TJP42" s="3281"/>
      <c r="TJQ42" s="3281"/>
      <c r="TJR42" s="3281"/>
      <c r="TJS42" s="3281"/>
      <c r="TJT42" s="3281"/>
      <c r="TJU42" s="3281"/>
      <c r="TJV42" s="3281"/>
      <c r="TJW42" s="3281"/>
      <c r="TJX42" s="3281"/>
      <c r="TJY42" s="3281"/>
      <c r="TJZ42" s="3281"/>
      <c r="TKA42" s="3281"/>
      <c r="TKB42" s="3281"/>
      <c r="TKC42" s="3281"/>
      <c r="TKD42" s="3281"/>
      <c r="TKE42" s="3281"/>
      <c r="TKF42" s="3281"/>
      <c r="TKG42" s="3281"/>
      <c r="TKH42" s="3281"/>
      <c r="TKI42" s="3281"/>
      <c r="TKJ42" s="3281"/>
      <c r="TKK42" s="3281"/>
      <c r="TKL42" s="3281"/>
      <c r="TKM42" s="3281"/>
      <c r="TKN42" s="3281"/>
      <c r="TKO42" s="3281"/>
      <c r="TKP42" s="3281"/>
      <c r="TKQ42" s="3281"/>
      <c r="TKR42" s="3281"/>
      <c r="TKS42" s="3281"/>
      <c r="TKT42" s="3281"/>
      <c r="TKU42" s="3281"/>
      <c r="TKV42" s="3281"/>
      <c r="TKW42" s="3281"/>
      <c r="TKX42" s="3281"/>
      <c r="TKY42" s="3281"/>
      <c r="TKZ42" s="3281"/>
      <c r="TLA42" s="3281"/>
      <c r="TLB42" s="3281"/>
      <c r="TLC42" s="3281"/>
      <c r="TLD42" s="3281"/>
      <c r="TLE42" s="3281"/>
      <c r="TLF42" s="3281"/>
      <c r="TLG42" s="3281"/>
      <c r="TLH42" s="3281"/>
      <c r="TLI42" s="3281"/>
      <c r="TLJ42" s="3281"/>
      <c r="TLK42" s="3281"/>
      <c r="TLL42" s="3281"/>
      <c r="TLM42" s="3281"/>
      <c r="TLN42" s="3281"/>
      <c r="TLO42" s="3281"/>
      <c r="TLP42" s="3281"/>
      <c r="TLQ42" s="3281"/>
      <c r="TLR42" s="3281"/>
      <c r="TLS42" s="3281"/>
      <c r="TLT42" s="3281"/>
      <c r="TLU42" s="3281"/>
      <c r="TLV42" s="3281"/>
      <c r="TLW42" s="3281"/>
      <c r="TLX42" s="3281"/>
      <c r="TLY42" s="3281"/>
      <c r="TLZ42" s="3281"/>
      <c r="TMA42" s="3281"/>
      <c r="TMB42" s="3281"/>
      <c r="TMC42" s="3281"/>
      <c r="TMD42" s="3281"/>
      <c r="TME42" s="3281"/>
      <c r="TMF42" s="3281"/>
      <c r="TMG42" s="3281"/>
      <c r="TMH42" s="3281"/>
      <c r="TMI42" s="3281"/>
      <c r="TMJ42" s="3281"/>
      <c r="TMK42" s="3281"/>
      <c r="TML42" s="3281"/>
      <c r="TMM42" s="3281"/>
      <c r="TMN42" s="3281"/>
      <c r="TMO42" s="3281"/>
      <c r="TMP42" s="3281"/>
      <c r="TMQ42" s="3281"/>
      <c r="TMR42" s="3281"/>
      <c r="TMS42" s="3281"/>
      <c r="TMT42" s="3281"/>
      <c r="TMU42" s="3281"/>
      <c r="TMV42" s="3281"/>
      <c r="TMW42" s="3281"/>
      <c r="TMX42" s="3281"/>
      <c r="TMY42" s="3281"/>
      <c r="TMZ42" s="3281"/>
      <c r="TNA42" s="3281"/>
      <c r="TNB42" s="3281"/>
      <c r="TNC42" s="3281"/>
      <c r="TND42" s="3281"/>
      <c r="TNE42" s="3281"/>
      <c r="TNF42" s="3281"/>
      <c r="TNG42" s="3281"/>
      <c r="TNH42" s="3281"/>
      <c r="TNI42" s="3281"/>
      <c r="TNJ42" s="3281"/>
      <c r="TNK42" s="3281"/>
      <c r="TNL42" s="3281"/>
      <c r="TNM42" s="3281"/>
      <c r="TNN42" s="3281"/>
      <c r="TNO42" s="3281"/>
      <c r="TNP42" s="3281"/>
      <c r="TNQ42" s="3281"/>
      <c r="TNR42" s="3281"/>
      <c r="TNS42" s="3281"/>
      <c r="TNT42" s="3281"/>
      <c r="TNU42" s="3281"/>
      <c r="TNV42" s="3281"/>
      <c r="TNW42" s="3281"/>
      <c r="TNX42" s="3281"/>
      <c r="TNY42" s="3281"/>
      <c r="TNZ42" s="3281"/>
      <c r="TOA42" s="3281"/>
      <c r="TOB42" s="3281"/>
      <c r="TOC42" s="3281"/>
      <c r="TOD42" s="3281"/>
      <c r="TOE42" s="3281"/>
      <c r="TOF42" s="3281"/>
      <c r="TOG42" s="3281"/>
      <c r="TOH42" s="3281"/>
      <c r="TOI42" s="3281"/>
      <c r="TOJ42" s="3281"/>
      <c r="TOK42" s="3281"/>
      <c r="TOL42" s="3281"/>
      <c r="TOM42" s="3281"/>
      <c r="TON42" s="3281"/>
      <c r="TOO42" s="3281"/>
      <c r="TOP42" s="3281"/>
      <c r="TOQ42" s="3281"/>
      <c r="TOR42" s="3281"/>
      <c r="TOS42" s="3281"/>
      <c r="TOT42" s="3281"/>
      <c r="TOU42" s="3281"/>
      <c r="TOV42" s="3281"/>
      <c r="TOW42" s="3281"/>
      <c r="TOX42" s="3281"/>
      <c r="TOY42" s="3281"/>
      <c r="TOZ42" s="3281"/>
      <c r="TPA42" s="3281"/>
      <c r="TPB42" s="3281"/>
      <c r="TPC42" s="3281"/>
      <c r="TPD42" s="3281"/>
      <c r="TPE42" s="3281"/>
      <c r="TPF42" s="3281"/>
      <c r="TPG42" s="3281"/>
      <c r="TPH42" s="3281"/>
      <c r="TPI42" s="3281"/>
      <c r="TPJ42" s="3281"/>
      <c r="TPK42" s="3281"/>
      <c r="TPL42" s="3281"/>
      <c r="TPM42" s="3281"/>
      <c r="TPN42" s="3281"/>
      <c r="TPO42" s="3281"/>
      <c r="TPP42" s="3281"/>
      <c r="TPQ42" s="3281"/>
      <c r="TPR42" s="3281"/>
      <c r="TPS42" s="3281"/>
      <c r="TPT42" s="3281"/>
      <c r="TPU42" s="3281"/>
      <c r="TPV42" s="3281"/>
      <c r="TPW42" s="3281"/>
      <c r="TPX42" s="3281"/>
      <c r="TPY42" s="3281"/>
      <c r="TPZ42" s="3281"/>
      <c r="TQA42" s="3281"/>
      <c r="TQB42" s="3281"/>
      <c r="TQC42" s="3281"/>
      <c r="TQD42" s="3281"/>
      <c r="TQE42" s="3281"/>
      <c r="TQF42" s="3281"/>
      <c r="TQG42" s="3281"/>
      <c r="TQH42" s="3281"/>
      <c r="TQI42" s="3281"/>
      <c r="TQJ42" s="3281"/>
      <c r="TQK42" s="3281"/>
      <c r="TQL42" s="3281"/>
      <c r="TQM42" s="3281"/>
      <c r="TQN42" s="3281"/>
      <c r="TQO42" s="3281"/>
      <c r="TQP42" s="3281"/>
      <c r="TQQ42" s="3281"/>
      <c r="TQR42" s="3281"/>
      <c r="TQS42" s="3281"/>
      <c r="TQT42" s="3281"/>
      <c r="TQU42" s="3281"/>
      <c r="TQV42" s="3281"/>
      <c r="TQW42" s="3281"/>
      <c r="TQX42" s="3281"/>
      <c r="TQY42" s="3281"/>
      <c r="TQZ42" s="3281"/>
      <c r="TRA42" s="3281"/>
      <c r="TRB42" s="3281"/>
      <c r="TRC42" s="3281"/>
      <c r="TRD42" s="3281"/>
      <c r="TRE42" s="3281"/>
      <c r="TRF42" s="3281"/>
      <c r="TRG42" s="3281"/>
      <c r="TRH42" s="3281"/>
      <c r="TRI42" s="3281"/>
      <c r="TRJ42" s="3281"/>
      <c r="TRK42" s="3281"/>
      <c r="TRL42" s="3281"/>
      <c r="TRM42" s="3281"/>
      <c r="TRN42" s="3281"/>
      <c r="TRO42" s="3281"/>
      <c r="TRP42" s="3281"/>
      <c r="TRQ42" s="3281"/>
      <c r="TRR42" s="3281"/>
      <c r="TRS42" s="3281"/>
      <c r="TRT42" s="3281"/>
      <c r="TRU42" s="3281"/>
      <c r="TRV42" s="3281"/>
      <c r="TRW42" s="3281"/>
      <c r="TRX42" s="3281"/>
      <c r="TRY42" s="3281"/>
      <c r="TRZ42" s="3281"/>
      <c r="TSA42" s="3281"/>
      <c r="TSB42" s="3281"/>
      <c r="TSC42" s="3281"/>
      <c r="TSD42" s="3281"/>
      <c r="TSE42" s="3281"/>
      <c r="TSF42" s="3281"/>
      <c r="TSG42" s="3281"/>
      <c r="TSH42" s="3281"/>
      <c r="TSI42" s="3281"/>
      <c r="TSJ42" s="3281"/>
      <c r="TSK42" s="3281"/>
      <c r="TSL42" s="3281"/>
      <c r="TSM42" s="3281"/>
      <c r="TSN42" s="3281"/>
      <c r="TSO42" s="3281"/>
      <c r="TSP42" s="3281"/>
      <c r="TSQ42" s="3281"/>
      <c r="TSR42" s="3281"/>
      <c r="TSS42" s="3281"/>
      <c r="TST42" s="3281"/>
      <c r="TSU42" s="3281"/>
      <c r="TSV42" s="3281"/>
      <c r="TSW42" s="3281"/>
      <c r="TSX42" s="3281"/>
      <c r="TSY42" s="3281"/>
      <c r="TSZ42" s="3281"/>
      <c r="TTA42" s="3281"/>
      <c r="TTB42" s="3281"/>
      <c r="TTC42" s="3281"/>
      <c r="TTD42" s="3281"/>
      <c r="TTE42" s="3281"/>
      <c r="TTF42" s="3281"/>
      <c r="TTG42" s="3281"/>
      <c r="TTH42" s="3281"/>
      <c r="TTI42" s="3281"/>
      <c r="TTJ42" s="3281"/>
      <c r="TTK42" s="3281"/>
      <c r="TTL42" s="3281"/>
      <c r="TTM42" s="3281"/>
      <c r="TTN42" s="3281"/>
      <c r="TTO42" s="3281"/>
      <c r="TTP42" s="3281"/>
      <c r="TTQ42" s="3281"/>
      <c r="TTR42" s="3281"/>
      <c r="TTS42" s="3281"/>
      <c r="TTT42" s="3281"/>
      <c r="TTU42" s="3281"/>
      <c r="TTV42" s="3281"/>
      <c r="TTW42" s="3281"/>
      <c r="TTX42" s="3281"/>
      <c r="TTY42" s="3281"/>
      <c r="TTZ42" s="3281"/>
      <c r="TUA42" s="3281"/>
      <c r="TUB42" s="3281"/>
      <c r="TUC42" s="3281"/>
      <c r="TUD42" s="3281"/>
      <c r="TUE42" s="3281"/>
      <c r="TUF42" s="3281"/>
      <c r="TUG42" s="3281"/>
      <c r="TUH42" s="3281"/>
      <c r="TUI42" s="3281"/>
      <c r="TUJ42" s="3281"/>
      <c r="TUK42" s="3281"/>
      <c r="TUL42" s="3281"/>
      <c r="TUM42" s="3281"/>
      <c r="TUN42" s="3281"/>
      <c r="TUO42" s="3281"/>
      <c r="TUP42" s="3281"/>
      <c r="TUQ42" s="3281"/>
      <c r="TUR42" s="3281"/>
      <c r="TUS42" s="3281"/>
      <c r="TUT42" s="3281"/>
      <c r="TUU42" s="3281"/>
      <c r="TUV42" s="3281"/>
      <c r="TUW42" s="3281"/>
      <c r="TUX42" s="3281"/>
      <c r="TUY42" s="3281"/>
      <c r="TUZ42" s="3281"/>
      <c r="TVA42" s="3281"/>
      <c r="TVB42" s="3281"/>
      <c r="TVC42" s="3281"/>
      <c r="TVD42" s="3281"/>
      <c r="TVE42" s="3281"/>
      <c r="TVF42" s="3281"/>
      <c r="TVG42" s="3281"/>
      <c r="TVH42" s="3281"/>
      <c r="TVI42" s="3281"/>
      <c r="TVJ42" s="3281"/>
      <c r="TVK42" s="3281"/>
      <c r="TVL42" s="3281"/>
      <c r="TVM42" s="3281"/>
      <c r="TVN42" s="3281"/>
      <c r="TVO42" s="3281"/>
      <c r="TVP42" s="3281"/>
      <c r="TVQ42" s="3281"/>
      <c r="TVR42" s="3281"/>
      <c r="TVS42" s="3281"/>
      <c r="TVT42" s="3281"/>
      <c r="TVU42" s="3281"/>
      <c r="TVV42" s="3281"/>
      <c r="TVW42" s="3281"/>
      <c r="TVX42" s="3281"/>
      <c r="TVY42" s="3281"/>
      <c r="TVZ42" s="3281"/>
      <c r="TWA42" s="3281"/>
      <c r="TWB42" s="3281"/>
      <c r="TWC42" s="3281"/>
      <c r="TWD42" s="3281"/>
      <c r="TWE42" s="3281"/>
      <c r="TWF42" s="3281"/>
      <c r="TWG42" s="3281"/>
      <c r="TWH42" s="3281"/>
      <c r="TWI42" s="3281"/>
      <c r="TWJ42" s="3281"/>
      <c r="TWK42" s="3281"/>
      <c r="TWL42" s="3281"/>
      <c r="TWM42" s="3281"/>
      <c r="TWN42" s="3281"/>
      <c r="TWO42" s="3281"/>
      <c r="TWP42" s="3281"/>
      <c r="TWQ42" s="3281"/>
      <c r="TWR42" s="3281"/>
      <c r="TWS42" s="3281"/>
      <c r="TWT42" s="3281"/>
      <c r="TWU42" s="3281"/>
      <c r="TWV42" s="3281"/>
      <c r="TWW42" s="3281"/>
      <c r="TWX42" s="3281"/>
      <c r="TWY42" s="3281"/>
      <c r="TWZ42" s="3281"/>
      <c r="TXA42" s="3281"/>
      <c r="TXB42" s="3281"/>
      <c r="TXC42" s="3281"/>
      <c r="TXD42" s="3281"/>
      <c r="TXE42" s="3281"/>
      <c r="TXF42" s="3281"/>
      <c r="TXG42" s="3281"/>
      <c r="TXH42" s="3281"/>
      <c r="TXI42" s="3281"/>
      <c r="TXJ42" s="3281"/>
      <c r="TXK42" s="3281"/>
      <c r="TXL42" s="3281"/>
      <c r="TXM42" s="3281"/>
      <c r="TXN42" s="3281"/>
      <c r="TXO42" s="3281"/>
      <c r="TXP42" s="3281"/>
      <c r="TXQ42" s="3281"/>
      <c r="TXR42" s="3281"/>
      <c r="TXS42" s="3281"/>
      <c r="TXT42" s="3281"/>
      <c r="TXU42" s="3281"/>
      <c r="TXV42" s="3281"/>
      <c r="TXW42" s="3281"/>
      <c r="TXX42" s="3281"/>
      <c r="TXY42" s="3281"/>
      <c r="TXZ42" s="3281"/>
      <c r="TYA42" s="3281"/>
      <c r="TYB42" s="3281"/>
      <c r="TYC42" s="3281"/>
      <c r="TYD42" s="3281"/>
      <c r="TYE42" s="3281"/>
      <c r="TYF42" s="3281"/>
      <c r="TYG42" s="3281"/>
      <c r="TYH42" s="3281"/>
      <c r="TYI42" s="3281"/>
      <c r="TYJ42" s="3281"/>
      <c r="TYK42" s="3281"/>
      <c r="TYL42" s="3281"/>
      <c r="TYM42" s="3281"/>
      <c r="TYN42" s="3281"/>
      <c r="TYO42" s="3281"/>
      <c r="TYP42" s="3281"/>
      <c r="TYQ42" s="3281"/>
      <c r="TYR42" s="3281"/>
      <c r="TYS42" s="3281"/>
      <c r="TYT42" s="3281"/>
      <c r="TYU42" s="3281"/>
      <c r="TYV42" s="3281"/>
      <c r="TYW42" s="3281"/>
      <c r="TYX42" s="3281"/>
      <c r="TYY42" s="3281"/>
      <c r="TYZ42" s="3281"/>
      <c r="TZA42" s="3281"/>
      <c r="TZB42" s="3281"/>
      <c r="TZC42" s="3281"/>
      <c r="TZD42" s="3281"/>
      <c r="TZE42" s="3281"/>
      <c r="TZF42" s="3281"/>
      <c r="TZG42" s="3281"/>
      <c r="TZH42" s="3281"/>
      <c r="TZI42" s="3281"/>
      <c r="TZJ42" s="3281"/>
      <c r="TZK42" s="3281"/>
      <c r="TZL42" s="3281"/>
      <c r="TZM42" s="3281"/>
      <c r="TZN42" s="3281"/>
      <c r="TZO42" s="3281"/>
      <c r="TZP42" s="3281"/>
      <c r="TZQ42" s="3281"/>
      <c r="TZR42" s="3281"/>
      <c r="TZS42" s="3281"/>
      <c r="TZT42" s="3281"/>
      <c r="TZU42" s="3281"/>
      <c r="TZV42" s="3281"/>
      <c r="TZW42" s="3281"/>
      <c r="TZX42" s="3281"/>
      <c r="TZY42" s="3281"/>
      <c r="TZZ42" s="3281"/>
      <c r="UAA42" s="3281"/>
      <c r="UAB42" s="3281"/>
      <c r="UAC42" s="3281"/>
      <c r="UAD42" s="3281"/>
      <c r="UAE42" s="3281"/>
      <c r="UAF42" s="3281"/>
      <c r="UAG42" s="3281"/>
      <c r="UAH42" s="3281"/>
      <c r="UAI42" s="3281"/>
      <c r="UAJ42" s="3281"/>
      <c r="UAK42" s="3281"/>
      <c r="UAL42" s="3281"/>
      <c r="UAM42" s="3281"/>
      <c r="UAN42" s="3281"/>
      <c r="UAO42" s="3281"/>
      <c r="UAP42" s="3281"/>
      <c r="UAQ42" s="3281"/>
      <c r="UAR42" s="3281"/>
      <c r="UAS42" s="3281"/>
      <c r="UAT42" s="3281"/>
      <c r="UAU42" s="3281"/>
      <c r="UAV42" s="3281"/>
      <c r="UAW42" s="3281"/>
      <c r="UAX42" s="3281"/>
      <c r="UAY42" s="3281"/>
      <c r="UAZ42" s="3281"/>
      <c r="UBA42" s="3281"/>
      <c r="UBB42" s="3281"/>
      <c r="UBC42" s="3281"/>
      <c r="UBD42" s="3281"/>
      <c r="UBE42" s="3281"/>
      <c r="UBF42" s="3281"/>
      <c r="UBG42" s="3281"/>
      <c r="UBH42" s="3281"/>
      <c r="UBI42" s="3281"/>
      <c r="UBJ42" s="3281"/>
      <c r="UBK42" s="3281"/>
      <c r="UBL42" s="3281"/>
      <c r="UBM42" s="3281"/>
      <c r="UBN42" s="3281"/>
      <c r="UBO42" s="3281"/>
      <c r="UBP42" s="3281"/>
      <c r="UBQ42" s="3281"/>
      <c r="UBR42" s="3281"/>
      <c r="UBS42" s="3281"/>
      <c r="UBT42" s="3281"/>
      <c r="UBU42" s="3281"/>
      <c r="UBV42" s="3281"/>
      <c r="UBW42" s="3281"/>
      <c r="UBX42" s="3281"/>
      <c r="UBY42" s="3281"/>
      <c r="UBZ42" s="3281"/>
      <c r="UCA42" s="3281"/>
      <c r="UCB42" s="3281"/>
      <c r="UCC42" s="3281"/>
      <c r="UCD42" s="3281"/>
      <c r="UCE42" s="3281"/>
      <c r="UCF42" s="3281"/>
      <c r="UCG42" s="3281"/>
      <c r="UCH42" s="3281"/>
      <c r="UCI42" s="3281"/>
      <c r="UCJ42" s="3281"/>
      <c r="UCK42" s="3281"/>
      <c r="UCL42" s="3281"/>
      <c r="UCM42" s="3281"/>
      <c r="UCN42" s="3281"/>
      <c r="UCO42" s="3281"/>
      <c r="UCP42" s="3281"/>
      <c r="UCQ42" s="3281"/>
      <c r="UCR42" s="3281"/>
      <c r="UCS42" s="3281"/>
      <c r="UCT42" s="3281"/>
      <c r="UCU42" s="3281"/>
      <c r="UCV42" s="3281"/>
      <c r="UCW42" s="3281"/>
      <c r="UCX42" s="3281"/>
      <c r="UCY42" s="3281"/>
      <c r="UCZ42" s="3281"/>
      <c r="UDA42" s="3281"/>
      <c r="UDB42" s="3281"/>
      <c r="UDC42" s="3281"/>
      <c r="UDD42" s="3281"/>
      <c r="UDE42" s="3281"/>
      <c r="UDF42" s="3281"/>
      <c r="UDG42" s="3281"/>
      <c r="UDH42" s="3281"/>
      <c r="UDI42" s="3281"/>
      <c r="UDJ42" s="3281"/>
      <c r="UDK42" s="3281"/>
      <c r="UDL42" s="3281"/>
      <c r="UDM42" s="3281"/>
      <c r="UDN42" s="3281"/>
      <c r="UDO42" s="3281"/>
      <c r="UDP42" s="3281"/>
      <c r="UDQ42" s="3281"/>
      <c r="UDR42" s="3281"/>
      <c r="UDS42" s="3281"/>
      <c r="UDT42" s="3281"/>
      <c r="UDU42" s="3281"/>
      <c r="UDV42" s="3281"/>
      <c r="UDW42" s="3281"/>
      <c r="UDX42" s="3281"/>
      <c r="UDY42" s="3281"/>
      <c r="UDZ42" s="3281"/>
      <c r="UEA42" s="3281"/>
      <c r="UEB42" s="3281"/>
      <c r="UEC42" s="3281"/>
      <c r="UED42" s="3281"/>
      <c r="UEE42" s="3281"/>
      <c r="UEF42" s="3281"/>
      <c r="UEG42" s="3281"/>
      <c r="UEH42" s="3281"/>
      <c r="UEI42" s="3281"/>
      <c r="UEJ42" s="3281"/>
      <c r="UEK42" s="3281"/>
      <c r="UEL42" s="3281"/>
      <c r="UEM42" s="3281"/>
      <c r="UEN42" s="3281"/>
      <c r="UEO42" s="3281"/>
      <c r="UEP42" s="3281"/>
      <c r="UEQ42" s="3281"/>
      <c r="UER42" s="3281"/>
      <c r="UES42" s="3281"/>
      <c r="UET42" s="3281"/>
      <c r="UEU42" s="3281"/>
      <c r="UEV42" s="3281"/>
      <c r="UEW42" s="3281"/>
      <c r="UEX42" s="3281"/>
      <c r="UEY42" s="3281"/>
      <c r="UEZ42" s="3281"/>
      <c r="UFA42" s="3281"/>
      <c r="UFB42" s="3281"/>
      <c r="UFC42" s="3281"/>
      <c r="UFD42" s="3281"/>
      <c r="UFE42" s="3281"/>
      <c r="UFF42" s="3281"/>
      <c r="UFG42" s="3281"/>
      <c r="UFH42" s="3281"/>
      <c r="UFI42" s="3281"/>
      <c r="UFJ42" s="3281"/>
      <c r="UFK42" s="3281"/>
      <c r="UFL42" s="3281"/>
      <c r="UFM42" s="3281"/>
      <c r="UFN42" s="3281"/>
      <c r="UFO42" s="3281"/>
      <c r="UFP42" s="3281"/>
      <c r="UFQ42" s="3281"/>
      <c r="UFR42" s="3281"/>
      <c r="UFS42" s="3281"/>
      <c r="UFT42" s="3281"/>
      <c r="UFU42" s="3281"/>
      <c r="UFV42" s="3281"/>
      <c r="UFW42" s="3281"/>
      <c r="UFX42" s="3281"/>
      <c r="UFY42" s="3281"/>
      <c r="UFZ42" s="3281"/>
      <c r="UGA42" s="3281"/>
      <c r="UGB42" s="3281"/>
      <c r="UGC42" s="3281"/>
      <c r="UGD42" s="3281"/>
      <c r="UGE42" s="3281"/>
      <c r="UGF42" s="3281"/>
      <c r="UGG42" s="3281"/>
      <c r="UGH42" s="3281"/>
      <c r="UGI42" s="3281"/>
      <c r="UGJ42" s="3281"/>
      <c r="UGK42" s="3281"/>
      <c r="UGL42" s="3281"/>
      <c r="UGM42" s="3281"/>
      <c r="UGN42" s="3281"/>
      <c r="UGO42" s="3281"/>
      <c r="UGP42" s="3281"/>
      <c r="UGQ42" s="3281"/>
      <c r="UGR42" s="3281"/>
      <c r="UGS42" s="3281"/>
      <c r="UGT42" s="3281"/>
      <c r="UGU42" s="3281"/>
      <c r="UGV42" s="3281"/>
      <c r="UGW42" s="3281"/>
      <c r="UGX42" s="3281"/>
      <c r="UGY42" s="3281"/>
      <c r="UGZ42" s="3281"/>
      <c r="UHA42" s="3281"/>
      <c r="UHB42" s="3281"/>
      <c r="UHC42" s="3281"/>
      <c r="UHD42" s="3281"/>
      <c r="UHE42" s="3281"/>
      <c r="UHF42" s="3281"/>
      <c r="UHG42" s="3281"/>
      <c r="UHH42" s="3281"/>
      <c r="UHI42" s="3281"/>
      <c r="UHJ42" s="3281"/>
      <c r="UHK42" s="3281"/>
      <c r="UHL42" s="3281"/>
      <c r="UHM42" s="3281"/>
      <c r="UHN42" s="3281"/>
      <c r="UHO42" s="3281"/>
      <c r="UHP42" s="3281"/>
      <c r="UHQ42" s="3281"/>
      <c r="UHR42" s="3281"/>
      <c r="UHS42" s="3281"/>
      <c r="UHT42" s="3281"/>
      <c r="UHU42" s="3281"/>
      <c r="UHV42" s="3281"/>
      <c r="UHW42" s="3281"/>
      <c r="UHX42" s="3281"/>
      <c r="UHY42" s="3281"/>
      <c r="UHZ42" s="3281"/>
      <c r="UIA42" s="3281"/>
      <c r="UIB42" s="3281"/>
      <c r="UIC42" s="3281"/>
      <c r="UID42" s="3281"/>
      <c r="UIE42" s="3281"/>
      <c r="UIF42" s="3281"/>
      <c r="UIG42" s="3281"/>
      <c r="UIH42" s="3281"/>
      <c r="UII42" s="3281"/>
      <c r="UIJ42" s="3281"/>
      <c r="UIK42" s="3281"/>
      <c r="UIL42" s="3281"/>
      <c r="UIM42" s="3281"/>
      <c r="UIN42" s="3281"/>
      <c r="UIO42" s="3281"/>
      <c r="UIP42" s="3281"/>
      <c r="UIQ42" s="3281"/>
      <c r="UIR42" s="3281"/>
      <c r="UIS42" s="3281"/>
      <c r="UIT42" s="3281"/>
      <c r="UIU42" s="3281"/>
      <c r="UIV42" s="3281"/>
      <c r="UIW42" s="3281"/>
      <c r="UIX42" s="3281"/>
      <c r="UIY42" s="3281"/>
      <c r="UIZ42" s="3281"/>
      <c r="UJA42" s="3281"/>
      <c r="UJB42" s="3281"/>
      <c r="UJC42" s="3281"/>
      <c r="UJD42" s="3281"/>
      <c r="UJE42" s="3281"/>
      <c r="UJF42" s="3281"/>
      <c r="UJG42" s="3281"/>
      <c r="UJH42" s="3281"/>
      <c r="UJI42" s="3281"/>
      <c r="UJJ42" s="3281"/>
      <c r="UJK42" s="3281"/>
      <c r="UJL42" s="3281"/>
      <c r="UJM42" s="3281"/>
      <c r="UJN42" s="3281"/>
      <c r="UJO42" s="3281"/>
      <c r="UJP42" s="3281"/>
      <c r="UJQ42" s="3281"/>
      <c r="UJR42" s="3281"/>
      <c r="UJS42" s="3281"/>
      <c r="UJT42" s="3281"/>
      <c r="UJU42" s="3281"/>
      <c r="UJV42" s="3281"/>
      <c r="UJW42" s="3281"/>
      <c r="UJX42" s="3281"/>
      <c r="UJY42" s="3281"/>
      <c r="UJZ42" s="3281"/>
      <c r="UKA42" s="3281"/>
      <c r="UKB42" s="3281"/>
      <c r="UKC42" s="3281"/>
      <c r="UKD42" s="3281"/>
      <c r="UKE42" s="3281"/>
      <c r="UKF42" s="3281"/>
      <c r="UKG42" s="3281"/>
      <c r="UKH42" s="3281"/>
      <c r="UKI42" s="3281"/>
      <c r="UKJ42" s="3281"/>
      <c r="UKK42" s="3281"/>
      <c r="UKL42" s="3281"/>
      <c r="UKM42" s="3281"/>
      <c r="UKN42" s="3281"/>
      <c r="UKO42" s="3281"/>
      <c r="UKP42" s="3281"/>
      <c r="UKQ42" s="3281"/>
      <c r="UKR42" s="3281"/>
      <c r="UKS42" s="3281"/>
      <c r="UKT42" s="3281"/>
      <c r="UKU42" s="3281"/>
      <c r="UKV42" s="3281"/>
      <c r="UKW42" s="3281"/>
      <c r="UKX42" s="3281"/>
      <c r="UKY42" s="3281"/>
      <c r="UKZ42" s="3281"/>
      <c r="ULA42" s="3281"/>
      <c r="ULB42" s="3281"/>
      <c r="ULC42" s="3281"/>
      <c r="ULD42" s="3281"/>
      <c r="ULE42" s="3281"/>
      <c r="ULF42" s="3281"/>
      <c r="ULG42" s="3281"/>
      <c r="ULH42" s="3281"/>
      <c r="ULI42" s="3281"/>
      <c r="ULJ42" s="3281"/>
      <c r="ULK42" s="3281"/>
      <c r="ULL42" s="3281"/>
      <c r="ULM42" s="3281"/>
      <c r="ULN42" s="3281"/>
      <c r="ULO42" s="3281"/>
      <c r="ULP42" s="3281"/>
      <c r="ULQ42" s="3281"/>
      <c r="ULR42" s="3281"/>
      <c r="ULS42" s="3281"/>
      <c r="ULT42" s="3281"/>
      <c r="ULU42" s="3281"/>
      <c r="ULV42" s="3281"/>
      <c r="ULW42" s="3281"/>
      <c r="ULX42" s="3281"/>
      <c r="ULY42" s="3281"/>
      <c r="ULZ42" s="3281"/>
      <c r="UMA42" s="3281"/>
      <c r="UMB42" s="3281"/>
      <c r="UMC42" s="3281"/>
      <c r="UMD42" s="3281"/>
      <c r="UME42" s="3281"/>
      <c r="UMF42" s="3281"/>
      <c r="UMG42" s="3281"/>
      <c r="UMH42" s="3281"/>
      <c r="UMI42" s="3281"/>
      <c r="UMJ42" s="3281"/>
      <c r="UMK42" s="3281"/>
      <c r="UML42" s="3281"/>
      <c r="UMM42" s="3281"/>
      <c r="UMN42" s="3281"/>
      <c r="UMO42" s="3281"/>
      <c r="UMP42" s="3281"/>
      <c r="UMQ42" s="3281"/>
      <c r="UMR42" s="3281"/>
      <c r="UMS42" s="3281"/>
      <c r="UMT42" s="3281"/>
      <c r="UMU42" s="3281"/>
      <c r="UMV42" s="3281"/>
      <c r="UMW42" s="3281"/>
      <c r="UMX42" s="3281"/>
      <c r="UMY42" s="3281"/>
      <c r="UMZ42" s="3281"/>
      <c r="UNA42" s="3281"/>
      <c r="UNB42" s="3281"/>
      <c r="UNC42" s="3281"/>
      <c r="UND42" s="3281"/>
      <c r="UNE42" s="3281"/>
      <c r="UNF42" s="3281"/>
      <c r="UNG42" s="3281"/>
      <c r="UNH42" s="3281"/>
      <c r="UNI42" s="3281"/>
      <c r="UNJ42" s="3281"/>
      <c r="UNK42" s="3281"/>
      <c r="UNL42" s="3281"/>
      <c r="UNM42" s="3281"/>
      <c r="UNN42" s="3281"/>
      <c r="UNO42" s="3281"/>
      <c r="UNP42" s="3281"/>
      <c r="UNQ42" s="3281"/>
      <c r="UNR42" s="3281"/>
      <c r="UNS42" s="3281"/>
      <c r="UNT42" s="3281"/>
      <c r="UNU42" s="3281"/>
      <c r="UNV42" s="3281"/>
      <c r="UNW42" s="3281"/>
      <c r="UNX42" s="3281"/>
      <c r="UNY42" s="3281"/>
      <c r="UNZ42" s="3281"/>
      <c r="UOA42" s="3281"/>
      <c r="UOB42" s="3281"/>
      <c r="UOC42" s="3281"/>
      <c r="UOD42" s="3281"/>
      <c r="UOE42" s="3281"/>
      <c r="UOF42" s="3281"/>
      <c r="UOG42" s="3281"/>
      <c r="UOH42" s="3281"/>
      <c r="UOI42" s="3281"/>
      <c r="UOJ42" s="3281"/>
      <c r="UOK42" s="3281"/>
      <c r="UOL42" s="3281"/>
      <c r="UOM42" s="3281"/>
      <c r="UON42" s="3281"/>
      <c r="UOO42" s="3281"/>
      <c r="UOP42" s="3281"/>
      <c r="UOQ42" s="3281"/>
      <c r="UOR42" s="3281"/>
      <c r="UOS42" s="3281"/>
      <c r="UOT42" s="3281"/>
      <c r="UOU42" s="3281"/>
      <c r="UOV42" s="3281"/>
      <c r="UOW42" s="3281"/>
      <c r="UOX42" s="3281"/>
      <c r="UOY42" s="3281"/>
      <c r="UOZ42" s="3281"/>
      <c r="UPA42" s="3281"/>
      <c r="UPB42" s="3281"/>
      <c r="UPC42" s="3281"/>
      <c r="UPD42" s="3281"/>
      <c r="UPE42" s="3281"/>
      <c r="UPF42" s="3281"/>
      <c r="UPG42" s="3281"/>
      <c r="UPH42" s="3281"/>
      <c r="UPI42" s="3281"/>
      <c r="UPJ42" s="3281"/>
      <c r="UPK42" s="3281"/>
      <c r="UPL42" s="3281"/>
      <c r="UPM42" s="3281"/>
      <c r="UPN42" s="3281"/>
      <c r="UPO42" s="3281"/>
      <c r="UPP42" s="3281"/>
      <c r="UPQ42" s="3281"/>
      <c r="UPR42" s="3281"/>
      <c r="UPS42" s="3281"/>
      <c r="UPT42" s="3281"/>
      <c r="UPU42" s="3281"/>
      <c r="UPV42" s="3281"/>
      <c r="UPW42" s="3281"/>
      <c r="UPX42" s="3281"/>
      <c r="UPY42" s="3281"/>
      <c r="UPZ42" s="3281"/>
      <c r="UQA42" s="3281"/>
      <c r="UQB42" s="3281"/>
      <c r="UQC42" s="3281"/>
      <c r="UQD42" s="3281"/>
      <c r="UQE42" s="3281"/>
      <c r="UQF42" s="3281"/>
      <c r="UQG42" s="3281"/>
      <c r="UQH42" s="3281"/>
      <c r="UQI42" s="3281"/>
      <c r="UQJ42" s="3281"/>
      <c r="UQK42" s="3281"/>
      <c r="UQL42" s="3281"/>
      <c r="UQM42" s="3281"/>
      <c r="UQN42" s="3281"/>
      <c r="UQO42" s="3281"/>
      <c r="UQP42" s="3281"/>
      <c r="UQQ42" s="3281"/>
      <c r="UQR42" s="3281"/>
      <c r="UQS42" s="3281"/>
      <c r="UQT42" s="3281"/>
      <c r="UQU42" s="3281"/>
      <c r="UQV42" s="3281"/>
      <c r="UQW42" s="3281"/>
      <c r="UQX42" s="3281"/>
      <c r="UQY42" s="3281"/>
      <c r="UQZ42" s="3281"/>
      <c r="URA42" s="3281"/>
      <c r="URB42" s="3281"/>
      <c r="URC42" s="3281"/>
      <c r="URD42" s="3281"/>
      <c r="URE42" s="3281"/>
      <c r="URF42" s="3281"/>
      <c r="URG42" s="3281"/>
      <c r="URH42" s="3281"/>
      <c r="URI42" s="3281"/>
      <c r="URJ42" s="3281"/>
      <c r="URK42" s="3281"/>
      <c r="URL42" s="3281"/>
      <c r="URM42" s="3281"/>
      <c r="URN42" s="3281"/>
      <c r="URO42" s="3281"/>
      <c r="URP42" s="3281"/>
      <c r="URQ42" s="3281"/>
      <c r="URR42" s="3281"/>
      <c r="URS42" s="3281"/>
      <c r="URT42" s="3281"/>
      <c r="URU42" s="3281"/>
      <c r="URV42" s="3281"/>
      <c r="URW42" s="3281"/>
      <c r="URX42" s="3281"/>
      <c r="URY42" s="3281"/>
      <c r="URZ42" s="3281"/>
      <c r="USA42" s="3281"/>
      <c r="USB42" s="3281"/>
      <c r="USC42" s="3281"/>
      <c r="USD42" s="3281"/>
      <c r="USE42" s="3281"/>
      <c r="USF42" s="3281"/>
      <c r="USG42" s="3281"/>
      <c r="USH42" s="3281"/>
      <c r="USI42" s="3281"/>
      <c r="USJ42" s="3281"/>
      <c r="USK42" s="3281"/>
      <c r="USL42" s="3281"/>
      <c r="USM42" s="3281"/>
      <c r="USN42" s="3281"/>
      <c r="USO42" s="3281"/>
      <c r="USP42" s="3281"/>
      <c r="USQ42" s="3281"/>
      <c r="USR42" s="3281"/>
      <c r="USS42" s="3281"/>
      <c r="UST42" s="3281"/>
      <c r="USU42" s="3281"/>
      <c r="USV42" s="3281"/>
      <c r="USW42" s="3281"/>
      <c r="USX42" s="3281"/>
      <c r="USY42" s="3281"/>
      <c r="USZ42" s="3281"/>
      <c r="UTA42" s="3281"/>
      <c r="UTB42" s="3281"/>
      <c r="UTC42" s="3281"/>
      <c r="UTD42" s="3281"/>
      <c r="UTE42" s="3281"/>
      <c r="UTF42" s="3281"/>
      <c r="UTG42" s="3281"/>
      <c r="UTH42" s="3281"/>
      <c r="UTI42" s="3281"/>
      <c r="UTJ42" s="3281"/>
      <c r="UTK42" s="3281"/>
      <c r="UTL42" s="3281"/>
      <c r="UTM42" s="3281"/>
      <c r="UTN42" s="3281"/>
      <c r="UTO42" s="3281"/>
      <c r="UTP42" s="3281"/>
      <c r="UTQ42" s="3281"/>
      <c r="UTR42" s="3281"/>
      <c r="UTS42" s="3281"/>
      <c r="UTT42" s="3281"/>
      <c r="UTU42" s="3281"/>
      <c r="UTV42" s="3281"/>
      <c r="UTW42" s="3281"/>
      <c r="UTX42" s="3281"/>
      <c r="UTY42" s="3281"/>
      <c r="UTZ42" s="3281"/>
      <c r="UUA42" s="3281"/>
      <c r="UUB42" s="3281"/>
      <c r="UUC42" s="3281"/>
      <c r="UUD42" s="3281"/>
      <c r="UUE42" s="3281"/>
      <c r="UUF42" s="3281"/>
      <c r="UUG42" s="3281"/>
      <c r="UUH42" s="3281"/>
      <c r="UUI42" s="3281"/>
      <c r="UUJ42" s="3281"/>
      <c r="UUK42" s="3281"/>
      <c r="UUL42" s="3281"/>
      <c r="UUM42" s="3281"/>
      <c r="UUN42" s="3281"/>
      <c r="UUO42" s="3281"/>
      <c r="UUP42" s="3281"/>
      <c r="UUQ42" s="3281"/>
      <c r="UUR42" s="3281"/>
      <c r="UUS42" s="3281"/>
      <c r="UUT42" s="3281"/>
      <c r="UUU42" s="3281"/>
      <c r="UUV42" s="3281"/>
      <c r="UUW42" s="3281"/>
      <c r="UUX42" s="3281"/>
      <c r="UUY42" s="3281"/>
      <c r="UUZ42" s="3281"/>
      <c r="UVA42" s="3281"/>
      <c r="UVB42" s="3281"/>
      <c r="UVC42" s="3281"/>
      <c r="UVD42" s="3281"/>
      <c r="UVE42" s="3281"/>
      <c r="UVF42" s="3281"/>
      <c r="UVG42" s="3281"/>
      <c r="UVH42" s="3281"/>
      <c r="UVI42" s="3281"/>
      <c r="UVJ42" s="3281"/>
      <c r="UVK42" s="3281"/>
      <c r="UVL42" s="3281"/>
      <c r="UVM42" s="3281"/>
      <c r="UVN42" s="3281"/>
      <c r="UVO42" s="3281"/>
      <c r="UVP42" s="3281"/>
      <c r="UVQ42" s="3281"/>
      <c r="UVR42" s="3281"/>
      <c r="UVS42" s="3281"/>
      <c r="UVT42" s="3281"/>
      <c r="UVU42" s="3281"/>
      <c r="UVV42" s="3281"/>
      <c r="UVW42" s="3281"/>
      <c r="UVX42" s="3281"/>
      <c r="UVY42" s="3281"/>
      <c r="UVZ42" s="3281"/>
      <c r="UWA42" s="3281"/>
      <c r="UWB42" s="3281"/>
      <c r="UWC42" s="3281"/>
      <c r="UWD42" s="3281"/>
      <c r="UWE42" s="3281"/>
      <c r="UWF42" s="3281"/>
      <c r="UWG42" s="3281"/>
      <c r="UWH42" s="3281"/>
      <c r="UWI42" s="3281"/>
      <c r="UWJ42" s="3281"/>
      <c r="UWK42" s="3281"/>
      <c r="UWL42" s="3281"/>
      <c r="UWM42" s="3281"/>
      <c r="UWN42" s="3281"/>
      <c r="UWO42" s="3281"/>
      <c r="UWP42" s="3281"/>
      <c r="UWQ42" s="3281"/>
      <c r="UWR42" s="3281"/>
      <c r="UWS42" s="3281"/>
      <c r="UWT42" s="3281"/>
      <c r="UWU42" s="3281"/>
      <c r="UWV42" s="3281"/>
      <c r="UWW42" s="3281"/>
      <c r="UWX42" s="3281"/>
      <c r="UWY42" s="3281"/>
      <c r="UWZ42" s="3281"/>
      <c r="UXA42" s="3281"/>
      <c r="UXB42" s="3281"/>
      <c r="UXC42" s="3281"/>
      <c r="UXD42" s="3281"/>
      <c r="UXE42" s="3281"/>
      <c r="UXF42" s="3281"/>
      <c r="UXG42" s="3281"/>
      <c r="UXH42" s="3281"/>
      <c r="UXI42" s="3281"/>
      <c r="UXJ42" s="3281"/>
      <c r="UXK42" s="3281"/>
      <c r="UXL42" s="3281"/>
      <c r="UXM42" s="3281"/>
      <c r="UXN42" s="3281"/>
      <c r="UXO42" s="3281"/>
      <c r="UXP42" s="3281"/>
      <c r="UXQ42" s="3281"/>
      <c r="UXR42" s="3281"/>
      <c r="UXS42" s="3281"/>
      <c r="UXT42" s="3281"/>
      <c r="UXU42" s="3281"/>
      <c r="UXV42" s="3281"/>
      <c r="UXW42" s="3281"/>
      <c r="UXX42" s="3281"/>
      <c r="UXY42" s="3281"/>
      <c r="UXZ42" s="3281"/>
      <c r="UYA42" s="3281"/>
      <c r="UYB42" s="3281"/>
      <c r="UYC42" s="3281"/>
      <c r="UYD42" s="3281"/>
      <c r="UYE42" s="3281"/>
      <c r="UYF42" s="3281"/>
      <c r="UYG42" s="3281"/>
      <c r="UYH42" s="3281"/>
      <c r="UYI42" s="3281"/>
      <c r="UYJ42" s="3281"/>
      <c r="UYK42" s="3281"/>
      <c r="UYL42" s="3281"/>
      <c r="UYM42" s="3281"/>
      <c r="UYN42" s="3281"/>
      <c r="UYO42" s="3281"/>
      <c r="UYP42" s="3281"/>
      <c r="UYQ42" s="3281"/>
      <c r="UYR42" s="3281"/>
      <c r="UYS42" s="3281"/>
      <c r="UYT42" s="3281"/>
      <c r="UYU42" s="3281"/>
      <c r="UYV42" s="3281"/>
      <c r="UYW42" s="3281"/>
      <c r="UYX42" s="3281"/>
      <c r="UYY42" s="3281"/>
      <c r="UYZ42" s="3281"/>
      <c r="UZA42" s="3281"/>
      <c r="UZB42" s="3281"/>
      <c r="UZC42" s="3281"/>
      <c r="UZD42" s="3281"/>
      <c r="UZE42" s="3281"/>
      <c r="UZF42" s="3281"/>
      <c r="UZG42" s="3281"/>
      <c r="UZH42" s="3281"/>
      <c r="UZI42" s="3281"/>
      <c r="UZJ42" s="3281"/>
      <c r="UZK42" s="3281"/>
      <c r="UZL42" s="3281"/>
      <c r="UZM42" s="3281"/>
      <c r="UZN42" s="3281"/>
      <c r="UZO42" s="3281"/>
      <c r="UZP42" s="3281"/>
      <c r="UZQ42" s="3281"/>
      <c r="UZR42" s="3281"/>
      <c r="UZS42" s="3281"/>
      <c r="UZT42" s="3281"/>
      <c r="UZU42" s="3281"/>
      <c r="UZV42" s="3281"/>
      <c r="UZW42" s="3281"/>
      <c r="UZX42" s="3281"/>
      <c r="UZY42" s="3281"/>
      <c r="UZZ42" s="3281"/>
      <c r="VAA42" s="3281"/>
      <c r="VAB42" s="3281"/>
      <c r="VAC42" s="3281"/>
      <c r="VAD42" s="3281"/>
      <c r="VAE42" s="3281"/>
      <c r="VAF42" s="3281"/>
      <c r="VAG42" s="3281"/>
      <c r="VAH42" s="3281"/>
      <c r="VAI42" s="3281"/>
      <c r="VAJ42" s="3281"/>
      <c r="VAK42" s="3281"/>
      <c r="VAL42" s="3281"/>
      <c r="VAM42" s="3281"/>
      <c r="VAN42" s="3281"/>
      <c r="VAO42" s="3281"/>
      <c r="VAP42" s="3281"/>
      <c r="VAQ42" s="3281"/>
      <c r="VAR42" s="3281"/>
      <c r="VAS42" s="3281"/>
      <c r="VAT42" s="3281"/>
      <c r="VAU42" s="3281"/>
      <c r="VAV42" s="3281"/>
      <c r="VAW42" s="3281"/>
      <c r="VAX42" s="3281"/>
      <c r="VAY42" s="3281"/>
      <c r="VAZ42" s="3281"/>
      <c r="VBA42" s="3281"/>
      <c r="VBB42" s="3281"/>
      <c r="VBC42" s="3281"/>
      <c r="VBD42" s="3281"/>
      <c r="VBE42" s="3281"/>
      <c r="VBF42" s="3281"/>
      <c r="VBG42" s="3281"/>
      <c r="VBH42" s="3281"/>
      <c r="VBI42" s="3281"/>
      <c r="VBJ42" s="3281"/>
      <c r="VBK42" s="3281"/>
      <c r="VBL42" s="3281"/>
      <c r="VBM42" s="3281"/>
      <c r="VBN42" s="3281"/>
      <c r="VBO42" s="3281"/>
      <c r="VBP42" s="3281"/>
      <c r="VBQ42" s="3281"/>
      <c r="VBR42" s="3281"/>
      <c r="VBS42" s="3281"/>
      <c r="VBT42" s="3281"/>
      <c r="VBU42" s="3281"/>
      <c r="VBV42" s="3281"/>
      <c r="VBW42" s="3281"/>
      <c r="VBX42" s="3281"/>
      <c r="VBY42" s="3281"/>
      <c r="VBZ42" s="3281"/>
      <c r="VCA42" s="3281"/>
      <c r="VCB42" s="3281"/>
      <c r="VCC42" s="3281"/>
      <c r="VCD42" s="3281"/>
      <c r="VCE42" s="3281"/>
      <c r="VCF42" s="3281"/>
      <c r="VCG42" s="3281"/>
      <c r="VCH42" s="3281"/>
      <c r="VCI42" s="3281"/>
      <c r="VCJ42" s="3281"/>
      <c r="VCK42" s="3281"/>
      <c r="VCL42" s="3281"/>
      <c r="VCM42" s="3281"/>
      <c r="VCN42" s="3281"/>
      <c r="VCO42" s="3281"/>
      <c r="VCP42" s="3281"/>
      <c r="VCQ42" s="3281"/>
      <c r="VCR42" s="3281"/>
      <c r="VCS42" s="3281"/>
      <c r="VCT42" s="3281"/>
      <c r="VCU42" s="3281"/>
      <c r="VCV42" s="3281"/>
      <c r="VCW42" s="3281"/>
      <c r="VCX42" s="3281"/>
      <c r="VCY42" s="3281"/>
      <c r="VCZ42" s="3281"/>
      <c r="VDA42" s="3281"/>
      <c r="VDB42" s="3281"/>
      <c r="VDC42" s="3281"/>
      <c r="VDD42" s="3281"/>
      <c r="VDE42" s="3281"/>
      <c r="VDF42" s="3281"/>
      <c r="VDG42" s="3281"/>
      <c r="VDH42" s="3281"/>
      <c r="VDI42" s="3281"/>
      <c r="VDJ42" s="3281"/>
      <c r="VDK42" s="3281"/>
      <c r="VDL42" s="3281"/>
      <c r="VDM42" s="3281"/>
      <c r="VDN42" s="3281"/>
      <c r="VDO42" s="3281"/>
      <c r="VDP42" s="3281"/>
      <c r="VDQ42" s="3281"/>
      <c r="VDR42" s="3281"/>
      <c r="VDS42" s="3281"/>
      <c r="VDT42" s="3281"/>
      <c r="VDU42" s="3281"/>
      <c r="VDV42" s="3281"/>
      <c r="VDW42" s="3281"/>
      <c r="VDX42" s="3281"/>
      <c r="VDY42" s="3281"/>
      <c r="VDZ42" s="3281"/>
      <c r="VEA42" s="3281"/>
      <c r="VEB42" s="3281"/>
      <c r="VEC42" s="3281"/>
      <c r="VED42" s="3281"/>
      <c r="VEE42" s="3281"/>
      <c r="VEF42" s="3281"/>
      <c r="VEG42" s="3281"/>
      <c r="VEH42" s="3281"/>
      <c r="VEI42" s="3281"/>
      <c r="VEJ42" s="3281"/>
      <c r="VEK42" s="3281"/>
      <c r="VEL42" s="3281"/>
      <c r="VEM42" s="3281"/>
      <c r="VEN42" s="3281"/>
      <c r="VEO42" s="3281"/>
      <c r="VEP42" s="3281"/>
      <c r="VEQ42" s="3281"/>
      <c r="VER42" s="3281"/>
      <c r="VES42" s="3281"/>
      <c r="VET42" s="3281"/>
      <c r="VEU42" s="3281"/>
      <c r="VEV42" s="3281"/>
      <c r="VEW42" s="3281"/>
      <c r="VEX42" s="3281"/>
      <c r="VEY42" s="3281"/>
      <c r="VEZ42" s="3281"/>
      <c r="VFA42" s="3281"/>
      <c r="VFB42" s="3281"/>
      <c r="VFC42" s="3281"/>
      <c r="VFD42" s="3281"/>
      <c r="VFE42" s="3281"/>
      <c r="VFF42" s="3281"/>
      <c r="VFG42" s="3281"/>
      <c r="VFH42" s="3281"/>
      <c r="VFI42" s="3281"/>
      <c r="VFJ42" s="3281"/>
      <c r="VFK42" s="3281"/>
      <c r="VFL42" s="3281"/>
      <c r="VFM42" s="3281"/>
      <c r="VFN42" s="3281"/>
      <c r="VFO42" s="3281"/>
      <c r="VFP42" s="3281"/>
      <c r="VFQ42" s="3281"/>
      <c r="VFR42" s="3281"/>
      <c r="VFS42" s="3281"/>
      <c r="VFT42" s="3281"/>
      <c r="VFU42" s="3281"/>
      <c r="VFV42" s="3281"/>
      <c r="VFW42" s="3281"/>
      <c r="VFX42" s="3281"/>
      <c r="VFY42" s="3281"/>
      <c r="VFZ42" s="3281"/>
      <c r="VGA42" s="3281"/>
      <c r="VGB42" s="3281"/>
      <c r="VGC42" s="3281"/>
      <c r="VGD42" s="3281"/>
      <c r="VGE42" s="3281"/>
      <c r="VGF42" s="3281"/>
      <c r="VGG42" s="3281"/>
      <c r="VGH42" s="3281"/>
      <c r="VGI42" s="3281"/>
      <c r="VGJ42" s="3281"/>
      <c r="VGK42" s="3281"/>
      <c r="VGL42" s="3281"/>
      <c r="VGM42" s="3281"/>
      <c r="VGN42" s="3281"/>
      <c r="VGO42" s="3281"/>
      <c r="VGP42" s="3281"/>
      <c r="VGQ42" s="3281"/>
      <c r="VGR42" s="3281"/>
      <c r="VGS42" s="3281"/>
      <c r="VGT42" s="3281"/>
      <c r="VGU42" s="3281"/>
      <c r="VGV42" s="3281"/>
      <c r="VGW42" s="3281"/>
      <c r="VGX42" s="3281"/>
      <c r="VGY42" s="3281"/>
      <c r="VGZ42" s="3281"/>
      <c r="VHA42" s="3281"/>
      <c r="VHB42" s="3281"/>
      <c r="VHC42" s="3281"/>
      <c r="VHD42" s="3281"/>
      <c r="VHE42" s="3281"/>
      <c r="VHF42" s="3281"/>
      <c r="VHG42" s="3281"/>
      <c r="VHH42" s="3281"/>
      <c r="VHI42" s="3281"/>
      <c r="VHJ42" s="3281"/>
      <c r="VHK42" s="3281"/>
      <c r="VHL42" s="3281"/>
      <c r="VHM42" s="3281"/>
      <c r="VHN42" s="3281"/>
      <c r="VHO42" s="3281"/>
      <c r="VHP42" s="3281"/>
      <c r="VHQ42" s="3281"/>
      <c r="VHR42" s="3281"/>
      <c r="VHS42" s="3281"/>
      <c r="VHT42" s="3281"/>
      <c r="VHU42" s="3281"/>
      <c r="VHV42" s="3281"/>
      <c r="VHW42" s="3281"/>
      <c r="VHX42" s="3281"/>
      <c r="VHY42" s="3281"/>
      <c r="VHZ42" s="3281"/>
      <c r="VIA42" s="3281"/>
      <c r="VIB42" s="3281"/>
      <c r="VIC42" s="3281"/>
      <c r="VID42" s="3281"/>
      <c r="VIE42" s="3281"/>
      <c r="VIF42" s="3281"/>
      <c r="VIG42" s="3281"/>
      <c r="VIH42" s="3281"/>
      <c r="VII42" s="3281"/>
      <c r="VIJ42" s="3281"/>
      <c r="VIK42" s="3281"/>
      <c r="VIL42" s="3281"/>
      <c r="VIM42" s="3281"/>
      <c r="VIN42" s="3281"/>
      <c r="VIO42" s="3281"/>
      <c r="VIP42" s="3281"/>
      <c r="VIQ42" s="3281"/>
      <c r="VIR42" s="3281"/>
      <c r="VIS42" s="3281"/>
      <c r="VIT42" s="3281"/>
      <c r="VIU42" s="3281"/>
      <c r="VIV42" s="3281"/>
      <c r="VIW42" s="3281"/>
      <c r="VIX42" s="3281"/>
      <c r="VIY42" s="3281"/>
      <c r="VIZ42" s="3281"/>
      <c r="VJA42" s="3281"/>
      <c r="VJB42" s="3281"/>
      <c r="VJC42" s="3281"/>
      <c r="VJD42" s="3281"/>
      <c r="VJE42" s="3281"/>
      <c r="VJF42" s="3281"/>
      <c r="VJG42" s="3281"/>
      <c r="VJH42" s="3281"/>
      <c r="VJI42" s="3281"/>
      <c r="VJJ42" s="3281"/>
      <c r="VJK42" s="3281"/>
      <c r="VJL42" s="3281"/>
      <c r="VJM42" s="3281"/>
      <c r="VJN42" s="3281"/>
      <c r="VJO42" s="3281"/>
      <c r="VJP42" s="3281"/>
      <c r="VJQ42" s="3281"/>
      <c r="VJR42" s="3281"/>
      <c r="VJS42" s="3281"/>
      <c r="VJT42" s="3281"/>
      <c r="VJU42" s="3281"/>
      <c r="VJV42" s="3281"/>
      <c r="VJW42" s="3281"/>
      <c r="VJX42" s="3281"/>
      <c r="VJY42" s="3281"/>
      <c r="VJZ42" s="3281"/>
      <c r="VKA42" s="3281"/>
      <c r="VKB42" s="3281"/>
      <c r="VKC42" s="3281"/>
      <c r="VKD42" s="3281"/>
      <c r="VKE42" s="3281"/>
      <c r="VKF42" s="3281"/>
      <c r="VKG42" s="3281"/>
      <c r="VKH42" s="3281"/>
      <c r="VKI42" s="3281"/>
      <c r="VKJ42" s="3281"/>
      <c r="VKK42" s="3281"/>
      <c r="VKL42" s="3281"/>
      <c r="VKM42" s="3281"/>
      <c r="VKN42" s="3281"/>
      <c r="VKO42" s="3281"/>
      <c r="VKP42" s="3281"/>
      <c r="VKQ42" s="3281"/>
      <c r="VKR42" s="3281"/>
      <c r="VKS42" s="3281"/>
      <c r="VKT42" s="3281"/>
      <c r="VKU42" s="3281"/>
      <c r="VKV42" s="3281"/>
      <c r="VKW42" s="3281"/>
      <c r="VKX42" s="3281"/>
      <c r="VKY42" s="3281"/>
      <c r="VKZ42" s="3281"/>
      <c r="VLA42" s="3281"/>
      <c r="VLB42" s="3281"/>
      <c r="VLC42" s="3281"/>
      <c r="VLD42" s="3281"/>
      <c r="VLE42" s="3281"/>
      <c r="VLF42" s="3281"/>
      <c r="VLG42" s="3281"/>
      <c r="VLH42" s="3281"/>
      <c r="VLI42" s="3281"/>
      <c r="VLJ42" s="3281"/>
      <c r="VLK42" s="3281"/>
      <c r="VLL42" s="3281"/>
      <c r="VLM42" s="3281"/>
      <c r="VLN42" s="3281"/>
      <c r="VLO42" s="3281"/>
      <c r="VLP42" s="3281"/>
      <c r="VLQ42" s="3281"/>
      <c r="VLR42" s="3281"/>
      <c r="VLS42" s="3281"/>
      <c r="VLT42" s="3281"/>
      <c r="VLU42" s="3281"/>
      <c r="VLV42" s="3281"/>
      <c r="VLW42" s="3281"/>
      <c r="VLX42" s="3281"/>
      <c r="VLY42" s="3281"/>
      <c r="VLZ42" s="3281"/>
      <c r="VMA42" s="3281"/>
      <c r="VMB42" s="3281"/>
      <c r="VMC42" s="3281"/>
      <c r="VMD42" s="3281"/>
      <c r="VME42" s="3281"/>
      <c r="VMF42" s="3281"/>
      <c r="VMG42" s="3281"/>
      <c r="VMH42" s="3281"/>
      <c r="VMI42" s="3281"/>
      <c r="VMJ42" s="3281"/>
      <c r="VMK42" s="3281"/>
      <c r="VML42" s="3281"/>
      <c r="VMM42" s="3281"/>
      <c r="VMN42" s="3281"/>
      <c r="VMO42" s="3281"/>
      <c r="VMP42" s="3281"/>
      <c r="VMQ42" s="3281"/>
      <c r="VMR42" s="3281"/>
      <c r="VMS42" s="3281"/>
      <c r="VMT42" s="3281"/>
      <c r="VMU42" s="3281"/>
      <c r="VMV42" s="3281"/>
      <c r="VMW42" s="3281"/>
      <c r="VMX42" s="3281"/>
      <c r="VMY42" s="3281"/>
      <c r="VMZ42" s="3281"/>
      <c r="VNA42" s="3281"/>
      <c r="VNB42" s="3281"/>
      <c r="VNC42" s="3281"/>
      <c r="VND42" s="3281"/>
      <c r="VNE42" s="3281"/>
      <c r="VNF42" s="3281"/>
      <c r="VNG42" s="3281"/>
      <c r="VNH42" s="3281"/>
      <c r="VNI42" s="3281"/>
      <c r="VNJ42" s="3281"/>
      <c r="VNK42" s="3281"/>
      <c r="VNL42" s="3281"/>
      <c r="VNM42" s="3281"/>
      <c r="VNN42" s="3281"/>
      <c r="VNO42" s="3281"/>
      <c r="VNP42" s="3281"/>
      <c r="VNQ42" s="3281"/>
      <c r="VNR42" s="3281"/>
      <c r="VNS42" s="3281"/>
      <c r="VNT42" s="3281"/>
      <c r="VNU42" s="3281"/>
      <c r="VNV42" s="3281"/>
      <c r="VNW42" s="3281"/>
      <c r="VNX42" s="3281"/>
      <c r="VNY42" s="3281"/>
      <c r="VNZ42" s="3281"/>
      <c r="VOA42" s="3281"/>
      <c r="VOB42" s="3281"/>
      <c r="VOC42" s="3281"/>
      <c r="VOD42" s="3281"/>
      <c r="VOE42" s="3281"/>
      <c r="VOF42" s="3281"/>
      <c r="VOG42" s="3281"/>
      <c r="VOH42" s="3281"/>
      <c r="VOI42" s="3281"/>
      <c r="VOJ42" s="3281"/>
      <c r="VOK42" s="3281"/>
      <c r="VOL42" s="3281"/>
      <c r="VOM42" s="3281"/>
      <c r="VON42" s="3281"/>
      <c r="VOO42" s="3281"/>
      <c r="VOP42" s="3281"/>
      <c r="VOQ42" s="3281"/>
      <c r="VOR42" s="3281"/>
      <c r="VOS42" s="3281"/>
      <c r="VOT42" s="3281"/>
      <c r="VOU42" s="3281"/>
      <c r="VOV42" s="3281"/>
      <c r="VOW42" s="3281"/>
      <c r="VOX42" s="3281"/>
      <c r="VOY42" s="3281"/>
      <c r="VOZ42" s="3281"/>
      <c r="VPA42" s="3281"/>
      <c r="VPB42" s="3281"/>
      <c r="VPC42" s="3281"/>
      <c r="VPD42" s="3281"/>
      <c r="VPE42" s="3281"/>
      <c r="VPF42" s="3281"/>
      <c r="VPG42" s="3281"/>
      <c r="VPH42" s="3281"/>
      <c r="VPI42" s="3281"/>
      <c r="VPJ42" s="3281"/>
      <c r="VPK42" s="3281"/>
      <c r="VPL42" s="3281"/>
      <c r="VPM42" s="3281"/>
      <c r="VPN42" s="3281"/>
      <c r="VPO42" s="3281"/>
      <c r="VPP42" s="3281"/>
      <c r="VPQ42" s="3281"/>
      <c r="VPR42" s="3281"/>
      <c r="VPS42" s="3281"/>
      <c r="VPT42" s="3281"/>
      <c r="VPU42" s="3281"/>
      <c r="VPV42" s="3281"/>
      <c r="VPW42" s="3281"/>
      <c r="VPX42" s="3281"/>
      <c r="VPY42" s="3281"/>
      <c r="VPZ42" s="3281"/>
      <c r="VQA42" s="3281"/>
      <c r="VQB42" s="3281"/>
      <c r="VQC42" s="3281"/>
      <c r="VQD42" s="3281"/>
      <c r="VQE42" s="3281"/>
      <c r="VQF42" s="3281"/>
      <c r="VQG42" s="3281"/>
      <c r="VQH42" s="3281"/>
      <c r="VQI42" s="3281"/>
      <c r="VQJ42" s="3281"/>
      <c r="VQK42" s="3281"/>
      <c r="VQL42" s="3281"/>
      <c r="VQM42" s="3281"/>
      <c r="VQN42" s="3281"/>
      <c r="VQO42" s="3281"/>
      <c r="VQP42" s="3281"/>
      <c r="VQQ42" s="3281"/>
      <c r="VQR42" s="3281"/>
      <c r="VQS42" s="3281"/>
      <c r="VQT42" s="3281"/>
      <c r="VQU42" s="3281"/>
      <c r="VQV42" s="3281"/>
      <c r="VQW42" s="3281"/>
      <c r="VQX42" s="3281"/>
      <c r="VQY42" s="3281"/>
      <c r="VQZ42" s="3281"/>
      <c r="VRA42" s="3281"/>
      <c r="VRB42" s="3281"/>
      <c r="VRC42" s="3281"/>
      <c r="VRD42" s="3281"/>
      <c r="VRE42" s="3281"/>
      <c r="VRF42" s="3281"/>
      <c r="VRG42" s="3281"/>
      <c r="VRH42" s="3281"/>
      <c r="VRI42" s="3281"/>
      <c r="VRJ42" s="3281"/>
      <c r="VRK42" s="3281"/>
      <c r="VRL42" s="3281"/>
      <c r="VRM42" s="3281"/>
      <c r="VRN42" s="3281"/>
      <c r="VRO42" s="3281"/>
      <c r="VRP42" s="3281"/>
      <c r="VRQ42" s="3281"/>
      <c r="VRR42" s="3281"/>
      <c r="VRS42" s="3281"/>
      <c r="VRT42" s="3281"/>
      <c r="VRU42" s="3281"/>
      <c r="VRV42" s="3281"/>
      <c r="VRW42" s="3281"/>
      <c r="VRX42" s="3281"/>
      <c r="VRY42" s="3281"/>
      <c r="VRZ42" s="3281"/>
      <c r="VSA42" s="3281"/>
      <c r="VSB42" s="3281"/>
      <c r="VSC42" s="3281"/>
      <c r="VSD42" s="3281"/>
      <c r="VSE42" s="3281"/>
      <c r="VSF42" s="3281"/>
      <c r="VSG42" s="3281"/>
      <c r="VSH42" s="3281"/>
      <c r="VSI42" s="3281"/>
      <c r="VSJ42" s="3281"/>
      <c r="VSK42" s="3281"/>
      <c r="VSL42" s="3281"/>
      <c r="VSM42" s="3281"/>
      <c r="VSN42" s="3281"/>
      <c r="VSO42" s="3281"/>
      <c r="VSP42" s="3281"/>
      <c r="VSQ42" s="3281"/>
      <c r="VSR42" s="3281"/>
      <c r="VSS42" s="3281"/>
      <c r="VST42" s="3281"/>
      <c r="VSU42" s="3281"/>
      <c r="VSV42" s="3281"/>
      <c r="VSW42" s="3281"/>
      <c r="VSX42" s="3281"/>
      <c r="VSY42" s="3281"/>
      <c r="VSZ42" s="3281"/>
      <c r="VTA42" s="3281"/>
      <c r="VTB42" s="3281"/>
      <c r="VTC42" s="3281"/>
      <c r="VTD42" s="3281"/>
      <c r="VTE42" s="3281"/>
      <c r="VTF42" s="3281"/>
      <c r="VTG42" s="3281"/>
      <c r="VTH42" s="3281"/>
      <c r="VTI42" s="3281"/>
      <c r="VTJ42" s="3281"/>
      <c r="VTK42" s="3281"/>
      <c r="VTL42" s="3281"/>
      <c r="VTM42" s="3281"/>
      <c r="VTN42" s="3281"/>
      <c r="VTO42" s="3281"/>
      <c r="VTP42" s="3281"/>
      <c r="VTQ42" s="3281"/>
      <c r="VTR42" s="3281"/>
      <c r="VTS42" s="3281"/>
      <c r="VTT42" s="3281"/>
      <c r="VTU42" s="3281"/>
      <c r="VTV42" s="3281"/>
      <c r="VTW42" s="3281"/>
      <c r="VTX42" s="3281"/>
      <c r="VTY42" s="3281"/>
      <c r="VTZ42" s="3281"/>
      <c r="VUA42" s="3281"/>
      <c r="VUB42" s="3281"/>
      <c r="VUC42" s="3281"/>
      <c r="VUD42" s="3281"/>
      <c r="VUE42" s="3281"/>
      <c r="VUF42" s="3281"/>
      <c r="VUG42" s="3281"/>
      <c r="VUH42" s="3281"/>
      <c r="VUI42" s="3281"/>
      <c r="VUJ42" s="3281"/>
      <c r="VUK42" s="3281"/>
      <c r="VUL42" s="3281"/>
      <c r="VUM42" s="3281"/>
      <c r="VUN42" s="3281"/>
      <c r="VUO42" s="3281"/>
      <c r="VUP42" s="3281"/>
      <c r="VUQ42" s="3281"/>
      <c r="VUR42" s="3281"/>
      <c r="VUS42" s="3281"/>
      <c r="VUT42" s="3281"/>
      <c r="VUU42" s="3281"/>
      <c r="VUV42" s="3281"/>
      <c r="VUW42" s="3281"/>
      <c r="VUX42" s="3281"/>
      <c r="VUY42" s="3281"/>
      <c r="VUZ42" s="3281"/>
      <c r="VVA42" s="3281"/>
      <c r="VVB42" s="3281"/>
      <c r="VVC42" s="3281"/>
      <c r="VVD42" s="3281"/>
      <c r="VVE42" s="3281"/>
      <c r="VVF42" s="3281"/>
      <c r="VVG42" s="3281"/>
      <c r="VVH42" s="3281"/>
      <c r="VVI42" s="3281"/>
      <c r="VVJ42" s="3281"/>
      <c r="VVK42" s="3281"/>
      <c r="VVL42" s="3281"/>
      <c r="VVM42" s="3281"/>
      <c r="VVN42" s="3281"/>
      <c r="VVO42" s="3281"/>
      <c r="VVP42" s="3281"/>
      <c r="VVQ42" s="3281"/>
      <c r="VVR42" s="3281"/>
      <c r="VVS42" s="3281"/>
      <c r="VVT42" s="3281"/>
      <c r="VVU42" s="3281"/>
      <c r="VVV42" s="3281"/>
      <c r="VVW42" s="3281"/>
      <c r="VVX42" s="3281"/>
      <c r="VVY42" s="3281"/>
      <c r="VVZ42" s="3281"/>
      <c r="VWA42" s="3281"/>
      <c r="VWB42" s="3281"/>
      <c r="VWC42" s="3281"/>
      <c r="VWD42" s="3281"/>
      <c r="VWE42" s="3281"/>
      <c r="VWF42" s="3281"/>
      <c r="VWG42" s="3281"/>
      <c r="VWH42" s="3281"/>
      <c r="VWI42" s="3281"/>
      <c r="VWJ42" s="3281"/>
      <c r="VWK42" s="3281"/>
      <c r="VWL42" s="3281"/>
      <c r="VWM42" s="3281"/>
      <c r="VWN42" s="3281"/>
      <c r="VWO42" s="3281"/>
      <c r="VWP42" s="3281"/>
      <c r="VWQ42" s="3281"/>
      <c r="VWR42" s="3281"/>
      <c r="VWS42" s="3281"/>
      <c r="VWT42" s="3281"/>
      <c r="VWU42" s="3281"/>
      <c r="VWV42" s="3281"/>
      <c r="VWW42" s="3281"/>
      <c r="VWX42" s="3281"/>
      <c r="VWY42" s="3281"/>
      <c r="VWZ42" s="3281"/>
      <c r="VXA42" s="3281"/>
      <c r="VXB42" s="3281"/>
      <c r="VXC42" s="3281"/>
      <c r="VXD42" s="3281"/>
      <c r="VXE42" s="3281"/>
      <c r="VXF42" s="3281"/>
      <c r="VXG42" s="3281"/>
      <c r="VXH42" s="3281"/>
      <c r="VXI42" s="3281"/>
      <c r="VXJ42" s="3281"/>
      <c r="VXK42" s="3281"/>
      <c r="VXL42" s="3281"/>
      <c r="VXM42" s="3281"/>
      <c r="VXN42" s="3281"/>
      <c r="VXO42" s="3281"/>
      <c r="VXP42" s="3281"/>
      <c r="VXQ42" s="3281"/>
      <c r="VXR42" s="3281"/>
      <c r="VXS42" s="3281"/>
      <c r="VXT42" s="3281"/>
      <c r="VXU42" s="3281"/>
      <c r="VXV42" s="3281"/>
      <c r="VXW42" s="3281"/>
      <c r="VXX42" s="3281"/>
      <c r="VXY42" s="3281"/>
      <c r="VXZ42" s="3281"/>
      <c r="VYA42" s="3281"/>
      <c r="VYB42" s="3281"/>
      <c r="VYC42" s="3281"/>
      <c r="VYD42" s="3281"/>
      <c r="VYE42" s="3281"/>
      <c r="VYF42" s="3281"/>
      <c r="VYG42" s="3281"/>
      <c r="VYH42" s="3281"/>
      <c r="VYI42" s="3281"/>
      <c r="VYJ42" s="3281"/>
      <c r="VYK42" s="3281"/>
      <c r="VYL42" s="3281"/>
      <c r="VYM42" s="3281"/>
      <c r="VYN42" s="3281"/>
      <c r="VYO42" s="3281"/>
      <c r="VYP42" s="3281"/>
      <c r="VYQ42" s="3281"/>
      <c r="VYR42" s="3281"/>
      <c r="VYS42" s="3281"/>
      <c r="VYT42" s="3281"/>
      <c r="VYU42" s="3281"/>
      <c r="VYV42" s="3281"/>
      <c r="VYW42" s="3281"/>
      <c r="VYX42" s="3281"/>
      <c r="VYY42" s="3281"/>
      <c r="VYZ42" s="3281"/>
      <c r="VZA42" s="3281"/>
      <c r="VZB42" s="3281"/>
      <c r="VZC42" s="3281"/>
      <c r="VZD42" s="3281"/>
      <c r="VZE42" s="3281"/>
      <c r="VZF42" s="3281"/>
      <c r="VZG42" s="3281"/>
      <c r="VZH42" s="3281"/>
      <c r="VZI42" s="3281"/>
      <c r="VZJ42" s="3281"/>
      <c r="VZK42" s="3281"/>
      <c r="VZL42" s="3281"/>
      <c r="VZM42" s="3281"/>
      <c r="VZN42" s="3281"/>
      <c r="VZO42" s="3281"/>
      <c r="VZP42" s="3281"/>
      <c r="VZQ42" s="3281"/>
      <c r="VZR42" s="3281"/>
      <c r="VZS42" s="3281"/>
      <c r="VZT42" s="3281"/>
      <c r="VZU42" s="3281"/>
      <c r="VZV42" s="3281"/>
      <c r="VZW42" s="3281"/>
      <c r="VZX42" s="3281"/>
      <c r="VZY42" s="3281"/>
      <c r="VZZ42" s="3281"/>
      <c r="WAA42" s="3281"/>
      <c r="WAB42" s="3281"/>
      <c r="WAC42" s="3281"/>
      <c r="WAD42" s="3281"/>
      <c r="WAE42" s="3281"/>
      <c r="WAF42" s="3281"/>
      <c r="WAG42" s="3281"/>
      <c r="WAH42" s="3281"/>
      <c r="WAI42" s="3281"/>
      <c r="WAJ42" s="3281"/>
      <c r="WAK42" s="3281"/>
      <c r="WAL42" s="3281"/>
      <c r="WAM42" s="3281"/>
      <c r="WAN42" s="3281"/>
      <c r="WAO42" s="3281"/>
      <c r="WAP42" s="3281"/>
      <c r="WAQ42" s="3281"/>
      <c r="WAR42" s="3281"/>
      <c r="WAS42" s="3281"/>
      <c r="WAT42" s="3281"/>
      <c r="WAU42" s="3281"/>
      <c r="WAV42" s="3281"/>
      <c r="WAW42" s="3281"/>
      <c r="WAX42" s="3281"/>
      <c r="WAY42" s="3281"/>
      <c r="WAZ42" s="3281"/>
      <c r="WBA42" s="3281"/>
      <c r="WBB42" s="3281"/>
      <c r="WBC42" s="3281"/>
      <c r="WBD42" s="3281"/>
      <c r="WBE42" s="3281"/>
      <c r="WBF42" s="3281"/>
      <c r="WBG42" s="3281"/>
      <c r="WBH42" s="3281"/>
      <c r="WBI42" s="3281"/>
      <c r="WBJ42" s="3281"/>
      <c r="WBK42" s="3281"/>
      <c r="WBL42" s="3281"/>
      <c r="WBM42" s="3281"/>
      <c r="WBN42" s="3281"/>
      <c r="WBO42" s="3281"/>
      <c r="WBP42" s="3281"/>
      <c r="WBQ42" s="3281"/>
      <c r="WBR42" s="3281"/>
      <c r="WBS42" s="3281"/>
      <c r="WBT42" s="3281"/>
      <c r="WBU42" s="3281"/>
      <c r="WBV42" s="3281"/>
      <c r="WBW42" s="3281"/>
      <c r="WBX42" s="3281"/>
      <c r="WBY42" s="3281"/>
      <c r="WBZ42" s="3281"/>
      <c r="WCA42" s="3281"/>
      <c r="WCB42" s="3281"/>
      <c r="WCC42" s="3281"/>
      <c r="WCD42" s="3281"/>
      <c r="WCE42" s="3281"/>
      <c r="WCF42" s="3281"/>
      <c r="WCG42" s="3281"/>
      <c r="WCH42" s="3281"/>
      <c r="WCI42" s="3281"/>
      <c r="WCJ42" s="3281"/>
      <c r="WCK42" s="3281"/>
      <c r="WCL42" s="3281"/>
      <c r="WCM42" s="3281"/>
      <c r="WCN42" s="3281"/>
      <c r="WCO42" s="3281"/>
      <c r="WCP42" s="3281"/>
      <c r="WCQ42" s="3281"/>
      <c r="WCR42" s="3281"/>
      <c r="WCS42" s="3281"/>
      <c r="WCT42" s="3281"/>
      <c r="WCU42" s="3281"/>
      <c r="WCV42" s="3281"/>
      <c r="WCW42" s="3281"/>
      <c r="WCX42" s="3281"/>
      <c r="WCY42" s="3281"/>
      <c r="WCZ42" s="3281"/>
      <c r="WDA42" s="3281"/>
      <c r="WDB42" s="3281"/>
      <c r="WDC42" s="3281"/>
      <c r="WDD42" s="3281"/>
      <c r="WDE42" s="3281"/>
      <c r="WDF42" s="3281"/>
      <c r="WDG42" s="3281"/>
      <c r="WDH42" s="3281"/>
      <c r="WDI42" s="3281"/>
      <c r="WDJ42" s="3281"/>
      <c r="WDK42" s="3281"/>
      <c r="WDL42" s="3281"/>
      <c r="WDM42" s="3281"/>
      <c r="WDN42" s="3281"/>
      <c r="WDO42" s="3281"/>
      <c r="WDP42" s="3281"/>
      <c r="WDQ42" s="3281"/>
      <c r="WDR42" s="3281"/>
      <c r="WDS42" s="3281"/>
      <c r="WDT42" s="3281"/>
      <c r="WDU42" s="3281"/>
      <c r="WDV42" s="3281"/>
      <c r="WDW42" s="3281"/>
      <c r="WDX42" s="3281"/>
      <c r="WDY42" s="3281"/>
      <c r="WDZ42" s="3281"/>
      <c r="WEA42" s="3281"/>
      <c r="WEB42" s="3281"/>
      <c r="WEC42" s="3281"/>
      <c r="WED42" s="3281"/>
      <c r="WEE42" s="3281"/>
      <c r="WEF42" s="3281"/>
      <c r="WEG42" s="3281"/>
      <c r="WEH42" s="3281"/>
      <c r="WEI42" s="3281"/>
      <c r="WEJ42" s="3281"/>
      <c r="WEK42" s="3281"/>
      <c r="WEL42" s="3281"/>
      <c r="WEM42" s="3281"/>
      <c r="WEN42" s="3281"/>
      <c r="WEO42" s="3281"/>
      <c r="WEP42" s="3281"/>
      <c r="WEQ42" s="3281"/>
      <c r="WER42" s="3281"/>
      <c r="WES42" s="3281"/>
      <c r="WET42" s="3281"/>
      <c r="WEU42" s="3281"/>
      <c r="WEV42" s="3281"/>
      <c r="WEW42" s="3281"/>
      <c r="WEX42" s="3281"/>
      <c r="WEY42" s="3281"/>
      <c r="WEZ42" s="3281"/>
      <c r="WFA42" s="3281"/>
      <c r="WFB42" s="3281"/>
      <c r="WFC42" s="3281"/>
      <c r="WFD42" s="3281"/>
      <c r="WFE42" s="3281"/>
      <c r="WFF42" s="3281"/>
      <c r="WFG42" s="3281"/>
      <c r="WFH42" s="3281"/>
      <c r="WFI42" s="3281"/>
      <c r="WFJ42" s="3281"/>
      <c r="WFK42" s="3281"/>
      <c r="WFL42" s="3281"/>
      <c r="WFM42" s="3281"/>
      <c r="WFN42" s="3281"/>
      <c r="WFO42" s="3281"/>
      <c r="WFP42" s="3281"/>
      <c r="WFQ42" s="3281"/>
      <c r="WFR42" s="3281"/>
      <c r="WFS42" s="3281"/>
      <c r="WFT42" s="3281"/>
      <c r="WFU42" s="3281"/>
      <c r="WFV42" s="3281"/>
      <c r="WFW42" s="3281"/>
      <c r="WFX42" s="3281"/>
      <c r="WFY42" s="3281"/>
      <c r="WFZ42" s="3281"/>
      <c r="WGA42" s="3281"/>
      <c r="WGB42" s="3281"/>
      <c r="WGC42" s="3281"/>
      <c r="WGD42" s="3281"/>
      <c r="WGE42" s="3281"/>
      <c r="WGF42" s="3281"/>
      <c r="WGG42" s="3281"/>
      <c r="WGH42" s="3281"/>
      <c r="WGI42" s="3281"/>
      <c r="WGJ42" s="3281"/>
      <c r="WGK42" s="3281"/>
      <c r="WGL42" s="3281"/>
      <c r="WGM42" s="3281"/>
      <c r="WGN42" s="3281"/>
      <c r="WGO42" s="3281"/>
      <c r="WGP42" s="3281"/>
      <c r="WGQ42" s="3281"/>
      <c r="WGR42" s="3281"/>
      <c r="WGS42" s="3281"/>
      <c r="WGT42" s="3281"/>
      <c r="WGU42" s="3281"/>
      <c r="WGV42" s="3281"/>
      <c r="WGW42" s="3281"/>
      <c r="WGX42" s="3281"/>
      <c r="WGY42" s="3281"/>
      <c r="WGZ42" s="3281"/>
      <c r="WHA42" s="3281"/>
      <c r="WHB42" s="3281"/>
      <c r="WHC42" s="3281"/>
      <c r="WHD42" s="3281"/>
      <c r="WHE42" s="3281"/>
      <c r="WHF42" s="3281"/>
      <c r="WHG42" s="3281"/>
      <c r="WHH42" s="3281"/>
      <c r="WHI42" s="3281"/>
      <c r="WHJ42" s="3281"/>
      <c r="WHK42" s="3281"/>
      <c r="WHL42" s="3281"/>
      <c r="WHM42" s="3281"/>
      <c r="WHN42" s="3281"/>
      <c r="WHO42" s="3281"/>
      <c r="WHP42" s="3281"/>
      <c r="WHQ42" s="3281"/>
      <c r="WHR42" s="3281"/>
      <c r="WHS42" s="3281"/>
      <c r="WHT42" s="3281"/>
      <c r="WHU42" s="3281"/>
      <c r="WHV42" s="3281"/>
      <c r="WHW42" s="3281"/>
      <c r="WHX42" s="3281"/>
      <c r="WHY42" s="3281"/>
      <c r="WHZ42" s="3281"/>
      <c r="WIA42" s="3281"/>
      <c r="WIB42" s="3281"/>
      <c r="WIC42" s="3281"/>
      <c r="WID42" s="3281"/>
      <c r="WIE42" s="3281"/>
      <c r="WIF42" s="3281"/>
      <c r="WIG42" s="3281"/>
      <c r="WIH42" s="3281"/>
      <c r="WII42" s="3281"/>
      <c r="WIJ42" s="3281"/>
      <c r="WIK42" s="3281"/>
      <c r="WIL42" s="3281"/>
      <c r="WIM42" s="3281"/>
      <c r="WIN42" s="3281"/>
      <c r="WIO42" s="3281"/>
      <c r="WIP42" s="3281"/>
      <c r="WIQ42" s="3281"/>
      <c r="WIR42" s="3281"/>
      <c r="WIS42" s="3281"/>
      <c r="WIT42" s="3281"/>
      <c r="WIU42" s="3281"/>
      <c r="WIV42" s="3281"/>
      <c r="WIW42" s="3281"/>
      <c r="WIX42" s="3281"/>
      <c r="WIY42" s="3281"/>
      <c r="WIZ42" s="3281"/>
      <c r="WJA42" s="3281"/>
      <c r="WJB42" s="3281"/>
      <c r="WJC42" s="3281"/>
      <c r="WJD42" s="3281"/>
      <c r="WJE42" s="3281"/>
      <c r="WJF42" s="3281"/>
      <c r="WJG42" s="3281"/>
      <c r="WJH42" s="3281"/>
      <c r="WJI42" s="3281"/>
      <c r="WJJ42" s="3281"/>
      <c r="WJK42" s="3281"/>
      <c r="WJL42" s="3281"/>
      <c r="WJM42" s="3281"/>
      <c r="WJN42" s="3281"/>
      <c r="WJO42" s="3281"/>
      <c r="WJP42" s="3281"/>
      <c r="WJQ42" s="3281"/>
      <c r="WJR42" s="3281"/>
      <c r="WJS42" s="3281"/>
      <c r="WJT42" s="3281"/>
      <c r="WJU42" s="3281"/>
      <c r="WJV42" s="3281"/>
      <c r="WJW42" s="3281"/>
      <c r="WJX42" s="3281"/>
      <c r="WJY42" s="3281"/>
      <c r="WJZ42" s="3281"/>
      <c r="WKA42" s="3281"/>
      <c r="WKB42" s="3281"/>
      <c r="WKC42" s="3281"/>
      <c r="WKD42" s="3281"/>
      <c r="WKE42" s="3281"/>
      <c r="WKF42" s="3281"/>
      <c r="WKG42" s="3281"/>
      <c r="WKH42" s="3281"/>
      <c r="WKI42" s="3281"/>
      <c r="WKJ42" s="3281"/>
      <c r="WKK42" s="3281"/>
      <c r="WKL42" s="3281"/>
      <c r="WKM42" s="3281"/>
      <c r="WKN42" s="3281"/>
      <c r="WKO42" s="3281"/>
      <c r="WKP42" s="3281"/>
      <c r="WKQ42" s="3281"/>
      <c r="WKR42" s="3281"/>
      <c r="WKS42" s="3281"/>
      <c r="WKT42" s="3281"/>
      <c r="WKU42" s="3281"/>
      <c r="WKV42" s="3281"/>
      <c r="WKW42" s="3281"/>
      <c r="WKX42" s="3281"/>
      <c r="WKY42" s="3281"/>
      <c r="WKZ42" s="3281"/>
      <c r="WLA42" s="3281"/>
      <c r="WLB42" s="3281"/>
      <c r="WLC42" s="3281"/>
      <c r="WLD42" s="3281"/>
      <c r="WLE42" s="3281"/>
      <c r="WLF42" s="3281"/>
      <c r="WLG42" s="3281"/>
      <c r="WLH42" s="3281"/>
      <c r="WLI42" s="3281"/>
      <c r="WLJ42" s="3281"/>
      <c r="WLK42" s="3281"/>
      <c r="WLL42" s="3281"/>
      <c r="WLM42" s="3281"/>
      <c r="WLN42" s="3281"/>
      <c r="WLO42" s="3281"/>
      <c r="WLP42" s="3281"/>
      <c r="WLQ42" s="3281"/>
      <c r="WLR42" s="3281"/>
      <c r="WLS42" s="3281"/>
      <c r="WLT42" s="3281"/>
      <c r="WLU42" s="3281"/>
      <c r="WLV42" s="3281"/>
      <c r="WLW42" s="3281"/>
      <c r="WLX42" s="3281"/>
      <c r="WLY42" s="3281"/>
      <c r="WLZ42" s="3281"/>
      <c r="WMA42" s="3281"/>
      <c r="WMB42" s="3281"/>
      <c r="WMC42" s="3281"/>
      <c r="WMD42" s="3281"/>
      <c r="WME42" s="3281"/>
      <c r="WMF42" s="3281"/>
      <c r="WMG42" s="3281"/>
      <c r="WMH42" s="3281"/>
      <c r="WMI42" s="3281"/>
      <c r="WMJ42" s="3281"/>
      <c r="WMK42" s="3281"/>
      <c r="WML42" s="3281"/>
      <c r="WMM42" s="3281"/>
      <c r="WMN42" s="3281"/>
      <c r="WMO42" s="3281"/>
      <c r="WMP42" s="3281"/>
      <c r="WMQ42" s="3281"/>
      <c r="WMR42" s="3281"/>
      <c r="WMS42" s="3281"/>
      <c r="WMT42" s="3281"/>
      <c r="WMU42" s="3281"/>
      <c r="WMV42" s="3281"/>
      <c r="WMW42" s="3281"/>
      <c r="WMX42" s="3281"/>
      <c r="WMY42" s="3281"/>
      <c r="WMZ42" s="3281"/>
      <c r="WNA42" s="3281"/>
      <c r="WNB42" s="3281"/>
      <c r="WNC42" s="3281"/>
      <c r="WND42" s="3281"/>
      <c r="WNE42" s="3281"/>
      <c r="WNF42" s="3281"/>
      <c r="WNG42" s="3281"/>
      <c r="WNH42" s="3281"/>
      <c r="WNI42" s="3281"/>
      <c r="WNJ42" s="3281"/>
      <c r="WNK42" s="3281"/>
      <c r="WNL42" s="3281"/>
      <c r="WNM42" s="3281"/>
      <c r="WNN42" s="3281"/>
      <c r="WNO42" s="3281"/>
      <c r="WNP42" s="3281"/>
      <c r="WNQ42" s="3281"/>
      <c r="WNR42" s="3281"/>
      <c r="WNS42" s="3281"/>
      <c r="WNT42" s="3281"/>
      <c r="WNU42" s="3281"/>
      <c r="WNV42" s="3281"/>
      <c r="WNW42" s="3281"/>
      <c r="WNX42" s="3281"/>
      <c r="WNY42" s="3281"/>
      <c r="WNZ42" s="3281"/>
      <c r="WOA42" s="3281"/>
      <c r="WOB42" s="3281"/>
      <c r="WOC42" s="3281"/>
      <c r="WOD42" s="3281"/>
      <c r="WOE42" s="3281"/>
      <c r="WOF42" s="3281"/>
      <c r="WOG42" s="3281"/>
      <c r="WOH42" s="3281"/>
      <c r="WOI42" s="3281"/>
      <c r="WOJ42" s="3281"/>
      <c r="WOK42" s="3281"/>
      <c r="WOL42" s="3281"/>
      <c r="WOM42" s="3281"/>
      <c r="WON42" s="3281"/>
      <c r="WOO42" s="3281"/>
      <c r="WOP42" s="3281"/>
      <c r="WOQ42" s="3281"/>
      <c r="WOR42" s="3281"/>
      <c r="WOS42" s="3281"/>
      <c r="WOT42" s="3281"/>
      <c r="WOU42" s="3281"/>
      <c r="WOV42" s="3281"/>
      <c r="WOW42" s="3281"/>
      <c r="WOX42" s="3281"/>
      <c r="WOY42" s="3281"/>
      <c r="WOZ42" s="3281"/>
      <c r="WPA42" s="3281"/>
      <c r="WPB42" s="3281"/>
      <c r="WPC42" s="3281"/>
      <c r="WPD42" s="3281"/>
      <c r="WPE42" s="3281"/>
      <c r="WPF42" s="3281"/>
      <c r="WPG42" s="3281"/>
      <c r="WPH42" s="3281"/>
      <c r="WPI42" s="3281"/>
      <c r="WPJ42" s="3281"/>
      <c r="WPK42" s="3281"/>
      <c r="WPL42" s="3281"/>
      <c r="WPM42" s="3281"/>
      <c r="WPN42" s="3281"/>
      <c r="WPO42" s="3281"/>
      <c r="WPP42" s="3281"/>
      <c r="WPQ42" s="3281"/>
      <c r="WPR42" s="3281"/>
      <c r="WPS42" s="3281"/>
      <c r="WPT42" s="3281"/>
      <c r="WPU42" s="3281"/>
      <c r="WPV42" s="3281"/>
      <c r="WPW42" s="3281"/>
      <c r="WPX42" s="3281"/>
      <c r="WPY42" s="3281"/>
      <c r="WPZ42" s="3281"/>
      <c r="WQA42" s="3281"/>
      <c r="WQB42" s="3281"/>
      <c r="WQC42" s="3281"/>
      <c r="WQD42" s="3281"/>
      <c r="WQE42" s="3281"/>
      <c r="WQF42" s="3281"/>
      <c r="WQG42" s="3281"/>
      <c r="WQH42" s="3281"/>
      <c r="WQI42" s="3281"/>
      <c r="WQJ42" s="3281"/>
      <c r="WQK42" s="3281"/>
      <c r="WQL42" s="3281"/>
      <c r="WQM42" s="3281"/>
      <c r="WQN42" s="3281"/>
      <c r="WQO42" s="3281"/>
      <c r="WQP42" s="3281"/>
      <c r="WQQ42" s="3281"/>
      <c r="WQR42" s="3281"/>
      <c r="WQS42" s="3281"/>
      <c r="WQT42" s="3281"/>
      <c r="WQU42" s="3281"/>
      <c r="WQV42" s="3281"/>
      <c r="WQW42" s="3281"/>
      <c r="WQX42" s="3281"/>
      <c r="WQY42" s="3281"/>
      <c r="WQZ42" s="3281"/>
      <c r="WRA42" s="3281"/>
      <c r="WRB42" s="3281"/>
      <c r="WRC42" s="3281"/>
      <c r="WRD42" s="3281"/>
      <c r="WRE42" s="3281"/>
      <c r="WRF42" s="3281"/>
      <c r="WRG42" s="3281"/>
      <c r="WRH42" s="3281"/>
      <c r="WRI42" s="3281"/>
      <c r="WRJ42" s="3281"/>
      <c r="WRK42" s="3281"/>
      <c r="WRL42" s="3281"/>
      <c r="WRM42" s="3281"/>
      <c r="WRN42" s="3281"/>
      <c r="WRO42" s="3281"/>
      <c r="WRP42" s="3281"/>
      <c r="WRQ42" s="3281"/>
      <c r="WRR42" s="3281"/>
      <c r="WRS42" s="3281"/>
      <c r="WRT42" s="3281"/>
      <c r="WRU42" s="3281"/>
      <c r="WRV42" s="3281"/>
      <c r="WRW42" s="3281"/>
      <c r="WRX42" s="3281"/>
      <c r="WRY42" s="3281"/>
      <c r="WRZ42" s="3281"/>
      <c r="WSA42" s="3281"/>
      <c r="WSB42" s="3281"/>
      <c r="WSC42" s="3281"/>
      <c r="WSD42" s="3281"/>
      <c r="WSE42" s="3281"/>
      <c r="WSF42" s="3281"/>
      <c r="WSG42" s="3281"/>
      <c r="WSH42" s="3281"/>
      <c r="WSI42" s="3281"/>
      <c r="WSJ42" s="3281"/>
      <c r="WSK42" s="3281"/>
      <c r="WSL42" s="3281"/>
      <c r="WSM42" s="3281"/>
      <c r="WSN42" s="3281"/>
      <c r="WSO42" s="3281"/>
      <c r="WSP42" s="3281"/>
      <c r="WSQ42" s="3281"/>
      <c r="WSR42" s="3281"/>
      <c r="WSS42" s="3281"/>
      <c r="WST42" s="3281"/>
      <c r="WSU42" s="3281"/>
      <c r="WSV42" s="3281"/>
      <c r="WSW42" s="3281"/>
      <c r="WSX42" s="3281"/>
      <c r="WSY42" s="3281"/>
      <c r="WSZ42" s="3281"/>
      <c r="WTA42" s="3281"/>
      <c r="WTB42" s="3281"/>
      <c r="WTC42" s="3281"/>
      <c r="WTD42" s="3281"/>
      <c r="WTE42" s="3281"/>
      <c r="WTF42" s="3281"/>
      <c r="WTG42" s="3281"/>
      <c r="WTH42" s="3281"/>
      <c r="WTI42" s="3281"/>
      <c r="WTJ42" s="3281"/>
      <c r="WTK42" s="3281"/>
      <c r="WTL42" s="3281"/>
      <c r="WTM42" s="3281"/>
      <c r="WTN42" s="3281"/>
      <c r="WTO42" s="3281"/>
      <c r="WTP42" s="3281"/>
      <c r="WTQ42" s="3281"/>
      <c r="WTR42" s="3281"/>
      <c r="WTS42" s="3281"/>
      <c r="WTT42" s="3281"/>
      <c r="WTU42" s="3281"/>
      <c r="WTV42" s="3281"/>
      <c r="WTW42" s="3281"/>
      <c r="WTX42" s="3281"/>
      <c r="WTY42" s="3281"/>
      <c r="WTZ42" s="3281"/>
      <c r="WUA42" s="3281"/>
      <c r="WUB42" s="3281"/>
      <c r="WUC42" s="3281"/>
      <c r="WUD42" s="3281"/>
      <c r="WUE42" s="3281"/>
      <c r="WUF42" s="3281"/>
      <c r="WUG42" s="3281"/>
      <c r="WUH42" s="3281"/>
      <c r="WUI42" s="3281"/>
      <c r="WUJ42" s="3281"/>
      <c r="WUK42" s="3281"/>
      <c r="WUL42" s="3281"/>
      <c r="WUM42" s="3281"/>
      <c r="WUN42" s="3281"/>
      <c r="WUO42" s="3281"/>
      <c r="WUP42" s="3281"/>
      <c r="WUQ42" s="3281"/>
      <c r="WUR42" s="3281"/>
      <c r="WUS42" s="3281"/>
      <c r="WUT42" s="3281"/>
      <c r="WUU42" s="3281"/>
      <c r="WUV42" s="3281"/>
      <c r="WUW42" s="3281"/>
      <c r="WUX42" s="3281"/>
      <c r="WUY42" s="3281"/>
      <c r="WUZ42" s="3281"/>
      <c r="WVA42" s="3281"/>
      <c r="WVB42" s="3281"/>
      <c r="WVC42" s="3281"/>
      <c r="WVD42" s="3281"/>
      <c r="WVE42" s="3281"/>
      <c r="WVF42" s="3281"/>
      <c r="WVG42" s="3281"/>
      <c r="WVH42" s="3281"/>
      <c r="WVI42" s="3281"/>
      <c r="WVJ42" s="3281"/>
      <c r="WVK42" s="3281"/>
      <c r="WVL42" s="3281"/>
      <c r="WVM42" s="3281"/>
      <c r="WVN42" s="3281"/>
      <c r="WVO42" s="3281"/>
      <c r="WVP42" s="3281"/>
      <c r="WVQ42" s="3281"/>
      <c r="WVR42" s="3281"/>
      <c r="WVS42" s="3281"/>
      <c r="WVT42" s="3281"/>
      <c r="WVU42" s="3281"/>
      <c r="WVV42" s="3281"/>
      <c r="WVW42" s="3281"/>
      <c r="WVX42" s="3281"/>
      <c r="WVY42" s="3281"/>
      <c r="WVZ42" s="3281"/>
      <c r="WWA42" s="3281"/>
      <c r="WWB42" s="3281"/>
      <c r="WWC42" s="3281"/>
      <c r="WWD42" s="3281"/>
      <c r="WWE42" s="3281"/>
      <c r="WWF42" s="3281"/>
      <c r="WWG42" s="3281"/>
      <c r="WWH42" s="3281"/>
      <c r="WWI42" s="3281"/>
      <c r="WWJ42" s="3281"/>
      <c r="WWK42" s="3281"/>
      <c r="WWL42" s="3281"/>
      <c r="WWM42" s="3281"/>
      <c r="WWN42" s="3281"/>
      <c r="WWO42" s="3281"/>
      <c r="WWP42" s="3281"/>
      <c r="WWQ42" s="3281"/>
      <c r="WWR42" s="3281"/>
      <c r="WWS42" s="3281"/>
      <c r="WWT42" s="3281"/>
      <c r="WWU42" s="3281"/>
      <c r="WWV42" s="3281"/>
      <c r="WWW42" s="3281"/>
      <c r="WWX42" s="3281"/>
      <c r="WWY42" s="3281"/>
      <c r="WWZ42" s="3281"/>
      <c r="WXA42" s="3281"/>
      <c r="WXB42" s="3281"/>
      <c r="WXC42" s="3281"/>
      <c r="WXD42" s="3281"/>
      <c r="WXE42" s="3281"/>
      <c r="WXF42" s="3281"/>
      <c r="WXG42" s="3281"/>
      <c r="WXH42" s="3281"/>
      <c r="WXI42" s="3281"/>
      <c r="WXJ42" s="3281"/>
      <c r="WXK42" s="3281"/>
      <c r="WXL42" s="3281"/>
      <c r="WXM42" s="3281"/>
      <c r="WXN42" s="3281"/>
      <c r="WXO42" s="3281"/>
      <c r="WXP42" s="3281"/>
      <c r="WXQ42" s="3281"/>
      <c r="WXR42" s="3281"/>
      <c r="WXS42" s="3281"/>
      <c r="WXT42" s="3281"/>
      <c r="WXU42" s="3281"/>
      <c r="WXV42" s="3281"/>
      <c r="WXW42" s="3281"/>
      <c r="WXX42" s="3281"/>
      <c r="WXY42" s="3281"/>
      <c r="WXZ42" s="3281"/>
      <c r="WYA42" s="3281"/>
      <c r="WYB42" s="3281"/>
      <c r="WYC42" s="3281"/>
      <c r="WYD42" s="3281"/>
      <c r="WYE42" s="3281"/>
      <c r="WYF42" s="3281"/>
      <c r="WYG42" s="3281"/>
      <c r="WYH42" s="3281"/>
      <c r="WYI42" s="3281"/>
      <c r="WYJ42" s="3281"/>
      <c r="WYK42" s="3281"/>
      <c r="WYL42" s="3281"/>
      <c r="WYM42" s="3281"/>
      <c r="WYN42" s="3281"/>
      <c r="WYO42" s="3281"/>
      <c r="WYP42" s="3281"/>
      <c r="WYQ42" s="3281"/>
      <c r="WYR42" s="3281"/>
      <c r="WYS42" s="3281"/>
      <c r="WYT42" s="3281"/>
      <c r="WYU42" s="3281"/>
      <c r="WYV42" s="3281"/>
      <c r="WYW42" s="3281"/>
      <c r="WYX42" s="3281"/>
      <c r="WYY42" s="3281"/>
      <c r="WYZ42" s="3281"/>
      <c r="WZA42" s="3281"/>
      <c r="WZB42" s="3281"/>
      <c r="WZC42" s="3281"/>
      <c r="WZD42" s="3281"/>
      <c r="WZE42" s="3281"/>
      <c r="WZF42" s="3281"/>
      <c r="WZG42" s="3281"/>
      <c r="WZH42" s="3281"/>
      <c r="WZI42" s="3281"/>
      <c r="WZJ42" s="3281"/>
      <c r="WZK42" s="3281"/>
      <c r="WZL42" s="3281"/>
      <c r="WZM42" s="3281"/>
      <c r="WZN42" s="3281"/>
      <c r="WZO42" s="3281"/>
      <c r="WZP42" s="3281"/>
      <c r="WZQ42" s="3281"/>
      <c r="WZR42" s="3281"/>
      <c r="WZS42" s="3281"/>
      <c r="WZT42" s="3281"/>
      <c r="WZU42" s="3281"/>
      <c r="WZV42" s="3281"/>
      <c r="WZW42" s="3281"/>
      <c r="WZX42" s="3281"/>
      <c r="WZY42" s="3281"/>
      <c r="WZZ42" s="3281"/>
      <c r="XAA42" s="3281"/>
      <c r="XAB42" s="3281"/>
      <c r="XAC42" s="3281"/>
      <c r="XAD42" s="3281"/>
      <c r="XAE42" s="3281"/>
      <c r="XAF42" s="3281"/>
      <c r="XAG42" s="3281"/>
      <c r="XAH42" s="3281"/>
      <c r="XAI42" s="3281"/>
      <c r="XAJ42" s="3281"/>
      <c r="XAK42" s="3281"/>
      <c r="XAL42" s="3281"/>
      <c r="XAM42" s="3281"/>
      <c r="XAN42" s="3281"/>
      <c r="XAO42" s="3281"/>
      <c r="XAP42" s="3281"/>
      <c r="XAQ42" s="3281"/>
      <c r="XAR42" s="3281"/>
      <c r="XAS42" s="3281"/>
      <c r="XAT42" s="3281"/>
      <c r="XAU42" s="3281"/>
      <c r="XAV42" s="3281"/>
      <c r="XAW42" s="3281"/>
      <c r="XAX42" s="3281"/>
      <c r="XAY42" s="3281"/>
      <c r="XAZ42" s="3281"/>
      <c r="XBA42" s="3281"/>
      <c r="XBB42" s="3281"/>
      <c r="XBC42" s="3281"/>
      <c r="XBD42" s="3281"/>
      <c r="XBE42" s="3281"/>
      <c r="XBF42" s="3281"/>
      <c r="XBG42" s="3281"/>
      <c r="XBH42" s="3281"/>
      <c r="XBI42" s="3281"/>
      <c r="XBJ42" s="3281"/>
      <c r="XBK42" s="3281"/>
      <c r="XBL42" s="3281"/>
      <c r="XBM42" s="3281"/>
      <c r="XBN42" s="3281"/>
      <c r="XBO42" s="3281"/>
      <c r="XBP42" s="3281"/>
      <c r="XBQ42" s="3281"/>
      <c r="XBR42" s="3281"/>
      <c r="XBS42" s="3281"/>
      <c r="XBT42" s="3281"/>
      <c r="XBU42" s="3281"/>
      <c r="XBV42" s="3281"/>
      <c r="XBW42" s="3281"/>
      <c r="XBX42" s="3281"/>
      <c r="XBY42" s="3281"/>
      <c r="XBZ42" s="3281"/>
      <c r="XCA42" s="3281"/>
      <c r="XCB42" s="3281"/>
      <c r="XCC42" s="3281"/>
      <c r="XCD42" s="3281"/>
      <c r="XCE42" s="3281"/>
      <c r="XCF42" s="3281"/>
      <c r="XCG42" s="3281"/>
      <c r="XCH42" s="3281"/>
      <c r="XCI42" s="3281"/>
      <c r="XCJ42" s="3281"/>
      <c r="XCK42" s="3281"/>
      <c r="XCL42" s="3281"/>
      <c r="XCM42" s="3281"/>
      <c r="XCN42" s="3281"/>
      <c r="XCO42" s="3281"/>
      <c r="XCP42" s="3281"/>
      <c r="XCQ42" s="3281"/>
      <c r="XCR42" s="3281"/>
      <c r="XCS42" s="3281"/>
      <c r="XCT42" s="3281"/>
      <c r="XCU42" s="3281"/>
      <c r="XCV42" s="3281"/>
      <c r="XCW42" s="3281"/>
      <c r="XCX42" s="3281"/>
      <c r="XCY42" s="3281"/>
      <c r="XCZ42" s="3281"/>
      <c r="XDA42" s="3281"/>
      <c r="XDB42" s="3281"/>
      <c r="XDC42" s="3281"/>
      <c r="XDD42" s="3281"/>
      <c r="XDE42" s="3281"/>
      <c r="XDF42" s="3281"/>
      <c r="XDG42" s="3281"/>
      <c r="XDH42" s="3281"/>
      <c r="XDI42" s="3281"/>
      <c r="XDJ42" s="3281"/>
      <c r="XDK42" s="3281"/>
      <c r="XDL42" s="3281"/>
      <c r="XDM42" s="3281"/>
      <c r="XDN42" s="3281"/>
      <c r="XDO42" s="3281"/>
      <c r="XDP42" s="3281"/>
      <c r="XDQ42" s="3281"/>
      <c r="XDR42" s="3281"/>
      <c r="XDS42" s="3281"/>
      <c r="XDT42" s="3281"/>
      <c r="XDU42" s="3281"/>
      <c r="XDV42" s="3281"/>
      <c r="XDW42" s="3281"/>
      <c r="XDX42" s="3281"/>
      <c r="XDY42" s="3281"/>
      <c r="XDZ42" s="3281"/>
      <c r="XEA42" s="3281"/>
      <c r="XEB42" s="3281"/>
      <c r="XEC42" s="3281"/>
      <c r="XED42" s="3281"/>
      <c r="XEE42" s="3281"/>
      <c r="XEF42" s="3281"/>
      <c r="XEG42" s="3281"/>
      <c r="XEH42" s="3281"/>
      <c r="XEI42" s="3281"/>
      <c r="XEJ42" s="3281"/>
      <c r="XEK42" s="3281"/>
      <c r="XEL42" s="3281"/>
      <c r="XEM42" s="3281"/>
      <c r="XEN42" s="3281"/>
      <c r="XEO42" s="3281"/>
      <c r="XEP42" s="3281"/>
      <c r="XEQ42" s="3281"/>
      <c r="XER42" s="3281"/>
      <c r="XES42" s="3281"/>
      <c r="XET42" s="3281"/>
      <c r="XEU42" s="3281"/>
      <c r="XEV42" s="3281"/>
      <c r="XEW42" s="3281"/>
      <c r="XEX42" s="3281"/>
      <c r="XEY42" s="3281"/>
      <c r="XEZ42" s="3281"/>
      <c r="XFA42" s="3281"/>
      <c r="XFB42" s="3281"/>
      <c r="XFC42" s="3281"/>
      <c r="XFD42" s="1458"/>
    </row>
    <row r="43" spans="1:16384" ht="17.25" customHeight="1">
      <c r="A43" s="3282" t="s">
        <v>2855</v>
      </c>
      <c r="B43" s="3282"/>
      <c r="C43" s="1462"/>
      <c r="E43" s="1460"/>
    </row>
    <row r="44" spans="1:16384" ht="21" customHeight="1">
      <c r="A44" s="1436" t="s">
        <v>2704</v>
      </c>
      <c r="B44" s="1461"/>
      <c r="C44" s="1461"/>
    </row>
  </sheetData>
  <mergeCells count="10989">
    <mergeCell ref="C11:D11"/>
    <mergeCell ref="E11:F11"/>
    <mergeCell ref="G11:H11"/>
    <mergeCell ref="C12:D12"/>
    <mergeCell ref="E12:F12"/>
    <mergeCell ref="G12:H12"/>
    <mergeCell ref="C9:D9"/>
    <mergeCell ref="E9:F9"/>
    <mergeCell ref="G9:H9"/>
    <mergeCell ref="C10:D10"/>
    <mergeCell ref="E10:F10"/>
    <mergeCell ref="G10:H10"/>
    <mergeCell ref="C7:D7"/>
    <mergeCell ref="E7:F7"/>
    <mergeCell ref="G7:H7"/>
    <mergeCell ref="C8:D8"/>
    <mergeCell ref="E8:F8"/>
    <mergeCell ref="G8:H8"/>
    <mergeCell ref="C5:D5"/>
    <mergeCell ref="E5:F5"/>
    <mergeCell ref="G5:H5"/>
    <mergeCell ref="C6:D6"/>
    <mergeCell ref="E6:F6"/>
    <mergeCell ref="G6:H6"/>
    <mergeCell ref="C3:D3"/>
    <mergeCell ref="E3:F3"/>
    <mergeCell ref="G3:H3"/>
    <mergeCell ref="C4:D4"/>
    <mergeCell ref="E4:F4"/>
    <mergeCell ref="G4:H4"/>
    <mergeCell ref="AE28:AG28"/>
    <mergeCell ref="AH28:AJ28"/>
    <mergeCell ref="AK28:AM28"/>
    <mergeCell ref="AN28:AP28"/>
    <mergeCell ref="AQ28:AS28"/>
    <mergeCell ref="AT28:AV28"/>
    <mergeCell ref="M28:O28"/>
    <mergeCell ref="P28:R28"/>
    <mergeCell ref="S28:U28"/>
    <mergeCell ref="V28:X28"/>
    <mergeCell ref="Y28:AA28"/>
    <mergeCell ref="AB28:AD28"/>
    <mergeCell ref="C27:D27"/>
    <mergeCell ref="E27:F27"/>
    <mergeCell ref="A28:C28"/>
    <mergeCell ref="D28:F28"/>
    <mergeCell ref="G28:I28"/>
    <mergeCell ref="J28:L28"/>
    <mergeCell ref="C24:D24"/>
    <mergeCell ref="E24:F24"/>
    <mergeCell ref="C25:D25"/>
    <mergeCell ref="E25:F25"/>
    <mergeCell ref="C26:D26"/>
    <mergeCell ref="E26:F26"/>
    <mergeCell ref="C21:D21"/>
    <mergeCell ref="E21:F21"/>
    <mergeCell ref="C22:D22"/>
    <mergeCell ref="E22:F22"/>
    <mergeCell ref="C23:D23"/>
    <mergeCell ref="E23:F23"/>
    <mergeCell ref="A13:C13"/>
    <mergeCell ref="D13:F13"/>
    <mergeCell ref="A14:C14"/>
    <mergeCell ref="D14:F14"/>
    <mergeCell ref="A15:C15"/>
    <mergeCell ref="A16:C16"/>
    <mergeCell ref="EI28:EK28"/>
    <mergeCell ref="EL28:EN28"/>
    <mergeCell ref="EO28:EQ28"/>
    <mergeCell ref="ER28:ET28"/>
    <mergeCell ref="EU28:EW28"/>
    <mergeCell ref="EX28:EZ28"/>
    <mergeCell ref="DQ28:DS28"/>
    <mergeCell ref="DT28:DV28"/>
    <mergeCell ref="DW28:DY28"/>
    <mergeCell ref="DZ28:EB28"/>
    <mergeCell ref="EC28:EE28"/>
    <mergeCell ref="EF28:EH28"/>
    <mergeCell ref="CY28:DA28"/>
    <mergeCell ref="DB28:DD28"/>
    <mergeCell ref="DE28:DG28"/>
    <mergeCell ref="DH28:DJ28"/>
    <mergeCell ref="DK28:DM28"/>
    <mergeCell ref="DN28:DP28"/>
    <mergeCell ref="CG28:CI28"/>
    <mergeCell ref="CJ28:CL28"/>
    <mergeCell ref="CM28:CO28"/>
    <mergeCell ref="CP28:CR28"/>
    <mergeCell ref="CS28:CU28"/>
    <mergeCell ref="CV28:CX28"/>
    <mergeCell ref="BO28:BQ28"/>
    <mergeCell ref="BR28:BT28"/>
    <mergeCell ref="BU28:BW28"/>
    <mergeCell ref="BX28:BZ28"/>
    <mergeCell ref="CA28:CC28"/>
    <mergeCell ref="CD28:CF28"/>
    <mergeCell ref="AW28:AY28"/>
    <mergeCell ref="AZ28:BB28"/>
    <mergeCell ref="BC28:BE28"/>
    <mergeCell ref="BF28:BH28"/>
    <mergeCell ref="BI28:BK28"/>
    <mergeCell ref="BL28:BN28"/>
    <mergeCell ref="IM28:IO28"/>
    <mergeCell ref="IP28:IR28"/>
    <mergeCell ref="IS28:IU28"/>
    <mergeCell ref="IV28:IX28"/>
    <mergeCell ref="IY28:JA28"/>
    <mergeCell ref="JB28:JD28"/>
    <mergeCell ref="HU28:HW28"/>
    <mergeCell ref="HX28:HZ28"/>
    <mergeCell ref="IA28:IC28"/>
    <mergeCell ref="ID28:IF28"/>
    <mergeCell ref="IG28:II28"/>
    <mergeCell ref="IJ28:IL28"/>
    <mergeCell ref="HC28:HE28"/>
    <mergeCell ref="HF28:HH28"/>
    <mergeCell ref="HI28:HK28"/>
    <mergeCell ref="HL28:HN28"/>
    <mergeCell ref="HO28:HQ28"/>
    <mergeCell ref="HR28:HT28"/>
    <mergeCell ref="GK28:GM28"/>
    <mergeCell ref="GN28:GP28"/>
    <mergeCell ref="GQ28:GS28"/>
    <mergeCell ref="GT28:GV28"/>
    <mergeCell ref="GW28:GY28"/>
    <mergeCell ref="GZ28:HB28"/>
    <mergeCell ref="FS28:FU28"/>
    <mergeCell ref="FV28:FX28"/>
    <mergeCell ref="FY28:GA28"/>
    <mergeCell ref="GB28:GD28"/>
    <mergeCell ref="GE28:GG28"/>
    <mergeCell ref="GH28:GJ28"/>
    <mergeCell ref="FA28:FC28"/>
    <mergeCell ref="FD28:FF28"/>
    <mergeCell ref="FG28:FI28"/>
    <mergeCell ref="FJ28:FL28"/>
    <mergeCell ref="FM28:FO28"/>
    <mergeCell ref="FP28:FR28"/>
    <mergeCell ref="MQ28:MS28"/>
    <mergeCell ref="MT28:MV28"/>
    <mergeCell ref="MW28:MY28"/>
    <mergeCell ref="MZ28:NB28"/>
    <mergeCell ref="NC28:NE28"/>
    <mergeCell ref="NF28:NH28"/>
    <mergeCell ref="LY28:MA28"/>
    <mergeCell ref="MB28:MD28"/>
    <mergeCell ref="ME28:MG28"/>
    <mergeCell ref="MH28:MJ28"/>
    <mergeCell ref="MK28:MM28"/>
    <mergeCell ref="MN28:MP28"/>
    <mergeCell ref="LG28:LI28"/>
    <mergeCell ref="LJ28:LL28"/>
    <mergeCell ref="LM28:LO28"/>
    <mergeCell ref="LP28:LR28"/>
    <mergeCell ref="LS28:LU28"/>
    <mergeCell ref="LV28:LX28"/>
    <mergeCell ref="KO28:KQ28"/>
    <mergeCell ref="KR28:KT28"/>
    <mergeCell ref="KU28:KW28"/>
    <mergeCell ref="KX28:KZ28"/>
    <mergeCell ref="LA28:LC28"/>
    <mergeCell ref="LD28:LF28"/>
    <mergeCell ref="JW28:JY28"/>
    <mergeCell ref="JZ28:KB28"/>
    <mergeCell ref="KC28:KE28"/>
    <mergeCell ref="KF28:KH28"/>
    <mergeCell ref="KI28:KK28"/>
    <mergeCell ref="KL28:KN28"/>
    <mergeCell ref="JE28:JG28"/>
    <mergeCell ref="JH28:JJ28"/>
    <mergeCell ref="JK28:JM28"/>
    <mergeCell ref="JN28:JP28"/>
    <mergeCell ref="JQ28:JS28"/>
    <mergeCell ref="JT28:JV28"/>
    <mergeCell ref="QU28:QW28"/>
    <mergeCell ref="QX28:QZ28"/>
    <mergeCell ref="RA28:RC28"/>
    <mergeCell ref="RD28:RF28"/>
    <mergeCell ref="RG28:RI28"/>
    <mergeCell ref="RJ28:RL28"/>
    <mergeCell ref="QC28:QE28"/>
    <mergeCell ref="QF28:QH28"/>
    <mergeCell ref="QI28:QK28"/>
    <mergeCell ref="QL28:QN28"/>
    <mergeCell ref="QO28:QQ28"/>
    <mergeCell ref="QR28:QT28"/>
    <mergeCell ref="PK28:PM28"/>
    <mergeCell ref="PN28:PP28"/>
    <mergeCell ref="PQ28:PS28"/>
    <mergeCell ref="PT28:PV28"/>
    <mergeCell ref="PW28:PY28"/>
    <mergeCell ref="PZ28:QB28"/>
    <mergeCell ref="OS28:OU28"/>
    <mergeCell ref="OV28:OX28"/>
    <mergeCell ref="OY28:PA28"/>
    <mergeCell ref="PB28:PD28"/>
    <mergeCell ref="PE28:PG28"/>
    <mergeCell ref="PH28:PJ28"/>
    <mergeCell ref="OA28:OC28"/>
    <mergeCell ref="OD28:OF28"/>
    <mergeCell ref="OG28:OI28"/>
    <mergeCell ref="OJ28:OL28"/>
    <mergeCell ref="OM28:OO28"/>
    <mergeCell ref="OP28:OR28"/>
    <mergeCell ref="NI28:NK28"/>
    <mergeCell ref="NL28:NN28"/>
    <mergeCell ref="NO28:NQ28"/>
    <mergeCell ref="NR28:NT28"/>
    <mergeCell ref="NU28:NW28"/>
    <mergeCell ref="NX28:NZ28"/>
    <mergeCell ref="UY28:VA28"/>
    <mergeCell ref="VB28:VD28"/>
    <mergeCell ref="VE28:VG28"/>
    <mergeCell ref="VH28:VJ28"/>
    <mergeCell ref="VK28:VM28"/>
    <mergeCell ref="VN28:VP28"/>
    <mergeCell ref="UG28:UI28"/>
    <mergeCell ref="UJ28:UL28"/>
    <mergeCell ref="UM28:UO28"/>
    <mergeCell ref="UP28:UR28"/>
    <mergeCell ref="US28:UU28"/>
    <mergeCell ref="UV28:UX28"/>
    <mergeCell ref="TO28:TQ28"/>
    <mergeCell ref="TR28:TT28"/>
    <mergeCell ref="TU28:TW28"/>
    <mergeCell ref="TX28:TZ28"/>
    <mergeCell ref="UA28:UC28"/>
    <mergeCell ref="UD28:UF28"/>
    <mergeCell ref="SW28:SY28"/>
    <mergeCell ref="SZ28:TB28"/>
    <mergeCell ref="TC28:TE28"/>
    <mergeCell ref="TF28:TH28"/>
    <mergeCell ref="TI28:TK28"/>
    <mergeCell ref="TL28:TN28"/>
    <mergeCell ref="SE28:SG28"/>
    <mergeCell ref="SH28:SJ28"/>
    <mergeCell ref="SK28:SM28"/>
    <mergeCell ref="SN28:SP28"/>
    <mergeCell ref="SQ28:SS28"/>
    <mergeCell ref="ST28:SV28"/>
    <mergeCell ref="RM28:RO28"/>
    <mergeCell ref="RP28:RR28"/>
    <mergeCell ref="RS28:RU28"/>
    <mergeCell ref="RV28:RX28"/>
    <mergeCell ref="RY28:SA28"/>
    <mergeCell ref="SB28:SD28"/>
    <mergeCell ref="ZC28:ZE28"/>
    <mergeCell ref="ZF28:ZH28"/>
    <mergeCell ref="ZI28:ZK28"/>
    <mergeCell ref="ZL28:ZN28"/>
    <mergeCell ref="ZO28:ZQ28"/>
    <mergeCell ref="ZR28:ZT28"/>
    <mergeCell ref="YK28:YM28"/>
    <mergeCell ref="YN28:YP28"/>
    <mergeCell ref="YQ28:YS28"/>
    <mergeCell ref="YT28:YV28"/>
    <mergeCell ref="YW28:YY28"/>
    <mergeCell ref="YZ28:ZB28"/>
    <mergeCell ref="XS28:XU28"/>
    <mergeCell ref="XV28:XX28"/>
    <mergeCell ref="XY28:YA28"/>
    <mergeCell ref="YB28:YD28"/>
    <mergeCell ref="YE28:YG28"/>
    <mergeCell ref="YH28:YJ28"/>
    <mergeCell ref="XA28:XC28"/>
    <mergeCell ref="XD28:XF28"/>
    <mergeCell ref="XG28:XI28"/>
    <mergeCell ref="XJ28:XL28"/>
    <mergeCell ref="XM28:XO28"/>
    <mergeCell ref="XP28:XR28"/>
    <mergeCell ref="WI28:WK28"/>
    <mergeCell ref="WL28:WN28"/>
    <mergeCell ref="WO28:WQ28"/>
    <mergeCell ref="WR28:WT28"/>
    <mergeCell ref="WU28:WW28"/>
    <mergeCell ref="WX28:WZ28"/>
    <mergeCell ref="VQ28:VS28"/>
    <mergeCell ref="VT28:VV28"/>
    <mergeCell ref="VW28:VY28"/>
    <mergeCell ref="VZ28:WB28"/>
    <mergeCell ref="WC28:WE28"/>
    <mergeCell ref="WF28:WH28"/>
    <mergeCell ref="ADG28:ADI28"/>
    <mergeCell ref="ADJ28:ADL28"/>
    <mergeCell ref="ADM28:ADO28"/>
    <mergeCell ref="ADP28:ADR28"/>
    <mergeCell ref="ADS28:ADU28"/>
    <mergeCell ref="ADV28:ADX28"/>
    <mergeCell ref="ACO28:ACQ28"/>
    <mergeCell ref="ACR28:ACT28"/>
    <mergeCell ref="ACU28:ACW28"/>
    <mergeCell ref="ACX28:ACZ28"/>
    <mergeCell ref="ADA28:ADC28"/>
    <mergeCell ref="ADD28:ADF28"/>
    <mergeCell ref="ABW28:ABY28"/>
    <mergeCell ref="ABZ28:ACB28"/>
    <mergeCell ref="ACC28:ACE28"/>
    <mergeCell ref="ACF28:ACH28"/>
    <mergeCell ref="ACI28:ACK28"/>
    <mergeCell ref="ACL28:ACN28"/>
    <mergeCell ref="ABE28:ABG28"/>
    <mergeCell ref="ABH28:ABJ28"/>
    <mergeCell ref="ABK28:ABM28"/>
    <mergeCell ref="ABN28:ABP28"/>
    <mergeCell ref="ABQ28:ABS28"/>
    <mergeCell ref="ABT28:ABV28"/>
    <mergeCell ref="AAM28:AAO28"/>
    <mergeCell ref="AAP28:AAR28"/>
    <mergeCell ref="AAS28:AAU28"/>
    <mergeCell ref="AAV28:AAX28"/>
    <mergeCell ref="AAY28:ABA28"/>
    <mergeCell ref="ABB28:ABD28"/>
    <mergeCell ref="ZU28:ZW28"/>
    <mergeCell ref="ZX28:ZZ28"/>
    <mergeCell ref="AAA28:AAC28"/>
    <mergeCell ref="AAD28:AAF28"/>
    <mergeCell ref="AAG28:AAI28"/>
    <mergeCell ref="AAJ28:AAL28"/>
    <mergeCell ref="AHK28:AHM28"/>
    <mergeCell ref="AHN28:AHP28"/>
    <mergeCell ref="AHQ28:AHS28"/>
    <mergeCell ref="AHT28:AHV28"/>
    <mergeCell ref="AHW28:AHY28"/>
    <mergeCell ref="AHZ28:AIB28"/>
    <mergeCell ref="AGS28:AGU28"/>
    <mergeCell ref="AGV28:AGX28"/>
    <mergeCell ref="AGY28:AHA28"/>
    <mergeCell ref="AHB28:AHD28"/>
    <mergeCell ref="AHE28:AHG28"/>
    <mergeCell ref="AHH28:AHJ28"/>
    <mergeCell ref="AGA28:AGC28"/>
    <mergeCell ref="AGD28:AGF28"/>
    <mergeCell ref="AGG28:AGI28"/>
    <mergeCell ref="AGJ28:AGL28"/>
    <mergeCell ref="AGM28:AGO28"/>
    <mergeCell ref="AGP28:AGR28"/>
    <mergeCell ref="AFI28:AFK28"/>
    <mergeCell ref="AFL28:AFN28"/>
    <mergeCell ref="AFO28:AFQ28"/>
    <mergeCell ref="AFR28:AFT28"/>
    <mergeCell ref="AFU28:AFW28"/>
    <mergeCell ref="AFX28:AFZ28"/>
    <mergeCell ref="AEQ28:AES28"/>
    <mergeCell ref="AET28:AEV28"/>
    <mergeCell ref="AEW28:AEY28"/>
    <mergeCell ref="AEZ28:AFB28"/>
    <mergeCell ref="AFC28:AFE28"/>
    <mergeCell ref="AFF28:AFH28"/>
    <mergeCell ref="ADY28:AEA28"/>
    <mergeCell ref="AEB28:AED28"/>
    <mergeCell ref="AEE28:AEG28"/>
    <mergeCell ref="AEH28:AEJ28"/>
    <mergeCell ref="AEK28:AEM28"/>
    <mergeCell ref="AEN28:AEP28"/>
    <mergeCell ref="ALO28:ALQ28"/>
    <mergeCell ref="ALR28:ALT28"/>
    <mergeCell ref="ALU28:ALW28"/>
    <mergeCell ref="ALX28:ALZ28"/>
    <mergeCell ref="AMA28:AMC28"/>
    <mergeCell ref="AMD28:AMF28"/>
    <mergeCell ref="AKW28:AKY28"/>
    <mergeCell ref="AKZ28:ALB28"/>
    <mergeCell ref="ALC28:ALE28"/>
    <mergeCell ref="ALF28:ALH28"/>
    <mergeCell ref="ALI28:ALK28"/>
    <mergeCell ref="ALL28:ALN28"/>
    <mergeCell ref="AKE28:AKG28"/>
    <mergeCell ref="AKH28:AKJ28"/>
    <mergeCell ref="AKK28:AKM28"/>
    <mergeCell ref="AKN28:AKP28"/>
    <mergeCell ref="AKQ28:AKS28"/>
    <mergeCell ref="AKT28:AKV28"/>
    <mergeCell ref="AJM28:AJO28"/>
    <mergeCell ref="AJP28:AJR28"/>
    <mergeCell ref="AJS28:AJU28"/>
    <mergeCell ref="AJV28:AJX28"/>
    <mergeCell ref="AJY28:AKA28"/>
    <mergeCell ref="AKB28:AKD28"/>
    <mergeCell ref="AIU28:AIW28"/>
    <mergeCell ref="AIX28:AIZ28"/>
    <mergeCell ref="AJA28:AJC28"/>
    <mergeCell ref="AJD28:AJF28"/>
    <mergeCell ref="AJG28:AJI28"/>
    <mergeCell ref="AJJ28:AJL28"/>
    <mergeCell ref="AIC28:AIE28"/>
    <mergeCell ref="AIF28:AIH28"/>
    <mergeCell ref="AII28:AIK28"/>
    <mergeCell ref="AIL28:AIN28"/>
    <mergeCell ref="AIO28:AIQ28"/>
    <mergeCell ref="AIR28:AIT28"/>
    <mergeCell ref="APS28:APU28"/>
    <mergeCell ref="APV28:APX28"/>
    <mergeCell ref="APY28:AQA28"/>
    <mergeCell ref="AQB28:AQD28"/>
    <mergeCell ref="AQE28:AQG28"/>
    <mergeCell ref="AQH28:AQJ28"/>
    <mergeCell ref="APA28:APC28"/>
    <mergeCell ref="APD28:APF28"/>
    <mergeCell ref="APG28:API28"/>
    <mergeCell ref="APJ28:APL28"/>
    <mergeCell ref="APM28:APO28"/>
    <mergeCell ref="APP28:APR28"/>
    <mergeCell ref="AOI28:AOK28"/>
    <mergeCell ref="AOL28:AON28"/>
    <mergeCell ref="AOO28:AOQ28"/>
    <mergeCell ref="AOR28:AOT28"/>
    <mergeCell ref="AOU28:AOW28"/>
    <mergeCell ref="AOX28:AOZ28"/>
    <mergeCell ref="ANQ28:ANS28"/>
    <mergeCell ref="ANT28:ANV28"/>
    <mergeCell ref="ANW28:ANY28"/>
    <mergeCell ref="ANZ28:AOB28"/>
    <mergeCell ref="AOC28:AOE28"/>
    <mergeCell ref="AOF28:AOH28"/>
    <mergeCell ref="AMY28:ANA28"/>
    <mergeCell ref="ANB28:AND28"/>
    <mergeCell ref="ANE28:ANG28"/>
    <mergeCell ref="ANH28:ANJ28"/>
    <mergeCell ref="ANK28:ANM28"/>
    <mergeCell ref="ANN28:ANP28"/>
    <mergeCell ref="AMG28:AMI28"/>
    <mergeCell ref="AMJ28:AML28"/>
    <mergeCell ref="AMM28:AMO28"/>
    <mergeCell ref="AMP28:AMR28"/>
    <mergeCell ref="AMS28:AMU28"/>
    <mergeCell ref="AMV28:AMX28"/>
    <mergeCell ref="ATW28:ATY28"/>
    <mergeCell ref="ATZ28:AUB28"/>
    <mergeCell ref="AUC28:AUE28"/>
    <mergeCell ref="AUF28:AUH28"/>
    <mergeCell ref="AUI28:AUK28"/>
    <mergeCell ref="AUL28:AUN28"/>
    <mergeCell ref="ATE28:ATG28"/>
    <mergeCell ref="ATH28:ATJ28"/>
    <mergeCell ref="ATK28:ATM28"/>
    <mergeCell ref="ATN28:ATP28"/>
    <mergeCell ref="ATQ28:ATS28"/>
    <mergeCell ref="ATT28:ATV28"/>
    <mergeCell ref="ASM28:ASO28"/>
    <mergeCell ref="ASP28:ASR28"/>
    <mergeCell ref="ASS28:ASU28"/>
    <mergeCell ref="ASV28:ASX28"/>
    <mergeCell ref="ASY28:ATA28"/>
    <mergeCell ref="ATB28:ATD28"/>
    <mergeCell ref="ARU28:ARW28"/>
    <mergeCell ref="ARX28:ARZ28"/>
    <mergeCell ref="ASA28:ASC28"/>
    <mergeCell ref="ASD28:ASF28"/>
    <mergeCell ref="ASG28:ASI28"/>
    <mergeCell ref="ASJ28:ASL28"/>
    <mergeCell ref="ARC28:ARE28"/>
    <mergeCell ref="ARF28:ARH28"/>
    <mergeCell ref="ARI28:ARK28"/>
    <mergeCell ref="ARL28:ARN28"/>
    <mergeCell ref="ARO28:ARQ28"/>
    <mergeCell ref="ARR28:ART28"/>
    <mergeCell ref="AQK28:AQM28"/>
    <mergeCell ref="AQN28:AQP28"/>
    <mergeCell ref="AQQ28:AQS28"/>
    <mergeCell ref="AQT28:AQV28"/>
    <mergeCell ref="AQW28:AQY28"/>
    <mergeCell ref="AQZ28:ARB28"/>
    <mergeCell ref="AYA28:AYC28"/>
    <mergeCell ref="AYD28:AYF28"/>
    <mergeCell ref="AYG28:AYI28"/>
    <mergeCell ref="AYJ28:AYL28"/>
    <mergeCell ref="AYM28:AYO28"/>
    <mergeCell ref="AYP28:AYR28"/>
    <mergeCell ref="AXI28:AXK28"/>
    <mergeCell ref="AXL28:AXN28"/>
    <mergeCell ref="AXO28:AXQ28"/>
    <mergeCell ref="AXR28:AXT28"/>
    <mergeCell ref="AXU28:AXW28"/>
    <mergeCell ref="AXX28:AXZ28"/>
    <mergeCell ref="AWQ28:AWS28"/>
    <mergeCell ref="AWT28:AWV28"/>
    <mergeCell ref="AWW28:AWY28"/>
    <mergeCell ref="AWZ28:AXB28"/>
    <mergeCell ref="AXC28:AXE28"/>
    <mergeCell ref="AXF28:AXH28"/>
    <mergeCell ref="AVY28:AWA28"/>
    <mergeCell ref="AWB28:AWD28"/>
    <mergeCell ref="AWE28:AWG28"/>
    <mergeCell ref="AWH28:AWJ28"/>
    <mergeCell ref="AWK28:AWM28"/>
    <mergeCell ref="AWN28:AWP28"/>
    <mergeCell ref="AVG28:AVI28"/>
    <mergeCell ref="AVJ28:AVL28"/>
    <mergeCell ref="AVM28:AVO28"/>
    <mergeCell ref="AVP28:AVR28"/>
    <mergeCell ref="AVS28:AVU28"/>
    <mergeCell ref="AVV28:AVX28"/>
    <mergeCell ref="AUO28:AUQ28"/>
    <mergeCell ref="AUR28:AUT28"/>
    <mergeCell ref="AUU28:AUW28"/>
    <mergeCell ref="AUX28:AUZ28"/>
    <mergeCell ref="AVA28:AVC28"/>
    <mergeCell ref="AVD28:AVF28"/>
    <mergeCell ref="BCE28:BCG28"/>
    <mergeCell ref="BCH28:BCJ28"/>
    <mergeCell ref="BCK28:BCM28"/>
    <mergeCell ref="BCN28:BCP28"/>
    <mergeCell ref="BCQ28:BCS28"/>
    <mergeCell ref="BCT28:BCV28"/>
    <mergeCell ref="BBM28:BBO28"/>
    <mergeCell ref="BBP28:BBR28"/>
    <mergeCell ref="BBS28:BBU28"/>
    <mergeCell ref="BBV28:BBX28"/>
    <mergeCell ref="BBY28:BCA28"/>
    <mergeCell ref="BCB28:BCD28"/>
    <mergeCell ref="BAU28:BAW28"/>
    <mergeCell ref="BAX28:BAZ28"/>
    <mergeCell ref="BBA28:BBC28"/>
    <mergeCell ref="BBD28:BBF28"/>
    <mergeCell ref="BBG28:BBI28"/>
    <mergeCell ref="BBJ28:BBL28"/>
    <mergeCell ref="BAC28:BAE28"/>
    <mergeCell ref="BAF28:BAH28"/>
    <mergeCell ref="BAI28:BAK28"/>
    <mergeCell ref="BAL28:BAN28"/>
    <mergeCell ref="BAO28:BAQ28"/>
    <mergeCell ref="BAR28:BAT28"/>
    <mergeCell ref="AZK28:AZM28"/>
    <mergeCell ref="AZN28:AZP28"/>
    <mergeCell ref="AZQ28:AZS28"/>
    <mergeCell ref="AZT28:AZV28"/>
    <mergeCell ref="AZW28:AZY28"/>
    <mergeCell ref="AZZ28:BAB28"/>
    <mergeCell ref="AYS28:AYU28"/>
    <mergeCell ref="AYV28:AYX28"/>
    <mergeCell ref="AYY28:AZA28"/>
    <mergeCell ref="AZB28:AZD28"/>
    <mergeCell ref="AZE28:AZG28"/>
    <mergeCell ref="AZH28:AZJ28"/>
    <mergeCell ref="BGI28:BGK28"/>
    <mergeCell ref="BGL28:BGN28"/>
    <mergeCell ref="BGO28:BGQ28"/>
    <mergeCell ref="BGR28:BGT28"/>
    <mergeCell ref="BGU28:BGW28"/>
    <mergeCell ref="BGX28:BGZ28"/>
    <mergeCell ref="BFQ28:BFS28"/>
    <mergeCell ref="BFT28:BFV28"/>
    <mergeCell ref="BFW28:BFY28"/>
    <mergeCell ref="BFZ28:BGB28"/>
    <mergeCell ref="BGC28:BGE28"/>
    <mergeCell ref="BGF28:BGH28"/>
    <mergeCell ref="BEY28:BFA28"/>
    <mergeCell ref="BFB28:BFD28"/>
    <mergeCell ref="BFE28:BFG28"/>
    <mergeCell ref="BFH28:BFJ28"/>
    <mergeCell ref="BFK28:BFM28"/>
    <mergeCell ref="BFN28:BFP28"/>
    <mergeCell ref="BEG28:BEI28"/>
    <mergeCell ref="BEJ28:BEL28"/>
    <mergeCell ref="BEM28:BEO28"/>
    <mergeCell ref="BEP28:BER28"/>
    <mergeCell ref="BES28:BEU28"/>
    <mergeCell ref="BEV28:BEX28"/>
    <mergeCell ref="BDO28:BDQ28"/>
    <mergeCell ref="BDR28:BDT28"/>
    <mergeCell ref="BDU28:BDW28"/>
    <mergeCell ref="BDX28:BDZ28"/>
    <mergeCell ref="BEA28:BEC28"/>
    <mergeCell ref="BED28:BEF28"/>
    <mergeCell ref="BCW28:BCY28"/>
    <mergeCell ref="BCZ28:BDB28"/>
    <mergeCell ref="BDC28:BDE28"/>
    <mergeCell ref="BDF28:BDH28"/>
    <mergeCell ref="BDI28:BDK28"/>
    <mergeCell ref="BDL28:BDN28"/>
    <mergeCell ref="BKM28:BKO28"/>
    <mergeCell ref="BKP28:BKR28"/>
    <mergeCell ref="BKS28:BKU28"/>
    <mergeCell ref="BKV28:BKX28"/>
    <mergeCell ref="BKY28:BLA28"/>
    <mergeCell ref="BLB28:BLD28"/>
    <mergeCell ref="BJU28:BJW28"/>
    <mergeCell ref="BJX28:BJZ28"/>
    <mergeCell ref="BKA28:BKC28"/>
    <mergeCell ref="BKD28:BKF28"/>
    <mergeCell ref="BKG28:BKI28"/>
    <mergeCell ref="BKJ28:BKL28"/>
    <mergeCell ref="BJC28:BJE28"/>
    <mergeCell ref="BJF28:BJH28"/>
    <mergeCell ref="BJI28:BJK28"/>
    <mergeCell ref="BJL28:BJN28"/>
    <mergeCell ref="BJO28:BJQ28"/>
    <mergeCell ref="BJR28:BJT28"/>
    <mergeCell ref="BIK28:BIM28"/>
    <mergeCell ref="BIN28:BIP28"/>
    <mergeCell ref="BIQ28:BIS28"/>
    <mergeCell ref="BIT28:BIV28"/>
    <mergeCell ref="BIW28:BIY28"/>
    <mergeCell ref="BIZ28:BJB28"/>
    <mergeCell ref="BHS28:BHU28"/>
    <mergeCell ref="BHV28:BHX28"/>
    <mergeCell ref="BHY28:BIA28"/>
    <mergeCell ref="BIB28:BID28"/>
    <mergeCell ref="BIE28:BIG28"/>
    <mergeCell ref="BIH28:BIJ28"/>
    <mergeCell ref="BHA28:BHC28"/>
    <mergeCell ref="BHD28:BHF28"/>
    <mergeCell ref="BHG28:BHI28"/>
    <mergeCell ref="BHJ28:BHL28"/>
    <mergeCell ref="BHM28:BHO28"/>
    <mergeCell ref="BHP28:BHR28"/>
    <mergeCell ref="BOQ28:BOS28"/>
    <mergeCell ref="BOT28:BOV28"/>
    <mergeCell ref="BOW28:BOY28"/>
    <mergeCell ref="BOZ28:BPB28"/>
    <mergeCell ref="BPC28:BPE28"/>
    <mergeCell ref="BPF28:BPH28"/>
    <mergeCell ref="BNY28:BOA28"/>
    <mergeCell ref="BOB28:BOD28"/>
    <mergeCell ref="BOE28:BOG28"/>
    <mergeCell ref="BOH28:BOJ28"/>
    <mergeCell ref="BOK28:BOM28"/>
    <mergeCell ref="BON28:BOP28"/>
    <mergeCell ref="BNG28:BNI28"/>
    <mergeCell ref="BNJ28:BNL28"/>
    <mergeCell ref="BNM28:BNO28"/>
    <mergeCell ref="BNP28:BNR28"/>
    <mergeCell ref="BNS28:BNU28"/>
    <mergeCell ref="BNV28:BNX28"/>
    <mergeCell ref="BMO28:BMQ28"/>
    <mergeCell ref="BMR28:BMT28"/>
    <mergeCell ref="BMU28:BMW28"/>
    <mergeCell ref="BMX28:BMZ28"/>
    <mergeCell ref="BNA28:BNC28"/>
    <mergeCell ref="BND28:BNF28"/>
    <mergeCell ref="BLW28:BLY28"/>
    <mergeCell ref="BLZ28:BMB28"/>
    <mergeCell ref="BMC28:BME28"/>
    <mergeCell ref="BMF28:BMH28"/>
    <mergeCell ref="BMI28:BMK28"/>
    <mergeCell ref="BML28:BMN28"/>
    <mergeCell ref="BLE28:BLG28"/>
    <mergeCell ref="BLH28:BLJ28"/>
    <mergeCell ref="BLK28:BLM28"/>
    <mergeCell ref="BLN28:BLP28"/>
    <mergeCell ref="BLQ28:BLS28"/>
    <mergeCell ref="BLT28:BLV28"/>
    <mergeCell ref="BSU28:BSW28"/>
    <mergeCell ref="BSX28:BSZ28"/>
    <mergeCell ref="BTA28:BTC28"/>
    <mergeCell ref="BTD28:BTF28"/>
    <mergeCell ref="BTG28:BTI28"/>
    <mergeCell ref="BTJ28:BTL28"/>
    <mergeCell ref="BSC28:BSE28"/>
    <mergeCell ref="BSF28:BSH28"/>
    <mergeCell ref="BSI28:BSK28"/>
    <mergeCell ref="BSL28:BSN28"/>
    <mergeCell ref="BSO28:BSQ28"/>
    <mergeCell ref="BSR28:BST28"/>
    <mergeCell ref="BRK28:BRM28"/>
    <mergeCell ref="BRN28:BRP28"/>
    <mergeCell ref="BRQ28:BRS28"/>
    <mergeCell ref="BRT28:BRV28"/>
    <mergeCell ref="BRW28:BRY28"/>
    <mergeCell ref="BRZ28:BSB28"/>
    <mergeCell ref="BQS28:BQU28"/>
    <mergeCell ref="BQV28:BQX28"/>
    <mergeCell ref="BQY28:BRA28"/>
    <mergeCell ref="BRB28:BRD28"/>
    <mergeCell ref="BRE28:BRG28"/>
    <mergeCell ref="BRH28:BRJ28"/>
    <mergeCell ref="BQA28:BQC28"/>
    <mergeCell ref="BQD28:BQF28"/>
    <mergeCell ref="BQG28:BQI28"/>
    <mergeCell ref="BQJ28:BQL28"/>
    <mergeCell ref="BQM28:BQO28"/>
    <mergeCell ref="BQP28:BQR28"/>
    <mergeCell ref="BPI28:BPK28"/>
    <mergeCell ref="BPL28:BPN28"/>
    <mergeCell ref="BPO28:BPQ28"/>
    <mergeCell ref="BPR28:BPT28"/>
    <mergeCell ref="BPU28:BPW28"/>
    <mergeCell ref="BPX28:BPZ28"/>
    <mergeCell ref="BWY28:BXA28"/>
    <mergeCell ref="BXB28:BXD28"/>
    <mergeCell ref="BXE28:BXG28"/>
    <mergeCell ref="BXH28:BXJ28"/>
    <mergeCell ref="BXK28:BXM28"/>
    <mergeCell ref="BXN28:BXP28"/>
    <mergeCell ref="BWG28:BWI28"/>
    <mergeCell ref="BWJ28:BWL28"/>
    <mergeCell ref="BWM28:BWO28"/>
    <mergeCell ref="BWP28:BWR28"/>
    <mergeCell ref="BWS28:BWU28"/>
    <mergeCell ref="BWV28:BWX28"/>
    <mergeCell ref="BVO28:BVQ28"/>
    <mergeCell ref="BVR28:BVT28"/>
    <mergeCell ref="BVU28:BVW28"/>
    <mergeCell ref="BVX28:BVZ28"/>
    <mergeCell ref="BWA28:BWC28"/>
    <mergeCell ref="BWD28:BWF28"/>
    <mergeCell ref="BUW28:BUY28"/>
    <mergeCell ref="BUZ28:BVB28"/>
    <mergeCell ref="BVC28:BVE28"/>
    <mergeCell ref="BVF28:BVH28"/>
    <mergeCell ref="BVI28:BVK28"/>
    <mergeCell ref="BVL28:BVN28"/>
    <mergeCell ref="BUE28:BUG28"/>
    <mergeCell ref="BUH28:BUJ28"/>
    <mergeCell ref="BUK28:BUM28"/>
    <mergeCell ref="BUN28:BUP28"/>
    <mergeCell ref="BUQ28:BUS28"/>
    <mergeCell ref="BUT28:BUV28"/>
    <mergeCell ref="BTM28:BTO28"/>
    <mergeCell ref="BTP28:BTR28"/>
    <mergeCell ref="BTS28:BTU28"/>
    <mergeCell ref="BTV28:BTX28"/>
    <mergeCell ref="BTY28:BUA28"/>
    <mergeCell ref="BUB28:BUD28"/>
    <mergeCell ref="CBC28:CBE28"/>
    <mergeCell ref="CBF28:CBH28"/>
    <mergeCell ref="CBI28:CBK28"/>
    <mergeCell ref="CBL28:CBN28"/>
    <mergeCell ref="CBO28:CBQ28"/>
    <mergeCell ref="CBR28:CBT28"/>
    <mergeCell ref="CAK28:CAM28"/>
    <mergeCell ref="CAN28:CAP28"/>
    <mergeCell ref="CAQ28:CAS28"/>
    <mergeCell ref="CAT28:CAV28"/>
    <mergeCell ref="CAW28:CAY28"/>
    <mergeCell ref="CAZ28:CBB28"/>
    <mergeCell ref="BZS28:BZU28"/>
    <mergeCell ref="BZV28:BZX28"/>
    <mergeCell ref="BZY28:CAA28"/>
    <mergeCell ref="CAB28:CAD28"/>
    <mergeCell ref="CAE28:CAG28"/>
    <mergeCell ref="CAH28:CAJ28"/>
    <mergeCell ref="BZA28:BZC28"/>
    <mergeCell ref="BZD28:BZF28"/>
    <mergeCell ref="BZG28:BZI28"/>
    <mergeCell ref="BZJ28:BZL28"/>
    <mergeCell ref="BZM28:BZO28"/>
    <mergeCell ref="BZP28:BZR28"/>
    <mergeCell ref="BYI28:BYK28"/>
    <mergeCell ref="BYL28:BYN28"/>
    <mergeCell ref="BYO28:BYQ28"/>
    <mergeCell ref="BYR28:BYT28"/>
    <mergeCell ref="BYU28:BYW28"/>
    <mergeCell ref="BYX28:BYZ28"/>
    <mergeCell ref="BXQ28:BXS28"/>
    <mergeCell ref="BXT28:BXV28"/>
    <mergeCell ref="BXW28:BXY28"/>
    <mergeCell ref="BXZ28:BYB28"/>
    <mergeCell ref="BYC28:BYE28"/>
    <mergeCell ref="BYF28:BYH28"/>
    <mergeCell ref="CFG28:CFI28"/>
    <mergeCell ref="CFJ28:CFL28"/>
    <mergeCell ref="CFM28:CFO28"/>
    <mergeCell ref="CFP28:CFR28"/>
    <mergeCell ref="CFS28:CFU28"/>
    <mergeCell ref="CFV28:CFX28"/>
    <mergeCell ref="CEO28:CEQ28"/>
    <mergeCell ref="CER28:CET28"/>
    <mergeCell ref="CEU28:CEW28"/>
    <mergeCell ref="CEX28:CEZ28"/>
    <mergeCell ref="CFA28:CFC28"/>
    <mergeCell ref="CFD28:CFF28"/>
    <mergeCell ref="CDW28:CDY28"/>
    <mergeCell ref="CDZ28:CEB28"/>
    <mergeCell ref="CEC28:CEE28"/>
    <mergeCell ref="CEF28:CEH28"/>
    <mergeCell ref="CEI28:CEK28"/>
    <mergeCell ref="CEL28:CEN28"/>
    <mergeCell ref="CDE28:CDG28"/>
    <mergeCell ref="CDH28:CDJ28"/>
    <mergeCell ref="CDK28:CDM28"/>
    <mergeCell ref="CDN28:CDP28"/>
    <mergeCell ref="CDQ28:CDS28"/>
    <mergeCell ref="CDT28:CDV28"/>
    <mergeCell ref="CCM28:CCO28"/>
    <mergeCell ref="CCP28:CCR28"/>
    <mergeCell ref="CCS28:CCU28"/>
    <mergeCell ref="CCV28:CCX28"/>
    <mergeCell ref="CCY28:CDA28"/>
    <mergeCell ref="CDB28:CDD28"/>
    <mergeCell ref="CBU28:CBW28"/>
    <mergeCell ref="CBX28:CBZ28"/>
    <mergeCell ref="CCA28:CCC28"/>
    <mergeCell ref="CCD28:CCF28"/>
    <mergeCell ref="CCG28:CCI28"/>
    <mergeCell ref="CCJ28:CCL28"/>
    <mergeCell ref="CJK28:CJM28"/>
    <mergeCell ref="CJN28:CJP28"/>
    <mergeCell ref="CJQ28:CJS28"/>
    <mergeCell ref="CJT28:CJV28"/>
    <mergeCell ref="CJW28:CJY28"/>
    <mergeCell ref="CJZ28:CKB28"/>
    <mergeCell ref="CIS28:CIU28"/>
    <mergeCell ref="CIV28:CIX28"/>
    <mergeCell ref="CIY28:CJA28"/>
    <mergeCell ref="CJB28:CJD28"/>
    <mergeCell ref="CJE28:CJG28"/>
    <mergeCell ref="CJH28:CJJ28"/>
    <mergeCell ref="CIA28:CIC28"/>
    <mergeCell ref="CID28:CIF28"/>
    <mergeCell ref="CIG28:CII28"/>
    <mergeCell ref="CIJ28:CIL28"/>
    <mergeCell ref="CIM28:CIO28"/>
    <mergeCell ref="CIP28:CIR28"/>
    <mergeCell ref="CHI28:CHK28"/>
    <mergeCell ref="CHL28:CHN28"/>
    <mergeCell ref="CHO28:CHQ28"/>
    <mergeCell ref="CHR28:CHT28"/>
    <mergeCell ref="CHU28:CHW28"/>
    <mergeCell ref="CHX28:CHZ28"/>
    <mergeCell ref="CGQ28:CGS28"/>
    <mergeCell ref="CGT28:CGV28"/>
    <mergeCell ref="CGW28:CGY28"/>
    <mergeCell ref="CGZ28:CHB28"/>
    <mergeCell ref="CHC28:CHE28"/>
    <mergeCell ref="CHF28:CHH28"/>
    <mergeCell ref="CFY28:CGA28"/>
    <mergeCell ref="CGB28:CGD28"/>
    <mergeCell ref="CGE28:CGG28"/>
    <mergeCell ref="CGH28:CGJ28"/>
    <mergeCell ref="CGK28:CGM28"/>
    <mergeCell ref="CGN28:CGP28"/>
    <mergeCell ref="CNO28:CNQ28"/>
    <mergeCell ref="CNR28:CNT28"/>
    <mergeCell ref="CNU28:CNW28"/>
    <mergeCell ref="CNX28:CNZ28"/>
    <mergeCell ref="COA28:COC28"/>
    <mergeCell ref="COD28:COF28"/>
    <mergeCell ref="CMW28:CMY28"/>
    <mergeCell ref="CMZ28:CNB28"/>
    <mergeCell ref="CNC28:CNE28"/>
    <mergeCell ref="CNF28:CNH28"/>
    <mergeCell ref="CNI28:CNK28"/>
    <mergeCell ref="CNL28:CNN28"/>
    <mergeCell ref="CME28:CMG28"/>
    <mergeCell ref="CMH28:CMJ28"/>
    <mergeCell ref="CMK28:CMM28"/>
    <mergeCell ref="CMN28:CMP28"/>
    <mergeCell ref="CMQ28:CMS28"/>
    <mergeCell ref="CMT28:CMV28"/>
    <mergeCell ref="CLM28:CLO28"/>
    <mergeCell ref="CLP28:CLR28"/>
    <mergeCell ref="CLS28:CLU28"/>
    <mergeCell ref="CLV28:CLX28"/>
    <mergeCell ref="CLY28:CMA28"/>
    <mergeCell ref="CMB28:CMD28"/>
    <mergeCell ref="CKU28:CKW28"/>
    <mergeCell ref="CKX28:CKZ28"/>
    <mergeCell ref="CLA28:CLC28"/>
    <mergeCell ref="CLD28:CLF28"/>
    <mergeCell ref="CLG28:CLI28"/>
    <mergeCell ref="CLJ28:CLL28"/>
    <mergeCell ref="CKC28:CKE28"/>
    <mergeCell ref="CKF28:CKH28"/>
    <mergeCell ref="CKI28:CKK28"/>
    <mergeCell ref="CKL28:CKN28"/>
    <mergeCell ref="CKO28:CKQ28"/>
    <mergeCell ref="CKR28:CKT28"/>
    <mergeCell ref="CRS28:CRU28"/>
    <mergeCell ref="CRV28:CRX28"/>
    <mergeCell ref="CRY28:CSA28"/>
    <mergeCell ref="CSB28:CSD28"/>
    <mergeCell ref="CSE28:CSG28"/>
    <mergeCell ref="CSH28:CSJ28"/>
    <mergeCell ref="CRA28:CRC28"/>
    <mergeCell ref="CRD28:CRF28"/>
    <mergeCell ref="CRG28:CRI28"/>
    <mergeCell ref="CRJ28:CRL28"/>
    <mergeCell ref="CRM28:CRO28"/>
    <mergeCell ref="CRP28:CRR28"/>
    <mergeCell ref="CQI28:CQK28"/>
    <mergeCell ref="CQL28:CQN28"/>
    <mergeCell ref="CQO28:CQQ28"/>
    <mergeCell ref="CQR28:CQT28"/>
    <mergeCell ref="CQU28:CQW28"/>
    <mergeCell ref="CQX28:CQZ28"/>
    <mergeCell ref="CPQ28:CPS28"/>
    <mergeCell ref="CPT28:CPV28"/>
    <mergeCell ref="CPW28:CPY28"/>
    <mergeCell ref="CPZ28:CQB28"/>
    <mergeCell ref="CQC28:CQE28"/>
    <mergeCell ref="CQF28:CQH28"/>
    <mergeCell ref="COY28:CPA28"/>
    <mergeCell ref="CPB28:CPD28"/>
    <mergeCell ref="CPE28:CPG28"/>
    <mergeCell ref="CPH28:CPJ28"/>
    <mergeCell ref="CPK28:CPM28"/>
    <mergeCell ref="CPN28:CPP28"/>
    <mergeCell ref="COG28:COI28"/>
    <mergeCell ref="COJ28:COL28"/>
    <mergeCell ref="COM28:COO28"/>
    <mergeCell ref="COP28:COR28"/>
    <mergeCell ref="COS28:COU28"/>
    <mergeCell ref="COV28:COX28"/>
    <mergeCell ref="CVW28:CVY28"/>
    <mergeCell ref="CVZ28:CWB28"/>
    <mergeCell ref="CWC28:CWE28"/>
    <mergeCell ref="CWF28:CWH28"/>
    <mergeCell ref="CWI28:CWK28"/>
    <mergeCell ref="CWL28:CWN28"/>
    <mergeCell ref="CVE28:CVG28"/>
    <mergeCell ref="CVH28:CVJ28"/>
    <mergeCell ref="CVK28:CVM28"/>
    <mergeCell ref="CVN28:CVP28"/>
    <mergeCell ref="CVQ28:CVS28"/>
    <mergeCell ref="CVT28:CVV28"/>
    <mergeCell ref="CUM28:CUO28"/>
    <mergeCell ref="CUP28:CUR28"/>
    <mergeCell ref="CUS28:CUU28"/>
    <mergeCell ref="CUV28:CUX28"/>
    <mergeCell ref="CUY28:CVA28"/>
    <mergeCell ref="CVB28:CVD28"/>
    <mergeCell ref="CTU28:CTW28"/>
    <mergeCell ref="CTX28:CTZ28"/>
    <mergeCell ref="CUA28:CUC28"/>
    <mergeCell ref="CUD28:CUF28"/>
    <mergeCell ref="CUG28:CUI28"/>
    <mergeCell ref="CUJ28:CUL28"/>
    <mergeCell ref="CTC28:CTE28"/>
    <mergeCell ref="CTF28:CTH28"/>
    <mergeCell ref="CTI28:CTK28"/>
    <mergeCell ref="CTL28:CTN28"/>
    <mergeCell ref="CTO28:CTQ28"/>
    <mergeCell ref="CTR28:CTT28"/>
    <mergeCell ref="CSK28:CSM28"/>
    <mergeCell ref="CSN28:CSP28"/>
    <mergeCell ref="CSQ28:CSS28"/>
    <mergeCell ref="CST28:CSV28"/>
    <mergeCell ref="CSW28:CSY28"/>
    <mergeCell ref="CSZ28:CTB28"/>
    <mergeCell ref="DAA28:DAC28"/>
    <mergeCell ref="DAD28:DAF28"/>
    <mergeCell ref="DAG28:DAI28"/>
    <mergeCell ref="DAJ28:DAL28"/>
    <mergeCell ref="DAM28:DAO28"/>
    <mergeCell ref="DAP28:DAR28"/>
    <mergeCell ref="CZI28:CZK28"/>
    <mergeCell ref="CZL28:CZN28"/>
    <mergeCell ref="CZO28:CZQ28"/>
    <mergeCell ref="CZR28:CZT28"/>
    <mergeCell ref="CZU28:CZW28"/>
    <mergeCell ref="CZX28:CZZ28"/>
    <mergeCell ref="CYQ28:CYS28"/>
    <mergeCell ref="CYT28:CYV28"/>
    <mergeCell ref="CYW28:CYY28"/>
    <mergeCell ref="CYZ28:CZB28"/>
    <mergeCell ref="CZC28:CZE28"/>
    <mergeCell ref="CZF28:CZH28"/>
    <mergeCell ref="CXY28:CYA28"/>
    <mergeCell ref="CYB28:CYD28"/>
    <mergeCell ref="CYE28:CYG28"/>
    <mergeCell ref="CYH28:CYJ28"/>
    <mergeCell ref="CYK28:CYM28"/>
    <mergeCell ref="CYN28:CYP28"/>
    <mergeCell ref="CXG28:CXI28"/>
    <mergeCell ref="CXJ28:CXL28"/>
    <mergeCell ref="CXM28:CXO28"/>
    <mergeCell ref="CXP28:CXR28"/>
    <mergeCell ref="CXS28:CXU28"/>
    <mergeCell ref="CXV28:CXX28"/>
    <mergeCell ref="CWO28:CWQ28"/>
    <mergeCell ref="CWR28:CWT28"/>
    <mergeCell ref="CWU28:CWW28"/>
    <mergeCell ref="CWX28:CWZ28"/>
    <mergeCell ref="CXA28:CXC28"/>
    <mergeCell ref="CXD28:CXF28"/>
    <mergeCell ref="DEE28:DEG28"/>
    <mergeCell ref="DEH28:DEJ28"/>
    <mergeCell ref="DEK28:DEM28"/>
    <mergeCell ref="DEN28:DEP28"/>
    <mergeCell ref="DEQ28:DES28"/>
    <mergeCell ref="DET28:DEV28"/>
    <mergeCell ref="DDM28:DDO28"/>
    <mergeCell ref="DDP28:DDR28"/>
    <mergeCell ref="DDS28:DDU28"/>
    <mergeCell ref="DDV28:DDX28"/>
    <mergeCell ref="DDY28:DEA28"/>
    <mergeCell ref="DEB28:DED28"/>
    <mergeCell ref="DCU28:DCW28"/>
    <mergeCell ref="DCX28:DCZ28"/>
    <mergeCell ref="DDA28:DDC28"/>
    <mergeCell ref="DDD28:DDF28"/>
    <mergeCell ref="DDG28:DDI28"/>
    <mergeCell ref="DDJ28:DDL28"/>
    <mergeCell ref="DCC28:DCE28"/>
    <mergeCell ref="DCF28:DCH28"/>
    <mergeCell ref="DCI28:DCK28"/>
    <mergeCell ref="DCL28:DCN28"/>
    <mergeCell ref="DCO28:DCQ28"/>
    <mergeCell ref="DCR28:DCT28"/>
    <mergeCell ref="DBK28:DBM28"/>
    <mergeCell ref="DBN28:DBP28"/>
    <mergeCell ref="DBQ28:DBS28"/>
    <mergeCell ref="DBT28:DBV28"/>
    <mergeCell ref="DBW28:DBY28"/>
    <mergeCell ref="DBZ28:DCB28"/>
    <mergeCell ref="DAS28:DAU28"/>
    <mergeCell ref="DAV28:DAX28"/>
    <mergeCell ref="DAY28:DBA28"/>
    <mergeCell ref="DBB28:DBD28"/>
    <mergeCell ref="DBE28:DBG28"/>
    <mergeCell ref="DBH28:DBJ28"/>
    <mergeCell ref="DII28:DIK28"/>
    <mergeCell ref="DIL28:DIN28"/>
    <mergeCell ref="DIO28:DIQ28"/>
    <mergeCell ref="DIR28:DIT28"/>
    <mergeCell ref="DIU28:DIW28"/>
    <mergeCell ref="DIX28:DIZ28"/>
    <mergeCell ref="DHQ28:DHS28"/>
    <mergeCell ref="DHT28:DHV28"/>
    <mergeCell ref="DHW28:DHY28"/>
    <mergeCell ref="DHZ28:DIB28"/>
    <mergeCell ref="DIC28:DIE28"/>
    <mergeCell ref="DIF28:DIH28"/>
    <mergeCell ref="DGY28:DHA28"/>
    <mergeCell ref="DHB28:DHD28"/>
    <mergeCell ref="DHE28:DHG28"/>
    <mergeCell ref="DHH28:DHJ28"/>
    <mergeCell ref="DHK28:DHM28"/>
    <mergeCell ref="DHN28:DHP28"/>
    <mergeCell ref="DGG28:DGI28"/>
    <mergeCell ref="DGJ28:DGL28"/>
    <mergeCell ref="DGM28:DGO28"/>
    <mergeCell ref="DGP28:DGR28"/>
    <mergeCell ref="DGS28:DGU28"/>
    <mergeCell ref="DGV28:DGX28"/>
    <mergeCell ref="DFO28:DFQ28"/>
    <mergeCell ref="DFR28:DFT28"/>
    <mergeCell ref="DFU28:DFW28"/>
    <mergeCell ref="DFX28:DFZ28"/>
    <mergeCell ref="DGA28:DGC28"/>
    <mergeCell ref="DGD28:DGF28"/>
    <mergeCell ref="DEW28:DEY28"/>
    <mergeCell ref="DEZ28:DFB28"/>
    <mergeCell ref="DFC28:DFE28"/>
    <mergeCell ref="DFF28:DFH28"/>
    <mergeCell ref="DFI28:DFK28"/>
    <mergeCell ref="DFL28:DFN28"/>
    <mergeCell ref="DMM28:DMO28"/>
    <mergeCell ref="DMP28:DMR28"/>
    <mergeCell ref="DMS28:DMU28"/>
    <mergeCell ref="DMV28:DMX28"/>
    <mergeCell ref="DMY28:DNA28"/>
    <mergeCell ref="DNB28:DND28"/>
    <mergeCell ref="DLU28:DLW28"/>
    <mergeCell ref="DLX28:DLZ28"/>
    <mergeCell ref="DMA28:DMC28"/>
    <mergeCell ref="DMD28:DMF28"/>
    <mergeCell ref="DMG28:DMI28"/>
    <mergeCell ref="DMJ28:DML28"/>
    <mergeCell ref="DLC28:DLE28"/>
    <mergeCell ref="DLF28:DLH28"/>
    <mergeCell ref="DLI28:DLK28"/>
    <mergeCell ref="DLL28:DLN28"/>
    <mergeCell ref="DLO28:DLQ28"/>
    <mergeCell ref="DLR28:DLT28"/>
    <mergeCell ref="DKK28:DKM28"/>
    <mergeCell ref="DKN28:DKP28"/>
    <mergeCell ref="DKQ28:DKS28"/>
    <mergeCell ref="DKT28:DKV28"/>
    <mergeCell ref="DKW28:DKY28"/>
    <mergeCell ref="DKZ28:DLB28"/>
    <mergeCell ref="DJS28:DJU28"/>
    <mergeCell ref="DJV28:DJX28"/>
    <mergeCell ref="DJY28:DKA28"/>
    <mergeCell ref="DKB28:DKD28"/>
    <mergeCell ref="DKE28:DKG28"/>
    <mergeCell ref="DKH28:DKJ28"/>
    <mergeCell ref="DJA28:DJC28"/>
    <mergeCell ref="DJD28:DJF28"/>
    <mergeCell ref="DJG28:DJI28"/>
    <mergeCell ref="DJJ28:DJL28"/>
    <mergeCell ref="DJM28:DJO28"/>
    <mergeCell ref="DJP28:DJR28"/>
    <mergeCell ref="DQQ28:DQS28"/>
    <mergeCell ref="DQT28:DQV28"/>
    <mergeCell ref="DQW28:DQY28"/>
    <mergeCell ref="DQZ28:DRB28"/>
    <mergeCell ref="DRC28:DRE28"/>
    <mergeCell ref="DRF28:DRH28"/>
    <mergeCell ref="DPY28:DQA28"/>
    <mergeCell ref="DQB28:DQD28"/>
    <mergeCell ref="DQE28:DQG28"/>
    <mergeCell ref="DQH28:DQJ28"/>
    <mergeCell ref="DQK28:DQM28"/>
    <mergeCell ref="DQN28:DQP28"/>
    <mergeCell ref="DPG28:DPI28"/>
    <mergeCell ref="DPJ28:DPL28"/>
    <mergeCell ref="DPM28:DPO28"/>
    <mergeCell ref="DPP28:DPR28"/>
    <mergeCell ref="DPS28:DPU28"/>
    <mergeCell ref="DPV28:DPX28"/>
    <mergeCell ref="DOO28:DOQ28"/>
    <mergeCell ref="DOR28:DOT28"/>
    <mergeCell ref="DOU28:DOW28"/>
    <mergeCell ref="DOX28:DOZ28"/>
    <mergeCell ref="DPA28:DPC28"/>
    <mergeCell ref="DPD28:DPF28"/>
    <mergeCell ref="DNW28:DNY28"/>
    <mergeCell ref="DNZ28:DOB28"/>
    <mergeCell ref="DOC28:DOE28"/>
    <mergeCell ref="DOF28:DOH28"/>
    <mergeCell ref="DOI28:DOK28"/>
    <mergeCell ref="DOL28:DON28"/>
    <mergeCell ref="DNE28:DNG28"/>
    <mergeCell ref="DNH28:DNJ28"/>
    <mergeCell ref="DNK28:DNM28"/>
    <mergeCell ref="DNN28:DNP28"/>
    <mergeCell ref="DNQ28:DNS28"/>
    <mergeCell ref="DNT28:DNV28"/>
    <mergeCell ref="DUU28:DUW28"/>
    <mergeCell ref="DUX28:DUZ28"/>
    <mergeCell ref="DVA28:DVC28"/>
    <mergeCell ref="DVD28:DVF28"/>
    <mergeCell ref="DVG28:DVI28"/>
    <mergeCell ref="DVJ28:DVL28"/>
    <mergeCell ref="DUC28:DUE28"/>
    <mergeCell ref="DUF28:DUH28"/>
    <mergeCell ref="DUI28:DUK28"/>
    <mergeCell ref="DUL28:DUN28"/>
    <mergeCell ref="DUO28:DUQ28"/>
    <mergeCell ref="DUR28:DUT28"/>
    <mergeCell ref="DTK28:DTM28"/>
    <mergeCell ref="DTN28:DTP28"/>
    <mergeCell ref="DTQ28:DTS28"/>
    <mergeCell ref="DTT28:DTV28"/>
    <mergeCell ref="DTW28:DTY28"/>
    <mergeCell ref="DTZ28:DUB28"/>
    <mergeCell ref="DSS28:DSU28"/>
    <mergeCell ref="DSV28:DSX28"/>
    <mergeCell ref="DSY28:DTA28"/>
    <mergeCell ref="DTB28:DTD28"/>
    <mergeCell ref="DTE28:DTG28"/>
    <mergeCell ref="DTH28:DTJ28"/>
    <mergeCell ref="DSA28:DSC28"/>
    <mergeCell ref="DSD28:DSF28"/>
    <mergeCell ref="DSG28:DSI28"/>
    <mergeCell ref="DSJ28:DSL28"/>
    <mergeCell ref="DSM28:DSO28"/>
    <mergeCell ref="DSP28:DSR28"/>
    <mergeCell ref="DRI28:DRK28"/>
    <mergeCell ref="DRL28:DRN28"/>
    <mergeCell ref="DRO28:DRQ28"/>
    <mergeCell ref="DRR28:DRT28"/>
    <mergeCell ref="DRU28:DRW28"/>
    <mergeCell ref="DRX28:DRZ28"/>
    <mergeCell ref="DYY28:DZA28"/>
    <mergeCell ref="DZB28:DZD28"/>
    <mergeCell ref="DZE28:DZG28"/>
    <mergeCell ref="DZH28:DZJ28"/>
    <mergeCell ref="DZK28:DZM28"/>
    <mergeCell ref="DZN28:DZP28"/>
    <mergeCell ref="DYG28:DYI28"/>
    <mergeCell ref="DYJ28:DYL28"/>
    <mergeCell ref="DYM28:DYO28"/>
    <mergeCell ref="DYP28:DYR28"/>
    <mergeCell ref="DYS28:DYU28"/>
    <mergeCell ref="DYV28:DYX28"/>
    <mergeCell ref="DXO28:DXQ28"/>
    <mergeCell ref="DXR28:DXT28"/>
    <mergeCell ref="DXU28:DXW28"/>
    <mergeCell ref="DXX28:DXZ28"/>
    <mergeCell ref="DYA28:DYC28"/>
    <mergeCell ref="DYD28:DYF28"/>
    <mergeCell ref="DWW28:DWY28"/>
    <mergeCell ref="DWZ28:DXB28"/>
    <mergeCell ref="DXC28:DXE28"/>
    <mergeCell ref="DXF28:DXH28"/>
    <mergeCell ref="DXI28:DXK28"/>
    <mergeCell ref="DXL28:DXN28"/>
    <mergeCell ref="DWE28:DWG28"/>
    <mergeCell ref="DWH28:DWJ28"/>
    <mergeCell ref="DWK28:DWM28"/>
    <mergeCell ref="DWN28:DWP28"/>
    <mergeCell ref="DWQ28:DWS28"/>
    <mergeCell ref="DWT28:DWV28"/>
    <mergeCell ref="DVM28:DVO28"/>
    <mergeCell ref="DVP28:DVR28"/>
    <mergeCell ref="DVS28:DVU28"/>
    <mergeCell ref="DVV28:DVX28"/>
    <mergeCell ref="DVY28:DWA28"/>
    <mergeCell ref="DWB28:DWD28"/>
    <mergeCell ref="EDC28:EDE28"/>
    <mergeCell ref="EDF28:EDH28"/>
    <mergeCell ref="EDI28:EDK28"/>
    <mergeCell ref="EDL28:EDN28"/>
    <mergeCell ref="EDO28:EDQ28"/>
    <mergeCell ref="EDR28:EDT28"/>
    <mergeCell ref="ECK28:ECM28"/>
    <mergeCell ref="ECN28:ECP28"/>
    <mergeCell ref="ECQ28:ECS28"/>
    <mergeCell ref="ECT28:ECV28"/>
    <mergeCell ref="ECW28:ECY28"/>
    <mergeCell ref="ECZ28:EDB28"/>
    <mergeCell ref="EBS28:EBU28"/>
    <mergeCell ref="EBV28:EBX28"/>
    <mergeCell ref="EBY28:ECA28"/>
    <mergeCell ref="ECB28:ECD28"/>
    <mergeCell ref="ECE28:ECG28"/>
    <mergeCell ref="ECH28:ECJ28"/>
    <mergeCell ref="EBA28:EBC28"/>
    <mergeCell ref="EBD28:EBF28"/>
    <mergeCell ref="EBG28:EBI28"/>
    <mergeCell ref="EBJ28:EBL28"/>
    <mergeCell ref="EBM28:EBO28"/>
    <mergeCell ref="EBP28:EBR28"/>
    <mergeCell ref="EAI28:EAK28"/>
    <mergeCell ref="EAL28:EAN28"/>
    <mergeCell ref="EAO28:EAQ28"/>
    <mergeCell ref="EAR28:EAT28"/>
    <mergeCell ref="EAU28:EAW28"/>
    <mergeCell ref="EAX28:EAZ28"/>
    <mergeCell ref="DZQ28:DZS28"/>
    <mergeCell ref="DZT28:DZV28"/>
    <mergeCell ref="DZW28:DZY28"/>
    <mergeCell ref="DZZ28:EAB28"/>
    <mergeCell ref="EAC28:EAE28"/>
    <mergeCell ref="EAF28:EAH28"/>
    <mergeCell ref="EHG28:EHI28"/>
    <mergeCell ref="EHJ28:EHL28"/>
    <mergeCell ref="EHM28:EHO28"/>
    <mergeCell ref="EHP28:EHR28"/>
    <mergeCell ref="EHS28:EHU28"/>
    <mergeCell ref="EHV28:EHX28"/>
    <mergeCell ref="EGO28:EGQ28"/>
    <mergeCell ref="EGR28:EGT28"/>
    <mergeCell ref="EGU28:EGW28"/>
    <mergeCell ref="EGX28:EGZ28"/>
    <mergeCell ref="EHA28:EHC28"/>
    <mergeCell ref="EHD28:EHF28"/>
    <mergeCell ref="EFW28:EFY28"/>
    <mergeCell ref="EFZ28:EGB28"/>
    <mergeCell ref="EGC28:EGE28"/>
    <mergeCell ref="EGF28:EGH28"/>
    <mergeCell ref="EGI28:EGK28"/>
    <mergeCell ref="EGL28:EGN28"/>
    <mergeCell ref="EFE28:EFG28"/>
    <mergeCell ref="EFH28:EFJ28"/>
    <mergeCell ref="EFK28:EFM28"/>
    <mergeCell ref="EFN28:EFP28"/>
    <mergeCell ref="EFQ28:EFS28"/>
    <mergeCell ref="EFT28:EFV28"/>
    <mergeCell ref="EEM28:EEO28"/>
    <mergeCell ref="EEP28:EER28"/>
    <mergeCell ref="EES28:EEU28"/>
    <mergeCell ref="EEV28:EEX28"/>
    <mergeCell ref="EEY28:EFA28"/>
    <mergeCell ref="EFB28:EFD28"/>
    <mergeCell ref="EDU28:EDW28"/>
    <mergeCell ref="EDX28:EDZ28"/>
    <mergeCell ref="EEA28:EEC28"/>
    <mergeCell ref="EED28:EEF28"/>
    <mergeCell ref="EEG28:EEI28"/>
    <mergeCell ref="EEJ28:EEL28"/>
    <mergeCell ref="ELK28:ELM28"/>
    <mergeCell ref="ELN28:ELP28"/>
    <mergeCell ref="ELQ28:ELS28"/>
    <mergeCell ref="ELT28:ELV28"/>
    <mergeCell ref="ELW28:ELY28"/>
    <mergeCell ref="ELZ28:EMB28"/>
    <mergeCell ref="EKS28:EKU28"/>
    <mergeCell ref="EKV28:EKX28"/>
    <mergeCell ref="EKY28:ELA28"/>
    <mergeCell ref="ELB28:ELD28"/>
    <mergeCell ref="ELE28:ELG28"/>
    <mergeCell ref="ELH28:ELJ28"/>
    <mergeCell ref="EKA28:EKC28"/>
    <mergeCell ref="EKD28:EKF28"/>
    <mergeCell ref="EKG28:EKI28"/>
    <mergeCell ref="EKJ28:EKL28"/>
    <mergeCell ref="EKM28:EKO28"/>
    <mergeCell ref="EKP28:EKR28"/>
    <mergeCell ref="EJI28:EJK28"/>
    <mergeCell ref="EJL28:EJN28"/>
    <mergeCell ref="EJO28:EJQ28"/>
    <mergeCell ref="EJR28:EJT28"/>
    <mergeCell ref="EJU28:EJW28"/>
    <mergeCell ref="EJX28:EJZ28"/>
    <mergeCell ref="EIQ28:EIS28"/>
    <mergeCell ref="EIT28:EIV28"/>
    <mergeCell ref="EIW28:EIY28"/>
    <mergeCell ref="EIZ28:EJB28"/>
    <mergeCell ref="EJC28:EJE28"/>
    <mergeCell ref="EJF28:EJH28"/>
    <mergeCell ref="EHY28:EIA28"/>
    <mergeCell ref="EIB28:EID28"/>
    <mergeCell ref="EIE28:EIG28"/>
    <mergeCell ref="EIH28:EIJ28"/>
    <mergeCell ref="EIK28:EIM28"/>
    <mergeCell ref="EIN28:EIP28"/>
    <mergeCell ref="EPO28:EPQ28"/>
    <mergeCell ref="EPR28:EPT28"/>
    <mergeCell ref="EPU28:EPW28"/>
    <mergeCell ref="EPX28:EPZ28"/>
    <mergeCell ref="EQA28:EQC28"/>
    <mergeCell ref="EQD28:EQF28"/>
    <mergeCell ref="EOW28:EOY28"/>
    <mergeCell ref="EOZ28:EPB28"/>
    <mergeCell ref="EPC28:EPE28"/>
    <mergeCell ref="EPF28:EPH28"/>
    <mergeCell ref="EPI28:EPK28"/>
    <mergeCell ref="EPL28:EPN28"/>
    <mergeCell ref="EOE28:EOG28"/>
    <mergeCell ref="EOH28:EOJ28"/>
    <mergeCell ref="EOK28:EOM28"/>
    <mergeCell ref="EON28:EOP28"/>
    <mergeCell ref="EOQ28:EOS28"/>
    <mergeCell ref="EOT28:EOV28"/>
    <mergeCell ref="ENM28:ENO28"/>
    <mergeCell ref="ENP28:ENR28"/>
    <mergeCell ref="ENS28:ENU28"/>
    <mergeCell ref="ENV28:ENX28"/>
    <mergeCell ref="ENY28:EOA28"/>
    <mergeCell ref="EOB28:EOD28"/>
    <mergeCell ref="EMU28:EMW28"/>
    <mergeCell ref="EMX28:EMZ28"/>
    <mergeCell ref="ENA28:ENC28"/>
    <mergeCell ref="END28:ENF28"/>
    <mergeCell ref="ENG28:ENI28"/>
    <mergeCell ref="ENJ28:ENL28"/>
    <mergeCell ref="EMC28:EME28"/>
    <mergeCell ref="EMF28:EMH28"/>
    <mergeCell ref="EMI28:EMK28"/>
    <mergeCell ref="EML28:EMN28"/>
    <mergeCell ref="EMO28:EMQ28"/>
    <mergeCell ref="EMR28:EMT28"/>
    <mergeCell ref="ETS28:ETU28"/>
    <mergeCell ref="ETV28:ETX28"/>
    <mergeCell ref="ETY28:EUA28"/>
    <mergeCell ref="EUB28:EUD28"/>
    <mergeCell ref="EUE28:EUG28"/>
    <mergeCell ref="EUH28:EUJ28"/>
    <mergeCell ref="ETA28:ETC28"/>
    <mergeCell ref="ETD28:ETF28"/>
    <mergeCell ref="ETG28:ETI28"/>
    <mergeCell ref="ETJ28:ETL28"/>
    <mergeCell ref="ETM28:ETO28"/>
    <mergeCell ref="ETP28:ETR28"/>
    <mergeCell ref="ESI28:ESK28"/>
    <mergeCell ref="ESL28:ESN28"/>
    <mergeCell ref="ESO28:ESQ28"/>
    <mergeCell ref="ESR28:EST28"/>
    <mergeCell ref="ESU28:ESW28"/>
    <mergeCell ref="ESX28:ESZ28"/>
    <mergeCell ref="ERQ28:ERS28"/>
    <mergeCell ref="ERT28:ERV28"/>
    <mergeCell ref="ERW28:ERY28"/>
    <mergeCell ref="ERZ28:ESB28"/>
    <mergeCell ref="ESC28:ESE28"/>
    <mergeCell ref="ESF28:ESH28"/>
    <mergeCell ref="EQY28:ERA28"/>
    <mergeCell ref="ERB28:ERD28"/>
    <mergeCell ref="ERE28:ERG28"/>
    <mergeCell ref="ERH28:ERJ28"/>
    <mergeCell ref="ERK28:ERM28"/>
    <mergeCell ref="ERN28:ERP28"/>
    <mergeCell ref="EQG28:EQI28"/>
    <mergeCell ref="EQJ28:EQL28"/>
    <mergeCell ref="EQM28:EQO28"/>
    <mergeCell ref="EQP28:EQR28"/>
    <mergeCell ref="EQS28:EQU28"/>
    <mergeCell ref="EQV28:EQX28"/>
    <mergeCell ref="EXW28:EXY28"/>
    <mergeCell ref="EXZ28:EYB28"/>
    <mergeCell ref="EYC28:EYE28"/>
    <mergeCell ref="EYF28:EYH28"/>
    <mergeCell ref="EYI28:EYK28"/>
    <mergeCell ref="EYL28:EYN28"/>
    <mergeCell ref="EXE28:EXG28"/>
    <mergeCell ref="EXH28:EXJ28"/>
    <mergeCell ref="EXK28:EXM28"/>
    <mergeCell ref="EXN28:EXP28"/>
    <mergeCell ref="EXQ28:EXS28"/>
    <mergeCell ref="EXT28:EXV28"/>
    <mergeCell ref="EWM28:EWO28"/>
    <mergeCell ref="EWP28:EWR28"/>
    <mergeCell ref="EWS28:EWU28"/>
    <mergeCell ref="EWV28:EWX28"/>
    <mergeCell ref="EWY28:EXA28"/>
    <mergeCell ref="EXB28:EXD28"/>
    <mergeCell ref="EVU28:EVW28"/>
    <mergeCell ref="EVX28:EVZ28"/>
    <mergeCell ref="EWA28:EWC28"/>
    <mergeCell ref="EWD28:EWF28"/>
    <mergeCell ref="EWG28:EWI28"/>
    <mergeCell ref="EWJ28:EWL28"/>
    <mergeCell ref="EVC28:EVE28"/>
    <mergeCell ref="EVF28:EVH28"/>
    <mergeCell ref="EVI28:EVK28"/>
    <mergeCell ref="EVL28:EVN28"/>
    <mergeCell ref="EVO28:EVQ28"/>
    <mergeCell ref="EVR28:EVT28"/>
    <mergeCell ref="EUK28:EUM28"/>
    <mergeCell ref="EUN28:EUP28"/>
    <mergeCell ref="EUQ28:EUS28"/>
    <mergeCell ref="EUT28:EUV28"/>
    <mergeCell ref="EUW28:EUY28"/>
    <mergeCell ref="EUZ28:EVB28"/>
    <mergeCell ref="FCA28:FCC28"/>
    <mergeCell ref="FCD28:FCF28"/>
    <mergeCell ref="FCG28:FCI28"/>
    <mergeCell ref="FCJ28:FCL28"/>
    <mergeCell ref="FCM28:FCO28"/>
    <mergeCell ref="FCP28:FCR28"/>
    <mergeCell ref="FBI28:FBK28"/>
    <mergeCell ref="FBL28:FBN28"/>
    <mergeCell ref="FBO28:FBQ28"/>
    <mergeCell ref="FBR28:FBT28"/>
    <mergeCell ref="FBU28:FBW28"/>
    <mergeCell ref="FBX28:FBZ28"/>
    <mergeCell ref="FAQ28:FAS28"/>
    <mergeCell ref="FAT28:FAV28"/>
    <mergeCell ref="FAW28:FAY28"/>
    <mergeCell ref="FAZ28:FBB28"/>
    <mergeCell ref="FBC28:FBE28"/>
    <mergeCell ref="FBF28:FBH28"/>
    <mergeCell ref="EZY28:FAA28"/>
    <mergeCell ref="FAB28:FAD28"/>
    <mergeCell ref="FAE28:FAG28"/>
    <mergeCell ref="FAH28:FAJ28"/>
    <mergeCell ref="FAK28:FAM28"/>
    <mergeCell ref="FAN28:FAP28"/>
    <mergeCell ref="EZG28:EZI28"/>
    <mergeCell ref="EZJ28:EZL28"/>
    <mergeCell ref="EZM28:EZO28"/>
    <mergeCell ref="EZP28:EZR28"/>
    <mergeCell ref="EZS28:EZU28"/>
    <mergeCell ref="EZV28:EZX28"/>
    <mergeCell ref="EYO28:EYQ28"/>
    <mergeCell ref="EYR28:EYT28"/>
    <mergeCell ref="EYU28:EYW28"/>
    <mergeCell ref="EYX28:EYZ28"/>
    <mergeCell ref="EZA28:EZC28"/>
    <mergeCell ref="EZD28:EZF28"/>
    <mergeCell ref="FGE28:FGG28"/>
    <mergeCell ref="FGH28:FGJ28"/>
    <mergeCell ref="FGK28:FGM28"/>
    <mergeCell ref="FGN28:FGP28"/>
    <mergeCell ref="FGQ28:FGS28"/>
    <mergeCell ref="FGT28:FGV28"/>
    <mergeCell ref="FFM28:FFO28"/>
    <mergeCell ref="FFP28:FFR28"/>
    <mergeCell ref="FFS28:FFU28"/>
    <mergeCell ref="FFV28:FFX28"/>
    <mergeCell ref="FFY28:FGA28"/>
    <mergeCell ref="FGB28:FGD28"/>
    <mergeCell ref="FEU28:FEW28"/>
    <mergeCell ref="FEX28:FEZ28"/>
    <mergeCell ref="FFA28:FFC28"/>
    <mergeCell ref="FFD28:FFF28"/>
    <mergeCell ref="FFG28:FFI28"/>
    <mergeCell ref="FFJ28:FFL28"/>
    <mergeCell ref="FEC28:FEE28"/>
    <mergeCell ref="FEF28:FEH28"/>
    <mergeCell ref="FEI28:FEK28"/>
    <mergeCell ref="FEL28:FEN28"/>
    <mergeCell ref="FEO28:FEQ28"/>
    <mergeCell ref="FER28:FET28"/>
    <mergeCell ref="FDK28:FDM28"/>
    <mergeCell ref="FDN28:FDP28"/>
    <mergeCell ref="FDQ28:FDS28"/>
    <mergeCell ref="FDT28:FDV28"/>
    <mergeCell ref="FDW28:FDY28"/>
    <mergeCell ref="FDZ28:FEB28"/>
    <mergeCell ref="FCS28:FCU28"/>
    <mergeCell ref="FCV28:FCX28"/>
    <mergeCell ref="FCY28:FDA28"/>
    <mergeCell ref="FDB28:FDD28"/>
    <mergeCell ref="FDE28:FDG28"/>
    <mergeCell ref="FDH28:FDJ28"/>
    <mergeCell ref="FKI28:FKK28"/>
    <mergeCell ref="FKL28:FKN28"/>
    <mergeCell ref="FKO28:FKQ28"/>
    <mergeCell ref="FKR28:FKT28"/>
    <mergeCell ref="FKU28:FKW28"/>
    <mergeCell ref="FKX28:FKZ28"/>
    <mergeCell ref="FJQ28:FJS28"/>
    <mergeCell ref="FJT28:FJV28"/>
    <mergeCell ref="FJW28:FJY28"/>
    <mergeCell ref="FJZ28:FKB28"/>
    <mergeCell ref="FKC28:FKE28"/>
    <mergeCell ref="FKF28:FKH28"/>
    <mergeCell ref="FIY28:FJA28"/>
    <mergeCell ref="FJB28:FJD28"/>
    <mergeCell ref="FJE28:FJG28"/>
    <mergeCell ref="FJH28:FJJ28"/>
    <mergeCell ref="FJK28:FJM28"/>
    <mergeCell ref="FJN28:FJP28"/>
    <mergeCell ref="FIG28:FII28"/>
    <mergeCell ref="FIJ28:FIL28"/>
    <mergeCell ref="FIM28:FIO28"/>
    <mergeCell ref="FIP28:FIR28"/>
    <mergeCell ref="FIS28:FIU28"/>
    <mergeCell ref="FIV28:FIX28"/>
    <mergeCell ref="FHO28:FHQ28"/>
    <mergeCell ref="FHR28:FHT28"/>
    <mergeCell ref="FHU28:FHW28"/>
    <mergeCell ref="FHX28:FHZ28"/>
    <mergeCell ref="FIA28:FIC28"/>
    <mergeCell ref="FID28:FIF28"/>
    <mergeCell ref="FGW28:FGY28"/>
    <mergeCell ref="FGZ28:FHB28"/>
    <mergeCell ref="FHC28:FHE28"/>
    <mergeCell ref="FHF28:FHH28"/>
    <mergeCell ref="FHI28:FHK28"/>
    <mergeCell ref="FHL28:FHN28"/>
    <mergeCell ref="FOM28:FOO28"/>
    <mergeCell ref="FOP28:FOR28"/>
    <mergeCell ref="FOS28:FOU28"/>
    <mergeCell ref="FOV28:FOX28"/>
    <mergeCell ref="FOY28:FPA28"/>
    <mergeCell ref="FPB28:FPD28"/>
    <mergeCell ref="FNU28:FNW28"/>
    <mergeCell ref="FNX28:FNZ28"/>
    <mergeCell ref="FOA28:FOC28"/>
    <mergeCell ref="FOD28:FOF28"/>
    <mergeCell ref="FOG28:FOI28"/>
    <mergeCell ref="FOJ28:FOL28"/>
    <mergeCell ref="FNC28:FNE28"/>
    <mergeCell ref="FNF28:FNH28"/>
    <mergeCell ref="FNI28:FNK28"/>
    <mergeCell ref="FNL28:FNN28"/>
    <mergeCell ref="FNO28:FNQ28"/>
    <mergeCell ref="FNR28:FNT28"/>
    <mergeCell ref="FMK28:FMM28"/>
    <mergeCell ref="FMN28:FMP28"/>
    <mergeCell ref="FMQ28:FMS28"/>
    <mergeCell ref="FMT28:FMV28"/>
    <mergeCell ref="FMW28:FMY28"/>
    <mergeCell ref="FMZ28:FNB28"/>
    <mergeCell ref="FLS28:FLU28"/>
    <mergeCell ref="FLV28:FLX28"/>
    <mergeCell ref="FLY28:FMA28"/>
    <mergeCell ref="FMB28:FMD28"/>
    <mergeCell ref="FME28:FMG28"/>
    <mergeCell ref="FMH28:FMJ28"/>
    <mergeCell ref="FLA28:FLC28"/>
    <mergeCell ref="FLD28:FLF28"/>
    <mergeCell ref="FLG28:FLI28"/>
    <mergeCell ref="FLJ28:FLL28"/>
    <mergeCell ref="FLM28:FLO28"/>
    <mergeCell ref="FLP28:FLR28"/>
    <mergeCell ref="FSQ28:FSS28"/>
    <mergeCell ref="FST28:FSV28"/>
    <mergeCell ref="FSW28:FSY28"/>
    <mergeCell ref="FSZ28:FTB28"/>
    <mergeCell ref="FTC28:FTE28"/>
    <mergeCell ref="FTF28:FTH28"/>
    <mergeCell ref="FRY28:FSA28"/>
    <mergeCell ref="FSB28:FSD28"/>
    <mergeCell ref="FSE28:FSG28"/>
    <mergeCell ref="FSH28:FSJ28"/>
    <mergeCell ref="FSK28:FSM28"/>
    <mergeCell ref="FSN28:FSP28"/>
    <mergeCell ref="FRG28:FRI28"/>
    <mergeCell ref="FRJ28:FRL28"/>
    <mergeCell ref="FRM28:FRO28"/>
    <mergeCell ref="FRP28:FRR28"/>
    <mergeCell ref="FRS28:FRU28"/>
    <mergeCell ref="FRV28:FRX28"/>
    <mergeCell ref="FQO28:FQQ28"/>
    <mergeCell ref="FQR28:FQT28"/>
    <mergeCell ref="FQU28:FQW28"/>
    <mergeCell ref="FQX28:FQZ28"/>
    <mergeCell ref="FRA28:FRC28"/>
    <mergeCell ref="FRD28:FRF28"/>
    <mergeCell ref="FPW28:FPY28"/>
    <mergeCell ref="FPZ28:FQB28"/>
    <mergeCell ref="FQC28:FQE28"/>
    <mergeCell ref="FQF28:FQH28"/>
    <mergeCell ref="FQI28:FQK28"/>
    <mergeCell ref="FQL28:FQN28"/>
    <mergeCell ref="FPE28:FPG28"/>
    <mergeCell ref="FPH28:FPJ28"/>
    <mergeCell ref="FPK28:FPM28"/>
    <mergeCell ref="FPN28:FPP28"/>
    <mergeCell ref="FPQ28:FPS28"/>
    <mergeCell ref="FPT28:FPV28"/>
    <mergeCell ref="FWU28:FWW28"/>
    <mergeCell ref="FWX28:FWZ28"/>
    <mergeCell ref="FXA28:FXC28"/>
    <mergeCell ref="FXD28:FXF28"/>
    <mergeCell ref="FXG28:FXI28"/>
    <mergeCell ref="FXJ28:FXL28"/>
    <mergeCell ref="FWC28:FWE28"/>
    <mergeCell ref="FWF28:FWH28"/>
    <mergeCell ref="FWI28:FWK28"/>
    <mergeCell ref="FWL28:FWN28"/>
    <mergeCell ref="FWO28:FWQ28"/>
    <mergeCell ref="FWR28:FWT28"/>
    <mergeCell ref="FVK28:FVM28"/>
    <mergeCell ref="FVN28:FVP28"/>
    <mergeCell ref="FVQ28:FVS28"/>
    <mergeCell ref="FVT28:FVV28"/>
    <mergeCell ref="FVW28:FVY28"/>
    <mergeCell ref="FVZ28:FWB28"/>
    <mergeCell ref="FUS28:FUU28"/>
    <mergeCell ref="FUV28:FUX28"/>
    <mergeCell ref="FUY28:FVA28"/>
    <mergeCell ref="FVB28:FVD28"/>
    <mergeCell ref="FVE28:FVG28"/>
    <mergeCell ref="FVH28:FVJ28"/>
    <mergeCell ref="FUA28:FUC28"/>
    <mergeCell ref="FUD28:FUF28"/>
    <mergeCell ref="FUG28:FUI28"/>
    <mergeCell ref="FUJ28:FUL28"/>
    <mergeCell ref="FUM28:FUO28"/>
    <mergeCell ref="FUP28:FUR28"/>
    <mergeCell ref="FTI28:FTK28"/>
    <mergeCell ref="FTL28:FTN28"/>
    <mergeCell ref="FTO28:FTQ28"/>
    <mergeCell ref="FTR28:FTT28"/>
    <mergeCell ref="FTU28:FTW28"/>
    <mergeCell ref="FTX28:FTZ28"/>
    <mergeCell ref="GAY28:GBA28"/>
    <mergeCell ref="GBB28:GBD28"/>
    <mergeCell ref="GBE28:GBG28"/>
    <mergeCell ref="GBH28:GBJ28"/>
    <mergeCell ref="GBK28:GBM28"/>
    <mergeCell ref="GBN28:GBP28"/>
    <mergeCell ref="GAG28:GAI28"/>
    <mergeCell ref="GAJ28:GAL28"/>
    <mergeCell ref="GAM28:GAO28"/>
    <mergeCell ref="GAP28:GAR28"/>
    <mergeCell ref="GAS28:GAU28"/>
    <mergeCell ref="GAV28:GAX28"/>
    <mergeCell ref="FZO28:FZQ28"/>
    <mergeCell ref="FZR28:FZT28"/>
    <mergeCell ref="FZU28:FZW28"/>
    <mergeCell ref="FZX28:FZZ28"/>
    <mergeCell ref="GAA28:GAC28"/>
    <mergeCell ref="GAD28:GAF28"/>
    <mergeCell ref="FYW28:FYY28"/>
    <mergeCell ref="FYZ28:FZB28"/>
    <mergeCell ref="FZC28:FZE28"/>
    <mergeCell ref="FZF28:FZH28"/>
    <mergeCell ref="FZI28:FZK28"/>
    <mergeCell ref="FZL28:FZN28"/>
    <mergeCell ref="FYE28:FYG28"/>
    <mergeCell ref="FYH28:FYJ28"/>
    <mergeCell ref="FYK28:FYM28"/>
    <mergeCell ref="FYN28:FYP28"/>
    <mergeCell ref="FYQ28:FYS28"/>
    <mergeCell ref="FYT28:FYV28"/>
    <mergeCell ref="FXM28:FXO28"/>
    <mergeCell ref="FXP28:FXR28"/>
    <mergeCell ref="FXS28:FXU28"/>
    <mergeCell ref="FXV28:FXX28"/>
    <mergeCell ref="FXY28:FYA28"/>
    <mergeCell ref="FYB28:FYD28"/>
    <mergeCell ref="GFC28:GFE28"/>
    <mergeCell ref="GFF28:GFH28"/>
    <mergeCell ref="GFI28:GFK28"/>
    <mergeCell ref="GFL28:GFN28"/>
    <mergeCell ref="GFO28:GFQ28"/>
    <mergeCell ref="GFR28:GFT28"/>
    <mergeCell ref="GEK28:GEM28"/>
    <mergeCell ref="GEN28:GEP28"/>
    <mergeCell ref="GEQ28:GES28"/>
    <mergeCell ref="GET28:GEV28"/>
    <mergeCell ref="GEW28:GEY28"/>
    <mergeCell ref="GEZ28:GFB28"/>
    <mergeCell ref="GDS28:GDU28"/>
    <mergeCell ref="GDV28:GDX28"/>
    <mergeCell ref="GDY28:GEA28"/>
    <mergeCell ref="GEB28:GED28"/>
    <mergeCell ref="GEE28:GEG28"/>
    <mergeCell ref="GEH28:GEJ28"/>
    <mergeCell ref="GDA28:GDC28"/>
    <mergeCell ref="GDD28:GDF28"/>
    <mergeCell ref="GDG28:GDI28"/>
    <mergeCell ref="GDJ28:GDL28"/>
    <mergeCell ref="GDM28:GDO28"/>
    <mergeCell ref="GDP28:GDR28"/>
    <mergeCell ref="GCI28:GCK28"/>
    <mergeCell ref="GCL28:GCN28"/>
    <mergeCell ref="GCO28:GCQ28"/>
    <mergeCell ref="GCR28:GCT28"/>
    <mergeCell ref="GCU28:GCW28"/>
    <mergeCell ref="GCX28:GCZ28"/>
    <mergeCell ref="GBQ28:GBS28"/>
    <mergeCell ref="GBT28:GBV28"/>
    <mergeCell ref="GBW28:GBY28"/>
    <mergeCell ref="GBZ28:GCB28"/>
    <mergeCell ref="GCC28:GCE28"/>
    <mergeCell ref="GCF28:GCH28"/>
    <mergeCell ref="GJG28:GJI28"/>
    <mergeCell ref="GJJ28:GJL28"/>
    <mergeCell ref="GJM28:GJO28"/>
    <mergeCell ref="GJP28:GJR28"/>
    <mergeCell ref="GJS28:GJU28"/>
    <mergeCell ref="GJV28:GJX28"/>
    <mergeCell ref="GIO28:GIQ28"/>
    <mergeCell ref="GIR28:GIT28"/>
    <mergeCell ref="GIU28:GIW28"/>
    <mergeCell ref="GIX28:GIZ28"/>
    <mergeCell ref="GJA28:GJC28"/>
    <mergeCell ref="GJD28:GJF28"/>
    <mergeCell ref="GHW28:GHY28"/>
    <mergeCell ref="GHZ28:GIB28"/>
    <mergeCell ref="GIC28:GIE28"/>
    <mergeCell ref="GIF28:GIH28"/>
    <mergeCell ref="GII28:GIK28"/>
    <mergeCell ref="GIL28:GIN28"/>
    <mergeCell ref="GHE28:GHG28"/>
    <mergeCell ref="GHH28:GHJ28"/>
    <mergeCell ref="GHK28:GHM28"/>
    <mergeCell ref="GHN28:GHP28"/>
    <mergeCell ref="GHQ28:GHS28"/>
    <mergeCell ref="GHT28:GHV28"/>
    <mergeCell ref="GGM28:GGO28"/>
    <mergeCell ref="GGP28:GGR28"/>
    <mergeCell ref="GGS28:GGU28"/>
    <mergeCell ref="GGV28:GGX28"/>
    <mergeCell ref="GGY28:GHA28"/>
    <mergeCell ref="GHB28:GHD28"/>
    <mergeCell ref="GFU28:GFW28"/>
    <mergeCell ref="GFX28:GFZ28"/>
    <mergeCell ref="GGA28:GGC28"/>
    <mergeCell ref="GGD28:GGF28"/>
    <mergeCell ref="GGG28:GGI28"/>
    <mergeCell ref="GGJ28:GGL28"/>
    <mergeCell ref="GNK28:GNM28"/>
    <mergeCell ref="GNN28:GNP28"/>
    <mergeCell ref="GNQ28:GNS28"/>
    <mergeCell ref="GNT28:GNV28"/>
    <mergeCell ref="GNW28:GNY28"/>
    <mergeCell ref="GNZ28:GOB28"/>
    <mergeCell ref="GMS28:GMU28"/>
    <mergeCell ref="GMV28:GMX28"/>
    <mergeCell ref="GMY28:GNA28"/>
    <mergeCell ref="GNB28:GND28"/>
    <mergeCell ref="GNE28:GNG28"/>
    <mergeCell ref="GNH28:GNJ28"/>
    <mergeCell ref="GMA28:GMC28"/>
    <mergeCell ref="GMD28:GMF28"/>
    <mergeCell ref="GMG28:GMI28"/>
    <mergeCell ref="GMJ28:GML28"/>
    <mergeCell ref="GMM28:GMO28"/>
    <mergeCell ref="GMP28:GMR28"/>
    <mergeCell ref="GLI28:GLK28"/>
    <mergeCell ref="GLL28:GLN28"/>
    <mergeCell ref="GLO28:GLQ28"/>
    <mergeCell ref="GLR28:GLT28"/>
    <mergeCell ref="GLU28:GLW28"/>
    <mergeCell ref="GLX28:GLZ28"/>
    <mergeCell ref="GKQ28:GKS28"/>
    <mergeCell ref="GKT28:GKV28"/>
    <mergeCell ref="GKW28:GKY28"/>
    <mergeCell ref="GKZ28:GLB28"/>
    <mergeCell ref="GLC28:GLE28"/>
    <mergeCell ref="GLF28:GLH28"/>
    <mergeCell ref="GJY28:GKA28"/>
    <mergeCell ref="GKB28:GKD28"/>
    <mergeCell ref="GKE28:GKG28"/>
    <mergeCell ref="GKH28:GKJ28"/>
    <mergeCell ref="GKK28:GKM28"/>
    <mergeCell ref="GKN28:GKP28"/>
    <mergeCell ref="GRO28:GRQ28"/>
    <mergeCell ref="GRR28:GRT28"/>
    <mergeCell ref="GRU28:GRW28"/>
    <mergeCell ref="GRX28:GRZ28"/>
    <mergeCell ref="GSA28:GSC28"/>
    <mergeCell ref="GSD28:GSF28"/>
    <mergeCell ref="GQW28:GQY28"/>
    <mergeCell ref="GQZ28:GRB28"/>
    <mergeCell ref="GRC28:GRE28"/>
    <mergeCell ref="GRF28:GRH28"/>
    <mergeCell ref="GRI28:GRK28"/>
    <mergeCell ref="GRL28:GRN28"/>
    <mergeCell ref="GQE28:GQG28"/>
    <mergeCell ref="GQH28:GQJ28"/>
    <mergeCell ref="GQK28:GQM28"/>
    <mergeCell ref="GQN28:GQP28"/>
    <mergeCell ref="GQQ28:GQS28"/>
    <mergeCell ref="GQT28:GQV28"/>
    <mergeCell ref="GPM28:GPO28"/>
    <mergeCell ref="GPP28:GPR28"/>
    <mergeCell ref="GPS28:GPU28"/>
    <mergeCell ref="GPV28:GPX28"/>
    <mergeCell ref="GPY28:GQA28"/>
    <mergeCell ref="GQB28:GQD28"/>
    <mergeCell ref="GOU28:GOW28"/>
    <mergeCell ref="GOX28:GOZ28"/>
    <mergeCell ref="GPA28:GPC28"/>
    <mergeCell ref="GPD28:GPF28"/>
    <mergeCell ref="GPG28:GPI28"/>
    <mergeCell ref="GPJ28:GPL28"/>
    <mergeCell ref="GOC28:GOE28"/>
    <mergeCell ref="GOF28:GOH28"/>
    <mergeCell ref="GOI28:GOK28"/>
    <mergeCell ref="GOL28:GON28"/>
    <mergeCell ref="GOO28:GOQ28"/>
    <mergeCell ref="GOR28:GOT28"/>
    <mergeCell ref="GVS28:GVU28"/>
    <mergeCell ref="GVV28:GVX28"/>
    <mergeCell ref="GVY28:GWA28"/>
    <mergeCell ref="GWB28:GWD28"/>
    <mergeCell ref="GWE28:GWG28"/>
    <mergeCell ref="GWH28:GWJ28"/>
    <mergeCell ref="GVA28:GVC28"/>
    <mergeCell ref="GVD28:GVF28"/>
    <mergeCell ref="GVG28:GVI28"/>
    <mergeCell ref="GVJ28:GVL28"/>
    <mergeCell ref="GVM28:GVO28"/>
    <mergeCell ref="GVP28:GVR28"/>
    <mergeCell ref="GUI28:GUK28"/>
    <mergeCell ref="GUL28:GUN28"/>
    <mergeCell ref="GUO28:GUQ28"/>
    <mergeCell ref="GUR28:GUT28"/>
    <mergeCell ref="GUU28:GUW28"/>
    <mergeCell ref="GUX28:GUZ28"/>
    <mergeCell ref="GTQ28:GTS28"/>
    <mergeCell ref="GTT28:GTV28"/>
    <mergeCell ref="GTW28:GTY28"/>
    <mergeCell ref="GTZ28:GUB28"/>
    <mergeCell ref="GUC28:GUE28"/>
    <mergeCell ref="GUF28:GUH28"/>
    <mergeCell ref="GSY28:GTA28"/>
    <mergeCell ref="GTB28:GTD28"/>
    <mergeCell ref="GTE28:GTG28"/>
    <mergeCell ref="GTH28:GTJ28"/>
    <mergeCell ref="GTK28:GTM28"/>
    <mergeCell ref="GTN28:GTP28"/>
    <mergeCell ref="GSG28:GSI28"/>
    <mergeCell ref="GSJ28:GSL28"/>
    <mergeCell ref="GSM28:GSO28"/>
    <mergeCell ref="GSP28:GSR28"/>
    <mergeCell ref="GSS28:GSU28"/>
    <mergeCell ref="GSV28:GSX28"/>
    <mergeCell ref="GZW28:GZY28"/>
    <mergeCell ref="GZZ28:HAB28"/>
    <mergeCell ref="HAC28:HAE28"/>
    <mergeCell ref="HAF28:HAH28"/>
    <mergeCell ref="HAI28:HAK28"/>
    <mergeCell ref="HAL28:HAN28"/>
    <mergeCell ref="GZE28:GZG28"/>
    <mergeCell ref="GZH28:GZJ28"/>
    <mergeCell ref="GZK28:GZM28"/>
    <mergeCell ref="GZN28:GZP28"/>
    <mergeCell ref="GZQ28:GZS28"/>
    <mergeCell ref="GZT28:GZV28"/>
    <mergeCell ref="GYM28:GYO28"/>
    <mergeCell ref="GYP28:GYR28"/>
    <mergeCell ref="GYS28:GYU28"/>
    <mergeCell ref="GYV28:GYX28"/>
    <mergeCell ref="GYY28:GZA28"/>
    <mergeCell ref="GZB28:GZD28"/>
    <mergeCell ref="GXU28:GXW28"/>
    <mergeCell ref="GXX28:GXZ28"/>
    <mergeCell ref="GYA28:GYC28"/>
    <mergeCell ref="GYD28:GYF28"/>
    <mergeCell ref="GYG28:GYI28"/>
    <mergeCell ref="GYJ28:GYL28"/>
    <mergeCell ref="GXC28:GXE28"/>
    <mergeCell ref="GXF28:GXH28"/>
    <mergeCell ref="GXI28:GXK28"/>
    <mergeCell ref="GXL28:GXN28"/>
    <mergeCell ref="GXO28:GXQ28"/>
    <mergeCell ref="GXR28:GXT28"/>
    <mergeCell ref="GWK28:GWM28"/>
    <mergeCell ref="GWN28:GWP28"/>
    <mergeCell ref="GWQ28:GWS28"/>
    <mergeCell ref="GWT28:GWV28"/>
    <mergeCell ref="GWW28:GWY28"/>
    <mergeCell ref="GWZ28:GXB28"/>
    <mergeCell ref="HEA28:HEC28"/>
    <mergeCell ref="HED28:HEF28"/>
    <mergeCell ref="HEG28:HEI28"/>
    <mergeCell ref="HEJ28:HEL28"/>
    <mergeCell ref="HEM28:HEO28"/>
    <mergeCell ref="HEP28:HER28"/>
    <mergeCell ref="HDI28:HDK28"/>
    <mergeCell ref="HDL28:HDN28"/>
    <mergeCell ref="HDO28:HDQ28"/>
    <mergeCell ref="HDR28:HDT28"/>
    <mergeCell ref="HDU28:HDW28"/>
    <mergeCell ref="HDX28:HDZ28"/>
    <mergeCell ref="HCQ28:HCS28"/>
    <mergeCell ref="HCT28:HCV28"/>
    <mergeCell ref="HCW28:HCY28"/>
    <mergeCell ref="HCZ28:HDB28"/>
    <mergeCell ref="HDC28:HDE28"/>
    <mergeCell ref="HDF28:HDH28"/>
    <mergeCell ref="HBY28:HCA28"/>
    <mergeCell ref="HCB28:HCD28"/>
    <mergeCell ref="HCE28:HCG28"/>
    <mergeCell ref="HCH28:HCJ28"/>
    <mergeCell ref="HCK28:HCM28"/>
    <mergeCell ref="HCN28:HCP28"/>
    <mergeCell ref="HBG28:HBI28"/>
    <mergeCell ref="HBJ28:HBL28"/>
    <mergeCell ref="HBM28:HBO28"/>
    <mergeCell ref="HBP28:HBR28"/>
    <mergeCell ref="HBS28:HBU28"/>
    <mergeCell ref="HBV28:HBX28"/>
    <mergeCell ref="HAO28:HAQ28"/>
    <mergeCell ref="HAR28:HAT28"/>
    <mergeCell ref="HAU28:HAW28"/>
    <mergeCell ref="HAX28:HAZ28"/>
    <mergeCell ref="HBA28:HBC28"/>
    <mergeCell ref="HBD28:HBF28"/>
    <mergeCell ref="HIE28:HIG28"/>
    <mergeCell ref="HIH28:HIJ28"/>
    <mergeCell ref="HIK28:HIM28"/>
    <mergeCell ref="HIN28:HIP28"/>
    <mergeCell ref="HIQ28:HIS28"/>
    <mergeCell ref="HIT28:HIV28"/>
    <mergeCell ref="HHM28:HHO28"/>
    <mergeCell ref="HHP28:HHR28"/>
    <mergeCell ref="HHS28:HHU28"/>
    <mergeCell ref="HHV28:HHX28"/>
    <mergeCell ref="HHY28:HIA28"/>
    <mergeCell ref="HIB28:HID28"/>
    <mergeCell ref="HGU28:HGW28"/>
    <mergeCell ref="HGX28:HGZ28"/>
    <mergeCell ref="HHA28:HHC28"/>
    <mergeCell ref="HHD28:HHF28"/>
    <mergeCell ref="HHG28:HHI28"/>
    <mergeCell ref="HHJ28:HHL28"/>
    <mergeCell ref="HGC28:HGE28"/>
    <mergeCell ref="HGF28:HGH28"/>
    <mergeCell ref="HGI28:HGK28"/>
    <mergeCell ref="HGL28:HGN28"/>
    <mergeCell ref="HGO28:HGQ28"/>
    <mergeCell ref="HGR28:HGT28"/>
    <mergeCell ref="HFK28:HFM28"/>
    <mergeCell ref="HFN28:HFP28"/>
    <mergeCell ref="HFQ28:HFS28"/>
    <mergeCell ref="HFT28:HFV28"/>
    <mergeCell ref="HFW28:HFY28"/>
    <mergeCell ref="HFZ28:HGB28"/>
    <mergeCell ref="HES28:HEU28"/>
    <mergeCell ref="HEV28:HEX28"/>
    <mergeCell ref="HEY28:HFA28"/>
    <mergeCell ref="HFB28:HFD28"/>
    <mergeCell ref="HFE28:HFG28"/>
    <mergeCell ref="HFH28:HFJ28"/>
    <mergeCell ref="HMI28:HMK28"/>
    <mergeCell ref="HML28:HMN28"/>
    <mergeCell ref="HMO28:HMQ28"/>
    <mergeCell ref="HMR28:HMT28"/>
    <mergeCell ref="HMU28:HMW28"/>
    <mergeCell ref="HMX28:HMZ28"/>
    <mergeCell ref="HLQ28:HLS28"/>
    <mergeCell ref="HLT28:HLV28"/>
    <mergeCell ref="HLW28:HLY28"/>
    <mergeCell ref="HLZ28:HMB28"/>
    <mergeCell ref="HMC28:HME28"/>
    <mergeCell ref="HMF28:HMH28"/>
    <mergeCell ref="HKY28:HLA28"/>
    <mergeCell ref="HLB28:HLD28"/>
    <mergeCell ref="HLE28:HLG28"/>
    <mergeCell ref="HLH28:HLJ28"/>
    <mergeCell ref="HLK28:HLM28"/>
    <mergeCell ref="HLN28:HLP28"/>
    <mergeCell ref="HKG28:HKI28"/>
    <mergeCell ref="HKJ28:HKL28"/>
    <mergeCell ref="HKM28:HKO28"/>
    <mergeCell ref="HKP28:HKR28"/>
    <mergeCell ref="HKS28:HKU28"/>
    <mergeCell ref="HKV28:HKX28"/>
    <mergeCell ref="HJO28:HJQ28"/>
    <mergeCell ref="HJR28:HJT28"/>
    <mergeCell ref="HJU28:HJW28"/>
    <mergeCell ref="HJX28:HJZ28"/>
    <mergeCell ref="HKA28:HKC28"/>
    <mergeCell ref="HKD28:HKF28"/>
    <mergeCell ref="HIW28:HIY28"/>
    <mergeCell ref="HIZ28:HJB28"/>
    <mergeCell ref="HJC28:HJE28"/>
    <mergeCell ref="HJF28:HJH28"/>
    <mergeCell ref="HJI28:HJK28"/>
    <mergeCell ref="HJL28:HJN28"/>
    <mergeCell ref="HQM28:HQO28"/>
    <mergeCell ref="HQP28:HQR28"/>
    <mergeCell ref="HQS28:HQU28"/>
    <mergeCell ref="HQV28:HQX28"/>
    <mergeCell ref="HQY28:HRA28"/>
    <mergeCell ref="HRB28:HRD28"/>
    <mergeCell ref="HPU28:HPW28"/>
    <mergeCell ref="HPX28:HPZ28"/>
    <mergeCell ref="HQA28:HQC28"/>
    <mergeCell ref="HQD28:HQF28"/>
    <mergeCell ref="HQG28:HQI28"/>
    <mergeCell ref="HQJ28:HQL28"/>
    <mergeCell ref="HPC28:HPE28"/>
    <mergeCell ref="HPF28:HPH28"/>
    <mergeCell ref="HPI28:HPK28"/>
    <mergeCell ref="HPL28:HPN28"/>
    <mergeCell ref="HPO28:HPQ28"/>
    <mergeCell ref="HPR28:HPT28"/>
    <mergeCell ref="HOK28:HOM28"/>
    <mergeCell ref="HON28:HOP28"/>
    <mergeCell ref="HOQ28:HOS28"/>
    <mergeCell ref="HOT28:HOV28"/>
    <mergeCell ref="HOW28:HOY28"/>
    <mergeCell ref="HOZ28:HPB28"/>
    <mergeCell ref="HNS28:HNU28"/>
    <mergeCell ref="HNV28:HNX28"/>
    <mergeCell ref="HNY28:HOA28"/>
    <mergeCell ref="HOB28:HOD28"/>
    <mergeCell ref="HOE28:HOG28"/>
    <mergeCell ref="HOH28:HOJ28"/>
    <mergeCell ref="HNA28:HNC28"/>
    <mergeCell ref="HND28:HNF28"/>
    <mergeCell ref="HNG28:HNI28"/>
    <mergeCell ref="HNJ28:HNL28"/>
    <mergeCell ref="HNM28:HNO28"/>
    <mergeCell ref="HNP28:HNR28"/>
    <mergeCell ref="HUQ28:HUS28"/>
    <mergeCell ref="HUT28:HUV28"/>
    <mergeCell ref="HUW28:HUY28"/>
    <mergeCell ref="HUZ28:HVB28"/>
    <mergeCell ref="HVC28:HVE28"/>
    <mergeCell ref="HVF28:HVH28"/>
    <mergeCell ref="HTY28:HUA28"/>
    <mergeCell ref="HUB28:HUD28"/>
    <mergeCell ref="HUE28:HUG28"/>
    <mergeCell ref="HUH28:HUJ28"/>
    <mergeCell ref="HUK28:HUM28"/>
    <mergeCell ref="HUN28:HUP28"/>
    <mergeCell ref="HTG28:HTI28"/>
    <mergeCell ref="HTJ28:HTL28"/>
    <mergeCell ref="HTM28:HTO28"/>
    <mergeCell ref="HTP28:HTR28"/>
    <mergeCell ref="HTS28:HTU28"/>
    <mergeCell ref="HTV28:HTX28"/>
    <mergeCell ref="HSO28:HSQ28"/>
    <mergeCell ref="HSR28:HST28"/>
    <mergeCell ref="HSU28:HSW28"/>
    <mergeCell ref="HSX28:HSZ28"/>
    <mergeCell ref="HTA28:HTC28"/>
    <mergeCell ref="HTD28:HTF28"/>
    <mergeCell ref="HRW28:HRY28"/>
    <mergeCell ref="HRZ28:HSB28"/>
    <mergeCell ref="HSC28:HSE28"/>
    <mergeCell ref="HSF28:HSH28"/>
    <mergeCell ref="HSI28:HSK28"/>
    <mergeCell ref="HSL28:HSN28"/>
    <mergeCell ref="HRE28:HRG28"/>
    <mergeCell ref="HRH28:HRJ28"/>
    <mergeCell ref="HRK28:HRM28"/>
    <mergeCell ref="HRN28:HRP28"/>
    <mergeCell ref="HRQ28:HRS28"/>
    <mergeCell ref="HRT28:HRV28"/>
    <mergeCell ref="HYU28:HYW28"/>
    <mergeCell ref="HYX28:HYZ28"/>
    <mergeCell ref="HZA28:HZC28"/>
    <mergeCell ref="HZD28:HZF28"/>
    <mergeCell ref="HZG28:HZI28"/>
    <mergeCell ref="HZJ28:HZL28"/>
    <mergeCell ref="HYC28:HYE28"/>
    <mergeCell ref="HYF28:HYH28"/>
    <mergeCell ref="HYI28:HYK28"/>
    <mergeCell ref="HYL28:HYN28"/>
    <mergeCell ref="HYO28:HYQ28"/>
    <mergeCell ref="HYR28:HYT28"/>
    <mergeCell ref="HXK28:HXM28"/>
    <mergeCell ref="HXN28:HXP28"/>
    <mergeCell ref="HXQ28:HXS28"/>
    <mergeCell ref="HXT28:HXV28"/>
    <mergeCell ref="HXW28:HXY28"/>
    <mergeCell ref="HXZ28:HYB28"/>
    <mergeCell ref="HWS28:HWU28"/>
    <mergeCell ref="HWV28:HWX28"/>
    <mergeCell ref="HWY28:HXA28"/>
    <mergeCell ref="HXB28:HXD28"/>
    <mergeCell ref="HXE28:HXG28"/>
    <mergeCell ref="HXH28:HXJ28"/>
    <mergeCell ref="HWA28:HWC28"/>
    <mergeCell ref="HWD28:HWF28"/>
    <mergeCell ref="HWG28:HWI28"/>
    <mergeCell ref="HWJ28:HWL28"/>
    <mergeCell ref="HWM28:HWO28"/>
    <mergeCell ref="HWP28:HWR28"/>
    <mergeCell ref="HVI28:HVK28"/>
    <mergeCell ref="HVL28:HVN28"/>
    <mergeCell ref="HVO28:HVQ28"/>
    <mergeCell ref="HVR28:HVT28"/>
    <mergeCell ref="HVU28:HVW28"/>
    <mergeCell ref="HVX28:HVZ28"/>
    <mergeCell ref="ICY28:IDA28"/>
    <mergeCell ref="IDB28:IDD28"/>
    <mergeCell ref="IDE28:IDG28"/>
    <mergeCell ref="IDH28:IDJ28"/>
    <mergeCell ref="IDK28:IDM28"/>
    <mergeCell ref="IDN28:IDP28"/>
    <mergeCell ref="ICG28:ICI28"/>
    <mergeCell ref="ICJ28:ICL28"/>
    <mergeCell ref="ICM28:ICO28"/>
    <mergeCell ref="ICP28:ICR28"/>
    <mergeCell ref="ICS28:ICU28"/>
    <mergeCell ref="ICV28:ICX28"/>
    <mergeCell ref="IBO28:IBQ28"/>
    <mergeCell ref="IBR28:IBT28"/>
    <mergeCell ref="IBU28:IBW28"/>
    <mergeCell ref="IBX28:IBZ28"/>
    <mergeCell ref="ICA28:ICC28"/>
    <mergeCell ref="ICD28:ICF28"/>
    <mergeCell ref="IAW28:IAY28"/>
    <mergeCell ref="IAZ28:IBB28"/>
    <mergeCell ref="IBC28:IBE28"/>
    <mergeCell ref="IBF28:IBH28"/>
    <mergeCell ref="IBI28:IBK28"/>
    <mergeCell ref="IBL28:IBN28"/>
    <mergeCell ref="IAE28:IAG28"/>
    <mergeCell ref="IAH28:IAJ28"/>
    <mergeCell ref="IAK28:IAM28"/>
    <mergeCell ref="IAN28:IAP28"/>
    <mergeCell ref="IAQ28:IAS28"/>
    <mergeCell ref="IAT28:IAV28"/>
    <mergeCell ref="HZM28:HZO28"/>
    <mergeCell ref="HZP28:HZR28"/>
    <mergeCell ref="HZS28:HZU28"/>
    <mergeCell ref="HZV28:HZX28"/>
    <mergeCell ref="HZY28:IAA28"/>
    <mergeCell ref="IAB28:IAD28"/>
    <mergeCell ref="IHC28:IHE28"/>
    <mergeCell ref="IHF28:IHH28"/>
    <mergeCell ref="IHI28:IHK28"/>
    <mergeCell ref="IHL28:IHN28"/>
    <mergeCell ref="IHO28:IHQ28"/>
    <mergeCell ref="IHR28:IHT28"/>
    <mergeCell ref="IGK28:IGM28"/>
    <mergeCell ref="IGN28:IGP28"/>
    <mergeCell ref="IGQ28:IGS28"/>
    <mergeCell ref="IGT28:IGV28"/>
    <mergeCell ref="IGW28:IGY28"/>
    <mergeCell ref="IGZ28:IHB28"/>
    <mergeCell ref="IFS28:IFU28"/>
    <mergeCell ref="IFV28:IFX28"/>
    <mergeCell ref="IFY28:IGA28"/>
    <mergeCell ref="IGB28:IGD28"/>
    <mergeCell ref="IGE28:IGG28"/>
    <mergeCell ref="IGH28:IGJ28"/>
    <mergeCell ref="IFA28:IFC28"/>
    <mergeCell ref="IFD28:IFF28"/>
    <mergeCell ref="IFG28:IFI28"/>
    <mergeCell ref="IFJ28:IFL28"/>
    <mergeCell ref="IFM28:IFO28"/>
    <mergeCell ref="IFP28:IFR28"/>
    <mergeCell ref="IEI28:IEK28"/>
    <mergeCell ref="IEL28:IEN28"/>
    <mergeCell ref="IEO28:IEQ28"/>
    <mergeCell ref="IER28:IET28"/>
    <mergeCell ref="IEU28:IEW28"/>
    <mergeCell ref="IEX28:IEZ28"/>
    <mergeCell ref="IDQ28:IDS28"/>
    <mergeCell ref="IDT28:IDV28"/>
    <mergeCell ref="IDW28:IDY28"/>
    <mergeCell ref="IDZ28:IEB28"/>
    <mergeCell ref="IEC28:IEE28"/>
    <mergeCell ref="IEF28:IEH28"/>
    <mergeCell ref="ILG28:ILI28"/>
    <mergeCell ref="ILJ28:ILL28"/>
    <mergeCell ref="ILM28:ILO28"/>
    <mergeCell ref="ILP28:ILR28"/>
    <mergeCell ref="ILS28:ILU28"/>
    <mergeCell ref="ILV28:ILX28"/>
    <mergeCell ref="IKO28:IKQ28"/>
    <mergeCell ref="IKR28:IKT28"/>
    <mergeCell ref="IKU28:IKW28"/>
    <mergeCell ref="IKX28:IKZ28"/>
    <mergeCell ref="ILA28:ILC28"/>
    <mergeCell ref="ILD28:ILF28"/>
    <mergeCell ref="IJW28:IJY28"/>
    <mergeCell ref="IJZ28:IKB28"/>
    <mergeCell ref="IKC28:IKE28"/>
    <mergeCell ref="IKF28:IKH28"/>
    <mergeCell ref="IKI28:IKK28"/>
    <mergeCell ref="IKL28:IKN28"/>
    <mergeCell ref="IJE28:IJG28"/>
    <mergeCell ref="IJH28:IJJ28"/>
    <mergeCell ref="IJK28:IJM28"/>
    <mergeCell ref="IJN28:IJP28"/>
    <mergeCell ref="IJQ28:IJS28"/>
    <mergeCell ref="IJT28:IJV28"/>
    <mergeCell ref="IIM28:IIO28"/>
    <mergeCell ref="IIP28:IIR28"/>
    <mergeCell ref="IIS28:IIU28"/>
    <mergeCell ref="IIV28:IIX28"/>
    <mergeCell ref="IIY28:IJA28"/>
    <mergeCell ref="IJB28:IJD28"/>
    <mergeCell ref="IHU28:IHW28"/>
    <mergeCell ref="IHX28:IHZ28"/>
    <mergeCell ref="IIA28:IIC28"/>
    <mergeCell ref="IID28:IIF28"/>
    <mergeCell ref="IIG28:III28"/>
    <mergeCell ref="IIJ28:IIL28"/>
    <mergeCell ref="IPK28:IPM28"/>
    <mergeCell ref="IPN28:IPP28"/>
    <mergeCell ref="IPQ28:IPS28"/>
    <mergeCell ref="IPT28:IPV28"/>
    <mergeCell ref="IPW28:IPY28"/>
    <mergeCell ref="IPZ28:IQB28"/>
    <mergeCell ref="IOS28:IOU28"/>
    <mergeCell ref="IOV28:IOX28"/>
    <mergeCell ref="IOY28:IPA28"/>
    <mergeCell ref="IPB28:IPD28"/>
    <mergeCell ref="IPE28:IPG28"/>
    <mergeCell ref="IPH28:IPJ28"/>
    <mergeCell ref="IOA28:IOC28"/>
    <mergeCell ref="IOD28:IOF28"/>
    <mergeCell ref="IOG28:IOI28"/>
    <mergeCell ref="IOJ28:IOL28"/>
    <mergeCell ref="IOM28:IOO28"/>
    <mergeCell ref="IOP28:IOR28"/>
    <mergeCell ref="INI28:INK28"/>
    <mergeCell ref="INL28:INN28"/>
    <mergeCell ref="INO28:INQ28"/>
    <mergeCell ref="INR28:INT28"/>
    <mergeCell ref="INU28:INW28"/>
    <mergeCell ref="INX28:INZ28"/>
    <mergeCell ref="IMQ28:IMS28"/>
    <mergeCell ref="IMT28:IMV28"/>
    <mergeCell ref="IMW28:IMY28"/>
    <mergeCell ref="IMZ28:INB28"/>
    <mergeCell ref="INC28:INE28"/>
    <mergeCell ref="INF28:INH28"/>
    <mergeCell ref="ILY28:IMA28"/>
    <mergeCell ref="IMB28:IMD28"/>
    <mergeCell ref="IME28:IMG28"/>
    <mergeCell ref="IMH28:IMJ28"/>
    <mergeCell ref="IMK28:IMM28"/>
    <mergeCell ref="IMN28:IMP28"/>
    <mergeCell ref="ITO28:ITQ28"/>
    <mergeCell ref="ITR28:ITT28"/>
    <mergeCell ref="ITU28:ITW28"/>
    <mergeCell ref="ITX28:ITZ28"/>
    <mergeCell ref="IUA28:IUC28"/>
    <mergeCell ref="IUD28:IUF28"/>
    <mergeCell ref="ISW28:ISY28"/>
    <mergeCell ref="ISZ28:ITB28"/>
    <mergeCell ref="ITC28:ITE28"/>
    <mergeCell ref="ITF28:ITH28"/>
    <mergeCell ref="ITI28:ITK28"/>
    <mergeCell ref="ITL28:ITN28"/>
    <mergeCell ref="ISE28:ISG28"/>
    <mergeCell ref="ISH28:ISJ28"/>
    <mergeCell ref="ISK28:ISM28"/>
    <mergeCell ref="ISN28:ISP28"/>
    <mergeCell ref="ISQ28:ISS28"/>
    <mergeCell ref="IST28:ISV28"/>
    <mergeCell ref="IRM28:IRO28"/>
    <mergeCell ref="IRP28:IRR28"/>
    <mergeCell ref="IRS28:IRU28"/>
    <mergeCell ref="IRV28:IRX28"/>
    <mergeCell ref="IRY28:ISA28"/>
    <mergeCell ref="ISB28:ISD28"/>
    <mergeCell ref="IQU28:IQW28"/>
    <mergeCell ref="IQX28:IQZ28"/>
    <mergeCell ref="IRA28:IRC28"/>
    <mergeCell ref="IRD28:IRF28"/>
    <mergeCell ref="IRG28:IRI28"/>
    <mergeCell ref="IRJ28:IRL28"/>
    <mergeCell ref="IQC28:IQE28"/>
    <mergeCell ref="IQF28:IQH28"/>
    <mergeCell ref="IQI28:IQK28"/>
    <mergeCell ref="IQL28:IQN28"/>
    <mergeCell ref="IQO28:IQQ28"/>
    <mergeCell ref="IQR28:IQT28"/>
    <mergeCell ref="IXS28:IXU28"/>
    <mergeCell ref="IXV28:IXX28"/>
    <mergeCell ref="IXY28:IYA28"/>
    <mergeCell ref="IYB28:IYD28"/>
    <mergeCell ref="IYE28:IYG28"/>
    <mergeCell ref="IYH28:IYJ28"/>
    <mergeCell ref="IXA28:IXC28"/>
    <mergeCell ref="IXD28:IXF28"/>
    <mergeCell ref="IXG28:IXI28"/>
    <mergeCell ref="IXJ28:IXL28"/>
    <mergeCell ref="IXM28:IXO28"/>
    <mergeCell ref="IXP28:IXR28"/>
    <mergeCell ref="IWI28:IWK28"/>
    <mergeCell ref="IWL28:IWN28"/>
    <mergeCell ref="IWO28:IWQ28"/>
    <mergeCell ref="IWR28:IWT28"/>
    <mergeCell ref="IWU28:IWW28"/>
    <mergeCell ref="IWX28:IWZ28"/>
    <mergeCell ref="IVQ28:IVS28"/>
    <mergeCell ref="IVT28:IVV28"/>
    <mergeCell ref="IVW28:IVY28"/>
    <mergeCell ref="IVZ28:IWB28"/>
    <mergeCell ref="IWC28:IWE28"/>
    <mergeCell ref="IWF28:IWH28"/>
    <mergeCell ref="IUY28:IVA28"/>
    <mergeCell ref="IVB28:IVD28"/>
    <mergeCell ref="IVE28:IVG28"/>
    <mergeCell ref="IVH28:IVJ28"/>
    <mergeCell ref="IVK28:IVM28"/>
    <mergeCell ref="IVN28:IVP28"/>
    <mergeCell ref="IUG28:IUI28"/>
    <mergeCell ref="IUJ28:IUL28"/>
    <mergeCell ref="IUM28:IUO28"/>
    <mergeCell ref="IUP28:IUR28"/>
    <mergeCell ref="IUS28:IUU28"/>
    <mergeCell ref="IUV28:IUX28"/>
    <mergeCell ref="JBW28:JBY28"/>
    <mergeCell ref="JBZ28:JCB28"/>
    <mergeCell ref="JCC28:JCE28"/>
    <mergeCell ref="JCF28:JCH28"/>
    <mergeCell ref="JCI28:JCK28"/>
    <mergeCell ref="JCL28:JCN28"/>
    <mergeCell ref="JBE28:JBG28"/>
    <mergeCell ref="JBH28:JBJ28"/>
    <mergeCell ref="JBK28:JBM28"/>
    <mergeCell ref="JBN28:JBP28"/>
    <mergeCell ref="JBQ28:JBS28"/>
    <mergeCell ref="JBT28:JBV28"/>
    <mergeCell ref="JAM28:JAO28"/>
    <mergeCell ref="JAP28:JAR28"/>
    <mergeCell ref="JAS28:JAU28"/>
    <mergeCell ref="JAV28:JAX28"/>
    <mergeCell ref="JAY28:JBA28"/>
    <mergeCell ref="JBB28:JBD28"/>
    <mergeCell ref="IZU28:IZW28"/>
    <mergeCell ref="IZX28:IZZ28"/>
    <mergeCell ref="JAA28:JAC28"/>
    <mergeCell ref="JAD28:JAF28"/>
    <mergeCell ref="JAG28:JAI28"/>
    <mergeCell ref="JAJ28:JAL28"/>
    <mergeCell ref="IZC28:IZE28"/>
    <mergeCell ref="IZF28:IZH28"/>
    <mergeCell ref="IZI28:IZK28"/>
    <mergeCell ref="IZL28:IZN28"/>
    <mergeCell ref="IZO28:IZQ28"/>
    <mergeCell ref="IZR28:IZT28"/>
    <mergeCell ref="IYK28:IYM28"/>
    <mergeCell ref="IYN28:IYP28"/>
    <mergeCell ref="IYQ28:IYS28"/>
    <mergeCell ref="IYT28:IYV28"/>
    <mergeCell ref="IYW28:IYY28"/>
    <mergeCell ref="IYZ28:IZB28"/>
    <mergeCell ref="JGA28:JGC28"/>
    <mergeCell ref="JGD28:JGF28"/>
    <mergeCell ref="JGG28:JGI28"/>
    <mergeCell ref="JGJ28:JGL28"/>
    <mergeCell ref="JGM28:JGO28"/>
    <mergeCell ref="JGP28:JGR28"/>
    <mergeCell ref="JFI28:JFK28"/>
    <mergeCell ref="JFL28:JFN28"/>
    <mergeCell ref="JFO28:JFQ28"/>
    <mergeCell ref="JFR28:JFT28"/>
    <mergeCell ref="JFU28:JFW28"/>
    <mergeCell ref="JFX28:JFZ28"/>
    <mergeCell ref="JEQ28:JES28"/>
    <mergeCell ref="JET28:JEV28"/>
    <mergeCell ref="JEW28:JEY28"/>
    <mergeCell ref="JEZ28:JFB28"/>
    <mergeCell ref="JFC28:JFE28"/>
    <mergeCell ref="JFF28:JFH28"/>
    <mergeCell ref="JDY28:JEA28"/>
    <mergeCell ref="JEB28:JED28"/>
    <mergeCell ref="JEE28:JEG28"/>
    <mergeCell ref="JEH28:JEJ28"/>
    <mergeCell ref="JEK28:JEM28"/>
    <mergeCell ref="JEN28:JEP28"/>
    <mergeCell ref="JDG28:JDI28"/>
    <mergeCell ref="JDJ28:JDL28"/>
    <mergeCell ref="JDM28:JDO28"/>
    <mergeCell ref="JDP28:JDR28"/>
    <mergeCell ref="JDS28:JDU28"/>
    <mergeCell ref="JDV28:JDX28"/>
    <mergeCell ref="JCO28:JCQ28"/>
    <mergeCell ref="JCR28:JCT28"/>
    <mergeCell ref="JCU28:JCW28"/>
    <mergeCell ref="JCX28:JCZ28"/>
    <mergeCell ref="JDA28:JDC28"/>
    <mergeCell ref="JDD28:JDF28"/>
    <mergeCell ref="JKE28:JKG28"/>
    <mergeCell ref="JKH28:JKJ28"/>
    <mergeCell ref="JKK28:JKM28"/>
    <mergeCell ref="JKN28:JKP28"/>
    <mergeCell ref="JKQ28:JKS28"/>
    <mergeCell ref="JKT28:JKV28"/>
    <mergeCell ref="JJM28:JJO28"/>
    <mergeCell ref="JJP28:JJR28"/>
    <mergeCell ref="JJS28:JJU28"/>
    <mergeCell ref="JJV28:JJX28"/>
    <mergeCell ref="JJY28:JKA28"/>
    <mergeCell ref="JKB28:JKD28"/>
    <mergeCell ref="JIU28:JIW28"/>
    <mergeCell ref="JIX28:JIZ28"/>
    <mergeCell ref="JJA28:JJC28"/>
    <mergeCell ref="JJD28:JJF28"/>
    <mergeCell ref="JJG28:JJI28"/>
    <mergeCell ref="JJJ28:JJL28"/>
    <mergeCell ref="JIC28:JIE28"/>
    <mergeCell ref="JIF28:JIH28"/>
    <mergeCell ref="JII28:JIK28"/>
    <mergeCell ref="JIL28:JIN28"/>
    <mergeCell ref="JIO28:JIQ28"/>
    <mergeCell ref="JIR28:JIT28"/>
    <mergeCell ref="JHK28:JHM28"/>
    <mergeCell ref="JHN28:JHP28"/>
    <mergeCell ref="JHQ28:JHS28"/>
    <mergeCell ref="JHT28:JHV28"/>
    <mergeCell ref="JHW28:JHY28"/>
    <mergeCell ref="JHZ28:JIB28"/>
    <mergeCell ref="JGS28:JGU28"/>
    <mergeCell ref="JGV28:JGX28"/>
    <mergeCell ref="JGY28:JHA28"/>
    <mergeCell ref="JHB28:JHD28"/>
    <mergeCell ref="JHE28:JHG28"/>
    <mergeCell ref="JHH28:JHJ28"/>
    <mergeCell ref="JOI28:JOK28"/>
    <mergeCell ref="JOL28:JON28"/>
    <mergeCell ref="JOO28:JOQ28"/>
    <mergeCell ref="JOR28:JOT28"/>
    <mergeCell ref="JOU28:JOW28"/>
    <mergeCell ref="JOX28:JOZ28"/>
    <mergeCell ref="JNQ28:JNS28"/>
    <mergeCell ref="JNT28:JNV28"/>
    <mergeCell ref="JNW28:JNY28"/>
    <mergeCell ref="JNZ28:JOB28"/>
    <mergeCell ref="JOC28:JOE28"/>
    <mergeCell ref="JOF28:JOH28"/>
    <mergeCell ref="JMY28:JNA28"/>
    <mergeCell ref="JNB28:JND28"/>
    <mergeCell ref="JNE28:JNG28"/>
    <mergeCell ref="JNH28:JNJ28"/>
    <mergeCell ref="JNK28:JNM28"/>
    <mergeCell ref="JNN28:JNP28"/>
    <mergeCell ref="JMG28:JMI28"/>
    <mergeCell ref="JMJ28:JML28"/>
    <mergeCell ref="JMM28:JMO28"/>
    <mergeCell ref="JMP28:JMR28"/>
    <mergeCell ref="JMS28:JMU28"/>
    <mergeCell ref="JMV28:JMX28"/>
    <mergeCell ref="JLO28:JLQ28"/>
    <mergeCell ref="JLR28:JLT28"/>
    <mergeCell ref="JLU28:JLW28"/>
    <mergeCell ref="JLX28:JLZ28"/>
    <mergeCell ref="JMA28:JMC28"/>
    <mergeCell ref="JMD28:JMF28"/>
    <mergeCell ref="JKW28:JKY28"/>
    <mergeCell ref="JKZ28:JLB28"/>
    <mergeCell ref="JLC28:JLE28"/>
    <mergeCell ref="JLF28:JLH28"/>
    <mergeCell ref="JLI28:JLK28"/>
    <mergeCell ref="JLL28:JLN28"/>
    <mergeCell ref="JSM28:JSO28"/>
    <mergeCell ref="JSP28:JSR28"/>
    <mergeCell ref="JSS28:JSU28"/>
    <mergeCell ref="JSV28:JSX28"/>
    <mergeCell ref="JSY28:JTA28"/>
    <mergeCell ref="JTB28:JTD28"/>
    <mergeCell ref="JRU28:JRW28"/>
    <mergeCell ref="JRX28:JRZ28"/>
    <mergeCell ref="JSA28:JSC28"/>
    <mergeCell ref="JSD28:JSF28"/>
    <mergeCell ref="JSG28:JSI28"/>
    <mergeCell ref="JSJ28:JSL28"/>
    <mergeCell ref="JRC28:JRE28"/>
    <mergeCell ref="JRF28:JRH28"/>
    <mergeCell ref="JRI28:JRK28"/>
    <mergeCell ref="JRL28:JRN28"/>
    <mergeCell ref="JRO28:JRQ28"/>
    <mergeCell ref="JRR28:JRT28"/>
    <mergeCell ref="JQK28:JQM28"/>
    <mergeCell ref="JQN28:JQP28"/>
    <mergeCell ref="JQQ28:JQS28"/>
    <mergeCell ref="JQT28:JQV28"/>
    <mergeCell ref="JQW28:JQY28"/>
    <mergeCell ref="JQZ28:JRB28"/>
    <mergeCell ref="JPS28:JPU28"/>
    <mergeCell ref="JPV28:JPX28"/>
    <mergeCell ref="JPY28:JQA28"/>
    <mergeCell ref="JQB28:JQD28"/>
    <mergeCell ref="JQE28:JQG28"/>
    <mergeCell ref="JQH28:JQJ28"/>
    <mergeCell ref="JPA28:JPC28"/>
    <mergeCell ref="JPD28:JPF28"/>
    <mergeCell ref="JPG28:JPI28"/>
    <mergeCell ref="JPJ28:JPL28"/>
    <mergeCell ref="JPM28:JPO28"/>
    <mergeCell ref="JPP28:JPR28"/>
    <mergeCell ref="JWQ28:JWS28"/>
    <mergeCell ref="JWT28:JWV28"/>
    <mergeCell ref="JWW28:JWY28"/>
    <mergeCell ref="JWZ28:JXB28"/>
    <mergeCell ref="JXC28:JXE28"/>
    <mergeCell ref="JXF28:JXH28"/>
    <mergeCell ref="JVY28:JWA28"/>
    <mergeCell ref="JWB28:JWD28"/>
    <mergeCell ref="JWE28:JWG28"/>
    <mergeCell ref="JWH28:JWJ28"/>
    <mergeCell ref="JWK28:JWM28"/>
    <mergeCell ref="JWN28:JWP28"/>
    <mergeCell ref="JVG28:JVI28"/>
    <mergeCell ref="JVJ28:JVL28"/>
    <mergeCell ref="JVM28:JVO28"/>
    <mergeCell ref="JVP28:JVR28"/>
    <mergeCell ref="JVS28:JVU28"/>
    <mergeCell ref="JVV28:JVX28"/>
    <mergeCell ref="JUO28:JUQ28"/>
    <mergeCell ref="JUR28:JUT28"/>
    <mergeCell ref="JUU28:JUW28"/>
    <mergeCell ref="JUX28:JUZ28"/>
    <mergeCell ref="JVA28:JVC28"/>
    <mergeCell ref="JVD28:JVF28"/>
    <mergeCell ref="JTW28:JTY28"/>
    <mergeCell ref="JTZ28:JUB28"/>
    <mergeCell ref="JUC28:JUE28"/>
    <mergeCell ref="JUF28:JUH28"/>
    <mergeCell ref="JUI28:JUK28"/>
    <mergeCell ref="JUL28:JUN28"/>
    <mergeCell ref="JTE28:JTG28"/>
    <mergeCell ref="JTH28:JTJ28"/>
    <mergeCell ref="JTK28:JTM28"/>
    <mergeCell ref="JTN28:JTP28"/>
    <mergeCell ref="JTQ28:JTS28"/>
    <mergeCell ref="JTT28:JTV28"/>
    <mergeCell ref="KAU28:KAW28"/>
    <mergeCell ref="KAX28:KAZ28"/>
    <mergeCell ref="KBA28:KBC28"/>
    <mergeCell ref="KBD28:KBF28"/>
    <mergeCell ref="KBG28:KBI28"/>
    <mergeCell ref="KBJ28:KBL28"/>
    <mergeCell ref="KAC28:KAE28"/>
    <mergeCell ref="KAF28:KAH28"/>
    <mergeCell ref="KAI28:KAK28"/>
    <mergeCell ref="KAL28:KAN28"/>
    <mergeCell ref="KAO28:KAQ28"/>
    <mergeCell ref="KAR28:KAT28"/>
    <mergeCell ref="JZK28:JZM28"/>
    <mergeCell ref="JZN28:JZP28"/>
    <mergeCell ref="JZQ28:JZS28"/>
    <mergeCell ref="JZT28:JZV28"/>
    <mergeCell ref="JZW28:JZY28"/>
    <mergeCell ref="JZZ28:KAB28"/>
    <mergeCell ref="JYS28:JYU28"/>
    <mergeCell ref="JYV28:JYX28"/>
    <mergeCell ref="JYY28:JZA28"/>
    <mergeCell ref="JZB28:JZD28"/>
    <mergeCell ref="JZE28:JZG28"/>
    <mergeCell ref="JZH28:JZJ28"/>
    <mergeCell ref="JYA28:JYC28"/>
    <mergeCell ref="JYD28:JYF28"/>
    <mergeCell ref="JYG28:JYI28"/>
    <mergeCell ref="JYJ28:JYL28"/>
    <mergeCell ref="JYM28:JYO28"/>
    <mergeCell ref="JYP28:JYR28"/>
    <mergeCell ref="JXI28:JXK28"/>
    <mergeCell ref="JXL28:JXN28"/>
    <mergeCell ref="JXO28:JXQ28"/>
    <mergeCell ref="JXR28:JXT28"/>
    <mergeCell ref="JXU28:JXW28"/>
    <mergeCell ref="JXX28:JXZ28"/>
    <mergeCell ref="KEY28:KFA28"/>
    <mergeCell ref="KFB28:KFD28"/>
    <mergeCell ref="KFE28:KFG28"/>
    <mergeCell ref="KFH28:KFJ28"/>
    <mergeCell ref="KFK28:KFM28"/>
    <mergeCell ref="KFN28:KFP28"/>
    <mergeCell ref="KEG28:KEI28"/>
    <mergeCell ref="KEJ28:KEL28"/>
    <mergeCell ref="KEM28:KEO28"/>
    <mergeCell ref="KEP28:KER28"/>
    <mergeCell ref="KES28:KEU28"/>
    <mergeCell ref="KEV28:KEX28"/>
    <mergeCell ref="KDO28:KDQ28"/>
    <mergeCell ref="KDR28:KDT28"/>
    <mergeCell ref="KDU28:KDW28"/>
    <mergeCell ref="KDX28:KDZ28"/>
    <mergeCell ref="KEA28:KEC28"/>
    <mergeCell ref="KED28:KEF28"/>
    <mergeCell ref="KCW28:KCY28"/>
    <mergeCell ref="KCZ28:KDB28"/>
    <mergeCell ref="KDC28:KDE28"/>
    <mergeCell ref="KDF28:KDH28"/>
    <mergeCell ref="KDI28:KDK28"/>
    <mergeCell ref="KDL28:KDN28"/>
    <mergeCell ref="KCE28:KCG28"/>
    <mergeCell ref="KCH28:KCJ28"/>
    <mergeCell ref="KCK28:KCM28"/>
    <mergeCell ref="KCN28:KCP28"/>
    <mergeCell ref="KCQ28:KCS28"/>
    <mergeCell ref="KCT28:KCV28"/>
    <mergeCell ref="KBM28:KBO28"/>
    <mergeCell ref="KBP28:KBR28"/>
    <mergeCell ref="KBS28:KBU28"/>
    <mergeCell ref="KBV28:KBX28"/>
    <mergeCell ref="KBY28:KCA28"/>
    <mergeCell ref="KCB28:KCD28"/>
    <mergeCell ref="KJC28:KJE28"/>
    <mergeCell ref="KJF28:KJH28"/>
    <mergeCell ref="KJI28:KJK28"/>
    <mergeCell ref="KJL28:KJN28"/>
    <mergeCell ref="KJO28:KJQ28"/>
    <mergeCell ref="KJR28:KJT28"/>
    <mergeCell ref="KIK28:KIM28"/>
    <mergeCell ref="KIN28:KIP28"/>
    <mergeCell ref="KIQ28:KIS28"/>
    <mergeCell ref="KIT28:KIV28"/>
    <mergeCell ref="KIW28:KIY28"/>
    <mergeCell ref="KIZ28:KJB28"/>
    <mergeCell ref="KHS28:KHU28"/>
    <mergeCell ref="KHV28:KHX28"/>
    <mergeCell ref="KHY28:KIA28"/>
    <mergeCell ref="KIB28:KID28"/>
    <mergeCell ref="KIE28:KIG28"/>
    <mergeCell ref="KIH28:KIJ28"/>
    <mergeCell ref="KHA28:KHC28"/>
    <mergeCell ref="KHD28:KHF28"/>
    <mergeCell ref="KHG28:KHI28"/>
    <mergeCell ref="KHJ28:KHL28"/>
    <mergeCell ref="KHM28:KHO28"/>
    <mergeCell ref="KHP28:KHR28"/>
    <mergeCell ref="KGI28:KGK28"/>
    <mergeCell ref="KGL28:KGN28"/>
    <mergeCell ref="KGO28:KGQ28"/>
    <mergeCell ref="KGR28:KGT28"/>
    <mergeCell ref="KGU28:KGW28"/>
    <mergeCell ref="KGX28:KGZ28"/>
    <mergeCell ref="KFQ28:KFS28"/>
    <mergeCell ref="KFT28:KFV28"/>
    <mergeCell ref="KFW28:KFY28"/>
    <mergeCell ref="KFZ28:KGB28"/>
    <mergeCell ref="KGC28:KGE28"/>
    <mergeCell ref="KGF28:KGH28"/>
    <mergeCell ref="KNG28:KNI28"/>
    <mergeCell ref="KNJ28:KNL28"/>
    <mergeCell ref="KNM28:KNO28"/>
    <mergeCell ref="KNP28:KNR28"/>
    <mergeCell ref="KNS28:KNU28"/>
    <mergeCell ref="KNV28:KNX28"/>
    <mergeCell ref="KMO28:KMQ28"/>
    <mergeCell ref="KMR28:KMT28"/>
    <mergeCell ref="KMU28:KMW28"/>
    <mergeCell ref="KMX28:KMZ28"/>
    <mergeCell ref="KNA28:KNC28"/>
    <mergeCell ref="KND28:KNF28"/>
    <mergeCell ref="KLW28:KLY28"/>
    <mergeCell ref="KLZ28:KMB28"/>
    <mergeCell ref="KMC28:KME28"/>
    <mergeCell ref="KMF28:KMH28"/>
    <mergeCell ref="KMI28:KMK28"/>
    <mergeCell ref="KML28:KMN28"/>
    <mergeCell ref="KLE28:KLG28"/>
    <mergeCell ref="KLH28:KLJ28"/>
    <mergeCell ref="KLK28:KLM28"/>
    <mergeCell ref="KLN28:KLP28"/>
    <mergeCell ref="KLQ28:KLS28"/>
    <mergeCell ref="KLT28:KLV28"/>
    <mergeCell ref="KKM28:KKO28"/>
    <mergeCell ref="KKP28:KKR28"/>
    <mergeCell ref="KKS28:KKU28"/>
    <mergeCell ref="KKV28:KKX28"/>
    <mergeCell ref="KKY28:KLA28"/>
    <mergeCell ref="KLB28:KLD28"/>
    <mergeCell ref="KJU28:KJW28"/>
    <mergeCell ref="KJX28:KJZ28"/>
    <mergeCell ref="KKA28:KKC28"/>
    <mergeCell ref="KKD28:KKF28"/>
    <mergeCell ref="KKG28:KKI28"/>
    <mergeCell ref="KKJ28:KKL28"/>
    <mergeCell ref="KRK28:KRM28"/>
    <mergeCell ref="KRN28:KRP28"/>
    <mergeCell ref="KRQ28:KRS28"/>
    <mergeCell ref="KRT28:KRV28"/>
    <mergeCell ref="KRW28:KRY28"/>
    <mergeCell ref="KRZ28:KSB28"/>
    <mergeCell ref="KQS28:KQU28"/>
    <mergeCell ref="KQV28:KQX28"/>
    <mergeCell ref="KQY28:KRA28"/>
    <mergeCell ref="KRB28:KRD28"/>
    <mergeCell ref="KRE28:KRG28"/>
    <mergeCell ref="KRH28:KRJ28"/>
    <mergeCell ref="KQA28:KQC28"/>
    <mergeCell ref="KQD28:KQF28"/>
    <mergeCell ref="KQG28:KQI28"/>
    <mergeCell ref="KQJ28:KQL28"/>
    <mergeCell ref="KQM28:KQO28"/>
    <mergeCell ref="KQP28:KQR28"/>
    <mergeCell ref="KPI28:KPK28"/>
    <mergeCell ref="KPL28:KPN28"/>
    <mergeCell ref="KPO28:KPQ28"/>
    <mergeCell ref="KPR28:KPT28"/>
    <mergeCell ref="KPU28:KPW28"/>
    <mergeCell ref="KPX28:KPZ28"/>
    <mergeCell ref="KOQ28:KOS28"/>
    <mergeCell ref="KOT28:KOV28"/>
    <mergeCell ref="KOW28:KOY28"/>
    <mergeCell ref="KOZ28:KPB28"/>
    <mergeCell ref="KPC28:KPE28"/>
    <mergeCell ref="KPF28:KPH28"/>
    <mergeCell ref="KNY28:KOA28"/>
    <mergeCell ref="KOB28:KOD28"/>
    <mergeCell ref="KOE28:KOG28"/>
    <mergeCell ref="KOH28:KOJ28"/>
    <mergeCell ref="KOK28:KOM28"/>
    <mergeCell ref="KON28:KOP28"/>
    <mergeCell ref="KVO28:KVQ28"/>
    <mergeCell ref="KVR28:KVT28"/>
    <mergeCell ref="KVU28:KVW28"/>
    <mergeCell ref="KVX28:KVZ28"/>
    <mergeCell ref="KWA28:KWC28"/>
    <mergeCell ref="KWD28:KWF28"/>
    <mergeCell ref="KUW28:KUY28"/>
    <mergeCell ref="KUZ28:KVB28"/>
    <mergeCell ref="KVC28:KVE28"/>
    <mergeCell ref="KVF28:KVH28"/>
    <mergeCell ref="KVI28:KVK28"/>
    <mergeCell ref="KVL28:KVN28"/>
    <mergeCell ref="KUE28:KUG28"/>
    <mergeCell ref="KUH28:KUJ28"/>
    <mergeCell ref="KUK28:KUM28"/>
    <mergeCell ref="KUN28:KUP28"/>
    <mergeCell ref="KUQ28:KUS28"/>
    <mergeCell ref="KUT28:KUV28"/>
    <mergeCell ref="KTM28:KTO28"/>
    <mergeCell ref="KTP28:KTR28"/>
    <mergeCell ref="KTS28:KTU28"/>
    <mergeCell ref="KTV28:KTX28"/>
    <mergeCell ref="KTY28:KUA28"/>
    <mergeCell ref="KUB28:KUD28"/>
    <mergeCell ref="KSU28:KSW28"/>
    <mergeCell ref="KSX28:KSZ28"/>
    <mergeCell ref="KTA28:KTC28"/>
    <mergeCell ref="KTD28:KTF28"/>
    <mergeCell ref="KTG28:KTI28"/>
    <mergeCell ref="KTJ28:KTL28"/>
    <mergeCell ref="KSC28:KSE28"/>
    <mergeCell ref="KSF28:KSH28"/>
    <mergeCell ref="KSI28:KSK28"/>
    <mergeCell ref="KSL28:KSN28"/>
    <mergeCell ref="KSO28:KSQ28"/>
    <mergeCell ref="KSR28:KST28"/>
    <mergeCell ref="KZS28:KZU28"/>
    <mergeCell ref="KZV28:KZX28"/>
    <mergeCell ref="KZY28:LAA28"/>
    <mergeCell ref="LAB28:LAD28"/>
    <mergeCell ref="LAE28:LAG28"/>
    <mergeCell ref="LAH28:LAJ28"/>
    <mergeCell ref="KZA28:KZC28"/>
    <mergeCell ref="KZD28:KZF28"/>
    <mergeCell ref="KZG28:KZI28"/>
    <mergeCell ref="KZJ28:KZL28"/>
    <mergeCell ref="KZM28:KZO28"/>
    <mergeCell ref="KZP28:KZR28"/>
    <mergeCell ref="KYI28:KYK28"/>
    <mergeCell ref="KYL28:KYN28"/>
    <mergeCell ref="KYO28:KYQ28"/>
    <mergeCell ref="KYR28:KYT28"/>
    <mergeCell ref="KYU28:KYW28"/>
    <mergeCell ref="KYX28:KYZ28"/>
    <mergeCell ref="KXQ28:KXS28"/>
    <mergeCell ref="KXT28:KXV28"/>
    <mergeCell ref="KXW28:KXY28"/>
    <mergeCell ref="KXZ28:KYB28"/>
    <mergeCell ref="KYC28:KYE28"/>
    <mergeCell ref="KYF28:KYH28"/>
    <mergeCell ref="KWY28:KXA28"/>
    <mergeCell ref="KXB28:KXD28"/>
    <mergeCell ref="KXE28:KXG28"/>
    <mergeCell ref="KXH28:KXJ28"/>
    <mergeCell ref="KXK28:KXM28"/>
    <mergeCell ref="KXN28:KXP28"/>
    <mergeCell ref="KWG28:KWI28"/>
    <mergeCell ref="KWJ28:KWL28"/>
    <mergeCell ref="KWM28:KWO28"/>
    <mergeCell ref="KWP28:KWR28"/>
    <mergeCell ref="KWS28:KWU28"/>
    <mergeCell ref="KWV28:KWX28"/>
    <mergeCell ref="LDW28:LDY28"/>
    <mergeCell ref="LDZ28:LEB28"/>
    <mergeCell ref="LEC28:LEE28"/>
    <mergeCell ref="LEF28:LEH28"/>
    <mergeCell ref="LEI28:LEK28"/>
    <mergeCell ref="LEL28:LEN28"/>
    <mergeCell ref="LDE28:LDG28"/>
    <mergeCell ref="LDH28:LDJ28"/>
    <mergeCell ref="LDK28:LDM28"/>
    <mergeCell ref="LDN28:LDP28"/>
    <mergeCell ref="LDQ28:LDS28"/>
    <mergeCell ref="LDT28:LDV28"/>
    <mergeCell ref="LCM28:LCO28"/>
    <mergeCell ref="LCP28:LCR28"/>
    <mergeCell ref="LCS28:LCU28"/>
    <mergeCell ref="LCV28:LCX28"/>
    <mergeCell ref="LCY28:LDA28"/>
    <mergeCell ref="LDB28:LDD28"/>
    <mergeCell ref="LBU28:LBW28"/>
    <mergeCell ref="LBX28:LBZ28"/>
    <mergeCell ref="LCA28:LCC28"/>
    <mergeCell ref="LCD28:LCF28"/>
    <mergeCell ref="LCG28:LCI28"/>
    <mergeCell ref="LCJ28:LCL28"/>
    <mergeCell ref="LBC28:LBE28"/>
    <mergeCell ref="LBF28:LBH28"/>
    <mergeCell ref="LBI28:LBK28"/>
    <mergeCell ref="LBL28:LBN28"/>
    <mergeCell ref="LBO28:LBQ28"/>
    <mergeCell ref="LBR28:LBT28"/>
    <mergeCell ref="LAK28:LAM28"/>
    <mergeCell ref="LAN28:LAP28"/>
    <mergeCell ref="LAQ28:LAS28"/>
    <mergeCell ref="LAT28:LAV28"/>
    <mergeCell ref="LAW28:LAY28"/>
    <mergeCell ref="LAZ28:LBB28"/>
    <mergeCell ref="LIA28:LIC28"/>
    <mergeCell ref="LID28:LIF28"/>
    <mergeCell ref="LIG28:LII28"/>
    <mergeCell ref="LIJ28:LIL28"/>
    <mergeCell ref="LIM28:LIO28"/>
    <mergeCell ref="LIP28:LIR28"/>
    <mergeCell ref="LHI28:LHK28"/>
    <mergeCell ref="LHL28:LHN28"/>
    <mergeCell ref="LHO28:LHQ28"/>
    <mergeCell ref="LHR28:LHT28"/>
    <mergeCell ref="LHU28:LHW28"/>
    <mergeCell ref="LHX28:LHZ28"/>
    <mergeCell ref="LGQ28:LGS28"/>
    <mergeCell ref="LGT28:LGV28"/>
    <mergeCell ref="LGW28:LGY28"/>
    <mergeCell ref="LGZ28:LHB28"/>
    <mergeCell ref="LHC28:LHE28"/>
    <mergeCell ref="LHF28:LHH28"/>
    <mergeCell ref="LFY28:LGA28"/>
    <mergeCell ref="LGB28:LGD28"/>
    <mergeCell ref="LGE28:LGG28"/>
    <mergeCell ref="LGH28:LGJ28"/>
    <mergeCell ref="LGK28:LGM28"/>
    <mergeCell ref="LGN28:LGP28"/>
    <mergeCell ref="LFG28:LFI28"/>
    <mergeCell ref="LFJ28:LFL28"/>
    <mergeCell ref="LFM28:LFO28"/>
    <mergeCell ref="LFP28:LFR28"/>
    <mergeCell ref="LFS28:LFU28"/>
    <mergeCell ref="LFV28:LFX28"/>
    <mergeCell ref="LEO28:LEQ28"/>
    <mergeCell ref="LER28:LET28"/>
    <mergeCell ref="LEU28:LEW28"/>
    <mergeCell ref="LEX28:LEZ28"/>
    <mergeCell ref="LFA28:LFC28"/>
    <mergeCell ref="LFD28:LFF28"/>
    <mergeCell ref="LME28:LMG28"/>
    <mergeCell ref="LMH28:LMJ28"/>
    <mergeCell ref="LMK28:LMM28"/>
    <mergeCell ref="LMN28:LMP28"/>
    <mergeCell ref="LMQ28:LMS28"/>
    <mergeCell ref="LMT28:LMV28"/>
    <mergeCell ref="LLM28:LLO28"/>
    <mergeCell ref="LLP28:LLR28"/>
    <mergeCell ref="LLS28:LLU28"/>
    <mergeCell ref="LLV28:LLX28"/>
    <mergeCell ref="LLY28:LMA28"/>
    <mergeCell ref="LMB28:LMD28"/>
    <mergeCell ref="LKU28:LKW28"/>
    <mergeCell ref="LKX28:LKZ28"/>
    <mergeCell ref="LLA28:LLC28"/>
    <mergeCell ref="LLD28:LLF28"/>
    <mergeCell ref="LLG28:LLI28"/>
    <mergeCell ref="LLJ28:LLL28"/>
    <mergeCell ref="LKC28:LKE28"/>
    <mergeCell ref="LKF28:LKH28"/>
    <mergeCell ref="LKI28:LKK28"/>
    <mergeCell ref="LKL28:LKN28"/>
    <mergeCell ref="LKO28:LKQ28"/>
    <mergeCell ref="LKR28:LKT28"/>
    <mergeCell ref="LJK28:LJM28"/>
    <mergeCell ref="LJN28:LJP28"/>
    <mergeCell ref="LJQ28:LJS28"/>
    <mergeCell ref="LJT28:LJV28"/>
    <mergeCell ref="LJW28:LJY28"/>
    <mergeCell ref="LJZ28:LKB28"/>
    <mergeCell ref="LIS28:LIU28"/>
    <mergeCell ref="LIV28:LIX28"/>
    <mergeCell ref="LIY28:LJA28"/>
    <mergeCell ref="LJB28:LJD28"/>
    <mergeCell ref="LJE28:LJG28"/>
    <mergeCell ref="LJH28:LJJ28"/>
    <mergeCell ref="LQI28:LQK28"/>
    <mergeCell ref="LQL28:LQN28"/>
    <mergeCell ref="LQO28:LQQ28"/>
    <mergeCell ref="LQR28:LQT28"/>
    <mergeCell ref="LQU28:LQW28"/>
    <mergeCell ref="LQX28:LQZ28"/>
    <mergeCell ref="LPQ28:LPS28"/>
    <mergeCell ref="LPT28:LPV28"/>
    <mergeCell ref="LPW28:LPY28"/>
    <mergeCell ref="LPZ28:LQB28"/>
    <mergeCell ref="LQC28:LQE28"/>
    <mergeCell ref="LQF28:LQH28"/>
    <mergeCell ref="LOY28:LPA28"/>
    <mergeCell ref="LPB28:LPD28"/>
    <mergeCell ref="LPE28:LPG28"/>
    <mergeCell ref="LPH28:LPJ28"/>
    <mergeCell ref="LPK28:LPM28"/>
    <mergeCell ref="LPN28:LPP28"/>
    <mergeCell ref="LOG28:LOI28"/>
    <mergeCell ref="LOJ28:LOL28"/>
    <mergeCell ref="LOM28:LOO28"/>
    <mergeCell ref="LOP28:LOR28"/>
    <mergeCell ref="LOS28:LOU28"/>
    <mergeCell ref="LOV28:LOX28"/>
    <mergeCell ref="LNO28:LNQ28"/>
    <mergeCell ref="LNR28:LNT28"/>
    <mergeCell ref="LNU28:LNW28"/>
    <mergeCell ref="LNX28:LNZ28"/>
    <mergeCell ref="LOA28:LOC28"/>
    <mergeCell ref="LOD28:LOF28"/>
    <mergeCell ref="LMW28:LMY28"/>
    <mergeCell ref="LMZ28:LNB28"/>
    <mergeCell ref="LNC28:LNE28"/>
    <mergeCell ref="LNF28:LNH28"/>
    <mergeCell ref="LNI28:LNK28"/>
    <mergeCell ref="LNL28:LNN28"/>
    <mergeCell ref="LUM28:LUO28"/>
    <mergeCell ref="LUP28:LUR28"/>
    <mergeCell ref="LUS28:LUU28"/>
    <mergeCell ref="LUV28:LUX28"/>
    <mergeCell ref="LUY28:LVA28"/>
    <mergeCell ref="LVB28:LVD28"/>
    <mergeCell ref="LTU28:LTW28"/>
    <mergeCell ref="LTX28:LTZ28"/>
    <mergeCell ref="LUA28:LUC28"/>
    <mergeCell ref="LUD28:LUF28"/>
    <mergeCell ref="LUG28:LUI28"/>
    <mergeCell ref="LUJ28:LUL28"/>
    <mergeCell ref="LTC28:LTE28"/>
    <mergeCell ref="LTF28:LTH28"/>
    <mergeCell ref="LTI28:LTK28"/>
    <mergeCell ref="LTL28:LTN28"/>
    <mergeCell ref="LTO28:LTQ28"/>
    <mergeCell ref="LTR28:LTT28"/>
    <mergeCell ref="LSK28:LSM28"/>
    <mergeCell ref="LSN28:LSP28"/>
    <mergeCell ref="LSQ28:LSS28"/>
    <mergeCell ref="LST28:LSV28"/>
    <mergeCell ref="LSW28:LSY28"/>
    <mergeCell ref="LSZ28:LTB28"/>
    <mergeCell ref="LRS28:LRU28"/>
    <mergeCell ref="LRV28:LRX28"/>
    <mergeCell ref="LRY28:LSA28"/>
    <mergeCell ref="LSB28:LSD28"/>
    <mergeCell ref="LSE28:LSG28"/>
    <mergeCell ref="LSH28:LSJ28"/>
    <mergeCell ref="LRA28:LRC28"/>
    <mergeCell ref="LRD28:LRF28"/>
    <mergeCell ref="LRG28:LRI28"/>
    <mergeCell ref="LRJ28:LRL28"/>
    <mergeCell ref="LRM28:LRO28"/>
    <mergeCell ref="LRP28:LRR28"/>
    <mergeCell ref="LYQ28:LYS28"/>
    <mergeCell ref="LYT28:LYV28"/>
    <mergeCell ref="LYW28:LYY28"/>
    <mergeCell ref="LYZ28:LZB28"/>
    <mergeCell ref="LZC28:LZE28"/>
    <mergeCell ref="LZF28:LZH28"/>
    <mergeCell ref="LXY28:LYA28"/>
    <mergeCell ref="LYB28:LYD28"/>
    <mergeCell ref="LYE28:LYG28"/>
    <mergeCell ref="LYH28:LYJ28"/>
    <mergeCell ref="LYK28:LYM28"/>
    <mergeCell ref="LYN28:LYP28"/>
    <mergeCell ref="LXG28:LXI28"/>
    <mergeCell ref="LXJ28:LXL28"/>
    <mergeCell ref="LXM28:LXO28"/>
    <mergeCell ref="LXP28:LXR28"/>
    <mergeCell ref="LXS28:LXU28"/>
    <mergeCell ref="LXV28:LXX28"/>
    <mergeCell ref="LWO28:LWQ28"/>
    <mergeCell ref="LWR28:LWT28"/>
    <mergeCell ref="LWU28:LWW28"/>
    <mergeCell ref="LWX28:LWZ28"/>
    <mergeCell ref="LXA28:LXC28"/>
    <mergeCell ref="LXD28:LXF28"/>
    <mergeCell ref="LVW28:LVY28"/>
    <mergeCell ref="LVZ28:LWB28"/>
    <mergeCell ref="LWC28:LWE28"/>
    <mergeCell ref="LWF28:LWH28"/>
    <mergeCell ref="LWI28:LWK28"/>
    <mergeCell ref="LWL28:LWN28"/>
    <mergeCell ref="LVE28:LVG28"/>
    <mergeCell ref="LVH28:LVJ28"/>
    <mergeCell ref="LVK28:LVM28"/>
    <mergeCell ref="LVN28:LVP28"/>
    <mergeCell ref="LVQ28:LVS28"/>
    <mergeCell ref="LVT28:LVV28"/>
    <mergeCell ref="MCU28:MCW28"/>
    <mergeCell ref="MCX28:MCZ28"/>
    <mergeCell ref="MDA28:MDC28"/>
    <mergeCell ref="MDD28:MDF28"/>
    <mergeCell ref="MDG28:MDI28"/>
    <mergeCell ref="MDJ28:MDL28"/>
    <mergeCell ref="MCC28:MCE28"/>
    <mergeCell ref="MCF28:MCH28"/>
    <mergeCell ref="MCI28:MCK28"/>
    <mergeCell ref="MCL28:MCN28"/>
    <mergeCell ref="MCO28:MCQ28"/>
    <mergeCell ref="MCR28:MCT28"/>
    <mergeCell ref="MBK28:MBM28"/>
    <mergeCell ref="MBN28:MBP28"/>
    <mergeCell ref="MBQ28:MBS28"/>
    <mergeCell ref="MBT28:MBV28"/>
    <mergeCell ref="MBW28:MBY28"/>
    <mergeCell ref="MBZ28:MCB28"/>
    <mergeCell ref="MAS28:MAU28"/>
    <mergeCell ref="MAV28:MAX28"/>
    <mergeCell ref="MAY28:MBA28"/>
    <mergeCell ref="MBB28:MBD28"/>
    <mergeCell ref="MBE28:MBG28"/>
    <mergeCell ref="MBH28:MBJ28"/>
    <mergeCell ref="MAA28:MAC28"/>
    <mergeCell ref="MAD28:MAF28"/>
    <mergeCell ref="MAG28:MAI28"/>
    <mergeCell ref="MAJ28:MAL28"/>
    <mergeCell ref="MAM28:MAO28"/>
    <mergeCell ref="MAP28:MAR28"/>
    <mergeCell ref="LZI28:LZK28"/>
    <mergeCell ref="LZL28:LZN28"/>
    <mergeCell ref="LZO28:LZQ28"/>
    <mergeCell ref="LZR28:LZT28"/>
    <mergeCell ref="LZU28:LZW28"/>
    <mergeCell ref="LZX28:LZZ28"/>
    <mergeCell ref="MGY28:MHA28"/>
    <mergeCell ref="MHB28:MHD28"/>
    <mergeCell ref="MHE28:MHG28"/>
    <mergeCell ref="MHH28:MHJ28"/>
    <mergeCell ref="MHK28:MHM28"/>
    <mergeCell ref="MHN28:MHP28"/>
    <mergeCell ref="MGG28:MGI28"/>
    <mergeCell ref="MGJ28:MGL28"/>
    <mergeCell ref="MGM28:MGO28"/>
    <mergeCell ref="MGP28:MGR28"/>
    <mergeCell ref="MGS28:MGU28"/>
    <mergeCell ref="MGV28:MGX28"/>
    <mergeCell ref="MFO28:MFQ28"/>
    <mergeCell ref="MFR28:MFT28"/>
    <mergeCell ref="MFU28:MFW28"/>
    <mergeCell ref="MFX28:MFZ28"/>
    <mergeCell ref="MGA28:MGC28"/>
    <mergeCell ref="MGD28:MGF28"/>
    <mergeCell ref="MEW28:MEY28"/>
    <mergeCell ref="MEZ28:MFB28"/>
    <mergeCell ref="MFC28:MFE28"/>
    <mergeCell ref="MFF28:MFH28"/>
    <mergeCell ref="MFI28:MFK28"/>
    <mergeCell ref="MFL28:MFN28"/>
    <mergeCell ref="MEE28:MEG28"/>
    <mergeCell ref="MEH28:MEJ28"/>
    <mergeCell ref="MEK28:MEM28"/>
    <mergeCell ref="MEN28:MEP28"/>
    <mergeCell ref="MEQ28:MES28"/>
    <mergeCell ref="MET28:MEV28"/>
    <mergeCell ref="MDM28:MDO28"/>
    <mergeCell ref="MDP28:MDR28"/>
    <mergeCell ref="MDS28:MDU28"/>
    <mergeCell ref="MDV28:MDX28"/>
    <mergeCell ref="MDY28:MEA28"/>
    <mergeCell ref="MEB28:MED28"/>
    <mergeCell ref="MLC28:MLE28"/>
    <mergeCell ref="MLF28:MLH28"/>
    <mergeCell ref="MLI28:MLK28"/>
    <mergeCell ref="MLL28:MLN28"/>
    <mergeCell ref="MLO28:MLQ28"/>
    <mergeCell ref="MLR28:MLT28"/>
    <mergeCell ref="MKK28:MKM28"/>
    <mergeCell ref="MKN28:MKP28"/>
    <mergeCell ref="MKQ28:MKS28"/>
    <mergeCell ref="MKT28:MKV28"/>
    <mergeCell ref="MKW28:MKY28"/>
    <mergeCell ref="MKZ28:MLB28"/>
    <mergeCell ref="MJS28:MJU28"/>
    <mergeCell ref="MJV28:MJX28"/>
    <mergeCell ref="MJY28:MKA28"/>
    <mergeCell ref="MKB28:MKD28"/>
    <mergeCell ref="MKE28:MKG28"/>
    <mergeCell ref="MKH28:MKJ28"/>
    <mergeCell ref="MJA28:MJC28"/>
    <mergeCell ref="MJD28:MJF28"/>
    <mergeCell ref="MJG28:MJI28"/>
    <mergeCell ref="MJJ28:MJL28"/>
    <mergeCell ref="MJM28:MJO28"/>
    <mergeCell ref="MJP28:MJR28"/>
    <mergeCell ref="MII28:MIK28"/>
    <mergeCell ref="MIL28:MIN28"/>
    <mergeCell ref="MIO28:MIQ28"/>
    <mergeCell ref="MIR28:MIT28"/>
    <mergeCell ref="MIU28:MIW28"/>
    <mergeCell ref="MIX28:MIZ28"/>
    <mergeCell ref="MHQ28:MHS28"/>
    <mergeCell ref="MHT28:MHV28"/>
    <mergeCell ref="MHW28:MHY28"/>
    <mergeCell ref="MHZ28:MIB28"/>
    <mergeCell ref="MIC28:MIE28"/>
    <mergeCell ref="MIF28:MIH28"/>
    <mergeCell ref="MPG28:MPI28"/>
    <mergeCell ref="MPJ28:MPL28"/>
    <mergeCell ref="MPM28:MPO28"/>
    <mergeCell ref="MPP28:MPR28"/>
    <mergeCell ref="MPS28:MPU28"/>
    <mergeCell ref="MPV28:MPX28"/>
    <mergeCell ref="MOO28:MOQ28"/>
    <mergeCell ref="MOR28:MOT28"/>
    <mergeCell ref="MOU28:MOW28"/>
    <mergeCell ref="MOX28:MOZ28"/>
    <mergeCell ref="MPA28:MPC28"/>
    <mergeCell ref="MPD28:MPF28"/>
    <mergeCell ref="MNW28:MNY28"/>
    <mergeCell ref="MNZ28:MOB28"/>
    <mergeCell ref="MOC28:MOE28"/>
    <mergeCell ref="MOF28:MOH28"/>
    <mergeCell ref="MOI28:MOK28"/>
    <mergeCell ref="MOL28:MON28"/>
    <mergeCell ref="MNE28:MNG28"/>
    <mergeCell ref="MNH28:MNJ28"/>
    <mergeCell ref="MNK28:MNM28"/>
    <mergeCell ref="MNN28:MNP28"/>
    <mergeCell ref="MNQ28:MNS28"/>
    <mergeCell ref="MNT28:MNV28"/>
    <mergeCell ref="MMM28:MMO28"/>
    <mergeCell ref="MMP28:MMR28"/>
    <mergeCell ref="MMS28:MMU28"/>
    <mergeCell ref="MMV28:MMX28"/>
    <mergeCell ref="MMY28:MNA28"/>
    <mergeCell ref="MNB28:MND28"/>
    <mergeCell ref="MLU28:MLW28"/>
    <mergeCell ref="MLX28:MLZ28"/>
    <mergeCell ref="MMA28:MMC28"/>
    <mergeCell ref="MMD28:MMF28"/>
    <mergeCell ref="MMG28:MMI28"/>
    <mergeCell ref="MMJ28:MML28"/>
    <mergeCell ref="MTK28:MTM28"/>
    <mergeCell ref="MTN28:MTP28"/>
    <mergeCell ref="MTQ28:MTS28"/>
    <mergeCell ref="MTT28:MTV28"/>
    <mergeCell ref="MTW28:MTY28"/>
    <mergeCell ref="MTZ28:MUB28"/>
    <mergeCell ref="MSS28:MSU28"/>
    <mergeCell ref="MSV28:MSX28"/>
    <mergeCell ref="MSY28:MTA28"/>
    <mergeCell ref="MTB28:MTD28"/>
    <mergeCell ref="MTE28:MTG28"/>
    <mergeCell ref="MTH28:MTJ28"/>
    <mergeCell ref="MSA28:MSC28"/>
    <mergeCell ref="MSD28:MSF28"/>
    <mergeCell ref="MSG28:MSI28"/>
    <mergeCell ref="MSJ28:MSL28"/>
    <mergeCell ref="MSM28:MSO28"/>
    <mergeCell ref="MSP28:MSR28"/>
    <mergeCell ref="MRI28:MRK28"/>
    <mergeCell ref="MRL28:MRN28"/>
    <mergeCell ref="MRO28:MRQ28"/>
    <mergeCell ref="MRR28:MRT28"/>
    <mergeCell ref="MRU28:MRW28"/>
    <mergeCell ref="MRX28:MRZ28"/>
    <mergeCell ref="MQQ28:MQS28"/>
    <mergeCell ref="MQT28:MQV28"/>
    <mergeCell ref="MQW28:MQY28"/>
    <mergeCell ref="MQZ28:MRB28"/>
    <mergeCell ref="MRC28:MRE28"/>
    <mergeCell ref="MRF28:MRH28"/>
    <mergeCell ref="MPY28:MQA28"/>
    <mergeCell ref="MQB28:MQD28"/>
    <mergeCell ref="MQE28:MQG28"/>
    <mergeCell ref="MQH28:MQJ28"/>
    <mergeCell ref="MQK28:MQM28"/>
    <mergeCell ref="MQN28:MQP28"/>
    <mergeCell ref="MXO28:MXQ28"/>
    <mergeCell ref="MXR28:MXT28"/>
    <mergeCell ref="MXU28:MXW28"/>
    <mergeCell ref="MXX28:MXZ28"/>
    <mergeCell ref="MYA28:MYC28"/>
    <mergeCell ref="MYD28:MYF28"/>
    <mergeCell ref="MWW28:MWY28"/>
    <mergeCell ref="MWZ28:MXB28"/>
    <mergeCell ref="MXC28:MXE28"/>
    <mergeCell ref="MXF28:MXH28"/>
    <mergeCell ref="MXI28:MXK28"/>
    <mergeCell ref="MXL28:MXN28"/>
    <mergeCell ref="MWE28:MWG28"/>
    <mergeCell ref="MWH28:MWJ28"/>
    <mergeCell ref="MWK28:MWM28"/>
    <mergeCell ref="MWN28:MWP28"/>
    <mergeCell ref="MWQ28:MWS28"/>
    <mergeCell ref="MWT28:MWV28"/>
    <mergeCell ref="MVM28:MVO28"/>
    <mergeCell ref="MVP28:MVR28"/>
    <mergeCell ref="MVS28:MVU28"/>
    <mergeCell ref="MVV28:MVX28"/>
    <mergeCell ref="MVY28:MWA28"/>
    <mergeCell ref="MWB28:MWD28"/>
    <mergeCell ref="MUU28:MUW28"/>
    <mergeCell ref="MUX28:MUZ28"/>
    <mergeCell ref="MVA28:MVC28"/>
    <mergeCell ref="MVD28:MVF28"/>
    <mergeCell ref="MVG28:MVI28"/>
    <mergeCell ref="MVJ28:MVL28"/>
    <mergeCell ref="MUC28:MUE28"/>
    <mergeCell ref="MUF28:MUH28"/>
    <mergeCell ref="MUI28:MUK28"/>
    <mergeCell ref="MUL28:MUN28"/>
    <mergeCell ref="MUO28:MUQ28"/>
    <mergeCell ref="MUR28:MUT28"/>
    <mergeCell ref="NBS28:NBU28"/>
    <mergeCell ref="NBV28:NBX28"/>
    <mergeCell ref="NBY28:NCA28"/>
    <mergeCell ref="NCB28:NCD28"/>
    <mergeCell ref="NCE28:NCG28"/>
    <mergeCell ref="NCH28:NCJ28"/>
    <mergeCell ref="NBA28:NBC28"/>
    <mergeCell ref="NBD28:NBF28"/>
    <mergeCell ref="NBG28:NBI28"/>
    <mergeCell ref="NBJ28:NBL28"/>
    <mergeCell ref="NBM28:NBO28"/>
    <mergeCell ref="NBP28:NBR28"/>
    <mergeCell ref="NAI28:NAK28"/>
    <mergeCell ref="NAL28:NAN28"/>
    <mergeCell ref="NAO28:NAQ28"/>
    <mergeCell ref="NAR28:NAT28"/>
    <mergeCell ref="NAU28:NAW28"/>
    <mergeCell ref="NAX28:NAZ28"/>
    <mergeCell ref="MZQ28:MZS28"/>
    <mergeCell ref="MZT28:MZV28"/>
    <mergeCell ref="MZW28:MZY28"/>
    <mergeCell ref="MZZ28:NAB28"/>
    <mergeCell ref="NAC28:NAE28"/>
    <mergeCell ref="NAF28:NAH28"/>
    <mergeCell ref="MYY28:MZA28"/>
    <mergeCell ref="MZB28:MZD28"/>
    <mergeCell ref="MZE28:MZG28"/>
    <mergeCell ref="MZH28:MZJ28"/>
    <mergeCell ref="MZK28:MZM28"/>
    <mergeCell ref="MZN28:MZP28"/>
    <mergeCell ref="MYG28:MYI28"/>
    <mergeCell ref="MYJ28:MYL28"/>
    <mergeCell ref="MYM28:MYO28"/>
    <mergeCell ref="MYP28:MYR28"/>
    <mergeCell ref="MYS28:MYU28"/>
    <mergeCell ref="MYV28:MYX28"/>
    <mergeCell ref="NFW28:NFY28"/>
    <mergeCell ref="NFZ28:NGB28"/>
    <mergeCell ref="NGC28:NGE28"/>
    <mergeCell ref="NGF28:NGH28"/>
    <mergeCell ref="NGI28:NGK28"/>
    <mergeCell ref="NGL28:NGN28"/>
    <mergeCell ref="NFE28:NFG28"/>
    <mergeCell ref="NFH28:NFJ28"/>
    <mergeCell ref="NFK28:NFM28"/>
    <mergeCell ref="NFN28:NFP28"/>
    <mergeCell ref="NFQ28:NFS28"/>
    <mergeCell ref="NFT28:NFV28"/>
    <mergeCell ref="NEM28:NEO28"/>
    <mergeCell ref="NEP28:NER28"/>
    <mergeCell ref="NES28:NEU28"/>
    <mergeCell ref="NEV28:NEX28"/>
    <mergeCell ref="NEY28:NFA28"/>
    <mergeCell ref="NFB28:NFD28"/>
    <mergeCell ref="NDU28:NDW28"/>
    <mergeCell ref="NDX28:NDZ28"/>
    <mergeCell ref="NEA28:NEC28"/>
    <mergeCell ref="NED28:NEF28"/>
    <mergeCell ref="NEG28:NEI28"/>
    <mergeCell ref="NEJ28:NEL28"/>
    <mergeCell ref="NDC28:NDE28"/>
    <mergeCell ref="NDF28:NDH28"/>
    <mergeCell ref="NDI28:NDK28"/>
    <mergeCell ref="NDL28:NDN28"/>
    <mergeCell ref="NDO28:NDQ28"/>
    <mergeCell ref="NDR28:NDT28"/>
    <mergeCell ref="NCK28:NCM28"/>
    <mergeCell ref="NCN28:NCP28"/>
    <mergeCell ref="NCQ28:NCS28"/>
    <mergeCell ref="NCT28:NCV28"/>
    <mergeCell ref="NCW28:NCY28"/>
    <mergeCell ref="NCZ28:NDB28"/>
    <mergeCell ref="NKA28:NKC28"/>
    <mergeCell ref="NKD28:NKF28"/>
    <mergeCell ref="NKG28:NKI28"/>
    <mergeCell ref="NKJ28:NKL28"/>
    <mergeCell ref="NKM28:NKO28"/>
    <mergeCell ref="NKP28:NKR28"/>
    <mergeCell ref="NJI28:NJK28"/>
    <mergeCell ref="NJL28:NJN28"/>
    <mergeCell ref="NJO28:NJQ28"/>
    <mergeCell ref="NJR28:NJT28"/>
    <mergeCell ref="NJU28:NJW28"/>
    <mergeCell ref="NJX28:NJZ28"/>
    <mergeCell ref="NIQ28:NIS28"/>
    <mergeCell ref="NIT28:NIV28"/>
    <mergeCell ref="NIW28:NIY28"/>
    <mergeCell ref="NIZ28:NJB28"/>
    <mergeCell ref="NJC28:NJE28"/>
    <mergeCell ref="NJF28:NJH28"/>
    <mergeCell ref="NHY28:NIA28"/>
    <mergeCell ref="NIB28:NID28"/>
    <mergeCell ref="NIE28:NIG28"/>
    <mergeCell ref="NIH28:NIJ28"/>
    <mergeCell ref="NIK28:NIM28"/>
    <mergeCell ref="NIN28:NIP28"/>
    <mergeCell ref="NHG28:NHI28"/>
    <mergeCell ref="NHJ28:NHL28"/>
    <mergeCell ref="NHM28:NHO28"/>
    <mergeCell ref="NHP28:NHR28"/>
    <mergeCell ref="NHS28:NHU28"/>
    <mergeCell ref="NHV28:NHX28"/>
    <mergeCell ref="NGO28:NGQ28"/>
    <mergeCell ref="NGR28:NGT28"/>
    <mergeCell ref="NGU28:NGW28"/>
    <mergeCell ref="NGX28:NGZ28"/>
    <mergeCell ref="NHA28:NHC28"/>
    <mergeCell ref="NHD28:NHF28"/>
    <mergeCell ref="NOE28:NOG28"/>
    <mergeCell ref="NOH28:NOJ28"/>
    <mergeCell ref="NOK28:NOM28"/>
    <mergeCell ref="NON28:NOP28"/>
    <mergeCell ref="NOQ28:NOS28"/>
    <mergeCell ref="NOT28:NOV28"/>
    <mergeCell ref="NNM28:NNO28"/>
    <mergeCell ref="NNP28:NNR28"/>
    <mergeCell ref="NNS28:NNU28"/>
    <mergeCell ref="NNV28:NNX28"/>
    <mergeCell ref="NNY28:NOA28"/>
    <mergeCell ref="NOB28:NOD28"/>
    <mergeCell ref="NMU28:NMW28"/>
    <mergeCell ref="NMX28:NMZ28"/>
    <mergeCell ref="NNA28:NNC28"/>
    <mergeCell ref="NND28:NNF28"/>
    <mergeCell ref="NNG28:NNI28"/>
    <mergeCell ref="NNJ28:NNL28"/>
    <mergeCell ref="NMC28:NME28"/>
    <mergeCell ref="NMF28:NMH28"/>
    <mergeCell ref="NMI28:NMK28"/>
    <mergeCell ref="NML28:NMN28"/>
    <mergeCell ref="NMO28:NMQ28"/>
    <mergeCell ref="NMR28:NMT28"/>
    <mergeCell ref="NLK28:NLM28"/>
    <mergeCell ref="NLN28:NLP28"/>
    <mergeCell ref="NLQ28:NLS28"/>
    <mergeCell ref="NLT28:NLV28"/>
    <mergeCell ref="NLW28:NLY28"/>
    <mergeCell ref="NLZ28:NMB28"/>
    <mergeCell ref="NKS28:NKU28"/>
    <mergeCell ref="NKV28:NKX28"/>
    <mergeCell ref="NKY28:NLA28"/>
    <mergeCell ref="NLB28:NLD28"/>
    <mergeCell ref="NLE28:NLG28"/>
    <mergeCell ref="NLH28:NLJ28"/>
    <mergeCell ref="NSI28:NSK28"/>
    <mergeCell ref="NSL28:NSN28"/>
    <mergeCell ref="NSO28:NSQ28"/>
    <mergeCell ref="NSR28:NST28"/>
    <mergeCell ref="NSU28:NSW28"/>
    <mergeCell ref="NSX28:NSZ28"/>
    <mergeCell ref="NRQ28:NRS28"/>
    <mergeCell ref="NRT28:NRV28"/>
    <mergeCell ref="NRW28:NRY28"/>
    <mergeCell ref="NRZ28:NSB28"/>
    <mergeCell ref="NSC28:NSE28"/>
    <mergeCell ref="NSF28:NSH28"/>
    <mergeCell ref="NQY28:NRA28"/>
    <mergeCell ref="NRB28:NRD28"/>
    <mergeCell ref="NRE28:NRG28"/>
    <mergeCell ref="NRH28:NRJ28"/>
    <mergeCell ref="NRK28:NRM28"/>
    <mergeCell ref="NRN28:NRP28"/>
    <mergeCell ref="NQG28:NQI28"/>
    <mergeCell ref="NQJ28:NQL28"/>
    <mergeCell ref="NQM28:NQO28"/>
    <mergeCell ref="NQP28:NQR28"/>
    <mergeCell ref="NQS28:NQU28"/>
    <mergeCell ref="NQV28:NQX28"/>
    <mergeCell ref="NPO28:NPQ28"/>
    <mergeCell ref="NPR28:NPT28"/>
    <mergeCell ref="NPU28:NPW28"/>
    <mergeCell ref="NPX28:NPZ28"/>
    <mergeCell ref="NQA28:NQC28"/>
    <mergeCell ref="NQD28:NQF28"/>
    <mergeCell ref="NOW28:NOY28"/>
    <mergeCell ref="NOZ28:NPB28"/>
    <mergeCell ref="NPC28:NPE28"/>
    <mergeCell ref="NPF28:NPH28"/>
    <mergeCell ref="NPI28:NPK28"/>
    <mergeCell ref="NPL28:NPN28"/>
    <mergeCell ref="NWM28:NWO28"/>
    <mergeCell ref="NWP28:NWR28"/>
    <mergeCell ref="NWS28:NWU28"/>
    <mergeCell ref="NWV28:NWX28"/>
    <mergeCell ref="NWY28:NXA28"/>
    <mergeCell ref="NXB28:NXD28"/>
    <mergeCell ref="NVU28:NVW28"/>
    <mergeCell ref="NVX28:NVZ28"/>
    <mergeCell ref="NWA28:NWC28"/>
    <mergeCell ref="NWD28:NWF28"/>
    <mergeCell ref="NWG28:NWI28"/>
    <mergeCell ref="NWJ28:NWL28"/>
    <mergeCell ref="NVC28:NVE28"/>
    <mergeCell ref="NVF28:NVH28"/>
    <mergeCell ref="NVI28:NVK28"/>
    <mergeCell ref="NVL28:NVN28"/>
    <mergeCell ref="NVO28:NVQ28"/>
    <mergeCell ref="NVR28:NVT28"/>
    <mergeCell ref="NUK28:NUM28"/>
    <mergeCell ref="NUN28:NUP28"/>
    <mergeCell ref="NUQ28:NUS28"/>
    <mergeCell ref="NUT28:NUV28"/>
    <mergeCell ref="NUW28:NUY28"/>
    <mergeCell ref="NUZ28:NVB28"/>
    <mergeCell ref="NTS28:NTU28"/>
    <mergeCell ref="NTV28:NTX28"/>
    <mergeCell ref="NTY28:NUA28"/>
    <mergeCell ref="NUB28:NUD28"/>
    <mergeCell ref="NUE28:NUG28"/>
    <mergeCell ref="NUH28:NUJ28"/>
    <mergeCell ref="NTA28:NTC28"/>
    <mergeCell ref="NTD28:NTF28"/>
    <mergeCell ref="NTG28:NTI28"/>
    <mergeCell ref="NTJ28:NTL28"/>
    <mergeCell ref="NTM28:NTO28"/>
    <mergeCell ref="NTP28:NTR28"/>
    <mergeCell ref="OAQ28:OAS28"/>
    <mergeCell ref="OAT28:OAV28"/>
    <mergeCell ref="OAW28:OAY28"/>
    <mergeCell ref="OAZ28:OBB28"/>
    <mergeCell ref="OBC28:OBE28"/>
    <mergeCell ref="OBF28:OBH28"/>
    <mergeCell ref="NZY28:OAA28"/>
    <mergeCell ref="OAB28:OAD28"/>
    <mergeCell ref="OAE28:OAG28"/>
    <mergeCell ref="OAH28:OAJ28"/>
    <mergeCell ref="OAK28:OAM28"/>
    <mergeCell ref="OAN28:OAP28"/>
    <mergeCell ref="NZG28:NZI28"/>
    <mergeCell ref="NZJ28:NZL28"/>
    <mergeCell ref="NZM28:NZO28"/>
    <mergeCell ref="NZP28:NZR28"/>
    <mergeCell ref="NZS28:NZU28"/>
    <mergeCell ref="NZV28:NZX28"/>
    <mergeCell ref="NYO28:NYQ28"/>
    <mergeCell ref="NYR28:NYT28"/>
    <mergeCell ref="NYU28:NYW28"/>
    <mergeCell ref="NYX28:NYZ28"/>
    <mergeCell ref="NZA28:NZC28"/>
    <mergeCell ref="NZD28:NZF28"/>
    <mergeCell ref="NXW28:NXY28"/>
    <mergeCell ref="NXZ28:NYB28"/>
    <mergeCell ref="NYC28:NYE28"/>
    <mergeCell ref="NYF28:NYH28"/>
    <mergeCell ref="NYI28:NYK28"/>
    <mergeCell ref="NYL28:NYN28"/>
    <mergeCell ref="NXE28:NXG28"/>
    <mergeCell ref="NXH28:NXJ28"/>
    <mergeCell ref="NXK28:NXM28"/>
    <mergeCell ref="NXN28:NXP28"/>
    <mergeCell ref="NXQ28:NXS28"/>
    <mergeCell ref="NXT28:NXV28"/>
    <mergeCell ref="OEU28:OEW28"/>
    <mergeCell ref="OEX28:OEZ28"/>
    <mergeCell ref="OFA28:OFC28"/>
    <mergeCell ref="OFD28:OFF28"/>
    <mergeCell ref="OFG28:OFI28"/>
    <mergeCell ref="OFJ28:OFL28"/>
    <mergeCell ref="OEC28:OEE28"/>
    <mergeCell ref="OEF28:OEH28"/>
    <mergeCell ref="OEI28:OEK28"/>
    <mergeCell ref="OEL28:OEN28"/>
    <mergeCell ref="OEO28:OEQ28"/>
    <mergeCell ref="OER28:OET28"/>
    <mergeCell ref="ODK28:ODM28"/>
    <mergeCell ref="ODN28:ODP28"/>
    <mergeCell ref="ODQ28:ODS28"/>
    <mergeCell ref="ODT28:ODV28"/>
    <mergeCell ref="ODW28:ODY28"/>
    <mergeCell ref="ODZ28:OEB28"/>
    <mergeCell ref="OCS28:OCU28"/>
    <mergeCell ref="OCV28:OCX28"/>
    <mergeCell ref="OCY28:ODA28"/>
    <mergeCell ref="ODB28:ODD28"/>
    <mergeCell ref="ODE28:ODG28"/>
    <mergeCell ref="ODH28:ODJ28"/>
    <mergeCell ref="OCA28:OCC28"/>
    <mergeCell ref="OCD28:OCF28"/>
    <mergeCell ref="OCG28:OCI28"/>
    <mergeCell ref="OCJ28:OCL28"/>
    <mergeCell ref="OCM28:OCO28"/>
    <mergeCell ref="OCP28:OCR28"/>
    <mergeCell ref="OBI28:OBK28"/>
    <mergeCell ref="OBL28:OBN28"/>
    <mergeCell ref="OBO28:OBQ28"/>
    <mergeCell ref="OBR28:OBT28"/>
    <mergeCell ref="OBU28:OBW28"/>
    <mergeCell ref="OBX28:OBZ28"/>
    <mergeCell ref="OIY28:OJA28"/>
    <mergeCell ref="OJB28:OJD28"/>
    <mergeCell ref="OJE28:OJG28"/>
    <mergeCell ref="OJH28:OJJ28"/>
    <mergeCell ref="OJK28:OJM28"/>
    <mergeCell ref="OJN28:OJP28"/>
    <mergeCell ref="OIG28:OII28"/>
    <mergeCell ref="OIJ28:OIL28"/>
    <mergeCell ref="OIM28:OIO28"/>
    <mergeCell ref="OIP28:OIR28"/>
    <mergeCell ref="OIS28:OIU28"/>
    <mergeCell ref="OIV28:OIX28"/>
    <mergeCell ref="OHO28:OHQ28"/>
    <mergeCell ref="OHR28:OHT28"/>
    <mergeCell ref="OHU28:OHW28"/>
    <mergeCell ref="OHX28:OHZ28"/>
    <mergeCell ref="OIA28:OIC28"/>
    <mergeCell ref="OID28:OIF28"/>
    <mergeCell ref="OGW28:OGY28"/>
    <mergeCell ref="OGZ28:OHB28"/>
    <mergeCell ref="OHC28:OHE28"/>
    <mergeCell ref="OHF28:OHH28"/>
    <mergeCell ref="OHI28:OHK28"/>
    <mergeCell ref="OHL28:OHN28"/>
    <mergeCell ref="OGE28:OGG28"/>
    <mergeCell ref="OGH28:OGJ28"/>
    <mergeCell ref="OGK28:OGM28"/>
    <mergeCell ref="OGN28:OGP28"/>
    <mergeCell ref="OGQ28:OGS28"/>
    <mergeCell ref="OGT28:OGV28"/>
    <mergeCell ref="OFM28:OFO28"/>
    <mergeCell ref="OFP28:OFR28"/>
    <mergeCell ref="OFS28:OFU28"/>
    <mergeCell ref="OFV28:OFX28"/>
    <mergeCell ref="OFY28:OGA28"/>
    <mergeCell ref="OGB28:OGD28"/>
    <mergeCell ref="ONC28:ONE28"/>
    <mergeCell ref="ONF28:ONH28"/>
    <mergeCell ref="ONI28:ONK28"/>
    <mergeCell ref="ONL28:ONN28"/>
    <mergeCell ref="ONO28:ONQ28"/>
    <mergeCell ref="ONR28:ONT28"/>
    <mergeCell ref="OMK28:OMM28"/>
    <mergeCell ref="OMN28:OMP28"/>
    <mergeCell ref="OMQ28:OMS28"/>
    <mergeCell ref="OMT28:OMV28"/>
    <mergeCell ref="OMW28:OMY28"/>
    <mergeCell ref="OMZ28:ONB28"/>
    <mergeCell ref="OLS28:OLU28"/>
    <mergeCell ref="OLV28:OLX28"/>
    <mergeCell ref="OLY28:OMA28"/>
    <mergeCell ref="OMB28:OMD28"/>
    <mergeCell ref="OME28:OMG28"/>
    <mergeCell ref="OMH28:OMJ28"/>
    <mergeCell ref="OLA28:OLC28"/>
    <mergeCell ref="OLD28:OLF28"/>
    <mergeCell ref="OLG28:OLI28"/>
    <mergeCell ref="OLJ28:OLL28"/>
    <mergeCell ref="OLM28:OLO28"/>
    <mergeCell ref="OLP28:OLR28"/>
    <mergeCell ref="OKI28:OKK28"/>
    <mergeCell ref="OKL28:OKN28"/>
    <mergeCell ref="OKO28:OKQ28"/>
    <mergeCell ref="OKR28:OKT28"/>
    <mergeCell ref="OKU28:OKW28"/>
    <mergeCell ref="OKX28:OKZ28"/>
    <mergeCell ref="OJQ28:OJS28"/>
    <mergeCell ref="OJT28:OJV28"/>
    <mergeCell ref="OJW28:OJY28"/>
    <mergeCell ref="OJZ28:OKB28"/>
    <mergeCell ref="OKC28:OKE28"/>
    <mergeCell ref="OKF28:OKH28"/>
    <mergeCell ref="ORG28:ORI28"/>
    <mergeCell ref="ORJ28:ORL28"/>
    <mergeCell ref="ORM28:ORO28"/>
    <mergeCell ref="ORP28:ORR28"/>
    <mergeCell ref="ORS28:ORU28"/>
    <mergeCell ref="ORV28:ORX28"/>
    <mergeCell ref="OQO28:OQQ28"/>
    <mergeCell ref="OQR28:OQT28"/>
    <mergeCell ref="OQU28:OQW28"/>
    <mergeCell ref="OQX28:OQZ28"/>
    <mergeCell ref="ORA28:ORC28"/>
    <mergeCell ref="ORD28:ORF28"/>
    <mergeCell ref="OPW28:OPY28"/>
    <mergeCell ref="OPZ28:OQB28"/>
    <mergeCell ref="OQC28:OQE28"/>
    <mergeCell ref="OQF28:OQH28"/>
    <mergeCell ref="OQI28:OQK28"/>
    <mergeCell ref="OQL28:OQN28"/>
    <mergeCell ref="OPE28:OPG28"/>
    <mergeCell ref="OPH28:OPJ28"/>
    <mergeCell ref="OPK28:OPM28"/>
    <mergeCell ref="OPN28:OPP28"/>
    <mergeCell ref="OPQ28:OPS28"/>
    <mergeCell ref="OPT28:OPV28"/>
    <mergeCell ref="OOM28:OOO28"/>
    <mergeCell ref="OOP28:OOR28"/>
    <mergeCell ref="OOS28:OOU28"/>
    <mergeCell ref="OOV28:OOX28"/>
    <mergeCell ref="OOY28:OPA28"/>
    <mergeCell ref="OPB28:OPD28"/>
    <mergeCell ref="ONU28:ONW28"/>
    <mergeCell ref="ONX28:ONZ28"/>
    <mergeCell ref="OOA28:OOC28"/>
    <mergeCell ref="OOD28:OOF28"/>
    <mergeCell ref="OOG28:OOI28"/>
    <mergeCell ref="OOJ28:OOL28"/>
    <mergeCell ref="OVK28:OVM28"/>
    <mergeCell ref="OVN28:OVP28"/>
    <mergeCell ref="OVQ28:OVS28"/>
    <mergeCell ref="OVT28:OVV28"/>
    <mergeCell ref="OVW28:OVY28"/>
    <mergeCell ref="OVZ28:OWB28"/>
    <mergeCell ref="OUS28:OUU28"/>
    <mergeCell ref="OUV28:OUX28"/>
    <mergeCell ref="OUY28:OVA28"/>
    <mergeCell ref="OVB28:OVD28"/>
    <mergeCell ref="OVE28:OVG28"/>
    <mergeCell ref="OVH28:OVJ28"/>
    <mergeCell ref="OUA28:OUC28"/>
    <mergeCell ref="OUD28:OUF28"/>
    <mergeCell ref="OUG28:OUI28"/>
    <mergeCell ref="OUJ28:OUL28"/>
    <mergeCell ref="OUM28:OUO28"/>
    <mergeCell ref="OUP28:OUR28"/>
    <mergeCell ref="OTI28:OTK28"/>
    <mergeCell ref="OTL28:OTN28"/>
    <mergeCell ref="OTO28:OTQ28"/>
    <mergeCell ref="OTR28:OTT28"/>
    <mergeCell ref="OTU28:OTW28"/>
    <mergeCell ref="OTX28:OTZ28"/>
    <mergeCell ref="OSQ28:OSS28"/>
    <mergeCell ref="OST28:OSV28"/>
    <mergeCell ref="OSW28:OSY28"/>
    <mergeCell ref="OSZ28:OTB28"/>
    <mergeCell ref="OTC28:OTE28"/>
    <mergeCell ref="OTF28:OTH28"/>
    <mergeCell ref="ORY28:OSA28"/>
    <mergeCell ref="OSB28:OSD28"/>
    <mergeCell ref="OSE28:OSG28"/>
    <mergeCell ref="OSH28:OSJ28"/>
    <mergeCell ref="OSK28:OSM28"/>
    <mergeCell ref="OSN28:OSP28"/>
    <mergeCell ref="OZO28:OZQ28"/>
    <mergeCell ref="OZR28:OZT28"/>
    <mergeCell ref="OZU28:OZW28"/>
    <mergeCell ref="OZX28:OZZ28"/>
    <mergeCell ref="PAA28:PAC28"/>
    <mergeCell ref="PAD28:PAF28"/>
    <mergeCell ref="OYW28:OYY28"/>
    <mergeCell ref="OYZ28:OZB28"/>
    <mergeCell ref="OZC28:OZE28"/>
    <mergeCell ref="OZF28:OZH28"/>
    <mergeCell ref="OZI28:OZK28"/>
    <mergeCell ref="OZL28:OZN28"/>
    <mergeCell ref="OYE28:OYG28"/>
    <mergeCell ref="OYH28:OYJ28"/>
    <mergeCell ref="OYK28:OYM28"/>
    <mergeCell ref="OYN28:OYP28"/>
    <mergeCell ref="OYQ28:OYS28"/>
    <mergeCell ref="OYT28:OYV28"/>
    <mergeCell ref="OXM28:OXO28"/>
    <mergeCell ref="OXP28:OXR28"/>
    <mergeCell ref="OXS28:OXU28"/>
    <mergeCell ref="OXV28:OXX28"/>
    <mergeCell ref="OXY28:OYA28"/>
    <mergeCell ref="OYB28:OYD28"/>
    <mergeCell ref="OWU28:OWW28"/>
    <mergeCell ref="OWX28:OWZ28"/>
    <mergeCell ref="OXA28:OXC28"/>
    <mergeCell ref="OXD28:OXF28"/>
    <mergeCell ref="OXG28:OXI28"/>
    <mergeCell ref="OXJ28:OXL28"/>
    <mergeCell ref="OWC28:OWE28"/>
    <mergeCell ref="OWF28:OWH28"/>
    <mergeCell ref="OWI28:OWK28"/>
    <mergeCell ref="OWL28:OWN28"/>
    <mergeCell ref="OWO28:OWQ28"/>
    <mergeCell ref="OWR28:OWT28"/>
    <mergeCell ref="PDS28:PDU28"/>
    <mergeCell ref="PDV28:PDX28"/>
    <mergeCell ref="PDY28:PEA28"/>
    <mergeCell ref="PEB28:PED28"/>
    <mergeCell ref="PEE28:PEG28"/>
    <mergeCell ref="PEH28:PEJ28"/>
    <mergeCell ref="PDA28:PDC28"/>
    <mergeCell ref="PDD28:PDF28"/>
    <mergeCell ref="PDG28:PDI28"/>
    <mergeCell ref="PDJ28:PDL28"/>
    <mergeCell ref="PDM28:PDO28"/>
    <mergeCell ref="PDP28:PDR28"/>
    <mergeCell ref="PCI28:PCK28"/>
    <mergeCell ref="PCL28:PCN28"/>
    <mergeCell ref="PCO28:PCQ28"/>
    <mergeCell ref="PCR28:PCT28"/>
    <mergeCell ref="PCU28:PCW28"/>
    <mergeCell ref="PCX28:PCZ28"/>
    <mergeCell ref="PBQ28:PBS28"/>
    <mergeCell ref="PBT28:PBV28"/>
    <mergeCell ref="PBW28:PBY28"/>
    <mergeCell ref="PBZ28:PCB28"/>
    <mergeCell ref="PCC28:PCE28"/>
    <mergeCell ref="PCF28:PCH28"/>
    <mergeCell ref="PAY28:PBA28"/>
    <mergeCell ref="PBB28:PBD28"/>
    <mergeCell ref="PBE28:PBG28"/>
    <mergeCell ref="PBH28:PBJ28"/>
    <mergeCell ref="PBK28:PBM28"/>
    <mergeCell ref="PBN28:PBP28"/>
    <mergeCell ref="PAG28:PAI28"/>
    <mergeCell ref="PAJ28:PAL28"/>
    <mergeCell ref="PAM28:PAO28"/>
    <mergeCell ref="PAP28:PAR28"/>
    <mergeCell ref="PAS28:PAU28"/>
    <mergeCell ref="PAV28:PAX28"/>
    <mergeCell ref="PHW28:PHY28"/>
    <mergeCell ref="PHZ28:PIB28"/>
    <mergeCell ref="PIC28:PIE28"/>
    <mergeCell ref="PIF28:PIH28"/>
    <mergeCell ref="PII28:PIK28"/>
    <mergeCell ref="PIL28:PIN28"/>
    <mergeCell ref="PHE28:PHG28"/>
    <mergeCell ref="PHH28:PHJ28"/>
    <mergeCell ref="PHK28:PHM28"/>
    <mergeCell ref="PHN28:PHP28"/>
    <mergeCell ref="PHQ28:PHS28"/>
    <mergeCell ref="PHT28:PHV28"/>
    <mergeCell ref="PGM28:PGO28"/>
    <mergeCell ref="PGP28:PGR28"/>
    <mergeCell ref="PGS28:PGU28"/>
    <mergeCell ref="PGV28:PGX28"/>
    <mergeCell ref="PGY28:PHA28"/>
    <mergeCell ref="PHB28:PHD28"/>
    <mergeCell ref="PFU28:PFW28"/>
    <mergeCell ref="PFX28:PFZ28"/>
    <mergeCell ref="PGA28:PGC28"/>
    <mergeCell ref="PGD28:PGF28"/>
    <mergeCell ref="PGG28:PGI28"/>
    <mergeCell ref="PGJ28:PGL28"/>
    <mergeCell ref="PFC28:PFE28"/>
    <mergeCell ref="PFF28:PFH28"/>
    <mergeCell ref="PFI28:PFK28"/>
    <mergeCell ref="PFL28:PFN28"/>
    <mergeCell ref="PFO28:PFQ28"/>
    <mergeCell ref="PFR28:PFT28"/>
    <mergeCell ref="PEK28:PEM28"/>
    <mergeCell ref="PEN28:PEP28"/>
    <mergeCell ref="PEQ28:PES28"/>
    <mergeCell ref="PET28:PEV28"/>
    <mergeCell ref="PEW28:PEY28"/>
    <mergeCell ref="PEZ28:PFB28"/>
    <mergeCell ref="PMA28:PMC28"/>
    <mergeCell ref="PMD28:PMF28"/>
    <mergeCell ref="PMG28:PMI28"/>
    <mergeCell ref="PMJ28:PML28"/>
    <mergeCell ref="PMM28:PMO28"/>
    <mergeCell ref="PMP28:PMR28"/>
    <mergeCell ref="PLI28:PLK28"/>
    <mergeCell ref="PLL28:PLN28"/>
    <mergeCell ref="PLO28:PLQ28"/>
    <mergeCell ref="PLR28:PLT28"/>
    <mergeCell ref="PLU28:PLW28"/>
    <mergeCell ref="PLX28:PLZ28"/>
    <mergeCell ref="PKQ28:PKS28"/>
    <mergeCell ref="PKT28:PKV28"/>
    <mergeCell ref="PKW28:PKY28"/>
    <mergeCell ref="PKZ28:PLB28"/>
    <mergeCell ref="PLC28:PLE28"/>
    <mergeCell ref="PLF28:PLH28"/>
    <mergeCell ref="PJY28:PKA28"/>
    <mergeCell ref="PKB28:PKD28"/>
    <mergeCell ref="PKE28:PKG28"/>
    <mergeCell ref="PKH28:PKJ28"/>
    <mergeCell ref="PKK28:PKM28"/>
    <mergeCell ref="PKN28:PKP28"/>
    <mergeCell ref="PJG28:PJI28"/>
    <mergeCell ref="PJJ28:PJL28"/>
    <mergeCell ref="PJM28:PJO28"/>
    <mergeCell ref="PJP28:PJR28"/>
    <mergeCell ref="PJS28:PJU28"/>
    <mergeCell ref="PJV28:PJX28"/>
    <mergeCell ref="PIO28:PIQ28"/>
    <mergeCell ref="PIR28:PIT28"/>
    <mergeCell ref="PIU28:PIW28"/>
    <mergeCell ref="PIX28:PIZ28"/>
    <mergeCell ref="PJA28:PJC28"/>
    <mergeCell ref="PJD28:PJF28"/>
    <mergeCell ref="PQE28:PQG28"/>
    <mergeCell ref="PQH28:PQJ28"/>
    <mergeCell ref="PQK28:PQM28"/>
    <mergeCell ref="PQN28:PQP28"/>
    <mergeCell ref="PQQ28:PQS28"/>
    <mergeCell ref="PQT28:PQV28"/>
    <mergeCell ref="PPM28:PPO28"/>
    <mergeCell ref="PPP28:PPR28"/>
    <mergeCell ref="PPS28:PPU28"/>
    <mergeCell ref="PPV28:PPX28"/>
    <mergeCell ref="PPY28:PQA28"/>
    <mergeCell ref="PQB28:PQD28"/>
    <mergeCell ref="POU28:POW28"/>
    <mergeCell ref="POX28:POZ28"/>
    <mergeCell ref="PPA28:PPC28"/>
    <mergeCell ref="PPD28:PPF28"/>
    <mergeCell ref="PPG28:PPI28"/>
    <mergeCell ref="PPJ28:PPL28"/>
    <mergeCell ref="POC28:POE28"/>
    <mergeCell ref="POF28:POH28"/>
    <mergeCell ref="POI28:POK28"/>
    <mergeCell ref="POL28:PON28"/>
    <mergeCell ref="POO28:POQ28"/>
    <mergeCell ref="POR28:POT28"/>
    <mergeCell ref="PNK28:PNM28"/>
    <mergeCell ref="PNN28:PNP28"/>
    <mergeCell ref="PNQ28:PNS28"/>
    <mergeCell ref="PNT28:PNV28"/>
    <mergeCell ref="PNW28:PNY28"/>
    <mergeCell ref="PNZ28:POB28"/>
    <mergeCell ref="PMS28:PMU28"/>
    <mergeCell ref="PMV28:PMX28"/>
    <mergeCell ref="PMY28:PNA28"/>
    <mergeCell ref="PNB28:PND28"/>
    <mergeCell ref="PNE28:PNG28"/>
    <mergeCell ref="PNH28:PNJ28"/>
    <mergeCell ref="PUI28:PUK28"/>
    <mergeCell ref="PUL28:PUN28"/>
    <mergeCell ref="PUO28:PUQ28"/>
    <mergeCell ref="PUR28:PUT28"/>
    <mergeCell ref="PUU28:PUW28"/>
    <mergeCell ref="PUX28:PUZ28"/>
    <mergeCell ref="PTQ28:PTS28"/>
    <mergeCell ref="PTT28:PTV28"/>
    <mergeCell ref="PTW28:PTY28"/>
    <mergeCell ref="PTZ28:PUB28"/>
    <mergeCell ref="PUC28:PUE28"/>
    <mergeCell ref="PUF28:PUH28"/>
    <mergeCell ref="PSY28:PTA28"/>
    <mergeCell ref="PTB28:PTD28"/>
    <mergeCell ref="PTE28:PTG28"/>
    <mergeCell ref="PTH28:PTJ28"/>
    <mergeCell ref="PTK28:PTM28"/>
    <mergeCell ref="PTN28:PTP28"/>
    <mergeCell ref="PSG28:PSI28"/>
    <mergeCell ref="PSJ28:PSL28"/>
    <mergeCell ref="PSM28:PSO28"/>
    <mergeCell ref="PSP28:PSR28"/>
    <mergeCell ref="PSS28:PSU28"/>
    <mergeCell ref="PSV28:PSX28"/>
    <mergeCell ref="PRO28:PRQ28"/>
    <mergeCell ref="PRR28:PRT28"/>
    <mergeCell ref="PRU28:PRW28"/>
    <mergeCell ref="PRX28:PRZ28"/>
    <mergeCell ref="PSA28:PSC28"/>
    <mergeCell ref="PSD28:PSF28"/>
    <mergeCell ref="PQW28:PQY28"/>
    <mergeCell ref="PQZ28:PRB28"/>
    <mergeCell ref="PRC28:PRE28"/>
    <mergeCell ref="PRF28:PRH28"/>
    <mergeCell ref="PRI28:PRK28"/>
    <mergeCell ref="PRL28:PRN28"/>
    <mergeCell ref="PYM28:PYO28"/>
    <mergeCell ref="PYP28:PYR28"/>
    <mergeCell ref="PYS28:PYU28"/>
    <mergeCell ref="PYV28:PYX28"/>
    <mergeCell ref="PYY28:PZA28"/>
    <mergeCell ref="PZB28:PZD28"/>
    <mergeCell ref="PXU28:PXW28"/>
    <mergeCell ref="PXX28:PXZ28"/>
    <mergeCell ref="PYA28:PYC28"/>
    <mergeCell ref="PYD28:PYF28"/>
    <mergeCell ref="PYG28:PYI28"/>
    <mergeCell ref="PYJ28:PYL28"/>
    <mergeCell ref="PXC28:PXE28"/>
    <mergeCell ref="PXF28:PXH28"/>
    <mergeCell ref="PXI28:PXK28"/>
    <mergeCell ref="PXL28:PXN28"/>
    <mergeCell ref="PXO28:PXQ28"/>
    <mergeCell ref="PXR28:PXT28"/>
    <mergeCell ref="PWK28:PWM28"/>
    <mergeCell ref="PWN28:PWP28"/>
    <mergeCell ref="PWQ28:PWS28"/>
    <mergeCell ref="PWT28:PWV28"/>
    <mergeCell ref="PWW28:PWY28"/>
    <mergeCell ref="PWZ28:PXB28"/>
    <mergeCell ref="PVS28:PVU28"/>
    <mergeCell ref="PVV28:PVX28"/>
    <mergeCell ref="PVY28:PWA28"/>
    <mergeCell ref="PWB28:PWD28"/>
    <mergeCell ref="PWE28:PWG28"/>
    <mergeCell ref="PWH28:PWJ28"/>
    <mergeCell ref="PVA28:PVC28"/>
    <mergeCell ref="PVD28:PVF28"/>
    <mergeCell ref="PVG28:PVI28"/>
    <mergeCell ref="PVJ28:PVL28"/>
    <mergeCell ref="PVM28:PVO28"/>
    <mergeCell ref="PVP28:PVR28"/>
    <mergeCell ref="QCQ28:QCS28"/>
    <mergeCell ref="QCT28:QCV28"/>
    <mergeCell ref="QCW28:QCY28"/>
    <mergeCell ref="QCZ28:QDB28"/>
    <mergeCell ref="QDC28:QDE28"/>
    <mergeCell ref="QDF28:QDH28"/>
    <mergeCell ref="QBY28:QCA28"/>
    <mergeCell ref="QCB28:QCD28"/>
    <mergeCell ref="QCE28:QCG28"/>
    <mergeCell ref="QCH28:QCJ28"/>
    <mergeCell ref="QCK28:QCM28"/>
    <mergeCell ref="QCN28:QCP28"/>
    <mergeCell ref="QBG28:QBI28"/>
    <mergeCell ref="QBJ28:QBL28"/>
    <mergeCell ref="QBM28:QBO28"/>
    <mergeCell ref="QBP28:QBR28"/>
    <mergeCell ref="QBS28:QBU28"/>
    <mergeCell ref="QBV28:QBX28"/>
    <mergeCell ref="QAO28:QAQ28"/>
    <mergeCell ref="QAR28:QAT28"/>
    <mergeCell ref="QAU28:QAW28"/>
    <mergeCell ref="QAX28:QAZ28"/>
    <mergeCell ref="QBA28:QBC28"/>
    <mergeCell ref="QBD28:QBF28"/>
    <mergeCell ref="PZW28:PZY28"/>
    <mergeCell ref="PZZ28:QAB28"/>
    <mergeCell ref="QAC28:QAE28"/>
    <mergeCell ref="QAF28:QAH28"/>
    <mergeCell ref="QAI28:QAK28"/>
    <mergeCell ref="QAL28:QAN28"/>
    <mergeCell ref="PZE28:PZG28"/>
    <mergeCell ref="PZH28:PZJ28"/>
    <mergeCell ref="PZK28:PZM28"/>
    <mergeCell ref="PZN28:PZP28"/>
    <mergeCell ref="PZQ28:PZS28"/>
    <mergeCell ref="PZT28:PZV28"/>
    <mergeCell ref="QGU28:QGW28"/>
    <mergeCell ref="QGX28:QGZ28"/>
    <mergeCell ref="QHA28:QHC28"/>
    <mergeCell ref="QHD28:QHF28"/>
    <mergeCell ref="QHG28:QHI28"/>
    <mergeCell ref="QHJ28:QHL28"/>
    <mergeCell ref="QGC28:QGE28"/>
    <mergeCell ref="QGF28:QGH28"/>
    <mergeCell ref="QGI28:QGK28"/>
    <mergeCell ref="QGL28:QGN28"/>
    <mergeCell ref="QGO28:QGQ28"/>
    <mergeCell ref="QGR28:QGT28"/>
    <mergeCell ref="QFK28:QFM28"/>
    <mergeCell ref="QFN28:QFP28"/>
    <mergeCell ref="QFQ28:QFS28"/>
    <mergeCell ref="QFT28:QFV28"/>
    <mergeCell ref="QFW28:QFY28"/>
    <mergeCell ref="QFZ28:QGB28"/>
    <mergeCell ref="QES28:QEU28"/>
    <mergeCell ref="QEV28:QEX28"/>
    <mergeCell ref="QEY28:QFA28"/>
    <mergeCell ref="QFB28:QFD28"/>
    <mergeCell ref="QFE28:QFG28"/>
    <mergeCell ref="QFH28:QFJ28"/>
    <mergeCell ref="QEA28:QEC28"/>
    <mergeCell ref="QED28:QEF28"/>
    <mergeCell ref="QEG28:QEI28"/>
    <mergeCell ref="QEJ28:QEL28"/>
    <mergeCell ref="QEM28:QEO28"/>
    <mergeCell ref="QEP28:QER28"/>
    <mergeCell ref="QDI28:QDK28"/>
    <mergeCell ref="QDL28:QDN28"/>
    <mergeCell ref="QDO28:QDQ28"/>
    <mergeCell ref="QDR28:QDT28"/>
    <mergeCell ref="QDU28:QDW28"/>
    <mergeCell ref="QDX28:QDZ28"/>
    <mergeCell ref="QKY28:QLA28"/>
    <mergeCell ref="QLB28:QLD28"/>
    <mergeCell ref="QLE28:QLG28"/>
    <mergeCell ref="QLH28:QLJ28"/>
    <mergeCell ref="QLK28:QLM28"/>
    <mergeCell ref="QLN28:QLP28"/>
    <mergeCell ref="QKG28:QKI28"/>
    <mergeCell ref="QKJ28:QKL28"/>
    <mergeCell ref="QKM28:QKO28"/>
    <mergeCell ref="QKP28:QKR28"/>
    <mergeCell ref="QKS28:QKU28"/>
    <mergeCell ref="QKV28:QKX28"/>
    <mergeCell ref="QJO28:QJQ28"/>
    <mergeCell ref="QJR28:QJT28"/>
    <mergeCell ref="QJU28:QJW28"/>
    <mergeCell ref="QJX28:QJZ28"/>
    <mergeCell ref="QKA28:QKC28"/>
    <mergeCell ref="QKD28:QKF28"/>
    <mergeCell ref="QIW28:QIY28"/>
    <mergeCell ref="QIZ28:QJB28"/>
    <mergeCell ref="QJC28:QJE28"/>
    <mergeCell ref="QJF28:QJH28"/>
    <mergeCell ref="QJI28:QJK28"/>
    <mergeCell ref="QJL28:QJN28"/>
    <mergeCell ref="QIE28:QIG28"/>
    <mergeCell ref="QIH28:QIJ28"/>
    <mergeCell ref="QIK28:QIM28"/>
    <mergeCell ref="QIN28:QIP28"/>
    <mergeCell ref="QIQ28:QIS28"/>
    <mergeCell ref="QIT28:QIV28"/>
    <mergeCell ref="QHM28:QHO28"/>
    <mergeCell ref="QHP28:QHR28"/>
    <mergeCell ref="QHS28:QHU28"/>
    <mergeCell ref="QHV28:QHX28"/>
    <mergeCell ref="QHY28:QIA28"/>
    <mergeCell ref="QIB28:QID28"/>
    <mergeCell ref="QPC28:QPE28"/>
    <mergeCell ref="QPF28:QPH28"/>
    <mergeCell ref="QPI28:QPK28"/>
    <mergeCell ref="QPL28:QPN28"/>
    <mergeCell ref="QPO28:QPQ28"/>
    <mergeCell ref="QPR28:QPT28"/>
    <mergeCell ref="QOK28:QOM28"/>
    <mergeCell ref="QON28:QOP28"/>
    <mergeCell ref="QOQ28:QOS28"/>
    <mergeCell ref="QOT28:QOV28"/>
    <mergeCell ref="QOW28:QOY28"/>
    <mergeCell ref="QOZ28:QPB28"/>
    <mergeCell ref="QNS28:QNU28"/>
    <mergeCell ref="QNV28:QNX28"/>
    <mergeCell ref="QNY28:QOA28"/>
    <mergeCell ref="QOB28:QOD28"/>
    <mergeCell ref="QOE28:QOG28"/>
    <mergeCell ref="QOH28:QOJ28"/>
    <mergeCell ref="QNA28:QNC28"/>
    <mergeCell ref="QND28:QNF28"/>
    <mergeCell ref="QNG28:QNI28"/>
    <mergeCell ref="QNJ28:QNL28"/>
    <mergeCell ref="QNM28:QNO28"/>
    <mergeCell ref="QNP28:QNR28"/>
    <mergeCell ref="QMI28:QMK28"/>
    <mergeCell ref="QML28:QMN28"/>
    <mergeCell ref="QMO28:QMQ28"/>
    <mergeCell ref="QMR28:QMT28"/>
    <mergeCell ref="QMU28:QMW28"/>
    <mergeCell ref="QMX28:QMZ28"/>
    <mergeCell ref="QLQ28:QLS28"/>
    <mergeCell ref="QLT28:QLV28"/>
    <mergeCell ref="QLW28:QLY28"/>
    <mergeCell ref="QLZ28:QMB28"/>
    <mergeCell ref="QMC28:QME28"/>
    <mergeCell ref="QMF28:QMH28"/>
    <mergeCell ref="QTG28:QTI28"/>
    <mergeCell ref="QTJ28:QTL28"/>
    <mergeCell ref="QTM28:QTO28"/>
    <mergeCell ref="QTP28:QTR28"/>
    <mergeCell ref="QTS28:QTU28"/>
    <mergeCell ref="QTV28:QTX28"/>
    <mergeCell ref="QSO28:QSQ28"/>
    <mergeCell ref="QSR28:QST28"/>
    <mergeCell ref="QSU28:QSW28"/>
    <mergeCell ref="QSX28:QSZ28"/>
    <mergeCell ref="QTA28:QTC28"/>
    <mergeCell ref="QTD28:QTF28"/>
    <mergeCell ref="QRW28:QRY28"/>
    <mergeCell ref="QRZ28:QSB28"/>
    <mergeCell ref="QSC28:QSE28"/>
    <mergeCell ref="QSF28:QSH28"/>
    <mergeCell ref="QSI28:QSK28"/>
    <mergeCell ref="QSL28:QSN28"/>
    <mergeCell ref="QRE28:QRG28"/>
    <mergeCell ref="QRH28:QRJ28"/>
    <mergeCell ref="QRK28:QRM28"/>
    <mergeCell ref="QRN28:QRP28"/>
    <mergeCell ref="QRQ28:QRS28"/>
    <mergeCell ref="QRT28:QRV28"/>
    <mergeCell ref="QQM28:QQO28"/>
    <mergeCell ref="QQP28:QQR28"/>
    <mergeCell ref="QQS28:QQU28"/>
    <mergeCell ref="QQV28:QQX28"/>
    <mergeCell ref="QQY28:QRA28"/>
    <mergeCell ref="QRB28:QRD28"/>
    <mergeCell ref="QPU28:QPW28"/>
    <mergeCell ref="QPX28:QPZ28"/>
    <mergeCell ref="QQA28:QQC28"/>
    <mergeCell ref="QQD28:QQF28"/>
    <mergeCell ref="QQG28:QQI28"/>
    <mergeCell ref="QQJ28:QQL28"/>
    <mergeCell ref="QXK28:QXM28"/>
    <mergeCell ref="QXN28:QXP28"/>
    <mergeCell ref="QXQ28:QXS28"/>
    <mergeCell ref="QXT28:QXV28"/>
    <mergeCell ref="QXW28:QXY28"/>
    <mergeCell ref="QXZ28:QYB28"/>
    <mergeCell ref="QWS28:QWU28"/>
    <mergeCell ref="QWV28:QWX28"/>
    <mergeCell ref="QWY28:QXA28"/>
    <mergeCell ref="QXB28:QXD28"/>
    <mergeCell ref="QXE28:QXG28"/>
    <mergeCell ref="QXH28:QXJ28"/>
    <mergeCell ref="QWA28:QWC28"/>
    <mergeCell ref="QWD28:QWF28"/>
    <mergeCell ref="QWG28:QWI28"/>
    <mergeCell ref="QWJ28:QWL28"/>
    <mergeCell ref="QWM28:QWO28"/>
    <mergeCell ref="QWP28:QWR28"/>
    <mergeCell ref="QVI28:QVK28"/>
    <mergeCell ref="QVL28:QVN28"/>
    <mergeCell ref="QVO28:QVQ28"/>
    <mergeCell ref="QVR28:QVT28"/>
    <mergeCell ref="QVU28:QVW28"/>
    <mergeCell ref="QVX28:QVZ28"/>
    <mergeCell ref="QUQ28:QUS28"/>
    <mergeCell ref="QUT28:QUV28"/>
    <mergeCell ref="QUW28:QUY28"/>
    <mergeCell ref="QUZ28:QVB28"/>
    <mergeCell ref="QVC28:QVE28"/>
    <mergeCell ref="QVF28:QVH28"/>
    <mergeCell ref="QTY28:QUA28"/>
    <mergeCell ref="QUB28:QUD28"/>
    <mergeCell ref="QUE28:QUG28"/>
    <mergeCell ref="QUH28:QUJ28"/>
    <mergeCell ref="QUK28:QUM28"/>
    <mergeCell ref="QUN28:QUP28"/>
    <mergeCell ref="RBO28:RBQ28"/>
    <mergeCell ref="RBR28:RBT28"/>
    <mergeCell ref="RBU28:RBW28"/>
    <mergeCell ref="RBX28:RBZ28"/>
    <mergeCell ref="RCA28:RCC28"/>
    <mergeCell ref="RCD28:RCF28"/>
    <mergeCell ref="RAW28:RAY28"/>
    <mergeCell ref="RAZ28:RBB28"/>
    <mergeCell ref="RBC28:RBE28"/>
    <mergeCell ref="RBF28:RBH28"/>
    <mergeCell ref="RBI28:RBK28"/>
    <mergeCell ref="RBL28:RBN28"/>
    <mergeCell ref="RAE28:RAG28"/>
    <mergeCell ref="RAH28:RAJ28"/>
    <mergeCell ref="RAK28:RAM28"/>
    <mergeCell ref="RAN28:RAP28"/>
    <mergeCell ref="RAQ28:RAS28"/>
    <mergeCell ref="RAT28:RAV28"/>
    <mergeCell ref="QZM28:QZO28"/>
    <mergeCell ref="QZP28:QZR28"/>
    <mergeCell ref="QZS28:QZU28"/>
    <mergeCell ref="QZV28:QZX28"/>
    <mergeCell ref="QZY28:RAA28"/>
    <mergeCell ref="RAB28:RAD28"/>
    <mergeCell ref="QYU28:QYW28"/>
    <mergeCell ref="QYX28:QYZ28"/>
    <mergeCell ref="QZA28:QZC28"/>
    <mergeCell ref="QZD28:QZF28"/>
    <mergeCell ref="QZG28:QZI28"/>
    <mergeCell ref="QZJ28:QZL28"/>
    <mergeCell ref="QYC28:QYE28"/>
    <mergeCell ref="QYF28:QYH28"/>
    <mergeCell ref="QYI28:QYK28"/>
    <mergeCell ref="QYL28:QYN28"/>
    <mergeCell ref="QYO28:QYQ28"/>
    <mergeCell ref="QYR28:QYT28"/>
    <mergeCell ref="RFS28:RFU28"/>
    <mergeCell ref="RFV28:RFX28"/>
    <mergeCell ref="RFY28:RGA28"/>
    <mergeCell ref="RGB28:RGD28"/>
    <mergeCell ref="RGE28:RGG28"/>
    <mergeCell ref="RGH28:RGJ28"/>
    <mergeCell ref="RFA28:RFC28"/>
    <mergeCell ref="RFD28:RFF28"/>
    <mergeCell ref="RFG28:RFI28"/>
    <mergeCell ref="RFJ28:RFL28"/>
    <mergeCell ref="RFM28:RFO28"/>
    <mergeCell ref="RFP28:RFR28"/>
    <mergeCell ref="REI28:REK28"/>
    <mergeCell ref="REL28:REN28"/>
    <mergeCell ref="REO28:REQ28"/>
    <mergeCell ref="RER28:RET28"/>
    <mergeCell ref="REU28:REW28"/>
    <mergeCell ref="REX28:REZ28"/>
    <mergeCell ref="RDQ28:RDS28"/>
    <mergeCell ref="RDT28:RDV28"/>
    <mergeCell ref="RDW28:RDY28"/>
    <mergeCell ref="RDZ28:REB28"/>
    <mergeCell ref="REC28:REE28"/>
    <mergeCell ref="REF28:REH28"/>
    <mergeCell ref="RCY28:RDA28"/>
    <mergeCell ref="RDB28:RDD28"/>
    <mergeCell ref="RDE28:RDG28"/>
    <mergeCell ref="RDH28:RDJ28"/>
    <mergeCell ref="RDK28:RDM28"/>
    <mergeCell ref="RDN28:RDP28"/>
    <mergeCell ref="RCG28:RCI28"/>
    <mergeCell ref="RCJ28:RCL28"/>
    <mergeCell ref="RCM28:RCO28"/>
    <mergeCell ref="RCP28:RCR28"/>
    <mergeCell ref="RCS28:RCU28"/>
    <mergeCell ref="RCV28:RCX28"/>
    <mergeCell ref="RJW28:RJY28"/>
    <mergeCell ref="RJZ28:RKB28"/>
    <mergeCell ref="RKC28:RKE28"/>
    <mergeCell ref="RKF28:RKH28"/>
    <mergeCell ref="RKI28:RKK28"/>
    <mergeCell ref="RKL28:RKN28"/>
    <mergeCell ref="RJE28:RJG28"/>
    <mergeCell ref="RJH28:RJJ28"/>
    <mergeCell ref="RJK28:RJM28"/>
    <mergeCell ref="RJN28:RJP28"/>
    <mergeCell ref="RJQ28:RJS28"/>
    <mergeCell ref="RJT28:RJV28"/>
    <mergeCell ref="RIM28:RIO28"/>
    <mergeCell ref="RIP28:RIR28"/>
    <mergeCell ref="RIS28:RIU28"/>
    <mergeCell ref="RIV28:RIX28"/>
    <mergeCell ref="RIY28:RJA28"/>
    <mergeCell ref="RJB28:RJD28"/>
    <mergeCell ref="RHU28:RHW28"/>
    <mergeCell ref="RHX28:RHZ28"/>
    <mergeCell ref="RIA28:RIC28"/>
    <mergeCell ref="RID28:RIF28"/>
    <mergeCell ref="RIG28:RII28"/>
    <mergeCell ref="RIJ28:RIL28"/>
    <mergeCell ref="RHC28:RHE28"/>
    <mergeCell ref="RHF28:RHH28"/>
    <mergeCell ref="RHI28:RHK28"/>
    <mergeCell ref="RHL28:RHN28"/>
    <mergeCell ref="RHO28:RHQ28"/>
    <mergeCell ref="RHR28:RHT28"/>
    <mergeCell ref="RGK28:RGM28"/>
    <mergeCell ref="RGN28:RGP28"/>
    <mergeCell ref="RGQ28:RGS28"/>
    <mergeCell ref="RGT28:RGV28"/>
    <mergeCell ref="RGW28:RGY28"/>
    <mergeCell ref="RGZ28:RHB28"/>
    <mergeCell ref="ROA28:ROC28"/>
    <mergeCell ref="ROD28:ROF28"/>
    <mergeCell ref="ROG28:ROI28"/>
    <mergeCell ref="ROJ28:ROL28"/>
    <mergeCell ref="ROM28:ROO28"/>
    <mergeCell ref="ROP28:ROR28"/>
    <mergeCell ref="RNI28:RNK28"/>
    <mergeCell ref="RNL28:RNN28"/>
    <mergeCell ref="RNO28:RNQ28"/>
    <mergeCell ref="RNR28:RNT28"/>
    <mergeCell ref="RNU28:RNW28"/>
    <mergeCell ref="RNX28:RNZ28"/>
    <mergeCell ref="RMQ28:RMS28"/>
    <mergeCell ref="RMT28:RMV28"/>
    <mergeCell ref="RMW28:RMY28"/>
    <mergeCell ref="RMZ28:RNB28"/>
    <mergeCell ref="RNC28:RNE28"/>
    <mergeCell ref="RNF28:RNH28"/>
    <mergeCell ref="RLY28:RMA28"/>
    <mergeCell ref="RMB28:RMD28"/>
    <mergeCell ref="RME28:RMG28"/>
    <mergeCell ref="RMH28:RMJ28"/>
    <mergeCell ref="RMK28:RMM28"/>
    <mergeCell ref="RMN28:RMP28"/>
    <mergeCell ref="RLG28:RLI28"/>
    <mergeCell ref="RLJ28:RLL28"/>
    <mergeCell ref="RLM28:RLO28"/>
    <mergeCell ref="RLP28:RLR28"/>
    <mergeCell ref="RLS28:RLU28"/>
    <mergeCell ref="RLV28:RLX28"/>
    <mergeCell ref="RKO28:RKQ28"/>
    <mergeCell ref="RKR28:RKT28"/>
    <mergeCell ref="RKU28:RKW28"/>
    <mergeCell ref="RKX28:RKZ28"/>
    <mergeCell ref="RLA28:RLC28"/>
    <mergeCell ref="RLD28:RLF28"/>
    <mergeCell ref="RSE28:RSG28"/>
    <mergeCell ref="RSH28:RSJ28"/>
    <mergeCell ref="RSK28:RSM28"/>
    <mergeCell ref="RSN28:RSP28"/>
    <mergeCell ref="RSQ28:RSS28"/>
    <mergeCell ref="RST28:RSV28"/>
    <mergeCell ref="RRM28:RRO28"/>
    <mergeCell ref="RRP28:RRR28"/>
    <mergeCell ref="RRS28:RRU28"/>
    <mergeCell ref="RRV28:RRX28"/>
    <mergeCell ref="RRY28:RSA28"/>
    <mergeCell ref="RSB28:RSD28"/>
    <mergeCell ref="RQU28:RQW28"/>
    <mergeCell ref="RQX28:RQZ28"/>
    <mergeCell ref="RRA28:RRC28"/>
    <mergeCell ref="RRD28:RRF28"/>
    <mergeCell ref="RRG28:RRI28"/>
    <mergeCell ref="RRJ28:RRL28"/>
    <mergeCell ref="RQC28:RQE28"/>
    <mergeCell ref="RQF28:RQH28"/>
    <mergeCell ref="RQI28:RQK28"/>
    <mergeCell ref="RQL28:RQN28"/>
    <mergeCell ref="RQO28:RQQ28"/>
    <mergeCell ref="RQR28:RQT28"/>
    <mergeCell ref="RPK28:RPM28"/>
    <mergeCell ref="RPN28:RPP28"/>
    <mergeCell ref="RPQ28:RPS28"/>
    <mergeCell ref="RPT28:RPV28"/>
    <mergeCell ref="RPW28:RPY28"/>
    <mergeCell ref="RPZ28:RQB28"/>
    <mergeCell ref="ROS28:ROU28"/>
    <mergeCell ref="ROV28:ROX28"/>
    <mergeCell ref="ROY28:RPA28"/>
    <mergeCell ref="RPB28:RPD28"/>
    <mergeCell ref="RPE28:RPG28"/>
    <mergeCell ref="RPH28:RPJ28"/>
    <mergeCell ref="RWI28:RWK28"/>
    <mergeCell ref="RWL28:RWN28"/>
    <mergeCell ref="RWO28:RWQ28"/>
    <mergeCell ref="RWR28:RWT28"/>
    <mergeCell ref="RWU28:RWW28"/>
    <mergeCell ref="RWX28:RWZ28"/>
    <mergeCell ref="RVQ28:RVS28"/>
    <mergeCell ref="RVT28:RVV28"/>
    <mergeCell ref="RVW28:RVY28"/>
    <mergeCell ref="RVZ28:RWB28"/>
    <mergeCell ref="RWC28:RWE28"/>
    <mergeCell ref="RWF28:RWH28"/>
    <mergeCell ref="RUY28:RVA28"/>
    <mergeCell ref="RVB28:RVD28"/>
    <mergeCell ref="RVE28:RVG28"/>
    <mergeCell ref="RVH28:RVJ28"/>
    <mergeCell ref="RVK28:RVM28"/>
    <mergeCell ref="RVN28:RVP28"/>
    <mergeCell ref="RUG28:RUI28"/>
    <mergeCell ref="RUJ28:RUL28"/>
    <mergeCell ref="RUM28:RUO28"/>
    <mergeCell ref="RUP28:RUR28"/>
    <mergeCell ref="RUS28:RUU28"/>
    <mergeCell ref="RUV28:RUX28"/>
    <mergeCell ref="RTO28:RTQ28"/>
    <mergeCell ref="RTR28:RTT28"/>
    <mergeCell ref="RTU28:RTW28"/>
    <mergeCell ref="RTX28:RTZ28"/>
    <mergeCell ref="RUA28:RUC28"/>
    <mergeCell ref="RUD28:RUF28"/>
    <mergeCell ref="RSW28:RSY28"/>
    <mergeCell ref="RSZ28:RTB28"/>
    <mergeCell ref="RTC28:RTE28"/>
    <mergeCell ref="RTF28:RTH28"/>
    <mergeCell ref="RTI28:RTK28"/>
    <mergeCell ref="RTL28:RTN28"/>
    <mergeCell ref="SAM28:SAO28"/>
    <mergeCell ref="SAP28:SAR28"/>
    <mergeCell ref="SAS28:SAU28"/>
    <mergeCell ref="SAV28:SAX28"/>
    <mergeCell ref="SAY28:SBA28"/>
    <mergeCell ref="SBB28:SBD28"/>
    <mergeCell ref="RZU28:RZW28"/>
    <mergeCell ref="RZX28:RZZ28"/>
    <mergeCell ref="SAA28:SAC28"/>
    <mergeCell ref="SAD28:SAF28"/>
    <mergeCell ref="SAG28:SAI28"/>
    <mergeCell ref="SAJ28:SAL28"/>
    <mergeCell ref="RZC28:RZE28"/>
    <mergeCell ref="RZF28:RZH28"/>
    <mergeCell ref="RZI28:RZK28"/>
    <mergeCell ref="RZL28:RZN28"/>
    <mergeCell ref="RZO28:RZQ28"/>
    <mergeCell ref="RZR28:RZT28"/>
    <mergeCell ref="RYK28:RYM28"/>
    <mergeCell ref="RYN28:RYP28"/>
    <mergeCell ref="RYQ28:RYS28"/>
    <mergeCell ref="RYT28:RYV28"/>
    <mergeCell ref="RYW28:RYY28"/>
    <mergeCell ref="RYZ28:RZB28"/>
    <mergeCell ref="RXS28:RXU28"/>
    <mergeCell ref="RXV28:RXX28"/>
    <mergeCell ref="RXY28:RYA28"/>
    <mergeCell ref="RYB28:RYD28"/>
    <mergeCell ref="RYE28:RYG28"/>
    <mergeCell ref="RYH28:RYJ28"/>
    <mergeCell ref="RXA28:RXC28"/>
    <mergeCell ref="RXD28:RXF28"/>
    <mergeCell ref="RXG28:RXI28"/>
    <mergeCell ref="RXJ28:RXL28"/>
    <mergeCell ref="RXM28:RXO28"/>
    <mergeCell ref="RXP28:RXR28"/>
    <mergeCell ref="SEQ28:SES28"/>
    <mergeCell ref="SET28:SEV28"/>
    <mergeCell ref="SEW28:SEY28"/>
    <mergeCell ref="SEZ28:SFB28"/>
    <mergeCell ref="SFC28:SFE28"/>
    <mergeCell ref="SFF28:SFH28"/>
    <mergeCell ref="SDY28:SEA28"/>
    <mergeCell ref="SEB28:SED28"/>
    <mergeCell ref="SEE28:SEG28"/>
    <mergeCell ref="SEH28:SEJ28"/>
    <mergeCell ref="SEK28:SEM28"/>
    <mergeCell ref="SEN28:SEP28"/>
    <mergeCell ref="SDG28:SDI28"/>
    <mergeCell ref="SDJ28:SDL28"/>
    <mergeCell ref="SDM28:SDO28"/>
    <mergeCell ref="SDP28:SDR28"/>
    <mergeCell ref="SDS28:SDU28"/>
    <mergeCell ref="SDV28:SDX28"/>
    <mergeCell ref="SCO28:SCQ28"/>
    <mergeCell ref="SCR28:SCT28"/>
    <mergeCell ref="SCU28:SCW28"/>
    <mergeCell ref="SCX28:SCZ28"/>
    <mergeCell ref="SDA28:SDC28"/>
    <mergeCell ref="SDD28:SDF28"/>
    <mergeCell ref="SBW28:SBY28"/>
    <mergeCell ref="SBZ28:SCB28"/>
    <mergeCell ref="SCC28:SCE28"/>
    <mergeCell ref="SCF28:SCH28"/>
    <mergeCell ref="SCI28:SCK28"/>
    <mergeCell ref="SCL28:SCN28"/>
    <mergeCell ref="SBE28:SBG28"/>
    <mergeCell ref="SBH28:SBJ28"/>
    <mergeCell ref="SBK28:SBM28"/>
    <mergeCell ref="SBN28:SBP28"/>
    <mergeCell ref="SBQ28:SBS28"/>
    <mergeCell ref="SBT28:SBV28"/>
    <mergeCell ref="SIU28:SIW28"/>
    <mergeCell ref="SIX28:SIZ28"/>
    <mergeCell ref="SJA28:SJC28"/>
    <mergeCell ref="SJD28:SJF28"/>
    <mergeCell ref="SJG28:SJI28"/>
    <mergeCell ref="SJJ28:SJL28"/>
    <mergeCell ref="SIC28:SIE28"/>
    <mergeCell ref="SIF28:SIH28"/>
    <mergeCell ref="SII28:SIK28"/>
    <mergeCell ref="SIL28:SIN28"/>
    <mergeCell ref="SIO28:SIQ28"/>
    <mergeCell ref="SIR28:SIT28"/>
    <mergeCell ref="SHK28:SHM28"/>
    <mergeCell ref="SHN28:SHP28"/>
    <mergeCell ref="SHQ28:SHS28"/>
    <mergeCell ref="SHT28:SHV28"/>
    <mergeCell ref="SHW28:SHY28"/>
    <mergeCell ref="SHZ28:SIB28"/>
    <mergeCell ref="SGS28:SGU28"/>
    <mergeCell ref="SGV28:SGX28"/>
    <mergeCell ref="SGY28:SHA28"/>
    <mergeCell ref="SHB28:SHD28"/>
    <mergeCell ref="SHE28:SHG28"/>
    <mergeCell ref="SHH28:SHJ28"/>
    <mergeCell ref="SGA28:SGC28"/>
    <mergeCell ref="SGD28:SGF28"/>
    <mergeCell ref="SGG28:SGI28"/>
    <mergeCell ref="SGJ28:SGL28"/>
    <mergeCell ref="SGM28:SGO28"/>
    <mergeCell ref="SGP28:SGR28"/>
    <mergeCell ref="SFI28:SFK28"/>
    <mergeCell ref="SFL28:SFN28"/>
    <mergeCell ref="SFO28:SFQ28"/>
    <mergeCell ref="SFR28:SFT28"/>
    <mergeCell ref="SFU28:SFW28"/>
    <mergeCell ref="SFX28:SFZ28"/>
    <mergeCell ref="SMY28:SNA28"/>
    <mergeCell ref="SNB28:SND28"/>
    <mergeCell ref="SNE28:SNG28"/>
    <mergeCell ref="SNH28:SNJ28"/>
    <mergeCell ref="SNK28:SNM28"/>
    <mergeCell ref="SNN28:SNP28"/>
    <mergeCell ref="SMG28:SMI28"/>
    <mergeCell ref="SMJ28:SML28"/>
    <mergeCell ref="SMM28:SMO28"/>
    <mergeCell ref="SMP28:SMR28"/>
    <mergeCell ref="SMS28:SMU28"/>
    <mergeCell ref="SMV28:SMX28"/>
    <mergeCell ref="SLO28:SLQ28"/>
    <mergeCell ref="SLR28:SLT28"/>
    <mergeCell ref="SLU28:SLW28"/>
    <mergeCell ref="SLX28:SLZ28"/>
    <mergeCell ref="SMA28:SMC28"/>
    <mergeCell ref="SMD28:SMF28"/>
    <mergeCell ref="SKW28:SKY28"/>
    <mergeCell ref="SKZ28:SLB28"/>
    <mergeCell ref="SLC28:SLE28"/>
    <mergeCell ref="SLF28:SLH28"/>
    <mergeCell ref="SLI28:SLK28"/>
    <mergeCell ref="SLL28:SLN28"/>
    <mergeCell ref="SKE28:SKG28"/>
    <mergeCell ref="SKH28:SKJ28"/>
    <mergeCell ref="SKK28:SKM28"/>
    <mergeCell ref="SKN28:SKP28"/>
    <mergeCell ref="SKQ28:SKS28"/>
    <mergeCell ref="SKT28:SKV28"/>
    <mergeCell ref="SJM28:SJO28"/>
    <mergeCell ref="SJP28:SJR28"/>
    <mergeCell ref="SJS28:SJU28"/>
    <mergeCell ref="SJV28:SJX28"/>
    <mergeCell ref="SJY28:SKA28"/>
    <mergeCell ref="SKB28:SKD28"/>
    <mergeCell ref="SRC28:SRE28"/>
    <mergeCell ref="SRF28:SRH28"/>
    <mergeCell ref="SRI28:SRK28"/>
    <mergeCell ref="SRL28:SRN28"/>
    <mergeCell ref="SRO28:SRQ28"/>
    <mergeCell ref="SRR28:SRT28"/>
    <mergeCell ref="SQK28:SQM28"/>
    <mergeCell ref="SQN28:SQP28"/>
    <mergeCell ref="SQQ28:SQS28"/>
    <mergeCell ref="SQT28:SQV28"/>
    <mergeCell ref="SQW28:SQY28"/>
    <mergeCell ref="SQZ28:SRB28"/>
    <mergeCell ref="SPS28:SPU28"/>
    <mergeCell ref="SPV28:SPX28"/>
    <mergeCell ref="SPY28:SQA28"/>
    <mergeCell ref="SQB28:SQD28"/>
    <mergeCell ref="SQE28:SQG28"/>
    <mergeCell ref="SQH28:SQJ28"/>
    <mergeCell ref="SPA28:SPC28"/>
    <mergeCell ref="SPD28:SPF28"/>
    <mergeCell ref="SPG28:SPI28"/>
    <mergeCell ref="SPJ28:SPL28"/>
    <mergeCell ref="SPM28:SPO28"/>
    <mergeCell ref="SPP28:SPR28"/>
    <mergeCell ref="SOI28:SOK28"/>
    <mergeCell ref="SOL28:SON28"/>
    <mergeCell ref="SOO28:SOQ28"/>
    <mergeCell ref="SOR28:SOT28"/>
    <mergeCell ref="SOU28:SOW28"/>
    <mergeCell ref="SOX28:SOZ28"/>
    <mergeCell ref="SNQ28:SNS28"/>
    <mergeCell ref="SNT28:SNV28"/>
    <mergeCell ref="SNW28:SNY28"/>
    <mergeCell ref="SNZ28:SOB28"/>
    <mergeCell ref="SOC28:SOE28"/>
    <mergeCell ref="SOF28:SOH28"/>
    <mergeCell ref="SVG28:SVI28"/>
    <mergeCell ref="SVJ28:SVL28"/>
    <mergeCell ref="SVM28:SVO28"/>
    <mergeCell ref="SVP28:SVR28"/>
    <mergeCell ref="SVS28:SVU28"/>
    <mergeCell ref="SVV28:SVX28"/>
    <mergeCell ref="SUO28:SUQ28"/>
    <mergeCell ref="SUR28:SUT28"/>
    <mergeCell ref="SUU28:SUW28"/>
    <mergeCell ref="SUX28:SUZ28"/>
    <mergeCell ref="SVA28:SVC28"/>
    <mergeCell ref="SVD28:SVF28"/>
    <mergeCell ref="STW28:STY28"/>
    <mergeCell ref="STZ28:SUB28"/>
    <mergeCell ref="SUC28:SUE28"/>
    <mergeCell ref="SUF28:SUH28"/>
    <mergeCell ref="SUI28:SUK28"/>
    <mergeCell ref="SUL28:SUN28"/>
    <mergeCell ref="STE28:STG28"/>
    <mergeCell ref="STH28:STJ28"/>
    <mergeCell ref="STK28:STM28"/>
    <mergeCell ref="STN28:STP28"/>
    <mergeCell ref="STQ28:STS28"/>
    <mergeCell ref="STT28:STV28"/>
    <mergeCell ref="SSM28:SSO28"/>
    <mergeCell ref="SSP28:SSR28"/>
    <mergeCell ref="SSS28:SSU28"/>
    <mergeCell ref="SSV28:SSX28"/>
    <mergeCell ref="SSY28:STA28"/>
    <mergeCell ref="STB28:STD28"/>
    <mergeCell ref="SRU28:SRW28"/>
    <mergeCell ref="SRX28:SRZ28"/>
    <mergeCell ref="SSA28:SSC28"/>
    <mergeCell ref="SSD28:SSF28"/>
    <mergeCell ref="SSG28:SSI28"/>
    <mergeCell ref="SSJ28:SSL28"/>
    <mergeCell ref="SZK28:SZM28"/>
    <mergeCell ref="SZN28:SZP28"/>
    <mergeCell ref="SZQ28:SZS28"/>
    <mergeCell ref="SZT28:SZV28"/>
    <mergeCell ref="SZW28:SZY28"/>
    <mergeCell ref="SZZ28:TAB28"/>
    <mergeCell ref="SYS28:SYU28"/>
    <mergeCell ref="SYV28:SYX28"/>
    <mergeCell ref="SYY28:SZA28"/>
    <mergeCell ref="SZB28:SZD28"/>
    <mergeCell ref="SZE28:SZG28"/>
    <mergeCell ref="SZH28:SZJ28"/>
    <mergeCell ref="SYA28:SYC28"/>
    <mergeCell ref="SYD28:SYF28"/>
    <mergeCell ref="SYG28:SYI28"/>
    <mergeCell ref="SYJ28:SYL28"/>
    <mergeCell ref="SYM28:SYO28"/>
    <mergeCell ref="SYP28:SYR28"/>
    <mergeCell ref="SXI28:SXK28"/>
    <mergeCell ref="SXL28:SXN28"/>
    <mergeCell ref="SXO28:SXQ28"/>
    <mergeCell ref="SXR28:SXT28"/>
    <mergeCell ref="SXU28:SXW28"/>
    <mergeCell ref="SXX28:SXZ28"/>
    <mergeCell ref="SWQ28:SWS28"/>
    <mergeCell ref="SWT28:SWV28"/>
    <mergeCell ref="SWW28:SWY28"/>
    <mergeCell ref="SWZ28:SXB28"/>
    <mergeCell ref="SXC28:SXE28"/>
    <mergeCell ref="SXF28:SXH28"/>
    <mergeCell ref="SVY28:SWA28"/>
    <mergeCell ref="SWB28:SWD28"/>
    <mergeCell ref="SWE28:SWG28"/>
    <mergeCell ref="SWH28:SWJ28"/>
    <mergeCell ref="SWK28:SWM28"/>
    <mergeCell ref="SWN28:SWP28"/>
    <mergeCell ref="TDO28:TDQ28"/>
    <mergeCell ref="TDR28:TDT28"/>
    <mergeCell ref="TDU28:TDW28"/>
    <mergeCell ref="TDX28:TDZ28"/>
    <mergeCell ref="TEA28:TEC28"/>
    <mergeCell ref="TED28:TEF28"/>
    <mergeCell ref="TCW28:TCY28"/>
    <mergeCell ref="TCZ28:TDB28"/>
    <mergeCell ref="TDC28:TDE28"/>
    <mergeCell ref="TDF28:TDH28"/>
    <mergeCell ref="TDI28:TDK28"/>
    <mergeCell ref="TDL28:TDN28"/>
    <mergeCell ref="TCE28:TCG28"/>
    <mergeCell ref="TCH28:TCJ28"/>
    <mergeCell ref="TCK28:TCM28"/>
    <mergeCell ref="TCN28:TCP28"/>
    <mergeCell ref="TCQ28:TCS28"/>
    <mergeCell ref="TCT28:TCV28"/>
    <mergeCell ref="TBM28:TBO28"/>
    <mergeCell ref="TBP28:TBR28"/>
    <mergeCell ref="TBS28:TBU28"/>
    <mergeCell ref="TBV28:TBX28"/>
    <mergeCell ref="TBY28:TCA28"/>
    <mergeCell ref="TCB28:TCD28"/>
    <mergeCell ref="TAU28:TAW28"/>
    <mergeCell ref="TAX28:TAZ28"/>
    <mergeCell ref="TBA28:TBC28"/>
    <mergeCell ref="TBD28:TBF28"/>
    <mergeCell ref="TBG28:TBI28"/>
    <mergeCell ref="TBJ28:TBL28"/>
    <mergeCell ref="TAC28:TAE28"/>
    <mergeCell ref="TAF28:TAH28"/>
    <mergeCell ref="TAI28:TAK28"/>
    <mergeCell ref="TAL28:TAN28"/>
    <mergeCell ref="TAO28:TAQ28"/>
    <mergeCell ref="TAR28:TAT28"/>
    <mergeCell ref="THS28:THU28"/>
    <mergeCell ref="THV28:THX28"/>
    <mergeCell ref="THY28:TIA28"/>
    <mergeCell ref="TIB28:TID28"/>
    <mergeCell ref="TIE28:TIG28"/>
    <mergeCell ref="TIH28:TIJ28"/>
    <mergeCell ref="THA28:THC28"/>
    <mergeCell ref="THD28:THF28"/>
    <mergeCell ref="THG28:THI28"/>
    <mergeCell ref="THJ28:THL28"/>
    <mergeCell ref="THM28:THO28"/>
    <mergeCell ref="THP28:THR28"/>
    <mergeCell ref="TGI28:TGK28"/>
    <mergeCell ref="TGL28:TGN28"/>
    <mergeCell ref="TGO28:TGQ28"/>
    <mergeCell ref="TGR28:TGT28"/>
    <mergeCell ref="TGU28:TGW28"/>
    <mergeCell ref="TGX28:TGZ28"/>
    <mergeCell ref="TFQ28:TFS28"/>
    <mergeCell ref="TFT28:TFV28"/>
    <mergeCell ref="TFW28:TFY28"/>
    <mergeCell ref="TFZ28:TGB28"/>
    <mergeCell ref="TGC28:TGE28"/>
    <mergeCell ref="TGF28:TGH28"/>
    <mergeCell ref="TEY28:TFA28"/>
    <mergeCell ref="TFB28:TFD28"/>
    <mergeCell ref="TFE28:TFG28"/>
    <mergeCell ref="TFH28:TFJ28"/>
    <mergeCell ref="TFK28:TFM28"/>
    <mergeCell ref="TFN28:TFP28"/>
    <mergeCell ref="TEG28:TEI28"/>
    <mergeCell ref="TEJ28:TEL28"/>
    <mergeCell ref="TEM28:TEO28"/>
    <mergeCell ref="TEP28:TER28"/>
    <mergeCell ref="TES28:TEU28"/>
    <mergeCell ref="TEV28:TEX28"/>
    <mergeCell ref="TLW28:TLY28"/>
    <mergeCell ref="TLZ28:TMB28"/>
    <mergeCell ref="TMC28:TME28"/>
    <mergeCell ref="TMF28:TMH28"/>
    <mergeCell ref="TMI28:TMK28"/>
    <mergeCell ref="TML28:TMN28"/>
    <mergeCell ref="TLE28:TLG28"/>
    <mergeCell ref="TLH28:TLJ28"/>
    <mergeCell ref="TLK28:TLM28"/>
    <mergeCell ref="TLN28:TLP28"/>
    <mergeCell ref="TLQ28:TLS28"/>
    <mergeCell ref="TLT28:TLV28"/>
    <mergeCell ref="TKM28:TKO28"/>
    <mergeCell ref="TKP28:TKR28"/>
    <mergeCell ref="TKS28:TKU28"/>
    <mergeCell ref="TKV28:TKX28"/>
    <mergeCell ref="TKY28:TLA28"/>
    <mergeCell ref="TLB28:TLD28"/>
    <mergeCell ref="TJU28:TJW28"/>
    <mergeCell ref="TJX28:TJZ28"/>
    <mergeCell ref="TKA28:TKC28"/>
    <mergeCell ref="TKD28:TKF28"/>
    <mergeCell ref="TKG28:TKI28"/>
    <mergeCell ref="TKJ28:TKL28"/>
    <mergeCell ref="TJC28:TJE28"/>
    <mergeCell ref="TJF28:TJH28"/>
    <mergeCell ref="TJI28:TJK28"/>
    <mergeCell ref="TJL28:TJN28"/>
    <mergeCell ref="TJO28:TJQ28"/>
    <mergeCell ref="TJR28:TJT28"/>
    <mergeCell ref="TIK28:TIM28"/>
    <mergeCell ref="TIN28:TIP28"/>
    <mergeCell ref="TIQ28:TIS28"/>
    <mergeCell ref="TIT28:TIV28"/>
    <mergeCell ref="TIW28:TIY28"/>
    <mergeCell ref="TIZ28:TJB28"/>
    <mergeCell ref="TQA28:TQC28"/>
    <mergeCell ref="TQD28:TQF28"/>
    <mergeCell ref="TQG28:TQI28"/>
    <mergeCell ref="TQJ28:TQL28"/>
    <mergeCell ref="TQM28:TQO28"/>
    <mergeCell ref="TQP28:TQR28"/>
    <mergeCell ref="TPI28:TPK28"/>
    <mergeCell ref="TPL28:TPN28"/>
    <mergeCell ref="TPO28:TPQ28"/>
    <mergeCell ref="TPR28:TPT28"/>
    <mergeCell ref="TPU28:TPW28"/>
    <mergeCell ref="TPX28:TPZ28"/>
    <mergeCell ref="TOQ28:TOS28"/>
    <mergeCell ref="TOT28:TOV28"/>
    <mergeCell ref="TOW28:TOY28"/>
    <mergeCell ref="TOZ28:TPB28"/>
    <mergeCell ref="TPC28:TPE28"/>
    <mergeCell ref="TPF28:TPH28"/>
    <mergeCell ref="TNY28:TOA28"/>
    <mergeCell ref="TOB28:TOD28"/>
    <mergeCell ref="TOE28:TOG28"/>
    <mergeCell ref="TOH28:TOJ28"/>
    <mergeCell ref="TOK28:TOM28"/>
    <mergeCell ref="TON28:TOP28"/>
    <mergeCell ref="TNG28:TNI28"/>
    <mergeCell ref="TNJ28:TNL28"/>
    <mergeCell ref="TNM28:TNO28"/>
    <mergeCell ref="TNP28:TNR28"/>
    <mergeCell ref="TNS28:TNU28"/>
    <mergeCell ref="TNV28:TNX28"/>
    <mergeCell ref="TMO28:TMQ28"/>
    <mergeCell ref="TMR28:TMT28"/>
    <mergeCell ref="TMU28:TMW28"/>
    <mergeCell ref="TMX28:TMZ28"/>
    <mergeCell ref="TNA28:TNC28"/>
    <mergeCell ref="TND28:TNF28"/>
    <mergeCell ref="TUE28:TUG28"/>
    <mergeCell ref="TUH28:TUJ28"/>
    <mergeCell ref="TUK28:TUM28"/>
    <mergeCell ref="TUN28:TUP28"/>
    <mergeCell ref="TUQ28:TUS28"/>
    <mergeCell ref="TUT28:TUV28"/>
    <mergeCell ref="TTM28:TTO28"/>
    <mergeCell ref="TTP28:TTR28"/>
    <mergeCell ref="TTS28:TTU28"/>
    <mergeCell ref="TTV28:TTX28"/>
    <mergeCell ref="TTY28:TUA28"/>
    <mergeCell ref="TUB28:TUD28"/>
    <mergeCell ref="TSU28:TSW28"/>
    <mergeCell ref="TSX28:TSZ28"/>
    <mergeCell ref="TTA28:TTC28"/>
    <mergeCell ref="TTD28:TTF28"/>
    <mergeCell ref="TTG28:TTI28"/>
    <mergeCell ref="TTJ28:TTL28"/>
    <mergeCell ref="TSC28:TSE28"/>
    <mergeCell ref="TSF28:TSH28"/>
    <mergeCell ref="TSI28:TSK28"/>
    <mergeCell ref="TSL28:TSN28"/>
    <mergeCell ref="TSO28:TSQ28"/>
    <mergeCell ref="TSR28:TST28"/>
    <mergeCell ref="TRK28:TRM28"/>
    <mergeCell ref="TRN28:TRP28"/>
    <mergeCell ref="TRQ28:TRS28"/>
    <mergeCell ref="TRT28:TRV28"/>
    <mergeCell ref="TRW28:TRY28"/>
    <mergeCell ref="TRZ28:TSB28"/>
    <mergeCell ref="TQS28:TQU28"/>
    <mergeCell ref="TQV28:TQX28"/>
    <mergeCell ref="TQY28:TRA28"/>
    <mergeCell ref="TRB28:TRD28"/>
    <mergeCell ref="TRE28:TRG28"/>
    <mergeCell ref="TRH28:TRJ28"/>
    <mergeCell ref="TYI28:TYK28"/>
    <mergeCell ref="TYL28:TYN28"/>
    <mergeCell ref="TYO28:TYQ28"/>
    <mergeCell ref="TYR28:TYT28"/>
    <mergeCell ref="TYU28:TYW28"/>
    <mergeCell ref="TYX28:TYZ28"/>
    <mergeCell ref="TXQ28:TXS28"/>
    <mergeCell ref="TXT28:TXV28"/>
    <mergeCell ref="TXW28:TXY28"/>
    <mergeCell ref="TXZ28:TYB28"/>
    <mergeCell ref="TYC28:TYE28"/>
    <mergeCell ref="TYF28:TYH28"/>
    <mergeCell ref="TWY28:TXA28"/>
    <mergeCell ref="TXB28:TXD28"/>
    <mergeCell ref="TXE28:TXG28"/>
    <mergeCell ref="TXH28:TXJ28"/>
    <mergeCell ref="TXK28:TXM28"/>
    <mergeCell ref="TXN28:TXP28"/>
    <mergeCell ref="TWG28:TWI28"/>
    <mergeCell ref="TWJ28:TWL28"/>
    <mergeCell ref="TWM28:TWO28"/>
    <mergeCell ref="TWP28:TWR28"/>
    <mergeCell ref="TWS28:TWU28"/>
    <mergeCell ref="TWV28:TWX28"/>
    <mergeCell ref="TVO28:TVQ28"/>
    <mergeCell ref="TVR28:TVT28"/>
    <mergeCell ref="TVU28:TVW28"/>
    <mergeCell ref="TVX28:TVZ28"/>
    <mergeCell ref="TWA28:TWC28"/>
    <mergeCell ref="TWD28:TWF28"/>
    <mergeCell ref="TUW28:TUY28"/>
    <mergeCell ref="TUZ28:TVB28"/>
    <mergeCell ref="TVC28:TVE28"/>
    <mergeCell ref="TVF28:TVH28"/>
    <mergeCell ref="TVI28:TVK28"/>
    <mergeCell ref="TVL28:TVN28"/>
    <mergeCell ref="UCM28:UCO28"/>
    <mergeCell ref="UCP28:UCR28"/>
    <mergeCell ref="UCS28:UCU28"/>
    <mergeCell ref="UCV28:UCX28"/>
    <mergeCell ref="UCY28:UDA28"/>
    <mergeCell ref="UDB28:UDD28"/>
    <mergeCell ref="UBU28:UBW28"/>
    <mergeCell ref="UBX28:UBZ28"/>
    <mergeCell ref="UCA28:UCC28"/>
    <mergeCell ref="UCD28:UCF28"/>
    <mergeCell ref="UCG28:UCI28"/>
    <mergeCell ref="UCJ28:UCL28"/>
    <mergeCell ref="UBC28:UBE28"/>
    <mergeCell ref="UBF28:UBH28"/>
    <mergeCell ref="UBI28:UBK28"/>
    <mergeCell ref="UBL28:UBN28"/>
    <mergeCell ref="UBO28:UBQ28"/>
    <mergeCell ref="UBR28:UBT28"/>
    <mergeCell ref="UAK28:UAM28"/>
    <mergeCell ref="UAN28:UAP28"/>
    <mergeCell ref="UAQ28:UAS28"/>
    <mergeCell ref="UAT28:UAV28"/>
    <mergeCell ref="UAW28:UAY28"/>
    <mergeCell ref="UAZ28:UBB28"/>
    <mergeCell ref="TZS28:TZU28"/>
    <mergeCell ref="TZV28:TZX28"/>
    <mergeCell ref="TZY28:UAA28"/>
    <mergeCell ref="UAB28:UAD28"/>
    <mergeCell ref="UAE28:UAG28"/>
    <mergeCell ref="UAH28:UAJ28"/>
    <mergeCell ref="TZA28:TZC28"/>
    <mergeCell ref="TZD28:TZF28"/>
    <mergeCell ref="TZG28:TZI28"/>
    <mergeCell ref="TZJ28:TZL28"/>
    <mergeCell ref="TZM28:TZO28"/>
    <mergeCell ref="TZP28:TZR28"/>
    <mergeCell ref="UGQ28:UGS28"/>
    <mergeCell ref="UGT28:UGV28"/>
    <mergeCell ref="UGW28:UGY28"/>
    <mergeCell ref="UGZ28:UHB28"/>
    <mergeCell ref="UHC28:UHE28"/>
    <mergeCell ref="UHF28:UHH28"/>
    <mergeCell ref="UFY28:UGA28"/>
    <mergeCell ref="UGB28:UGD28"/>
    <mergeCell ref="UGE28:UGG28"/>
    <mergeCell ref="UGH28:UGJ28"/>
    <mergeCell ref="UGK28:UGM28"/>
    <mergeCell ref="UGN28:UGP28"/>
    <mergeCell ref="UFG28:UFI28"/>
    <mergeCell ref="UFJ28:UFL28"/>
    <mergeCell ref="UFM28:UFO28"/>
    <mergeCell ref="UFP28:UFR28"/>
    <mergeCell ref="UFS28:UFU28"/>
    <mergeCell ref="UFV28:UFX28"/>
    <mergeCell ref="UEO28:UEQ28"/>
    <mergeCell ref="UER28:UET28"/>
    <mergeCell ref="UEU28:UEW28"/>
    <mergeCell ref="UEX28:UEZ28"/>
    <mergeCell ref="UFA28:UFC28"/>
    <mergeCell ref="UFD28:UFF28"/>
    <mergeCell ref="UDW28:UDY28"/>
    <mergeCell ref="UDZ28:UEB28"/>
    <mergeCell ref="UEC28:UEE28"/>
    <mergeCell ref="UEF28:UEH28"/>
    <mergeCell ref="UEI28:UEK28"/>
    <mergeCell ref="UEL28:UEN28"/>
    <mergeCell ref="UDE28:UDG28"/>
    <mergeCell ref="UDH28:UDJ28"/>
    <mergeCell ref="UDK28:UDM28"/>
    <mergeCell ref="UDN28:UDP28"/>
    <mergeCell ref="UDQ28:UDS28"/>
    <mergeCell ref="UDT28:UDV28"/>
    <mergeCell ref="UKU28:UKW28"/>
    <mergeCell ref="UKX28:UKZ28"/>
    <mergeCell ref="ULA28:ULC28"/>
    <mergeCell ref="ULD28:ULF28"/>
    <mergeCell ref="ULG28:ULI28"/>
    <mergeCell ref="ULJ28:ULL28"/>
    <mergeCell ref="UKC28:UKE28"/>
    <mergeCell ref="UKF28:UKH28"/>
    <mergeCell ref="UKI28:UKK28"/>
    <mergeCell ref="UKL28:UKN28"/>
    <mergeCell ref="UKO28:UKQ28"/>
    <mergeCell ref="UKR28:UKT28"/>
    <mergeCell ref="UJK28:UJM28"/>
    <mergeCell ref="UJN28:UJP28"/>
    <mergeCell ref="UJQ28:UJS28"/>
    <mergeCell ref="UJT28:UJV28"/>
    <mergeCell ref="UJW28:UJY28"/>
    <mergeCell ref="UJZ28:UKB28"/>
    <mergeCell ref="UIS28:UIU28"/>
    <mergeCell ref="UIV28:UIX28"/>
    <mergeCell ref="UIY28:UJA28"/>
    <mergeCell ref="UJB28:UJD28"/>
    <mergeCell ref="UJE28:UJG28"/>
    <mergeCell ref="UJH28:UJJ28"/>
    <mergeCell ref="UIA28:UIC28"/>
    <mergeCell ref="UID28:UIF28"/>
    <mergeCell ref="UIG28:UII28"/>
    <mergeCell ref="UIJ28:UIL28"/>
    <mergeCell ref="UIM28:UIO28"/>
    <mergeCell ref="UIP28:UIR28"/>
    <mergeCell ref="UHI28:UHK28"/>
    <mergeCell ref="UHL28:UHN28"/>
    <mergeCell ref="UHO28:UHQ28"/>
    <mergeCell ref="UHR28:UHT28"/>
    <mergeCell ref="UHU28:UHW28"/>
    <mergeCell ref="UHX28:UHZ28"/>
    <mergeCell ref="UOY28:UPA28"/>
    <mergeCell ref="UPB28:UPD28"/>
    <mergeCell ref="UPE28:UPG28"/>
    <mergeCell ref="UPH28:UPJ28"/>
    <mergeCell ref="UPK28:UPM28"/>
    <mergeCell ref="UPN28:UPP28"/>
    <mergeCell ref="UOG28:UOI28"/>
    <mergeCell ref="UOJ28:UOL28"/>
    <mergeCell ref="UOM28:UOO28"/>
    <mergeCell ref="UOP28:UOR28"/>
    <mergeCell ref="UOS28:UOU28"/>
    <mergeCell ref="UOV28:UOX28"/>
    <mergeCell ref="UNO28:UNQ28"/>
    <mergeCell ref="UNR28:UNT28"/>
    <mergeCell ref="UNU28:UNW28"/>
    <mergeCell ref="UNX28:UNZ28"/>
    <mergeCell ref="UOA28:UOC28"/>
    <mergeCell ref="UOD28:UOF28"/>
    <mergeCell ref="UMW28:UMY28"/>
    <mergeCell ref="UMZ28:UNB28"/>
    <mergeCell ref="UNC28:UNE28"/>
    <mergeCell ref="UNF28:UNH28"/>
    <mergeCell ref="UNI28:UNK28"/>
    <mergeCell ref="UNL28:UNN28"/>
    <mergeCell ref="UME28:UMG28"/>
    <mergeCell ref="UMH28:UMJ28"/>
    <mergeCell ref="UMK28:UMM28"/>
    <mergeCell ref="UMN28:UMP28"/>
    <mergeCell ref="UMQ28:UMS28"/>
    <mergeCell ref="UMT28:UMV28"/>
    <mergeCell ref="ULM28:ULO28"/>
    <mergeCell ref="ULP28:ULR28"/>
    <mergeCell ref="ULS28:ULU28"/>
    <mergeCell ref="ULV28:ULX28"/>
    <mergeCell ref="ULY28:UMA28"/>
    <mergeCell ref="UMB28:UMD28"/>
    <mergeCell ref="UTC28:UTE28"/>
    <mergeCell ref="UTF28:UTH28"/>
    <mergeCell ref="UTI28:UTK28"/>
    <mergeCell ref="UTL28:UTN28"/>
    <mergeCell ref="UTO28:UTQ28"/>
    <mergeCell ref="UTR28:UTT28"/>
    <mergeCell ref="USK28:USM28"/>
    <mergeCell ref="USN28:USP28"/>
    <mergeCell ref="USQ28:USS28"/>
    <mergeCell ref="UST28:USV28"/>
    <mergeCell ref="USW28:USY28"/>
    <mergeCell ref="USZ28:UTB28"/>
    <mergeCell ref="URS28:URU28"/>
    <mergeCell ref="URV28:URX28"/>
    <mergeCell ref="URY28:USA28"/>
    <mergeCell ref="USB28:USD28"/>
    <mergeCell ref="USE28:USG28"/>
    <mergeCell ref="USH28:USJ28"/>
    <mergeCell ref="URA28:URC28"/>
    <mergeCell ref="URD28:URF28"/>
    <mergeCell ref="URG28:URI28"/>
    <mergeCell ref="URJ28:URL28"/>
    <mergeCell ref="URM28:URO28"/>
    <mergeCell ref="URP28:URR28"/>
    <mergeCell ref="UQI28:UQK28"/>
    <mergeCell ref="UQL28:UQN28"/>
    <mergeCell ref="UQO28:UQQ28"/>
    <mergeCell ref="UQR28:UQT28"/>
    <mergeCell ref="UQU28:UQW28"/>
    <mergeCell ref="UQX28:UQZ28"/>
    <mergeCell ref="UPQ28:UPS28"/>
    <mergeCell ref="UPT28:UPV28"/>
    <mergeCell ref="UPW28:UPY28"/>
    <mergeCell ref="UPZ28:UQB28"/>
    <mergeCell ref="UQC28:UQE28"/>
    <mergeCell ref="UQF28:UQH28"/>
    <mergeCell ref="UXG28:UXI28"/>
    <mergeCell ref="UXJ28:UXL28"/>
    <mergeCell ref="UXM28:UXO28"/>
    <mergeCell ref="UXP28:UXR28"/>
    <mergeCell ref="UXS28:UXU28"/>
    <mergeCell ref="UXV28:UXX28"/>
    <mergeCell ref="UWO28:UWQ28"/>
    <mergeCell ref="UWR28:UWT28"/>
    <mergeCell ref="UWU28:UWW28"/>
    <mergeCell ref="UWX28:UWZ28"/>
    <mergeCell ref="UXA28:UXC28"/>
    <mergeCell ref="UXD28:UXF28"/>
    <mergeCell ref="UVW28:UVY28"/>
    <mergeCell ref="UVZ28:UWB28"/>
    <mergeCell ref="UWC28:UWE28"/>
    <mergeCell ref="UWF28:UWH28"/>
    <mergeCell ref="UWI28:UWK28"/>
    <mergeCell ref="UWL28:UWN28"/>
    <mergeCell ref="UVE28:UVG28"/>
    <mergeCell ref="UVH28:UVJ28"/>
    <mergeCell ref="UVK28:UVM28"/>
    <mergeCell ref="UVN28:UVP28"/>
    <mergeCell ref="UVQ28:UVS28"/>
    <mergeCell ref="UVT28:UVV28"/>
    <mergeCell ref="UUM28:UUO28"/>
    <mergeCell ref="UUP28:UUR28"/>
    <mergeCell ref="UUS28:UUU28"/>
    <mergeCell ref="UUV28:UUX28"/>
    <mergeCell ref="UUY28:UVA28"/>
    <mergeCell ref="UVB28:UVD28"/>
    <mergeCell ref="UTU28:UTW28"/>
    <mergeCell ref="UTX28:UTZ28"/>
    <mergeCell ref="UUA28:UUC28"/>
    <mergeCell ref="UUD28:UUF28"/>
    <mergeCell ref="UUG28:UUI28"/>
    <mergeCell ref="UUJ28:UUL28"/>
    <mergeCell ref="VBK28:VBM28"/>
    <mergeCell ref="VBN28:VBP28"/>
    <mergeCell ref="VBQ28:VBS28"/>
    <mergeCell ref="VBT28:VBV28"/>
    <mergeCell ref="VBW28:VBY28"/>
    <mergeCell ref="VBZ28:VCB28"/>
    <mergeCell ref="VAS28:VAU28"/>
    <mergeCell ref="VAV28:VAX28"/>
    <mergeCell ref="VAY28:VBA28"/>
    <mergeCell ref="VBB28:VBD28"/>
    <mergeCell ref="VBE28:VBG28"/>
    <mergeCell ref="VBH28:VBJ28"/>
    <mergeCell ref="VAA28:VAC28"/>
    <mergeCell ref="VAD28:VAF28"/>
    <mergeCell ref="VAG28:VAI28"/>
    <mergeCell ref="VAJ28:VAL28"/>
    <mergeCell ref="VAM28:VAO28"/>
    <mergeCell ref="VAP28:VAR28"/>
    <mergeCell ref="UZI28:UZK28"/>
    <mergeCell ref="UZL28:UZN28"/>
    <mergeCell ref="UZO28:UZQ28"/>
    <mergeCell ref="UZR28:UZT28"/>
    <mergeCell ref="UZU28:UZW28"/>
    <mergeCell ref="UZX28:UZZ28"/>
    <mergeCell ref="UYQ28:UYS28"/>
    <mergeCell ref="UYT28:UYV28"/>
    <mergeCell ref="UYW28:UYY28"/>
    <mergeCell ref="UYZ28:UZB28"/>
    <mergeCell ref="UZC28:UZE28"/>
    <mergeCell ref="UZF28:UZH28"/>
    <mergeCell ref="UXY28:UYA28"/>
    <mergeCell ref="UYB28:UYD28"/>
    <mergeCell ref="UYE28:UYG28"/>
    <mergeCell ref="UYH28:UYJ28"/>
    <mergeCell ref="UYK28:UYM28"/>
    <mergeCell ref="UYN28:UYP28"/>
    <mergeCell ref="VFO28:VFQ28"/>
    <mergeCell ref="VFR28:VFT28"/>
    <mergeCell ref="VFU28:VFW28"/>
    <mergeCell ref="VFX28:VFZ28"/>
    <mergeCell ref="VGA28:VGC28"/>
    <mergeCell ref="VGD28:VGF28"/>
    <mergeCell ref="VEW28:VEY28"/>
    <mergeCell ref="VEZ28:VFB28"/>
    <mergeCell ref="VFC28:VFE28"/>
    <mergeCell ref="VFF28:VFH28"/>
    <mergeCell ref="VFI28:VFK28"/>
    <mergeCell ref="VFL28:VFN28"/>
    <mergeCell ref="VEE28:VEG28"/>
    <mergeCell ref="VEH28:VEJ28"/>
    <mergeCell ref="VEK28:VEM28"/>
    <mergeCell ref="VEN28:VEP28"/>
    <mergeCell ref="VEQ28:VES28"/>
    <mergeCell ref="VET28:VEV28"/>
    <mergeCell ref="VDM28:VDO28"/>
    <mergeCell ref="VDP28:VDR28"/>
    <mergeCell ref="VDS28:VDU28"/>
    <mergeCell ref="VDV28:VDX28"/>
    <mergeCell ref="VDY28:VEA28"/>
    <mergeCell ref="VEB28:VED28"/>
    <mergeCell ref="VCU28:VCW28"/>
    <mergeCell ref="VCX28:VCZ28"/>
    <mergeCell ref="VDA28:VDC28"/>
    <mergeCell ref="VDD28:VDF28"/>
    <mergeCell ref="VDG28:VDI28"/>
    <mergeCell ref="VDJ28:VDL28"/>
    <mergeCell ref="VCC28:VCE28"/>
    <mergeCell ref="VCF28:VCH28"/>
    <mergeCell ref="VCI28:VCK28"/>
    <mergeCell ref="VCL28:VCN28"/>
    <mergeCell ref="VCO28:VCQ28"/>
    <mergeCell ref="VCR28:VCT28"/>
    <mergeCell ref="VJS28:VJU28"/>
    <mergeCell ref="VJV28:VJX28"/>
    <mergeCell ref="VJY28:VKA28"/>
    <mergeCell ref="VKB28:VKD28"/>
    <mergeCell ref="VKE28:VKG28"/>
    <mergeCell ref="VKH28:VKJ28"/>
    <mergeCell ref="VJA28:VJC28"/>
    <mergeCell ref="VJD28:VJF28"/>
    <mergeCell ref="VJG28:VJI28"/>
    <mergeCell ref="VJJ28:VJL28"/>
    <mergeCell ref="VJM28:VJO28"/>
    <mergeCell ref="VJP28:VJR28"/>
    <mergeCell ref="VII28:VIK28"/>
    <mergeCell ref="VIL28:VIN28"/>
    <mergeCell ref="VIO28:VIQ28"/>
    <mergeCell ref="VIR28:VIT28"/>
    <mergeCell ref="VIU28:VIW28"/>
    <mergeCell ref="VIX28:VIZ28"/>
    <mergeCell ref="VHQ28:VHS28"/>
    <mergeCell ref="VHT28:VHV28"/>
    <mergeCell ref="VHW28:VHY28"/>
    <mergeCell ref="VHZ28:VIB28"/>
    <mergeCell ref="VIC28:VIE28"/>
    <mergeCell ref="VIF28:VIH28"/>
    <mergeCell ref="VGY28:VHA28"/>
    <mergeCell ref="VHB28:VHD28"/>
    <mergeCell ref="VHE28:VHG28"/>
    <mergeCell ref="VHH28:VHJ28"/>
    <mergeCell ref="VHK28:VHM28"/>
    <mergeCell ref="VHN28:VHP28"/>
    <mergeCell ref="VGG28:VGI28"/>
    <mergeCell ref="VGJ28:VGL28"/>
    <mergeCell ref="VGM28:VGO28"/>
    <mergeCell ref="VGP28:VGR28"/>
    <mergeCell ref="VGS28:VGU28"/>
    <mergeCell ref="VGV28:VGX28"/>
    <mergeCell ref="VNW28:VNY28"/>
    <mergeCell ref="VNZ28:VOB28"/>
    <mergeCell ref="VOC28:VOE28"/>
    <mergeCell ref="VOF28:VOH28"/>
    <mergeCell ref="VOI28:VOK28"/>
    <mergeCell ref="VOL28:VON28"/>
    <mergeCell ref="VNE28:VNG28"/>
    <mergeCell ref="VNH28:VNJ28"/>
    <mergeCell ref="VNK28:VNM28"/>
    <mergeCell ref="VNN28:VNP28"/>
    <mergeCell ref="VNQ28:VNS28"/>
    <mergeCell ref="VNT28:VNV28"/>
    <mergeCell ref="VMM28:VMO28"/>
    <mergeCell ref="VMP28:VMR28"/>
    <mergeCell ref="VMS28:VMU28"/>
    <mergeCell ref="VMV28:VMX28"/>
    <mergeCell ref="VMY28:VNA28"/>
    <mergeCell ref="VNB28:VND28"/>
    <mergeCell ref="VLU28:VLW28"/>
    <mergeCell ref="VLX28:VLZ28"/>
    <mergeCell ref="VMA28:VMC28"/>
    <mergeCell ref="VMD28:VMF28"/>
    <mergeCell ref="VMG28:VMI28"/>
    <mergeCell ref="VMJ28:VML28"/>
    <mergeCell ref="VLC28:VLE28"/>
    <mergeCell ref="VLF28:VLH28"/>
    <mergeCell ref="VLI28:VLK28"/>
    <mergeCell ref="VLL28:VLN28"/>
    <mergeCell ref="VLO28:VLQ28"/>
    <mergeCell ref="VLR28:VLT28"/>
    <mergeCell ref="VKK28:VKM28"/>
    <mergeCell ref="VKN28:VKP28"/>
    <mergeCell ref="VKQ28:VKS28"/>
    <mergeCell ref="VKT28:VKV28"/>
    <mergeCell ref="VKW28:VKY28"/>
    <mergeCell ref="VKZ28:VLB28"/>
    <mergeCell ref="VSA28:VSC28"/>
    <mergeCell ref="VSD28:VSF28"/>
    <mergeCell ref="VSG28:VSI28"/>
    <mergeCell ref="VSJ28:VSL28"/>
    <mergeCell ref="VSM28:VSO28"/>
    <mergeCell ref="VSP28:VSR28"/>
    <mergeCell ref="VRI28:VRK28"/>
    <mergeCell ref="VRL28:VRN28"/>
    <mergeCell ref="VRO28:VRQ28"/>
    <mergeCell ref="VRR28:VRT28"/>
    <mergeCell ref="VRU28:VRW28"/>
    <mergeCell ref="VRX28:VRZ28"/>
    <mergeCell ref="VQQ28:VQS28"/>
    <mergeCell ref="VQT28:VQV28"/>
    <mergeCell ref="VQW28:VQY28"/>
    <mergeCell ref="VQZ28:VRB28"/>
    <mergeCell ref="VRC28:VRE28"/>
    <mergeCell ref="VRF28:VRH28"/>
    <mergeCell ref="VPY28:VQA28"/>
    <mergeCell ref="VQB28:VQD28"/>
    <mergeCell ref="VQE28:VQG28"/>
    <mergeCell ref="VQH28:VQJ28"/>
    <mergeCell ref="VQK28:VQM28"/>
    <mergeCell ref="VQN28:VQP28"/>
    <mergeCell ref="VPG28:VPI28"/>
    <mergeCell ref="VPJ28:VPL28"/>
    <mergeCell ref="VPM28:VPO28"/>
    <mergeCell ref="VPP28:VPR28"/>
    <mergeCell ref="VPS28:VPU28"/>
    <mergeCell ref="VPV28:VPX28"/>
    <mergeCell ref="VOO28:VOQ28"/>
    <mergeCell ref="VOR28:VOT28"/>
    <mergeCell ref="VOU28:VOW28"/>
    <mergeCell ref="VOX28:VOZ28"/>
    <mergeCell ref="VPA28:VPC28"/>
    <mergeCell ref="VPD28:VPF28"/>
    <mergeCell ref="VWE28:VWG28"/>
    <mergeCell ref="VWH28:VWJ28"/>
    <mergeCell ref="VWK28:VWM28"/>
    <mergeCell ref="VWN28:VWP28"/>
    <mergeCell ref="VWQ28:VWS28"/>
    <mergeCell ref="VWT28:VWV28"/>
    <mergeCell ref="VVM28:VVO28"/>
    <mergeCell ref="VVP28:VVR28"/>
    <mergeCell ref="VVS28:VVU28"/>
    <mergeCell ref="VVV28:VVX28"/>
    <mergeCell ref="VVY28:VWA28"/>
    <mergeCell ref="VWB28:VWD28"/>
    <mergeCell ref="VUU28:VUW28"/>
    <mergeCell ref="VUX28:VUZ28"/>
    <mergeCell ref="VVA28:VVC28"/>
    <mergeCell ref="VVD28:VVF28"/>
    <mergeCell ref="VVG28:VVI28"/>
    <mergeCell ref="VVJ28:VVL28"/>
    <mergeCell ref="VUC28:VUE28"/>
    <mergeCell ref="VUF28:VUH28"/>
    <mergeCell ref="VUI28:VUK28"/>
    <mergeCell ref="VUL28:VUN28"/>
    <mergeCell ref="VUO28:VUQ28"/>
    <mergeCell ref="VUR28:VUT28"/>
    <mergeCell ref="VTK28:VTM28"/>
    <mergeCell ref="VTN28:VTP28"/>
    <mergeCell ref="VTQ28:VTS28"/>
    <mergeCell ref="VTT28:VTV28"/>
    <mergeCell ref="VTW28:VTY28"/>
    <mergeCell ref="VTZ28:VUB28"/>
    <mergeCell ref="VSS28:VSU28"/>
    <mergeCell ref="VSV28:VSX28"/>
    <mergeCell ref="VSY28:VTA28"/>
    <mergeCell ref="VTB28:VTD28"/>
    <mergeCell ref="VTE28:VTG28"/>
    <mergeCell ref="VTH28:VTJ28"/>
    <mergeCell ref="WAI28:WAK28"/>
    <mergeCell ref="WAL28:WAN28"/>
    <mergeCell ref="WAO28:WAQ28"/>
    <mergeCell ref="WAR28:WAT28"/>
    <mergeCell ref="WAU28:WAW28"/>
    <mergeCell ref="WAX28:WAZ28"/>
    <mergeCell ref="VZQ28:VZS28"/>
    <mergeCell ref="VZT28:VZV28"/>
    <mergeCell ref="VZW28:VZY28"/>
    <mergeCell ref="VZZ28:WAB28"/>
    <mergeCell ref="WAC28:WAE28"/>
    <mergeCell ref="WAF28:WAH28"/>
    <mergeCell ref="VYY28:VZA28"/>
    <mergeCell ref="VZB28:VZD28"/>
    <mergeCell ref="VZE28:VZG28"/>
    <mergeCell ref="VZH28:VZJ28"/>
    <mergeCell ref="VZK28:VZM28"/>
    <mergeCell ref="VZN28:VZP28"/>
    <mergeCell ref="VYG28:VYI28"/>
    <mergeCell ref="VYJ28:VYL28"/>
    <mergeCell ref="VYM28:VYO28"/>
    <mergeCell ref="VYP28:VYR28"/>
    <mergeCell ref="VYS28:VYU28"/>
    <mergeCell ref="VYV28:VYX28"/>
    <mergeCell ref="VXO28:VXQ28"/>
    <mergeCell ref="VXR28:VXT28"/>
    <mergeCell ref="VXU28:VXW28"/>
    <mergeCell ref="VXX28:VXZ28"/>
    <mergeCell ref="VYA28:VYC28"/>
    <mergeCell ref="VYD28:VYF28"/>
    <mergeCell ref="VWW28:VWY28"/>
    <mergeCell ref="VWZ28:VXB28"/>
    <mergeCell ref="VXC28:VXE28"/>
    <mergeCell ref="VXF28:VXH28"/>
    <mergeCell ref="VXI28:VXK28"/>
    <mergeCell ref="VXL28:VXN28"/>
    <mergeCell ref="WEM28:WEO28"/>
    <mergeCell ref="WEP28:WER28"/>
    <mergeCell ref="WES28:WEU28"/>
    <mergeCell ref="WEV28:WEX28"/>
    <mergeCell ref="WEY28:WFA28"/>
    <mergeCell ref="WFB28:WFD28"/>
    <mergeCell ref="WDU28:WDW28"/>
    <mergeCell ref="WDX28:WDZ28"/>
    <mergeCell ref="WEA28:WEC28"/>
    <mergeCell ref="WED28:WEF28"/>
    <mergeCell ref="WEG28:WEI28"/>
    <mergeCell ref="WEJ28:WEL28"/>
    <mergeCell ref="WDC28:WDE28"/>
    <mergeCell ref="WDF28:WDH28"/>
    <mergeCell ref="WDI28:WDK28"/>
    <mergeCell ref="WDL28:WDN28"/>
    <mergeCell ref="WDO28:WDQ28"/>
    <mergeCell ref="WDR28:WDT28"/>
    <mergeCell ref="WCK28:WCM28"/>
    <mergeCell ref="WCN28:WCP28"/>
    <mergeCell ref="WCQ28:WCS28"/>
    <mergeCell ref="WCT28:WCV28"/>
    <mergeCell ref="WCW28:WCY28"/>
    <mergeCell ref="WCZ28:WDB28"/>
    <mergeCell ref="WBS28:WBU28"/>
    <mergeCell ref="WBV28:WBX28"/>
    <mergeCell ref="WBY28:WCA28"/>
    <mergeCell ref="WCB28:WCD28"/>
    <mergeCell ref="WCE28:WCG28"/>
    <mergeCell ref="WCH28:WCJ28"/>
    <mergeCell ref="WBA28:WBC28"/>
    <mergeCell ref="WBD28:WBF28"/>
    <mergeCell ref="WBG28:WBI28"/>
    <mergeCell ref="WBJ28:WBL28"/>
    <mergeCell ref="WBM28:WBO28"/>
    <mergeCell ref="WBP28:WBR28"/>
    <mergeCell ref="WIQ28:WIS28"/>
    <mergeCell ref="WIT28:WIV28"/>
    <mergeCell ref="WIW28:WIY28"/>
    <mergeCell ref="WIZ28:WJB28"/>
    <mergeCell ref="WJC28:WJE28"/>
    <mergeCell ref="WJF28:WJH28"/>
    <mergeCell ref="WHY28:WIA28"/>
    <mergeCell ref="WIB28:WID28"/>
    <mergeCell ref="WIE28:WIG28"/>
    <mergeCell ref="WIH28:WIJ28"/>
    <mergeCell ref="WIK28:WIM28"/>
    <mergeCell ref="WIN28:WIP28"/>
    <mergeCell ref="WHG28:WHI28"/>
    <mergeCell ref="WHJ28:WHL28"/>
    <mergeCell ref="WHM28:WHO28"/>
    <mergeCell ref="WHP28:WHR28"/>
    <mergeCell ref="WHS28:WHU28"/>
    <mergeCell ref="WHV28:WHX28"/>
    <mergeCell ref="WGO28:WGQ28"/>
    <mergeCell ref="WGR28:WGT28"/>
    <mergeCell ref="WGU28:WGW28"/>
    <mergeCell ref="WGX28:WGZ28"/>
    <mergeCell ref="WHA28:WHC28"/>
    <mergeCell ref="WHD28:WHF28"/>
    <mergeCell ref="WFW28:WFY28"/>
    <mergeCell ref="WFZ28:WGB28"/>
    <mergeCell ref="WGC28:WGE28"/>
    <mergeCell ref="WGF28:WGH28"/>
    <mergeCell ref="WGI28:WGK28"/>
    <mergeCell ref="WGL28:WGN28"/>
    <mergeCell ref="WFE28:WFG28"/>
    <mergeCell ref="WFH28:WFJ28"/>
    <mergeCell ref="WFK28:WFM28"/>
    <mergeCell ref="WFN28:WFP28"/>
    <mergeCell ref="WFQ28:WFS28"/>
    <mergeCell ref="WFT28:WFV28"/>
    <mergeCell ref="WMU28:WMW28"/>
    <mergeCell ref="WMX28:WMZ28"/>
    <mergeCell ref="WNA28:WNC28"/>
    <mergeCell ref="WND28:WNF28"/>
    <mergeCell ref="WNG28:WNI28"/>
    <mergeCell ref="WNJ28:WNL28"/>
    <mergeCell ref="WMC28:WME28"/>
    <mergeCell ref="WMF28:WMH28"/>
    <mergeCell ref="WMI28:WMK28"/>
    <mergeCell ref="WML28:WMN28"/>
    <mergeCell ref="WMO28:WMQ28"/>
    <mergeCell ref="WMR28:WMT28"/>
    <mergeCell ref="WLK28:WLM28"/>
    <mergeCell ref="WLN28:WLP28"/>
    <mergeCell ref="WLQ28:WLS28"/>
    <mergeCell ref="WLT28:WLV28"/>
    <mergeCell ref="WLW28:WLY28"/>
    <mergeCell ref="WLZ28:WMB28"/>
    <mergeCell ref="WKS28:WKU28"/>
    <mergeCell ref="WKV28:WKX28"/>
    <mergeCell ref="WKY28:WLA28"/>
    <mergeCell ref="WLB28:WLD28"/>
    <mergeCell ref="WLE28:WLG28"/>
    <mergeCell ref="WLH28:WLJ28"/>
    <mergeCell ref="WKA28:WKC28"/>
    <mergeCell ref="WKD28:WKF28"/>
    <mergeCell ref="WKG28:WKI28"/>
    <mergeCell ref="WKJ28:WKL28"/>
    <mergeCell ref="WKM28:WKO28"/>
    <mergeCell ref="WKP28:WKR28"/>
    <mergeCell ref="WJI28:WJK28"/>
    <mergeCell ref="WJL28:WJN28"/>
    <mergeCell ref="WJO28:WJQ28"/>
    <mergeCell ref="WJR28:WJT28"/>
    <mergeCell ref="WJU28:WJW28"/>
    <mergeCell ref="WJX28:WJZ28"/>
    <mergeCell ref="WQY28:WRA28"/>
    <mergeCell ref="WRB28:WRD28"/>
    <mergeCell ref="WRE28:WRG28"/>
    <mergeCell ref="WRH28:WRJ28"/>
    <mergeCell ref="WRK28:WRM28"/>
    <mergeCell ref="WRN28:WRP28"/>
    <mergeCell ref="WQG28:WQI28"/>
    <mergeCell ref="WQJ28:WQL28"/>
    <mergeCell ref="WQM28:WQO28"/>
    <mergeCell ref="WQP28:WQR28"/>
    <mergeCell ref="WQS28:WQU28"/>
    <mergeCell ref="WQV28:WQX28"/>
    <mergeCell ref="WPO28:WPQ28"/>
    <mergeCell ref="WPR28:WPT28"/>
    <mergeCell ref="WPU28:WPW28"/>
    <mergeCell ref="WPX28:WPZ28"/>
    <mergeCell ref="WQA28:WQC28"/>
    <mergeCell ref="WQD28:WQF28"/>
    <mergeCell ref="WOW28:WOY28"/>
    <mergeCell ref="WOZ28:WPB28"/>
    <mergeCell ref="WPC28:WPE28"/>
    <mergeCell ref="WPF28:WPH28"/>
    <mergeCell ref="WPI28:WPK28"/>
    <mergeCell ref="WPL28:WPN28"/>
    <mergeCell ref="WOE28:WOG28"/>
    <mergeCell ref="WOH28:WOJ28"/>
    <mergeCell ref="WOK28:WOM28"/>
    <mergeCell ref="WON28:WOP28"/>
    <mergeCell ref="WOQ28:WOS28"/>
    <mergeCell ref="WOT28:WOV28"/>
    <mergeCell ref="WNM28:WNO28"/>
    <mergeCell ref="WNP28:WNR28"/>
    <mergeCell ref="WNS28:WNU28"/>
    <mergeCell ref="WNV28:WNX28"/>
    <mergeCell ref="WNY28:WOA28"/>
    <mergeCell ref="WOB28:WOD28"/>
    <mergeCell ref="WVC28:WVE28"/>
    <mergeCell ref="WVF28:WVH28"/>
    <mergeCell ref="WVI28:WVK28"/>
    <mergeCell ref="WVL28:WVN28"/>
    <mergeCell ref="WVO28:WVQ28"/>
    <mergeCell ref="WVR28:WVT28"/>
    <mergeCell ref="WUK28:WUM28"/>
    <mergeCell ref="WUN28:WUP28"/>
    <mergeCell ref="WUQ28:WUS28"/>
    <mergeCell ref="WUT28:WUV28"/>
    <mergeCell ref="WUW28:WUY28"/>
    <mergeCell ref="WUZ28:WVB28"/>
    <mergeCell ref="WTS28:WTU28"/>
    <mergeCell ref="WTV28:WTX28"/>
    <mergeCell ref="WTY28:WUA28"/>
    <mergeCell ref="WUB28:WUD28"/>
    <mergeCell ref="WUE28:WUG28"/>
    <mergeCell ref="WUH28:WUJ28"/>
    <mergeCell ref="WTA28:WTC28"/>
    <mergeCell ref="WTD28:WTF28"/>
    <mergeCell ref="WTG28:WTI28"/>
    <mergeCell ref="WTJ28:WTL28"/>
    <mergeCell ref="WTM28:WTO28"/>
    <mergeCell ref="WTP28:WTR28"/>
    <mergeCell ref="WSI28:WSK28"/>
    <mergeCell ref="WSL28:WSN28"/>
    <mergeCell ref="WSO28:WSQ28"/>
    <mergeCell ref="WSR28:WST28"/>
    <mergeCell ref="WSU28:WSW28"/>
    <mergeCell ref="WSX28:WSZ28"/>
    <mergeCell ref="WRQ28:WRS28"/>
    <mergeCell ref="WRT28:WRV28"/>
    <mergeCell ref="WRW28:WRY28"/>
    <mergeCell ref="WRZ28:WSB28"/>
    <mergeCell ref="WSC28:WSE28"/>
    <mergeCell ref="WSF28:WSH28"/>
    <mergeCell ref="WZP28:WZR28"/>
    <mergeCell ref="WZS28:WZU28"/>
    <mergeCell ref="WZV28:WZX28"/>
    <mergeCell ref="WYO28:WYQ28"/>
    <mergeCell ref="WYR28:WYT28"/>
    <mergeCell ref="WYU28:WYW28"/>
    <mergeCell ref="WYX28:WYZ28"/>
    <mergeCell ref="WZA28:WZC28"/>
    <mergeCell ref="WZD28:WZF28"/>
    <mergeCell ref="WXW28:WXY28"/>
    <mergeCell ref="WXZ28:WYB28"/>
    <mergeCell ref="WYC28:WYE28"/>
    <mergeCell ref="WYF28:WYH28"/>
    <mergeCell ref="WYI28:WYK28"/>
    <mergeCell ref="WYL28:WYN28"/>
    <mergeCell ref="WXE28:WXG28"/>
    <mergeCell ref="WXH28:WXJ28"/>
    <mergeCell ref="WXK28:WXM28"/>
    <mergeCell ref="WXN28:WXP28"/>
    <mergeCell ref="WXQ28:WXS28"/>
    <mergeCell ref="WXT28:WXV28"/>
    <mergeCell ref="WWM28:WWO28"/>
    <mergeCell ref="WWP28:WWR28"/>
    <mergeCell ref="WWS28:WWU28"/>
    <mergeCell ref="WWV28:WWX28"/>
    <mergeCell ref="WWY28:WXA28"/>
    <mergeCell ref="WXB28:WXD28"/>
    <mergeCell ref="WVU28:WVW28"/>
    <mergeCell ref="WVX28:WVZ28"/>
    <mergeCell ref="WWA28:WWC28"/>
    <mergeCell ref="WWD28:WWF28"/>
    <mergeCell ref="WWG28:WWI28"/>
    <mergeCell ref="WWJ28:WWL28"/>
    <mergeCell ref="C39:D39"/>
    <mergeCell ref="E39:F39"/>
    <mergeCell ref="C40:D40"/>
    <mergeCell ref="E40:F40"/>
    <mergeCell ref="C41:D41"/>
    <mergeCell ref="E41:F41"/>
    <mergeCell ref="C36:D36"/>
    <mergeCell ref="E36:F36"/>
    <mergeCell ref="C37:D37"/>
    <mergeCell ref="E37:F37"/>
    <mergeCell ref="C38:D38"/>
    <mergeCell ref="E38:F38"/>
    <mergeCell ref="XEU28:XEW28"/>
    <mergeCell ref="XEX28:XEZ28"/>
    <mergeCell ref="XFA28:XFC28"/>
    <mergeCell ref="A29:B29"/>
    <mergeCell ref="A30:C30"/>
    <mergeCell ref="C35:D35"/>
    <mergeCell ref="E35:F35"/>
    <mergeCell ref="XEC28:XEE28"/>
    <mergeCell ref="XEF28:XEH28"/>
    <mergeCell ref="XEI28:XEK28"/>
    <mergeCell ref="XEL28:XEN28"/>
    <mergeCell ref="XEO28:XEQ28"/>
    <mergeCell ref="XER28:XET28"/>
    <mergeCell ref="XDK28:XDM28"/>
    <mergeCell ref="XDN28:XDP28"/>
    <mergeCell ref="XDQ28:XDS28"/>
    <mergeCell ref="XDT28:XDV28"/>
    <mergeCell ref="XDW28:XDY28"/>
    <mergeCell ref="XDZ28:XEB28"/>
    <mergeCell ref="XCS28:XCU28"/>
    <mergeCell ref="XCV28:XCX28"/>
    <mergeCell ref="XCY28:XDA28"/>
    <mergeCell ref="XDB28:XDD28"/>
    <mergeCell ref="XDE28:XDG28"/>
    <mergeCell ref="XDH28:XDJ28"/>
    <mergeCell ref="XCA28:XCC28"/>
    <mergeCell ref="XCD28:XCF28"/>
    <mergeCell ref="XCG28:XCI28"/>
    <mergeCell ref="XCJ28:XCL28"/>
    <mergeCell ref="XCM28:XCO28"/>
    <mergeCell ref="XCP28:XCR28"/>
    <mergeCell ref="XBI28:XBK28"/>
    <mergeCell ref="XBL28:XBN28"/>
    <mergeCell ref="XBO28:XBQ28"/>
    <mergeCell ref="XBR28:XBT28"/>
    <mergeCell ref="XBU28:XBW28"/>
    <mergeCell ref="XBX28:XBZ28"/>
    <mergeCell ref="XAQ28:XAS28"/>
    <mergeCell ref="XAT28:XAV28"/>
    <mergeCell ref="XAW28:XAY28"/>
    <mergeCell ref="XAZ28:XBB28"/>
    <mergeCell ref="XBC28:XBE28"/>
    <mergeCell ref="XBF28:XBH28"/>
    <mergeCell ref="WZY28:XAA28"/>
    <mergeCell ref="XAB28:XAD28"/>
    <mergeCell ref="XAE28:XAG28"/>
    <mergeCell ref="XAH28:XAJ28"/>
    <mergeCell ref="XAK28:XAM28"/>
    <mergeCell ref="XAN28:XAP28"/>
    <mergeCell ref="WZG28:WZI28"/>
    <mergeCell ref="WZJ28:WZL28"/>
    <mergeCell ref="WZM28:WZO28"/>
    <mergeCell ref="CM42:CO42"/>
    <mergeCell ref="CP42:CR42"/>
    <mergeCell ref="CS42:CU42"/>
    <mergeCell ref="CV42:CX42"/>
    <mergeCell ref="CY42:DA42"/>
    <mergeCell ref="DB42:DD42"/>
    <mergeCell ref="BU42:BW42"/>
    <mergeCell ref="BX42:BZ42"/>
    <mergeCell ref="CA42:CC42"/>
    <mergeCell ref="CD42:CF42"/>
    <mergeCell ref="CG42:CI42"/>
    <mergeCell ref="CJ42:CL42"/>
    <mergeCell ref="BC42:BE42"/>
    <mergeCell ref="BF42:BH42"/>
    <mergeCell ref="BI42:BK42"/>
    <mergeCell ref="BL42:BN42"/>
    <mergeCell ref="BO42:BQ42"/>
    <mergeCell ref="BR42:BT42"/>
    <mergeCell ref="AK42:AM42"/>
    <mergeCell ref="AN42:AP42"/>
    <mergeCell ref="AQ42:AS42"/>
    <mergeCell ref="AT42:AV42"/>
    <mergeCell ref="AW42:AY42"/>
    <mergeCell ref="AZ42:BB42"/>
    <mergeCell ref="S42:U42"/>
    <mergeCell ref="V42:X42"/>
    <mergeCell ref="Y42:AA42"/>
    <mergeCell ref="AB42:AD42"/>
    <mergeCell ref="AE42:AG42"/>
    <mergeCell ref="AH42:AJ42"/>
    <mergeCell ref="A42:C42"/>
    <mergeCell ref="D42:F42"/>
    <mergeCell ref="G42:I42"/>
    <mergeCell ref="J42:L42"/>
    <mergeCell ref="M42:O42"/>
    <mergeCell ref="P42:R42"/>
    <mergeCell ref="GQ42:GS42"/>
    <mergeCell ref="GT42:GV42"/>
    <mergeCell ref="GW42:GY42"/>
    <mergeCell ref="GZ42:HB42"/>
    <mergeCell ref="HC42:HE42"/>
    <mergeCell ref="HF42:HH42"/>
    <mergeCell ref="FY42:GA42"/>
    <mergeCell ref="GB42:GD42"/>
    <mergeCell ref="GE42:GG42"/>
    <mergeCell ref="GH42:GJ42"/>
    <mergeCell ref="GK42:GM42"/>
    <mergeCell ref="GN42:GP42"/>
    <mergeCell ref="FG42:FI42"/>
    <mergeCell ref="FJ42:FL42"/>
    <mergeCell ref="FM42:FO42"/>
    <mergeCell ref="FP42:FR42"/>
    <mergeCell ref="FS42:FU42"/>
    <mergeCell ref="FV42:FX42"/>
    <mergeCell ref="EO42:EQ42"/>
    <mergeCell ref="ER42:ET42"/>
    <mergeCell ref="EU42:EW42"/>
    <mergeCell ref="EX42:EZ42"/>
    <mergeCell ref="FA42:FC42"/>
    <mergeCell ref="FD42:FF42"/>
    <mergeCell ref="DW42:DY42"/>
    <mergeCell ref="DZ42:EB42"/>
    <mergeCell ref="EC42:EE42"/>
    <mergeCell ref="EF42:EH42"/>
    <mergeCell ref="EI42:EK42"/>
    <mergeCell ref="EL42:EN42"/>
    <mergeCell ref="DE42:DG42"/>
    <mergeCell ref="DH42:DJ42"/>
    <mergeCell ref="DK42:DM42"/>
    <mergeCell ref="DN42:DP42"/>
    <mergeCell ref="DQ42:DS42"/>
    <mergeCell ref="DT42:DV42"/>
    <mergeCell ref="KU42:KW42"/>
    <mergeCell ref="KX42:KZ42"/>
    <mergeCell ref="LA42:LC42"/>
    <mergeCell ref="LD42:LF42"/>
    <mergeCell ref="LG42:LI42"/>
    <mergeCell ref="LJ42:LL42"/>
    <mergeCell ref="KC42:KE42"/>
    <mergeCell ref="KF42:KH42"/>
    <mergeCell ref="KI42:KK42"/>
    <mergeCell ref="KL42:KN42"/>
    <mergeCell ref="KO42:KQ42"/>
    <mergeCell ref="KR42:KT42"/>
    <mergeCell ref="JK42:JM42"/>
    <mergeCell ref="JN42:JP42"/>
    <mergeCell ref="JQ42:JS42"/>
    <mergeCell ref="JT42:JV42"/>
    <mergeCell ref="JW42:JY42"/>
    <mergeCell ref="JZ42:KB42"/>
    <mergeCell ref="IS42:IU42"/>
    <mergeCell ref="IV42:IX42"/>
    <mergeCell ref="IY42:JA42"/>
    <mergeCell ref="JB42:JD42"/>
    <mergeCell ref="JE42:JG42"/>
    <mergeCell ref="JH42:JJ42"/>
    <mergeCell ref="IA42:IC42"/>
    <mergeCell ref="ID42:IF42"/>
    <mergeCell ref="IG42:II42"/>
    <mergeCell ref="IJ42:IL42"/>
    <mergeCell ref="IM42:IO42"/>
    <mergeCell ref="IP42:IR42"/>
    <mergeCell ref="HI42:HK42"/>
    <mergeCell ref="HL42:HN42"/>
    <mergeCell ref="HO42:HQ42"/>
    <mergeCell ref="HR42:HT42"/>
    <mergeCell ref="HU42:HW42"/>
    <mergeCell ref="HX42:HZ42"/>
    <mergeCell ref="OY42:PA42"/>
    <mergeCell ref="PB42:PD42"/>
    <mergeCell ref="PE42:PG42"/>
    <mergeCell ref="PH42:PJ42"/>
    <mergeCell ref="PK42:PM42"/>
    <mergeCell ref="PN42:PP42"/>
    <mergeCell ref="OG42:OI42"/>
    <mergeCell ref="OJ42:OL42"/>
    <mergeCell ref="OM42:OO42"/>
    <mergeCell ref="OP42:OR42"/>
    <mergeCell ref="OS42:OU42"/>
    <mergeCell ref="OV42:OX42"/>
    <mergeCell ref="NO42:NQ42"/>
    <mergeCell ref="NR42:NT42"/>
    <mergeCell ref="NU42:NW42"/>
    <mergeCell ref="NX42:NZ42"/>
    <mergeCell ref="OA42:OC42"/>
    <mergeCell ref="OD42:OF42"/>
    <mergeCell ref="MW42:MY42"/>
    <mergeCell ref="MZ42:NB42"/>
    <mergeCell ref="NC42:NE42"/>
    <mergeCell ref="NF42:NH42"/>
    <mergeCell ref="NI42:NK42"/>
    <mergeCell ref="NL42:NN42"/>
    <mergeCell ref="ME42:MG42"/>
    <mergeCell ref="MH42:MJ42"/>
    <mergeCell ref="MK42:MM42"/>
    <mergeCell ref="MN42:MP42"/>
    <mergeCell ref="MQ42:MS42"/>
    <mergeCell ref="MT42:MV42"/>
    <mergeCell ref="LM42:LO42"/>
    <mergeCell ref="LP42:LR42"/>
    <mergeCell ref="LS42:LU42"/>
    <mergeCell ref="LV42:LX42"/>
    <mergeCell ref="LY42:MA42"/>
    <mergeCell ref="MB42:MD42"/>
    <mergeCell ref="TC42:TE42"/>
    <mergeCell ref="TF42:TH42"/>
    <mergeCell ref="TI42:TK42"/>
    <mergeCell ref="TL42:TN42"/>
    <mergeCell ref="TO42:TQ42"/>
    <mergeCell ref="TR42:TT42"/>
    <mergeCell ref="SK42:SM42"/>
    <mergeCell ref="SN42:SP42"/>
    <mergeCell ref="SQ42:SS42"/>
    <mergeCell ref="ST42:SV42"/>
    <mergeCell ref="SW42:SY42"/>
    <mergeCell ref="SZ42:TB42"/>
    <mergeCell ref="RS42:RU42"/>
    <mergeCell ref="RV42:RX42"/>
    <mergeCell ref="RY42:SA42"/>
    <mergeCell ref="SB42:SD42"/>
    <mergeCell ref="SE42:SG42"/>
    <mergeCell ref="SH42:SJ42"/>
    <mergeCell ref="RA42:RC42"/>
    <mergeCell ref="RD42:RF42"/>
    <mergeCell ref="RG42:RI42"/>
    <mergeCell ref="RJ42:RL42"/>
    <mergeCell ref="RM42:RO42"/>
    <mergeCell ref="RP42:RR42"/>
    <mergeCell ref="QI42:QK42"/>
    <mergeCell ref="QL42:QN42"/>
    <mergeCell ref="QO42:QQ42"/>
    <mergeCell ref="QR42:QT42"/>
    <mergeCell ref="QU42:QW42"/>
    <mergeCell ref="QX42:QZ42"/>
    <mergeCell ref="PQ42:PS42"/>
    <mergeCell ref="PT42:PV42"/>
    <mergeCell ref="PW42:PY42"/>
    <mergeCell ref="PZ42:QB42"/>
    <mergeCell ref="QC42:QE42"/>
    <mergeCell ref="QF42:QH42"/>
    <mergeCell ref="XG42:XI42"/>
    <mergeCell ref="XJ42:XL42"/>
    <mergeCell ref="XM42:XO42"/>
    <mergeCell ref="XP42:XR42"/>
    <mergeCell ref="XS42:XU42"/>
    <mergeCell ref="XV42:XX42"/>
    <mergeCell ref="WO42:WQ42"/>
    <mergeCell ref="WR42:WT42"/>
    <mergeCell ref="WU42:WW42"/>
    <mergeCell ref="WX42:WZ42"/>
    <mergeCell ref="XA42:XC42"/>
    <mergeCell ref="XD42:XF42"/>
    <mergeCell ref="VW42:VY42"/>
    <mergeCell ref="VZ42:WB42"/>
    <mergeCell ref="WC42:WE42"/>
    <mergeCell ref="WF42:WH42"/>
    <mergeCell ref="WI42:WK42"/>
    <mergeCell ref="WL42:WN42"/>
    <mergeCell ref="VE42:VG42"/>
    <mergeCell ref="VH42:VJ42"/>
    <mergeCell ref="VK42:VM42"/>
    <mergeCell ref="VN42:VP42"/>
    <mergeCell ref="VQ42:VS42"/>
    <mergeCell ref="VT42:VV42"/>
    <mergeCell ref="UM42:UO42"/>
    <mergeCell ref="UP42:UR42"/>
    <mergeCell ref="US42:UU42"/>
    <mergeCell ref="UV42:UX42"/>
    <mergeCell ref="UY42:VA42"/>
    <mergeCell ref="VB42:VD42"/>
    <mergeCell ref="TU42:TW42"/>
    <mergeCell ref="TX42:TZ42"/>
    <mergeCell ref="UA42:UC42"/>
    <mergeCell ref="UD42:UF42"/>
    <mergeCell ref="UG42:UI42"/>
    <mergeCell ref="UJ42:UL42"/>
    <mergeCell ref="ABK42:ABM42"/>
    <mergeCell ref="ABN42:ABP42"/>
    <mergeCell ref="ABQ42:ABS42"/>
    <mergeCell ref="ABT42:ABV42"/>
    <mergeCell ref="ABW42:ABY42"/>
    <mergeCell ref="ABZ42:ACB42"/>
    <mergeCell ref="AAS42:AAU42"/>
    <mergeCell ref="AAV42:AAX42"/>
    <mergeCell ref="AAY42:ABA42"/>
    <mergeCell ref="ABB42:ABD42"/>
    <mergeCell ref="ABE42:ABG42"/>
    <mergeCell ref="ABH42:ABJ42"/>
    <mergeCell ref="AAA42:AAC42"/>
    <mergeCell ref="AAD42:AAF42"/>
    <mergeCell ref="AAG42:AAI42"/>
    <mergeCell ref="AAJ42:AAL42"/>
    <mergeCell ref="AAM42:AAO42"/>
    <mergeCell ref="AAP42:AAR42"/>
    <mergeCell ref="ZI42:ZK42"/>
    <mergeCell ref="ZL42:ZN42"/>
    <mergeCell ref="ZO42:ZQ42"/>
    <mergeCell ref="ZR42:ZT42"/>
    <mergeCell ref="ZU42:ZW42"/>
    <mergeCell ref="ZX42:ZZ42"/>
    <mergeCell ref="YQ42:YS42"/>
    <mergeCell ref="YT42:YV42"/>
    <mergeCell ref="YW42:YY42"/>
    <mergeCell ref="YZ42:ZB42"/>
    <mergeCell ref="ZC42:ZE42"/>
    <mergeCell ref="ZF42:ZH42"/>
    <mergeCell ref="XY42:YA42"/>
    <mergeCell ref="YB42:YD42"/>
    <mergeCell ref="YE42:YG42"/>
    <mergeCell ref="YH42:YJ42"/>
    <mergeCell ref="YK42:YM42"/>
    <mergeCell ref="YN42:YP42"/>
    <mergeCell ref="AFO42:AFQ42"/>
    <mergeCell ref="AFR42:AFT42"/>
    <mergeCell ref="AFU42:AFW42"/>
    <mergeCell ref="AFX42:AFZ42"/>
    <mergeCell ref="AGA42:AGC42"/>
    <mergeCell ref="AGD42:AGF42"/>
    <mergeCell ref="AEW42:AEY42"/>
    <mergeCell ref="AEZ42:AFB42"/>
    <mergeCell ref="AFC42:AFE42"/>
    <mergeCell ref="AFF42:AFH42"/>
    <mergeCell ref="AFI42:AFK42"/>
    <mergeCell ref="AFL42:AFN42"/>
    <mergeCell ref="AEE42:AEG42"/>
    <mergeCell ref="AEH42:AEJ42"/>
    <mergeCell ref="AEK42:AEM42"/>
    <mergeCell ref="AEN42:AEP42"/>
    <mergeCell ref="AEQ42:AES42"/>
    <mergeCell ref="AET42:AEV42"/>
    <mergeCell ref="ADM42:ADO42"/>
    <mergeCell ref="ADP42:ADR42"/>
    <mergeCell ref="ADS42:ADU42"/>
    <mergeCell ref="ADV42:ADX42"/>
    <mergeCell ref="ADY42:AEA42"/>
    <mergeCell ref="AEB42:AED42"/>
    <mergeCell ref="ACU42:ACW42"/>
    <mergeCell ref="ACX42:ACZ42"/>
    <mergeCell ref="ADA42:ADC42"/>
    <mergeCell ref="ADD42:ADF42"/>
    <mergeCell ref="ADG42:ADI42"/>
    <mergeCell ref="ADJ42:ADL42"/>
    <mergeCell ref="ACC42:ACE42"/>
    <mergeCell ref="ACF42:ACH42"/>
    <mergeCell ref="ACI42:ACK42"/>
    <mergeCell ref="ACL42:ACN42"/>
    <mergeCell ref="ACO42:ACQ42"/>
    <mergeCell ref="ACR42:ACT42"/>
    <mergeCell ref="AJS42:AJU42"/>
    <mergeCell ref="AJV42:AJX42"/>
    <mergeCell ref="AJY42:AKA42"/>
    <mergeCell ref="AKB42:AKD42"/>
    <mergeCell ref="AKE42:AKG42"/>
    <mergeCell ref="AKH42:AKJ42"/>
    <mergeCell ref="AJA42:AJC42"/>
    <mergeCell ref="AJD42:AJF42"/>
    <mergeCell ref="AJG42:AJI42"/>
    <mergeCell ref="AJJ42:AJL42"/>
    <mergeCell ref="AJM42:AJO42"/>
    <mergeCell ref="AJP42:AJR42"/>
    <mergeCell ref="AII42:AIK42"/>
    <mergeCell ref="AIL42:AIN42"/>
    <mergeCell ref="AIO42:AIQ42"/>
    <mergeCell ref="AIR42:AIT42"/>
    <mergeCell ref="AIU42:AIW42"/>
    <mergeCell ref="AIX42:AIZ42"/>
    <mergeCell ref="AHQ42:AHS42"/>
    <mergeCell ref="AHT42:AHV42"/>
    <mergeCell ref="AHW42:AHY42"/>
    <mergeCell ref="AHZ42:AIB42"/>
    <mergeCell ref="AIC42:AIE42"/>
    <mergeCell ref="AIF42:AIH42"/>
    <mergeCell ref="AGY42:AHA42"/>
    <mergeCell ref="AHB42:AHD42"/>
    <mergeCell ref="AHE42:AHG42"/>
    <mergeCell ref="AHH42:AHJ42"/>
    <mergeCell ref="AHK42:AHM42"/>
    <mergeCell ref="AHN42:AHP42"/>
    <mergeCell ref="AGG42:AGI42"/>
    <mergeCell ref="AGJ42:AGL42"/>
    <mergeCell ref="AGM42:AGO42"/>
    <mergeCell ref="AGP42:AGR42"/>
    <mergeCell ref="AGS42:AGU42"/>
    <mergeCell ref="AGV42:AGX42"/>
    <mergeCell ref="ANW42:ANY42"/>
    <mergeCell ref="ANZ42:AOB42"/>
    <mergeCell ref="AOC42:AOE42"/>
    <mergeCell ref="AOF42:AOH42"/>
    <mergeCell ref="AOI42:AOK42"/>
    <mergeCell ref="AOL42:AON42"/>
    <mergeCell ref="ANE42:ANG42"/>
    <mergeCell ref="ANH42:ANJ42"/>
    <mergeCell ref="ANK42:ANM42"/>
    <mergeCell ref="ANN42:ANP42"/>
    <mergeCell ref="ANQ42:ANS42"/>
    <mergeCell ref="ANT42:ANV42"/>
    <mergeCell ref="AMM42:AMO42"/>
    <mergeCell ref="AMP42:AMR42"/>
    <mergeCell ref="AMS42:AMU42"/>
    <mergeCell ref="AMV42:AMX42"/>
    <mergeCell ref="AMY42:ANA42"/>
    <mergeCell ref="ANB42:AND42"/>
    <mergeCell ref="ALU42:ALW42"/>
    <mergeCell ref="ALX42:ALZ42"/>
    <mergeCell ref="AMA42:AMC42"/>
    <mergeCell ref="AMD42:AMF42"/>
    <mergeCell ref="AMG42:AMI42"/>
    <mergeCell ref="AMJ42:AML42"/>
    <mergeCell ref="ALC42:ALE42"/>
    <mergeCell ref="ALF42:ALH42"/>
    <mergeCell ref="ALI42:ALK42"/>
    <mergeCell ref="ALL42:ALN42"/>
    <mergeCell ref="ALO42:ALQ42"/>
    <mergeCell ref="ALR42:ALT42"/>
    <mergeCell ref="AKK42:AKM42"/>
    <mergeCell ref="AKN42:AKP42"/>
    <mergeCell ref="AKQ42:AKS42"/>
    <mergeCell ref="AKT42:AKV42"/>
    <mergeCell ref="AKW42:AKY42"/>
    <mergeCell ref="AKZ42:ALB42"/>
    <mergeCell ref="ASA42:ASC42"/>
    <mergeCell ref="ASD42:ASF42"/>
    <mergeCell ref="ASG42:ASI42"/>
    <mergeCell ref="ASJ42:ASL42"/>
    <mergeCell ref="ASM42:ASO42"/>
    <mergeCell ref="ASP42:ASR42"/>
    <mergeCell ref="ARI42:ARK42"/>
    <mergeCell ref="ARL42:ARN42"/>
    <mergeCell ref="ARO42:ARQ42"/>
    <mergeCell ref="ARR42:ART42"/>
    <mergeCell ref="ARU42:ARW42"/>
    <mergeCell ref="ARX42:ARZ42"/>
    <mergeCell ref="AQQ42:AQS42"/>
    <mergeCell ref="AQT42:AQV42"/>
    <mergeCell ref="AQW42:AQY42"/>
    <mergeCell ref="AQZ42:ARB42"/>
    <mergeCell ref="ARC42:ARE42"/>
    <mergeCell ref="ARF42:ARH42"/>
    <mergeCell ref="APY42:AQA42"/>
    <mergeCell ref="AQB42:AQD42"/>
    <mergeCell ref="AQE42:AQG42"/>
    <mergeCell ref="AQH42:AQJ42"/>
    <mergeCell ref="AQK42:AQM42"/>
    <mergeCell ref="AQN42:AQP42"/>
    <mergeCell ref="APG42:API42"/>
    <mergeCell ref="APJ42:APL42"/>
    <mergeCell ref="APM42:APO42"/>
    <mergeCell ref="APP42:APR42"/>
    <mergeCell ref="APS42:APU42"/>
    <mergeCell ref="APV42:APX42"/>
    <mergeCell ref="AOO42:AOQ42"/>
    <mergeCell ref="AOR42:AOT42"/>
    <mergeCell ref="AOU42:AOW42"/>
    <mergeCell ref="AOX42:AOZ42"/>
    <mergeCell ref="APA42:APC42"/>
    <mergeCell ref="APD42:APF42"/>
    <mergeCell ref="AWE42:AWG42"/>
    <mergeCell ref="AWH42:AWJ42"/>
    <mergeCell ref="AWK42:AWM42"/>
    <mergeCell ref="AWN42:AWP42"/>
    <mergeCell ref="AWQ42:AWS42"/>
    <mergeCell ref="AWT42:AWV42"/>
    <mergeCell ref="AVM42:AVO42"/>
    <mergeCell ref="AVP42:AVR42"/>
    <mergeCell ref="AVS42:AVU42"/>
    <mergeCell ref="AVV42:AVX42"/>
    <mergeCell ref="AVY42:AWA42"/>
    <mergeCell ref="AWB42:AWD42"/>
    <mergeCell ref="AUU42:AUW42"/>
    <mergeCell ref="AUX42:AUZ42"/>
    <mergeCell ref="AVA42:AVC42"/>
    <mergeCell ref="AVD42:AVF42"/>
    <mergeCell ref="AVG42:AVI42"/>
    <mergeCell ref="AVJ42:AVL42"/>
    <mergeCell ref="AUC42:AUE42"/>
    <mergeCell ref="AUF42:AUH42"/>
    <mergeCell ref="AUI42:AUK42"/>
    <mergeCell ref="AUL42:AUN42"/>
    <mergeCell ref="AUO42:AUQ42"/>
    <mergeCell ref="AUR42:AUT42"/>
    <mergeCell ref="ATK42:ATM42"/>
    <mergeCell ref="ATN42:ATP42"/>
    <mergeCell ref="ATQ42:ATS42"/>
    <mergeCell ref="ATT42:ATV42"/>
    <mergeCell ref="ATW42:ATY42"/>
    <mergeCell ref="ATZ42:AUB42"/>
    <mergeCell ref="ASS42:ASU42"/>
    <mergeCell ref="ASV42:ASX42"/>
    <mergeCell ref="ASY42:ATA42"/>
    <mergeCell ref="ATB42:ATD42"/>
    <mergeCell ref="ATE42:ATG42"/>
    <mergeCell ref="ATH42:ATJ42"/>
    <mergeCell ref="BAI42:BAK42"/>
    <mergeCell ref="BAL42:BAN42"/>
    <mergeCell ref="BAO42:BAQ42"/>
    <mergeCell ref="BAR42:BAT42"/>
    <mergeCell ref="BAU42:BAW42"/>
    <mergeCell ref="BAX42:BAZ42"/>
    <mergeCell ref="AZQ42:AZS42"/>
    <mergeCell ref="AZT42:AZV42"/>
    <mergeCell ref="AZW42:AZY42"/>
    <mergeCell ref="AZZ42:BAB42"/>
    <mergeCell ref="BAC42:BAE42"/>
    <mergeCell ref="BAF42:BAH42"/>
    <mergeCell ref="AYY42:AZA42"/>
    <mergeCell ref="AZB42:AZD42"/>
    <mergeCell ref="AZE42:AZG42"/>
    <mergeCell ref="AZH42:AZJ42"/>
    <mergeCell ref="AZK42:AZM42"/>
    <mergeCell ref="AZN42:AZP42"/>
    <mergeCell ref="AYG42:AYI42"/>
    <mergeCell ref="AYJ42:AYL42"/>
    <mergeCell ref="AYM42:AYO42"/>
    <mergeCell ref="AYP42:AYR42"/>
    <mergeCell ref="AYS42:AYU42"/>
    <mergeCell ref="AYV42:AYX42"/>
    <mergeCell ref="AXO42:AXQ42"/>
    <mergeCell ref="AXR42:AXT42"/>
    <mergeCell ref="AXU42:AXW42"/>
    <mergeCell ref="AXX42:AXZ42"/>
    <mergeCell ref="AYA42:AYC42"/>
    <mergeCell ref="AYD42:AYF42"/>
    <mergeCell ref="AWW42:AWY42"/>
    <mergeCell ref="AWZ42:AXB42"/>
    <mergeCell ref="AXC42:AXE42"/>
    <mergeCell ref="AXF42:AXH42"/>
    <mergeCell ref="AXI42:AXK42"/>
    <mergeCell ref="AXL42:AXN42"/>
    <mergeCell ref="BEM42:BEO42"/>
    <mergeCell ref="BEP42:BER42"/>
    <mergeCell ref="BES42:BEU42"/>
    <mergeCell ref="BEV42:BEX42"/>
    <mergeCell ref="BEY42:BFA42"/>
    <mergeCell ref="BFB42:BFD42"/>
    <mergeCell ref="BDU42:BDW42"/>
    <mergeCell ref="BDX42:BDZ42"/>
    <mergeCell ref="BEA42:BEC42"/>
    <mergeCell ref="BED42:BEF42"/>
    <mergeCell ref="BEG42:BEI42"/>
    <mergeCell ref="BEJ42:BEL42"/>
    <mergeCell ref="BDC42:BDE42"/>
    <mergeCell ref="BDF42:BDH42"/>
    <mergeCell ref="BDI42:BDK42"/>
    <mergeCell ref="BDL42:BDN42"/>
    <mergeCell ref="BDO42:BDQ42"/>
    <mergeCell ref="BDR42:BDT42"/>
    <mergeCell ref="BCK42:BCM42"/>
    <mergeCell ref="BCN42:BCP42"/>
    <mergeCell ref="BCQ42:BCS42"/>
    <mergeCell ref="BCT42:BCV42"/>
    <mergeCell ref="BCW42:BCY42"/>
    <mergeCell ref="BCZ42:BDB42"/>
    <mergeCell ref="BBS42:BBU42"/>
    <mergeCell ref="BBV42:BBX42"/>
    <mergeCell ref="BBY42:BCA42"/>
    <mergeCell ref="BCB42:BCD42"/>
    <mergeCell ref="BCE42:BCG42"/>
    <mergeCell ref="BCH42:BCJ42"/>
    <mergeCell ref="BBA42:BBC42"/>
    <mergeCell ref="BBD42:BBF42"/>
    <mergeCell ref="BBG42:BBI42"/>
    <mergeCell ref="BBJ42:BBL42"/>
    <mergeCell ref="BBM42:BBO42"/>
    <mergeCell ref="BBP42:BBR42"/>
    <mergeCell ref="BIQ42:BIS42"/>
    <mergeCell ref="BIT42:BIV42"/>
    <mergeCell ref="BIW42:BIY42"/>
    <mergeCell ref="BIZ42:BJB42"/>
    <mergeCell ref="BJC42:BJE42"/>
    <mergeCell ref="BJF42:BJH42"/>
    <mergeCell ref="BHY42:BIA42"/>
    <mergeCell ref="BIB42:BID42"/>
    <mergeCell ref="BIE42:BIG42"/>
    <mergeCell ref="BIH42:BIJ42"/>
    <mergeCell ref="BIK42:BIM42"/>
    <mergeCell ref="BIN42:BIP42"/>
    <mergeCell ref="BHG42:BHI42"/>
    <mergeCell ref="BHJ42:BHL42"/>
    <mergeCell ref="BHM42:BHO42"/>
    <mergeCell ref="BHP42:BHR42"/>
    <mergeCell ref="BHS42:BHU42"/>
    <mergeCell ref="BHV42:BHX42"/>
    <mergeCell ref="BGO42:BGQ42"/>
    <mergeCell ref="BGR42:BGT42"/>
    <mergeCell ref="BGU42:BGW42"/>
    <mergeCell ref="BGX42:BGZ42"/>
    <mergeCell ref="BHA42:BHC42"/>
    <mergeCell ref="BHD42:BHF42"/>
    <mergeCell ref="BFW42:BFY42"/>
    <mergeCell ref="BFZ42:BGB42"/>
    <mergeCell ref="BGC42:BGE42"/>
    <mergeCell ref="BGF42:BGH42"/>
    <mergeCell ref="BGI42:BGK42"/>
    <mergeCell ref="BGL42:BGN42"/>
    <mergeCell ref="BFE42:BFG42"/>
    <mergeCell ref="BFH42:BFJ42"/>
    <mergeCell ref="BFK42:BFM42"/>
    <mergeCell ref="BFN42:BFP42"/>
    <mergeCell ref="BFQ42:BFS42"/>
    <mergeCell ref="BFT42:BFV42"/>
    <mergeCell ref="BMU42:BMW42"/>
    <mergeCell ref="BMX42:BMZ42"/>
    <mergeCell ref="BNA42:BNC42"/>
    <mergeCell ref="BND42:BNF42"/>
    <mergeCell ref="BNG42:BNI42"/>
    <mergeCell ref="BNJ42:BNL42"/>
    <mergeCell ref="BMC42:BME42"/>
    <mergeCell ref="BMF42:BMH42"/>
    <mergeCell ref="BMI42:BMK42"/>
    <mergeCell ref="BML42:BMN42"/>
    <mergeCell ref="BMO42:BMQ42"/>
    <mergeCell ref="BMR42:BMT42"/>
    <mergeCell ref="BLK42:BLM42"/>
    <mergeCell ref="BLN42:BLP42"/>
    <mergeCell ref="BLQ42:BLS42"/>
    <mergeCell ref="BLT42:BLV42"/>
    <mergeCell ref="BLW42:BLY42"/>
    <mergeCell ref="BLZ42:BMB42"/>
    <mergeCell ref="BKS42:BKU42"/>
    <mergeCell ref="BKV42:BKX42"/>
    <mergeCell ref="BKY42:BLA42"/>
    <mergeCell ref="BLB42:BLD42"/>
    <mergeCell ref="BLE42:BLG42"/>
    <mergeCell ref="BLH42:BLJ42"/>
    <mergeCell ref="BKA42:BKC42"/>
    <mergeCell ref="BKD42:BKF42"/>
    <mergeCell ref="BKG42:BKI42"/>
    <mergeCell ref="BKJ42:BKL42"/>
    <mergeCell ref="BKM42:BKO42"/>
    <mergeCell ref="BKP42:BKR42"/>
    <mergeCell ref="BJI42:BJK42"/>
    <mergeCell ref="BJL42:BJN42"/>
    <mergeCell ref="BJO42:BJQ42"/>
    <mergeCell ref="BJR42:BJT42"/>
    <mergeCell ref="BJU42:BJW42"/>
    <mergeCell ref="BJX42:BJZ42"/>
    <mergeCell ref="BQY42:BRA42"/>
    <mergeCell ref="BRB42:BRD42"/>
    <mergeCell ref="BRE42:BRG42"/>
    <mergeCell ref="BRH42:BRJ42"/>
    <mergeCell ref="BRK42:BRM42"/>
    <mergeCell ref="BRN42:BRP42"/>
    <mergeCell ref="BQG42:BQI42"/>
    <mergeCell ref="BQJ42:BQL42"/>
    <mergeCell ref="BQM42:BQO42"/>
    <mergeCell ref="BQP42:BQR42"/>
    <mergeCell ref="BQS42:BQU42"/>
    <mergeCell ref="BQV42:BQX42"/>
    <mergeCell ref="BPO42:BPQ42"/>
    <mergeCell ref="BPR42:BPT42"/>
    <mergeCell ref="BPU42:BPW42"/>
    <mergeCell ref="BPX42:BPZ42"/>
    <mergeCell ref="BQA42:BQC42"/>
    <mergeCell ref="BQD42:BQF42"/>
    <mergeCell ref="BOW42:BOY42"/>
    <mergeCell ref="BOZ42:BPB42"/>
    <mergeCell ref="BPC42:BPE42"/>
    <mergeCell ref="BPF42:BPH42"/>
    <mergeCell ref="BPI42:BPK42"/>
    <mergeCell ref="BPL42:BPN42"/>
    <mergeCell ref="BOE42:BOG42"/>
    <mergeCell ref="BOH42:BOJ42"/>
    <mergeCell ref="BOK42:BOM42"/>
    <mergeCell ref="BON42:BOP42"/>
    <mergeCell ref="BOQ42:BOS42"/>
    <mergeCell ref="BOT42:BOV42"/>
    <mergeCell ref="BNM42:BNO42"/>
    <mergeCell ref="BNP42:BNR42"/>
    <mergeCell ref="BNS42:BNU42"/>
    <mergeCell ref="BNV42:BNX42"/>
    <mergeCell ref="BNY42:BOA42"/>
    <mergeCell ref="BOB42:BOD42"/>
    <mergeCell ref="BVC42:BVE42"/>
    <mergeCell ref="BVF42:BVH42"/>
    <mergeCell ref="BVI42:BVK42"/>
    <mergeCell ref="BVL42:BVN42"/>
    <mergeCell ref="BVO42:BVQ42"/>
    <mergeCell ref="BVR42:BVT42"/>
    <mergeCell ref="BUK42:BUM42"/>
    <mergeCell ref="BUN42:BUP42"/>
    <mergeCell ref="BUQ42:BUS42"/>
    <mergeCell ref="BUT42:BUV42"/>
    <mergeCell ref="BUW42:BUY42"/>
    <mergeCell ref="BUZ42:BVB42"/>
    <mergeCell ref="BTS42:BTU42"/>
    <mergeCell ref="BTV42:BTX42"/>
    <mergeCell ref="BTY42:BUA42"/>
    <mergeCell ref="BUB42:BUD42"/>
    <mergeCell ref="BUE42:BUG42"/>
    <mergeCell ref="BUH42:BUJ42"/>
    <mergeCell ref="BTA42:BTC42"/>
    <mergeCell ref="BTD42:BTF42"/>
    <mergeCell ref="BTG42:BTI42"/>
    <mergeCell ref="BTJ42:BTL42"/>
    <mergeCell ref="BTM42:BTO42"/>
    <mergeCell ref="BTP42:BTR42"/>
    <mergeCell ref="BSI42:BSK42"/>
    <mergeCell ref="BSL42:BSN42"/>
    <mergeCell ref="BSO42:BSQ42"/>
    <mergeCell ref="BSR42:BST42"/>
    <mergeCell ref="BSU42:BSW42"/>
    <mergeCell ref="BSX42:BSZ42"/>
    <mergeCell ref="BRQ42:BRS42"/>
    <mergeCell ref="BRT42:BRV42"/>
    <mergeCell ref="BRW42:BRY42"/>
    <mergeCell ref="BRZ42:BSB42"/>
    <mergeCell ref="BSC42:BSE42"/>
    <mergeCell ref="BSF42:BSH42"/>
    <mergeCell ref="BZG42:BZI42"/>
    <mergeCell ref="BZJ42:BZL42"/>
    <mergeCell ref="BZM42:BZO42"/>
    <mergeCell ref="BZP42:BZR42"/>
    <mergeCell ref="BZS42:BZU42"/>
    <mergeCell ref="BZV42:BZX42"/>
    <mergeCell ref="BYO42:BYQ42"/>
    <mergeCell ref="BYR42:BYT42"/>
    <mergeCell ref="BYU42:BYW42"/>
    <mergeCell ref="BYX42:BYZ42"/>
    <mergeCell ref="BZA42:BZC42"/>
    <mergeCell ref="BZD42:BZF42"/>
    <mergeCell ref="BXW42:BXY42"/>
    <mergeCell ref="BXZ42:BYB42"/>
    <mergeCell ref="BYC42:BYE42"/>
    <mergeCell ref="BYF42:BYH42"/>
    <mergeCell ref="BYI42:BYK42"/>
    <mergeCell ref="BYL42:BYN42"/>
    <mergeCell ref="BXE42:BXG42"/>
    <mergeCell ref="BXH42:BXJ42"/>
    <mergeCell ref="BXK42:BXM42"/>
    <mergeCell ref="BXN42:BXP42"/>
    <mergeCell ref="BXQ42:BXS42"/>
    <mergeCell ref="BXT42:BXV42"/>
    <mergeCell ref="BWM42:BWO42"/>
    <mergeCell ref="BWP42:BWR42"/>
    <mergeCell ref="BWS42:BWU42"/>
    <mergeCell ref="BWV42:BWX42"/>
    <mergeCell ref="BWY42:BXA42"/>
    <mergeCell ref="BXB42:BXD42"/>
    <mergeCell ref="BVU42:BVW42"/>
    <mergeCell ref="BVX42:BVZ42"/>
    <mergeCell ref="BWA42:BWC42"/>
    <mergeCell ref="BWD42:BWF42"/>
    <mergeCell ref="BWG42:BWI42"/>
    <mergeCell ref="BWJ42:BWL42"/>
    <mergeCell ref="CDK42:CDM42"/>
    <mergeCell ref="CDN42:CDP42"/>
    <mergeCell ref="CDQ42:CDS42"/>
    <mergeCell ref="CDT42:CDV42"/>
    <mergeCell ref="CDW42:CDY42"/>
    <mergeCell ref="CDZ42:CEB42"/>
    <mergeCell ref="CCS42:CCU42"/>
    <mergeCell ref="CCV42:CCX42"/>
    <mergeCell ref="CCY42:CDA42"/>
    <mergeCell ref="CDB42:CDD42"/>
    <mergeCell ref="CDE42:CDG42"/>
    <mergeCell ref="CDH42:CDJ42"/>
    <mergeCell ref="CCA42:CCC42"/>
    <mergeCell ref="CCD42:CCF42"/>
    <mergeCell ref="CCG42:CCI42"/>
    <mergeCell ref="CCJ42:CCL42"/>
    <mergeCell ref="CCM42:CCO42"/>
    <mergeCell ref="CCP42:CCR42"/>
    <mergeCell ref="CBI42:CBK42"/>
    <mergeCell ref="CBL42:CBN42"/>
    <mergeCell ref="CBO42:CBQ42"/>
    <mergeCell ref="CBR42:CBT42"/>
    <mergeCell ref="CBU42:CBW42"/>
    <mergeCell ref="CBX42:CBZ42"/>
    <mergeCell ref="CAQ42:CAS42"/>
    <mergeCell ref="CAT42:CAV42"/>
    <mergeCell ref="CAW42:CAY42"/>
    <mergeCell ref="CAZ42:CBB42"/>
    <mergeCell ref="CBC42:CBE42"/>
    <mergeCell ref="CBF42:CBH42"/>
    <mergeCell ref="BZY42:CAA42"/>
    <mergeCell ref="CAB42:CAD42"/>
    <mergeCell ref="CAE42:CAG42"/>
    <mergeCell ref="CAH42:CAJ42"/>
    <mergeCell ref="CAK42:CAM42"/>
    <mergeCell ref="CAN42:CAP42"/>
    <mergeCell ref="CHO42:CHQ42"/>
    <mergeCell ref="CHR42:CHT42"/>
    <mergeCell ref="CHU42:CHW42"/>
    <mergeCell ref="CHX42:CHZ42"/>
    <mergeCell ref="CIA42:CIC42"/>
    <mergeCell ref="CID42:CIF42"/>
    <mergeCell ref="CGW42:CGY42"/>
    <mergeCell ref="CGZ42:CHB42"/>
    <mergeCell ref="CHC42:CHE42"/>
    <mergeCell ref="CHF42:CHH42"/>
    <mergeCell ref="CHI42:CHK42"/>
    <mergeCell ref="CHL42:CHN42"/>
    <mergeCell ref="CGE42:CGG42"/>
    <mergeCell ref="CGH42:CGJ42"/>
    <mergeCell ref="CGK42:CGM42"/>
    <mergeCell ref="CGN42:CGP42"/>
    <mergeCell ref="CGQ42:CGS42"/>
    <mergeCell ref="CGT42:CGV42"/>
    <mergeCell ref="CFM42:CFO42"/>
    <mergeCell ref="CFP42:CFR42"/>
    <mergeCell ref="CFS42:CFU42"/>
    <mergeCell ref="CFV42:CFX42"/>
    <mergeCell ref="CFY42:CGA42"/>
    <mergeCell ref="CGB42:CGD42"/>
    <mergeCell ref="CEU42:CEW42"/>
    <mergeCell ref="CEX42:CEZ42"/>
    <mergeCell ref="CFA42:CFC42"/>
    <mergeCell ref="CFD42:CFF42"/>
    <mergeCell ref="CFG42:CFI42"/>
    <mergeCell ref="CFJ42:CFL42"/>
    <mergeCell ref="CEC42:CEE42"/>
    <mergeCell ref="CEF42:CEH42"/>
    <mergeCell ref="CEI42:CEK42"/>
    <mergeCell ref="CEL42:CEN42"/>
    <mergeCell ref="CEO42:CEQ42"/>
    <mergeCell ref="CER42:CET42"/>
    <mergeCell ref="CLS42:CLU42"/>
    <mergeCell ref="CLV42:CLX42"/>
    <mergeCell ref="CLY42:CMA42"/>
    <mergeCell ref="CMB42:CMD42"/>
    <mergeCell ref="CME42:CMG42"/>
    <mergeCell ref="CMH42:CMJ42"/>
    <mergeCell ref="CLA42:CLC42"/>
    <mergeCell ref="CLD42:CLF42"/>
    <mergeCell ref="CLG42:CLI42"/>
    <mergeCell ref="CLJ42:CLL42"/>
    <mergeCell ref="CLM42:CLO42"/>
    <mergeCell ref="CLP42:CLR42"/>
    <mergeCell ref="CKI42:CKK42"/>
    <mergeCell ref="CKL42:CKN42"/>
    <mergeCell ref="CKO42:CKQ42"/>
    <mergeCell ref="CKR42:CKT42"/>
    <mergeCell ref="CKU42:CKW42"/>
    <mergeCell ref="CKX42:CKZ42"/>
    <mergeCell ref="CJQ42:CJS42"/>
    <mergeCell ref="CJT42:CJV42"/>
    <mergeCell ref="CJW42:CJY42"/>
    <mergeCell ref="CJZ42:CKB42"/>
    <mergeCell ref="CKC42:CKE42"/>
    <mergeCell ref="CKF42:CKH42"/>
    <mergeCell ref="CIY42:CJA42"/>
    <mergeCell ref="CJB42:CJD42"/>
    <mergeCell ref="CJE42:CJG42"/>
    <mergeCell ref="CJH42:CJJ42"/>
    <mergeCell ref="CJK42:CJM42"/>
    <mergeCell ref="CJN42:CJP42"/>
    <mergeCell ref="CIG42:CII42"/>
    <mergeCell ref="CIJ42:CIL42"/>
    <mergeCell ref="CIM42:CIO42"/>
    <mergeCell ref="CIP42:CIR42"/>
    <mergeCell ref="CIS42:CIU42"/>
    <mergeCell ref="CIV42:CIX42"/>
    <mergeCell ref="CPW42:CPY42"/>
    <mergeCell ref="CPZ42:CQB42"/>
    <mergeCell ref="CQC42:CQE42"/>
    <mergeCell ref="CQF42:CQH42"/>
    <mergeCell ref="CQI42:CQK42"/>
    <mergeCell ref="CQL42:CQN42"/>
    <mergeCell ref="CPE42:CPG42"/>
    <mergeCell ref="CPH42:CPJ42"/>
    <mergeCell ref="CPK42:CPM42"/>
    <mergeCell ref="CPN42:CPP42"/>
    <mergeCell ref="CPQ42:CPS42"/>
    <mergeCell ref="CPT42:CPV42"/>
    <mergeCell ref="COM42:COO42"/>
    <mergeCell ref="COP42:COR42"/>
    <mergeCell ref="COS42:COU42"/>
    <mergeCell ref="COV42:COX42"/>
    <mergeCell ref="COY42:CPA42"/>
    <mergeCell ref="CPB42:CPD42"/>
    <mergeCell ref="CNU42:CNW42"/>
    <mergeCell ref="CNX42:CNZ42"/>
    <mergeCell ref="COA42:COC42"/>
    <mergeCell ref="COD42:COF42"/>
    <mergeCell ref="COG42:COI42"/>
    <mergeCell ref="COJ42:COL42"/>
    <mergeCell ref="CNC42:CNE42"/>
    <mergeCell ref="CNF42:CNH42"/>
    <mergeCell ref="CNI42:CNK42"/>
    <mergeCell ref="CNL42:CNN42"/>
    <mergeCell ref="CNO42:CNQ42"/>
    <mergeCell ref="CNR42:CNT42"/>
    <mergeCell ref="CMK42:CMM42"/>
    <mergeCell ref="CMN42:CMP42"/>
    <mergeCell ref="CMQ42:CMS42"/>
    <mergeCell ref="CMT42:CMV42"/>
    <mergeCell ref="CMW42:CMY42"/>
    <mergeCell ref="CMZ42:CNB42"/>
    <mergeCell ref="CUA42:CUC42"/>
    <mergeCell ref="CUD42:CUF42"/>
    <mergeCell ref="CUG42:CUI42"/>
    <mergeCell ref="CUJ42:CUL42"/>
    <mergeCell ref="CUM42:CUO42"/>
    <mergeCell ref="CUP42:CUR42"/>
    <mergeCell ref="CTI42:CTK42"/>
    <mergeCell ref="CTL42:CTN42"/>
    <mergeCell ref="CTO42:CTQ42"/>
    <mergeCell ref="CTR42:CTT42"/>
    <mergeCell ref="CTU42:CTW42"/>
    <mergeCell ref="CTX42:CTZ42"/>
    <mergeCell ref="CSQ42:CSS42"/>
    <mergeCell ref="CST42:CSV42"/>
    <mergeCell ref="CSW42:CSY42"/>
    <mergeCell ref="CSZ42:CTB42"/>
    <mergeCell ref="CTC42:CTE42"/>
    <mergeCell ref="CTF42:CTH42"/>
    <mergeCell ref="CRY42:CSA42"/>
    <mergeCell ref="CSB42:CSD42"/>
    <mergeCell ref="CSE42:CSG42"/>
    <mergeCell ref="CSH42:CSJ42"/>
    <mergeCell ref="CSK42:CSM42"/>
    <mergeCell ref="CSN42:CSP42"/>
    <mergeCell ref="CRG42:CRI42"/>
    <mergeCell ref="CRJ42:CRL42"/>
    <mergeCell ref="CRM42:CRO42"/>
    <mergeCell ref="CRP42:CRR42"/>
    <mergeCell ref="CRS42:CRU42"/>
    <mergeCell ref="CRV42:CRX42"/>
    <mergeCell ref="CQO42:CQQ42"/>
    <mergeCell ref="CQR42:CQT42"/>
    <mergeCell ref="CQU42:CQW42"/>
    <mergeCell ref="CQX42:CQZ42"/>
    <mergeCell ref="CRA42:CRC42"/>
    <mergeCell ref="CRD42:CRF42"/>
    <mergeCell ref="CYE42:CYG42"/>
    <mergeCell ref="CYH42:CYJ42"/>
    <mergeCell ref="CYK42:CYM42"/>
    <mergeCell ref="CYN42:CYP42"/>
    <mergeCell ref="CYQ42:CYS42"/>
    <mergeCell ref="CYT42:CYV42"/>
    <mergeCell ref="CXM42:CXO42"/>
    <mergeCell ref="CXP42:CXR42"/>
    <mergeCell ref="CXS42:CXU42"/>
    <mergeCell ref="CXV42:CXX42"/>
    <mergeCell ref="CXY42:CYA42"/>
    <mergeCell ref="CYB42:CYD42"/>
    <mergeCell ref="CWU42:CWW42"/>
    <mergeCell ref="CWX42:CWZ42"/>
    <mergeCell ref="CXA42:CXC42"/>
    <mergeCell ref="CXD42:CXF42"/>
    <mergeCell ref="CXG42:CXI42"/>
    <mergeCell ref="CXJ42:CXL42"/>
    <mergeCell ref="CWC42:CWE42"/>
    <mergeCell ref="CWF42:CWH42"/>
    <mergeCell ref="CWI42:CWK42"/>
    <mergeCell ref="CWL42:CWN42"/>
    <mergeCell ref="CWO42:CWQ42"/>
    <mergeCell ref="CWR42:CWT42"/>
    <mergeCell ref="CVK42:CVM42"/>
    <mergeCell ref="CVN42:CVP42"/>
    <mergeCell ref="CVQ42:CVS42"/>
    <mergeCell ref="CVT42:CVV42"/>
    <mergeCell ref="CVW42:CVY42"/>
    <mergeCell ref="CVZ42:CWB42"/>
    <mergeCell ref="CUS42:CUU42"/>
    <mergeCell ref="CUV42:CUX42"/>
    <mergeCell ref="CUY42:CVA42"/>
    <mergeCell ref="CVB42:CVD42"/>
    <mergeCell ref="CVE42:CVG42"/>
    <mergeCell ref="CVH42:CVJ42"/>
    <mergeCell ref="DCI42:DCK42"/>
    <mergeCell ref="DCL42:DCN42"/>
    <mergeCell ref="DCO42:DCQ42"/>
    <mergeCell ref="DCR42:DCT42"/>
    <mergeCell ref="DCU42:DCW42"/>
    <mergeCell ref="DCX42:DCZ42"/>
    <mergeCell ref="DBQ42:DBS42"/>
    <mergeCell ref="DBT42:DBV42"/>
    <mergeCell ref="DBW42:DBY42"/>
    <mergeCell ref="DBZ42:DCB42"/>
    <mergeCell ref="DCC42:DCE42"/>
    <mergeCell ref="DCF42:DCH42"/>
    <mergeCell ref="DAY42:DBA42"/>
    <mergeCell ref="DBB42:DBD42"/>
    <mergeCell ref="DBE42:DBG42"/>
    <mergeCell ref="DBH42:DBJ42"/>
    <mergeCell ref="DBK42:DBM42"/>
    <mergeCell ref="DBN42:DBP42"/>
    <mergeCell ref="DAG42:DAI42"/>
    <mergeCell ref="DAJ42:DAL42"/>
    <mergeCell ref="DAM42:DAO42"/>
    <mergeCell ref="DAP42:DAR42"/>
    <mergeCell ref="DAS42:DAU42"/>
    <mergeCell ref="DAV42:DAX42"/>
    <mergeCell ref="CZO42:CZQ42"/>
    <mergeCell ref="CZR42:CZT42"/>
    <mergeCell ref="CZU42:CZW42"/>
    <mergeCell ref="CZX42:CZZ42"/>
    <mergeCell ref="DAA42:DAC42"/>
    <mergeCell ref="DAD42:DAF42"/>
    <mergeCell ref="CYW42:CYY42"/>
    <mergeCell ref="CYZ42:CZB42"/>
    <mergeCell ref="CZC42:CZE42"/>
    <mergeCell ref="CZF42:CZH42"/>
    <mergeCell ref="CZI42:CZK42"/>
    <mergeCell ref="CZL42:CZN42"/>
    <mergeCell ref="DGM42:DGO42"/>
    <mergeCell ref="DGP42:DGR42"/>
    <mergeCell ref="DGS42:DGU42"/>
    <mergeCell ref="DGV42:DGX42"/>
    <mergeCell ref="DGY42:DHA42"/>
    <mergeCell ref="DHB42:DHD42"/>
    <mergeCell ref="DFU42:DFW42"/>
    <mergeCell ref="DFX42:DFZ42"/>
    <mergeCell ref="DGA42:DGC42"/>
    <mergeCell ref="DGD42:DGF42"/>
    <mergeCell ref="DGG42:DGI42"/>
    <mergeCell ref="DGJ42:DGL42"/>
    <mergeCell ref="DFC42:DFE42"/>
    <mergeCell ref="DFF42:DFH42"/>
    <mergeCell ref="DFI42:DFK42"/>
    <mergeCell ref="DFL42:DFN42"/>
    <mergeCell ref="DFO42:DFQ42"/>
    <mergeCell ref="DFR42:DFT42"/>
    <mergeCell ref="DEK42:DEM42"/>
    <mergeCell ref="DEN42:DEP42"/>
    <mergeCell ref="DEQ42:DES42"/>
    <mergeCell ref="DET42:DEV42"/>
    <mergeCell ref="DEW42:DEY42"/>
    <mergeCell ref="DEZ42:DFB42"/>
    <mergeCell ref="DDS42:DDU42"/>
    <mergeCell ref="DDV42:DDX42"/>
    <mergeCell ref="DDY42:DEA42"/>
    <mergeCell ref="DEB42:DED42"/>
    <mergeCell ref="DEE42:DEG42"/>
    <mergeCell ref="DEH42:DEJ42"/>
    <mergeCell ref="DDA42:DDC42"/>
    <mergeCell ref="DDD42:DDF42"/>
    <mergeCell ref="DDG42:DDI42"/>
    <mergeCell ref="DDJ42:DDL42"/>
    <mergeCell ref="DDM42:DDO42"/>
    <mergeCell ref="DDP42:DDR42"/>
    <mergeCell ref="DKQ42:DKS42"/>
    <mergeCell ref="DKT42:DKV42"/>
    <mergeCell ref="DKW42:DKY42"/>
    <mergeCell ref="DKZ42:DLB42"/>
    <mergeCell ref="DLC42:DLE42"/>
    <mergeCell ref="DLF42:DLH42"/>
    <mergeCell ref="DJY42:DKA42"/>
    <mergeCell ref="DKB42:DKD42"/>
    <mergeCell ref="DKE42:DKG42"/>
    <mergeCell ref="DKH42:DKJ42"/>
    <mergeCell ref="DKK42:DKM42"/>
    <mergeCell ref="DKN42:DKP42"/>
    <mergeCell ref="DJG42:DJI42"/>
    <mergeCell ref="DJJ42:DJL42"/>
    <mergeCell ref="DJM42:DJO42"/>
    <mergeCell ref="DJP42:DJR42"/>
    <mergeCell ref="DJS42:DJU42"/>
    <mergeCell ref="DJV42:DJX42"/>
    <mergeCell ref="DIO42:DIQ42"/>
    <mergeCell ref="DIR42:DIT42"/>
    <mergeCell ref="DIU42:DIW42"/>
    <mergeCell ref="DIX42:DIZ42"/>
    <mergeCell ref="DJA42:DJC42"/>
    <mergeCell ref="DJD42:DJF42"/>
    <mergeCell ref="DHW42:DHY42"/>
    <mergeCell ref="DHZ42:DIB42"/>
    <mergeCell ref="DIC42:DIE42"/>
    <mergeCell ref="DIF42:DIH42"/>
    <mergeCell ref="DII42:DIK42"/>
    <mergeCell ref="DIL42:DIN42"/>
    <mergeCell ref="DHE42:DHG42"/>
    <mergeCell ref="DHH42:DHJ42"/>
    <mergeCell ref="DHK42:DHM42"/>
    <mergeCell ref="DHN42:DHP42"/>
    <mergeCell ref="DHQ42:DHS42"/>
    <mergeCell ref="DHT42:DHV42"/>
    <mergeCell ref="DOU42:DOW42"/>
    <mergeCell ref="DOX42:DOZ42"/>
    <mergeCell ref="DPA42:DPC42"/>
    <mergeCell ref="DPD42:DPF42"/>
    <mergeCell ref="DPG42:DPI42"/>
    <mergeCell ref="DPJ42:DPL42"/>
    <mergeCell ref="DOC42:DOE42"/>
    <mergeCell ref="DOF42:DOH42"/>
    <mergeCell ref="DOI42:DOK42"/>
    <mergeCell ref="DOL42:DON42"/>
    <mergeCell ref="DOO42:DOQ42"/>
    <mergeCell ref="DOR42:DOT42"/>
    <mergeCell ref="DNK42:DNM42"/>
    <mergeCell ref="DNN42:DNP42"/>
    <mergeCell ref="DNQ42:DNS42"/>
    <mergeCell ref="DNT42:DNV42"/>
    <mergeCell ref="DNW42:DNY42"/>
    <mergeCell ref="DNZ42:DOB42"/>
    <mergeCell ref="DMS42:DMU42"/>
    <mergeCell ref="DMV42:DMX42"/>
    <mergeCell ref="DMY42:DNA42"/>
    <mergeCell ref="DNB42:DND42"/>
    <mergeCell ref="DNE42:DNG42"/>
    <mergeCell ref="DNH42:DNJ42"/>
    <mergeCell ref="DMA42:DMC42"/>
    <mergeCell ref="DMD42:DMF42"/>
    <mergeCell ref="DMG42:DMI42"/>
    <mergeCell ref="DMJ42:DML42"/>
    <mergeCell ref="DMM42:DMO42"/>
    <mergeCell ref="DMP42:DMR42"/>
    <mergeCell ref="DLI42:DLK42"/>
    <mergeCell ref="DLL42:DLN42"/>
    <mergeCell ref="DLO42:DLQ42"/>
    <mergeCell ref="DLR42:DLT42"/>
    <mergeCell ref="DLU42:DLW42"/>
    <mergeCell ref="DLX42:DLZ42"/>
    <mergeCell ref="DSY42:DTA42"/>
    <mergeCell ref="DTB42:DTD42"/>
    <mergeCell ref="DTE42:DTG42"/>
    <mergeCell ref="DTH42:DTJ42"/>
    <mergeCell ref="DTK42:DTM42"/>
    <mergeCell ref="DTN42:DTP42"/>
    <mergeCell ref="DSG42:DSI42"/>
    <mergeCell ref="DSJ42:DSL42"/>
    <mergeCell ref="DSM42:DSO42"/>
    <mergeCell ref="DSP42:DSR42"/>
    <mergeCell ref="DSS42:DSU42"/>
    <mergeCell ref="DSV42:DSX42"/>
    <mergeCell ref="DRO42:DRQ42"/>
    <mergeCell ref="DRR42:DRT42"/>
    <mergeCell ref="DRU42:DRW42"/>
    <mergeCell ref="DRX42:DRZ42"/>
    <mergeCell ref="DSA42:DSC42"/>
    <mergeCell ref="DSD42:DSF42"/>
    <mergeCell ref="DQW42:DQY42"/>
    <mergeCell ref="DQZ42:DRB42"/>
    <mergeCell ref="DRC42:DRE42"/>
    <mergeCell ref="DRF42:DRH42"/>
    <mergeCell ref="DRI42:DRK42"/>
    <mergeCell ref="DRL42:DRN42"/>
    <mergeCell ref="DQE42:DQG42"/>
    <mergeCell ref="DQH42:DQJ42"/>
    <mergeCell ref="DQK42:DQM42"/>
    <mergeCell ref="DQN42:DQP42"/>
    <mergeCell ref="DQQ42:DQS42"/>
    <mergeCell ref="DQT42:DQV42"/>
    <mergeCell ref="DPM42:DPO42"/>
    <mergeCell ref="DPP42:DPR42"/>
    <mergeCell ref="DPS42:DPU42"/>
    <mergeCell ref="DPV42:DPX42"/>
    <mergeCell ref="DPY42:DQA42"/>
    <mergeCell ref="DQB42:DQD42"/>
    <mergeCell ref="DXC42:DXE42"/>
    <mergeCell ref="DXF42:DXH42"/>
    <mergeCell ref="DXI42:DXK42"/>
    <mergeCell ref="DXL42:DXN42"/>
    <mergeCell ref="DXO42:DXQ42"/>
    <mergeCell ref="DXR42:DXT42"/>
    <mergeCell ref="DWK42:DWM42"/>
    <mergeCell ref="DWN42:DWP42"/>
    <mergeCell ref="DWQ42:DWS42"/>
    <mergeCell ref="DWT42:DWV42"/>
    <mergeCell ref="DWW42:DWY42"/>
    <mergeCell ref="DWZ42:DXB42"/>
    <mergeCell ref="DVS42:DVU42"/>
    <mergeCell ref="DVV42:DVX42"/>
    <mergeCell ref="DVY42:DWA42"/>
    <mergeCell ref="DWB42:DWD42"/>
    <mergeCell ref="DWE42:DWG42"/>
    <mergeCell ref="DWH42:DWJ42"/>
    <mergeCell ref="DVA42:DVC42"/>
    <mergeCell ref="DVD42:DVF42"/>
    <mergeCell ref="DVG42:DVI42"/>
    <mergeCell ref="DVJ42:DVL42"/>
    <mergeCell ref="DVM42:DVO42"/>
    <mergeCell ref="DVP42:DVR42"/>
    <mergeCell ref="DUI42:DUK42"/>
    <mergeCell ref="DUL42:DUN42"/>
    <mergeCell ref="DUO42:DUQ42"/>
    <mergeCell ref="DUR42:DUT42"/>
    <mergeCell ref="DUU42:DUW42"/>
    <mergeCell ref="DUX42:DUZ42"/>
    <mergeCell ref="DTQ42:DTS42"/>
    <mergeCell ref="DTT42:DTV42"/>
    <mergeCell ref="DTW42:DTY42"/>
    <mergeCell ref="DTZ42:DUB42"/>
    <mergeCell ref="DUC42:DUE42"/>
    <mergeCell ref="DUF42:DUH42"/>
    <mergeCell ref="EBG42:EBI42"/>
    <mergeCell ref="EBJ42:EBL42"/>
    <mergeCell ref="EBM42:EBO42"/>
    <mergeCell ref="EBP42:EBR42"/>
    <mergeCell ref="EBS42:EBU42"/>
    <mergeCell ref="EBV42:EBX42"/>
    <mergeCell ref="EAO42:EAQ42"/>
    <mergeCell ref="EAR42:EAT42"/>
    <mergeCell ref="EAU42:EAW42"/>
    <mergeCell ref="EAX42:EAZ42"/>
    <mergeCell ref="EBA42:EBC42"/>
    <mergeCell ref="EBD42:EBF42"/>
    <mergeCell ref="DZW42:DZY42"/>
    <mergeCell ref="DZZ42:EAB42"/>
    <mergeCell ref="EAC42:EAE42"/>
    <mergeCell ref="EAF42:EAH42"/>
    <mergeCell ref="EAI42:EAK42"/>
    <mergeCell ref="EAL42:EAN42"/>
    <mergeCell ref="DZE42:DZG42"/>
    <mergeCell ref="DZH42:DZJ42"/>
    <mergeCell ref="DZK42:DZM42"/>
    <mergeCell ref="DZN42:DZP42"/>
    <mergeCell ref="DZQ42:DZS42"/>
    <mergeCell ref="DZT42:DZV42"/>
    <mergeCell ref="DYM42:DYO42"/>
    <mergeCell ref="DYP42:DYR42"/>
    <mergeCell ref="DYS42:DYU42"/>
    <mergeCell ref="DYV42:DYX42"/>
    <mergeCell ref="DYY42:DZA42"/>
    <mergeCell ref="DZB42:DZD42"/>
    <mergeCell ref="DXU42:DXW42"/>
    <mergeCell ref="DXX42:DXZ42"/>
    <mergeCell ref="DYA42:DYC42"/>
    <mergeCell ref="DYD42:DYF42"/>
    <mergeCell ref="DYG42:DYI42"/>
    <mergeCell ref="DYJ42:DYL42"/>
    <mergeCell ref="EFK42:EFM42"/>
    <mergeCell ref="EFN42:EFP42"/>
    <mergeCell ref="EFQ42:EFS42"/>
    <mergeCell ref="EFT42:EFV42"/>
    <mergeCell ref="EFW42:EFY42"/>
    <mergeCell ref="EFZ42:EGB42"/>
    <mergeCell ref="EES42:EEU42"/>
    <mergeCell ref="EEV42:EEX42"/>
    <mergeCell ref="EEY42:EFA42"/>
    <mergeCell ref="EFB42:EFD42"/>
    <mergeCell ref="EFE42:EFG42"/>
    <mergeCell ref="EFH42:EFJ42"/>
    <mergeCell ref="EEA42:EEC42"/>
    <mergeCell ref="EED42:EEF42"/>
    <mergeCell ref="EEG42:EEI42"/>
    <mergeCell ref="EEJ42:EEL42"/>
    <mergeCell ref="EEM42:EEO42"/>
    <mergeCell ref="EEP42:EER42"/>
    <mergeCell ref="EDI42:EDK42"/>
    <mergeCell ref="EDL42:EDN42"/>
    <mergeCell ref="EDO42:EDQ42"/>
    <mergeCell ref="EDR42:EDT42"/>
    <mergeCell ref="EDU42:EDW42"/>
    <mergeCell ref="EDX42:EDZ42"/>
    <mergeCell ref="ECQ42:ECS42"/>
    <mergeCell ref="ECT42:ECV42"/>
    <mergeCell ref="ECW42:ECY42"/>
    <mergeCell ref="ECZ42:EDB42"/>
    <mergeCell ref="EDC42:EDE42"/>
    <mergeCell ref="EDF42:EDH42"/>
    <mergeCell ref="EBY42:ECA42"/>
    <mergeCell ref="ECB42:ECD42"/>
    <mergeCell ref="ECE42:ECG42"/>
    <mergeCell ref="ECH42:ECJ42"/>
    <mergeCell ref="ECK42:ECM42"/>
    <mergeCell ref="ECN42:ECP42"/>
    <mergeCell ref="EJO42:EJQ42"/>
    <mergeCell ref="EJR42:EJT42"/>
    <mergeCell ref="EJU42:EJW42"/>
    <mergeCell ref="EJX42:EJZ42"/>
    <mergeCell ref="EKA42:EKC42"/>
    <mergeCell ref="EKD42:EKF42"/>
    <mergeCell ref="EIW42:EIY42"/>
    <mergeCell ref="EIZ42:EJB42"/>
    <mergeCell ref="EJC42:EJE42"/>
    <mergeCell ref="EJF42:EJH42"/>
    <mergeCell ref="EJI42:EJK42"/>
    <mergeCell ref="EJL42:EJN42"/>
    <mergeCell ref="EIE42:EIG42"/>
    <mergeCell ref="EIH42:EIJ42"/>
    <mergeCell ref="EIK42:EIM42"/>
    <mergeCell ref="EIN42:EIP42"/>
    <mergeCell ref="EIQ42:EIS42"/>
    <mergeCell ref="EIT42:EIV42"/>
    <mergeCell ref="EHM42:EHO42"/>
    <mergeCell ref="EHP42:EHR42"/>
    <mergeCell ref="EHS42:EHU42"/>
    <mergeCell ref="EHV42:EHX42"/>
    <mergeCell ref="EHY42:EIA42"/>
    <mergeCell ref="EIB42:EID42"/>
    <mergeCell ref="EGU42:EGW42"/>
    <mergeCell ref="EGX42:EGZ42"/>
    <mergeCell ref="EHA42:EHC42"/>
    <mergeCell ref="EHD42:EHF42"/>
    <mergeCell ref="EHG42:EHI42"/>
    <mergeCell ref="EHJ42:EHL42"/>
    <mergeCell ref="EGC42:EGE42"/>
    <mergeCell ref="EGF42:EGH42"/>
    <mergeCell ref="EGI42:EGK42"/>
    <mergeCell ref="EGL42:EGN42"/>
    <mergeCell ref="EGO42:EGQ42"/>
    <mergeCell ref="EGR42:EGT42"/>
    <mergeCell ref="ENS42:ENU42"/>
    <mergeCell ref="ENV42:ENX42"/>
    <mergeCell ref="ENY42:EOA42"/>
    <mergeCell ref="EOB42:EOD42"/>
    <mergeCell ref="EOE42:EOG42"/>
    <mergeCell ref="EOH42:EOJ42"/>
    <mergeCell ref="ENA42:ENC42"/>
    <mergeCell ref="END42:ENF42"/>
    <mergeCell ref="ENG42:ENI42"/>
    <mergeCell ref="ENJ42:ENL42"/>
    <mergeCell ref="ENM42:ENO42"/>
    <mergeCell ref="ENP42:ENR42"/>
    <mergeCell ref="EMI42:EMK42"/>
    <mergeCell ref="EML42:EMN42"/>
    <mergeCell ref="EMO42:EMQ42"/>
    <mergeCell ref="EMR42:EMT42"/>
    <mergeCell ref="EMU42:EMW42"/>
    <mergeCell ref="EMX42:EMZ42"/>
    <mergeCell ref="ELQ42:ELS42"/>
    <mergeCell ref="ELT42:ELV42"/>
    <mergeCell ref="ELW42:ELY42"/>
    <mergeCell ref="ELZ42:EMB42"/>
    <mergeCell ref="EMC42:EME42"/>
    <mergeCell ref="EMF42:EMH42"/>
    <mergeCell ref="EKY42:ELA42"/>
    <mergeCell ref="ELB42:ELD42"/>
    <mergeCell ref="ELE42:ELG42"/>
    <mergeCell ref="ELH42:ELJ42"/>
    <mergeCell ref="ELK42:ELM42"/>
    <mergeCell ref="ELN42:ELP42"/>
    <mergeCell ref="EKG42:EKI42"/>
    <mergeCell ref="EKJ42:EKL42"/>
    <mergeCell ref="EKM42:EKO42"/>
    <mergeCell ref="EKP42:EKR42"/>
    <mergeCell ref="EKS42:EKU42"/>
    <mergeCell ref="EKV42:EKX42"/>
    <mergeCell ref="ERW42:ERY42"/>
    <mergeCell ref="ERZ42:ESB42"/>
    <mergeCell ref="ESC42:ESE42"/>
    <mergeCell ref="ESF42:ESH42"/>
    <mergeCell ref="ESI42:ESK42"/>
    <mergeCell ref="ESL42:ESN42"/>
    <mergeCell ref="ERE42:ERG42"/>
    <mergeCell ref="ERH42:ERJ42"/>
    <mergeCell ref="ERK42:ERM42"/>
    <mergeCell ref="ERN42:ERP42"/>
    <mergeCell ref="ERQ42:ERS42"/>
    <mergeCell ref="ERT42:ERV42"/>
    <mergeCell ref="EQM42:EQO42"/>
    <mergeCell ref="EQP42:EQR42"/>
    <mergeCell ref="EQS42:EQU42"/>
    <mergeCell ref="EQV42:EQX42"/>
    <mergeCell ref="EQY42:ERA42"/>
    <mergeCell ref="ERB42:ERD42"/>
    <mergeCell ref="EPU42:EPW42"/>
    <mergeCell ref="EPX42:EPZ42"/>
    <mergeCell ref="EQA42:EQC42"/>
    <mergeCell ref="EQD42:EQF42"/>
    <mergeCell ref="EQG42:EQI42"/>
    <mergeCell ref="EQJ42:EQL42"/>
    <mergeCell ref="EPC42:EPE42"/>
    <mergeCell ref="EPF42:EPH42"/>
    <mergeCell ref="EPI42:EPK42"/>
    <mergeCell ref="EPL42:EPN42"/>
    <mergeCell ref="EPO42:EPQ42"/>
    <mergeCell ref="EPR42:EPT42"/>
    <mergeCell ref="EOK42:EOM42"/>
    <mergeCell ref="EON42:EOP42"/>
    <mergeCell ref="EOQ42:EOS42"/>
    <mergeCell ref="EOT42:EOV42"/>
    <mergeCell ref="EOW42:EOY42"/>
    <mergeCell ref="EOZ42:EPB42"/>
    <mergeCell ref="EWA42:EWC42"/>
    <mergeCell ref="EWD42:EWF42"/>
    <mergeCell ref="EWG42:EWI42"/>
    <mergeCell ref="EWJ42:EWL42"/>
    <mergeCell ref="EWM42:EWO42"/>
    <mergeCell ref="EWP42:EWR42"/>
    <mergeCell ref="EVI42:EVK42"/>
    <mergeCell ref="EVL42:EVN42"/>
    <mergeCell ref="EVO42:EVQ42"/>
    <mergeCell ref="EVR42:EVT42"/>
    <mergeCell ref="EVU42:EVW42"/>
    <mergeCell ref="EVX42:EVZ42"/>
    <mergeCell ref="EUQ42:EUS42"/>
    <mergeCell ref="EUT42:EUV42"/>
    <mergeCell ref="EUW42:EUY42"/>
    <mergeCell ref="EUZ42:EVB42"/>
    <mergeCell ref="EVC42:EVE42"/>
    <mergeCell ref="EVF42:EVH42"/>
    <mergeCell ref="ETY42:EUA42"/>
    <mergeCell ref="EUB42:EUD42"/>
    <mergeCell ref="EUE42:EUG42"/>
    <mergeCell ref="EUH42:EUJ42"/>
    <mergeCell ref="EUK42:EUM42"/>
    <mergeCell ref="EUN42:EUP42"/>
    <mergeCell ref="ETG42:ETI42"/>
    <mergeCell ref="ETJ42:ETL42"/>
    <mergeCell ref="ETM42:ETO42"/>
    <mergeCell ref="ETP42:ETR42"/>
    <mergeCell ref="ETS42:ETU42"/>
    <mergeCell ref="ETV42:ETX42"/>
    <mergeCell ref="ESO42:ESQ42"/>
    <mergeCell ref="ESR42:EST42"/>
    <mergeCell ref="ESU42:ESW42"/>
    <mergeCell ref="ESX42:ESZ42"/>
    <mergeCell ref="ETA42:ETC42"/>
    <mergeCell ref="ETD42:ETF42"/>
    <mergeCell ref="FAE42:FAG42"/>
    <mergeCell ref="FAH42:FAJ42"/>
    <mergeCell ref="FAK42:FAM42"/>
    <mergeCell ref="FAN42:FAP42"/>
    <mergeCell ref="FAQ42:FAS42"/>
    <mergeCell ref="FAT42:FAV42"/>
    <mergeCell ref="EZM42:EZO42"/>
    <mergeCell ref="EZP42:EZR42"/>
    <mergeCell ref="EZS42:EZU42"/>
    <mergeCell ref="EZV42:EZX42"/>
    <mergeCell ref="EZY42:FAA42"/>
    <mergeCell ref="FAB42:FAD42"/>
    <mergeCell ref="EYU42:EYW42"/>
    <mergeCell ref="EYX42:EYZ42"/>
    <mergeCell ref="EZA42:EZC42"/>
    <mergeCell ref="EZD42:EZF42"/>
    <mergeCell ref="EZG42:EZI42"/>
    <mergeCell ref="EZJ42:EZL42"/>
    <mergeCell ref="EYC42:EYE42"/>
    <mergeCell ref="EYF42:EYH42"/>
    <mergeCell ref="EYI42:EYK42"/>
    <mergeCell ref="EYL42:EYN42"/>
    <mergeCell ref="EYO42:EYQ42"/>
    <mergeCell ref="EYR42:EYT42"/>
    <mergeCell ref="EXK42:EXM42"/>
    <mergeCell ref="EXN42:EXP42"/>
    <mergeCell ref="EXQ42:EXS42"/>
    <mergeCell ref="EXT42:EXV42"/>
    <mergeCell ref="EXW42:EXY42"/>
    <mergeCell ref="EXZ42:EYB42"/>
    <mergeCell ref="EWS42:EWU42"/>
    <mergeCell ref="EWV42:EWX42"/>
    <mergeCell ref="EWY42:EXA42"/>
    <mergeCell ref="EXB42:EXD42"/>
    <mergeCell ref="EXE42:EXG42"/>
    <mergeCell ref="EXH42:EXJ42"/>
    <mergeCell ref="FEI42:FEK42"/>
    <mergeCell ref="FEL42:FEN42"/>
    <mergeCell ref="FEO42:FEQ42"/>
    <mergeCell ref="FER42:FET42"/>
    <mergeCell ref="FEU42:FEW42"/>
    <mergeCell ref="FEX42:FEZ42"/>
    <mergeCell ref="FDQ42:FDS42"/>
    <mergeCell ref="FDT42:FDV42"/>
    <mergeCell ref="FDW42:FDY42"/>
    <mergeCell ref="FDZ42:FEB42"/>
    <mergeCell ref="FEC42:FEE42"/>
    <mergeCell ref="FEF42:FEH42"/>
    <mergeCell ref="FCY42:FDA42"/>
    <mergeCell ref="FDB42:FDD42"/>
    <mergeCell ref="FDE42:FDG42"/>
    <mergeCell ref="FDH42:FDJ42"/>
    <mergeCell ref="FDK42:FDM42"/>
    <mergeCell ref="FDN42:FDP42"/>
    <mergeCell ref="FCG42:FCI42"/>
    <mergeCell ref="FCJ42:FCL42"/>
    <mergeCell ref="FCM42:FCO42"/>
    <mergeCell ref="FCP42:FCR42"/>
    <mergeCell ref="FCS42:FCU42"/>
    <mergeCell ref="FCV42:FCX42"/>
    <mergeCell ref="FBO42:FBQ42"/>
    <mergeCell ref="FBR42:FBT42"/>
    <mergeCell ref="FBU42:FBW42"/>
    <mergeCell ref="FBX42:FBZ42"/>
    <mergeCell ref="FCA42:FCC42"/>
    <mergeCell ref="FCD42:FCF42"/>
    <mergeCell ref="FAW42:FAY42"/>
    <mergeCell ref="FAZ42:FBB42"/>
    <mergeCell ref="FBC42:FBE42"/>
    <mergeCell ref="FBF42:FBH42"/>
    <mergeCell ref="FBI42:FBK42"/>
    <mergeCell ref="FBL42:FBN42"/>
    <mergeCell ref="FIM42:FIO42"/>
    <mergeCell ref="FIP42:FIR42"/>
    <mergeCell ref="FIS42:FIU42"/>
    <mergeCell ref="FIV42:FIX42"/>
    <mergeCell ref="FIY42:FJA42"/>
    <mergeCell ref="FJB42:FJD42"/>
    <mergeCell ref="FHU42:FHW42"/>
    <mergeCell ref="FHX42:FHZ42"/>
    <mergeCell ref="FIA42:FIC42"/>
    <mergeCell ref="FID42:FIF42"/>
    <mergeCell ref="FIG42:FII42"/>
    <mergeCell ref="FIJ42:FIL42"/>
    <mergeCell ref="FHC42:FHE42"/>
    <mergeCell ref="FHF42:FHH42"/>
    <mergeCell ref="FHI42:FHK42"/>
    <mergeCell ref="FHL42:FHN42"/>
    <mergeCell ref="FHO42:FHQ42"/>
    <mergeCell ref="FHR42:FHT42"/>
    <mergeCell ref="FGK42:FGM42"/>
    <mergeCell ref="FGN42:FGP42"/>
    <mergeCell ref="FGQ42:FGS42"/>
    <mergeCell ref="FGT42:FGV42"/>
    <mergeCell ref="FGW42:FGY42"/>
    <mergeCell ref="FGZ42:FHB42"/>
    <mergeCell ref="FFS42:FFU42"/>
    <mergeCell ref="FFV42:FFX42"/>
    <mergeCell ref="FFY42:FGA42"/>
    <mergeCell ref="FGB42:FGD42"/>
    <mergeCell ref="FGE42:FGG42"/>
    <mergeCell ref="FGH42:FGJ42"/>
    <mergeCell ref="FFA42:FFC42"/>
    <mergeCell ref="FFD42:FFF42"/>
    <mergeCell ref="FFG42:FFI42"/>
    <mergeCell ref="FFJ42:FFL42"/>
    <mergeCell ref="FFM42:FFO42"/>
    <mergeCell ref="FFP42:FFR42"/>
    <mergeCell ref="FMQ42:FMS42"/>
    <mergeCell ref="FMT42:FMV42"/>
    <mergeCell ref="FMW42:FMY42"/>
    <mergeCell ref="FMZ42:FNB42"/>
    <mergeCell ref="FNC42:FNE42"/>
    <mergeCell ref="FNF42:FNH42"/>
    <mergeCell ref="FLY42:FMA42"/>
    <mergeCell ref="FMB42:FMD42"/>
    <mergeCell ref="FME42:FMG42"/>
    <mergeCell ref="FMH42:FMJ42"/>
    <mergeCell ref="FMK42:FMM42"/>
    <mergeCell ref="FMN42:FMP42"/>
    <mergeCell ref="FLG42:FLI42"/>
    <mergeCell ref="FLJ42:FLL42"/>
    <mergeCell ref="FLM42:FLO42"/>
    <mergeCell ref="FLP42:FLR42"/>
    <mergeCell ref="FLS42:FLU42"/>
    <mergeCell ref="FLV42:FLX42"/>
    <mergeCell ref="FKO42:FKQ42"/>
    <mergeCell ref="FKR42:FKT42"/>
    <mergeCell ref="FKU42:FKW42"/>
    <mergeCell ref="FKX42:FKZ42"/>
    <mergeCell ref="FLA42:FLC42"/>
    <mergeCell ref="FLD42:FLF42"/>
    <mergeCell ref="FJW42:FJY42"/>
    <mergeCell ref="FJZ42:FKB42"/>
    <mergeCell ref="FKC42:FKE42"/>
    <mergeCell ref="FKF42:FKH42"/>
    <mergeCell ref="FKI42:FKK42"/>
    <mergeCell ref="FKL42:FKN42"/>
    <mergeCell ref="FJE42:FJG42"/>
    <mergeCell ref="FJH42:FJJ42"/>
    <mergeCell ref="FJK42:FJM42"/>
    <mergeCell ref="FJN42:FJP42"/>
    <mergeCell ref="FJQ42:FJS42"/>
    <mergeCell ref="FJT42:FJV42"/>
    <mergeCell ref="FQU42:FQW42"/>
    <mergeCell ref="FQX42:FQZ42"/>
    <mergeCell ref="FRA42:FRC42"/>
    <mergeCell ref="FRD42:FRF42"/>
    <mergeCell ref="FRG42:FRI42"/>
    <mergeCell ref="FRJ42:FRL42"/>
    <mergeCell ref="FQC42:FQE42"/>
    <mergeCell ref="FQF42:FQH42"/>
    <mergeCell ref="FQI42:FQK42"/>
    <mergeCell ref="FQL42:FQN42"/>
    <mergeCell ref="FQO42:FQQ42"/>
    <mergeCell ref="FQR42:FQT42"/>
    <mergeCell ref="FPK42:FPM42"/>
    <mergeCell ref="FPN42:FPP42"/>
    <mergeCell ref="FPQ42:FPS42"/>
    <mergeCell ref="FPT42:FPV42"/>
    <mergeCell ref="FPW42:FPY42"/>
    <mergeCell ref="FPZ42:FQB42"/>
    <mergeCell ref="FOS42:FOU42"/>
    <mergeCell ref="FOV42:FOX42"/>
    <mergeCell ref="FOY42:FPA42"/>
    <mergeCell ref="FPB42:FPD42"/>
    <mergeCell ref="FPE42:FPG42"/>
    <mergeCell ref="FPH42:FPJ42"/>
    <mergeCell ref="FOA42:FOC42"/>
    <mergeCell ref="FOD42:FOF42"/>
    <mergeCell ref="FOG42:FOI42"/>
    <mergeCell ref="FOJ42:FOL42"/>
    <mergeCell ref="FOM42:FOO42"/>
    <mergeCell ref="FOP42:FOR42"/>
    <mergeCell ref="FNI42:FNK42"/>
    <mergeCell ref="FNL42:FNN42"/>
    <mergeCell ref="FNO42:FNQ42"/>
    <mergeCell ref="FNR42:FNT42"/>
    <mergeCell ref="FNU42:FNW42"/>
    <mergeCell ref="FNX42:FNZ42"/>
    <mergeCell ref="FUY42:FVA42"/>
    <mergeCell ref="FVB42:FVD42"/>
    <mergeCell ref="FVE42:FVG42"/>
    <mergeCell ref="FVH42:FVJ42"/>
    <mergeCell ref="FVK42:FVM42"/>
    <mergeCell ref="FVN42:FVP42"/>
    <mergeCell ref="FUG42:FUI42"/>
    <mergeCell ref="FUJ42:FUL42"/>
    <mergeCell ref="FUM42:FUO42"/>
    <mergeCell ref="FUP42:FUR42"/>
    <mergeCell ref="FUS42:FUU42"/>
    <mergeCell ref="FUV42:FUX42"/>
    <mergeCell ref="FTO42:FTQ42"/>
    <mergeCell ref="FTR42:FTT42"/>
    <mergeCell ref="FTU42:FTW42"/>
    <mergeCell ref="FTX42:FTZ42"/>
    <mergeCell ref="FUA42:FUC42"/>
    <mergeCell ref="FUD42:FUF42"/>
    <mergeCell ref="FSW42:FSY42"/>
    <mergeCell ref="FSZ42:FTB42"/>
    <mergeCell ref="FTC42:FTE42"/>
    <mergeCell ref="FTF42:FTH42"/>
    <mergeCell ref="FTI42:FTK42"/>
    <mergeCell ref="FTL42:FTN42"/>
    <mergeCell ref="FSE42:FSG42"/>
    <mergeCell ref="FSH42:FSJ42"/>
    <mergeCell ref="FSK42:FSM42"/>
    <mergeCell ref="FSN42:FSP42"/>
    <mergeCell ref="FSQ42:FSS42"/>
    <mergeCell ref="FST42:FSV42"/>
    <mergeCell ref="FRM42:FRO42"/>
    <mergeCell ref="FRP42:FRR42"/>
    <mergeCell ref="FRS42:FRU42"/>
    <mergeCell ref="FRV42:FRX42"/>
    <mergeCell ref="FRY42:FSA42"/>
    <mergeCell ref="FSB42:FSD42"/>
    <mergeCell ref="FZC42:FZE42"/>
    <mergeCell ref="FZF42:FZH42"/>
    <mergeCell ref="FZI42:FZK42"/>
    <mergeCell ref="FZL42:FZN42"/>
    <mergeCell ref="FZO42:FZQ42"/>
    <mergeCell ref="FZR42:FZT42"/>
    <mergeCell ref="FYK42:FYM42"/>
    <mergeCell ref="FYN42:FYP42"/>
    <mergeCell ref="FYQ42:FYS42"/>
    <mergeCell ref="FYT42:FYV42"/>
    <mergeCell ref="FYW42:FYY42"/>
    <mergeCell ref="FYZ42:FZB42"/>
    <mergeCell ref="FXS42:FXU42"/>
    <mergeCell ref="FXV42:FXX42"/>
    <mergeCell ref="FXY42:FYA42"/>
    <mergeCell ref="FYB42:FYD42"/>
    <mergeCell ref="FYE42:FYG42"/>
    <mergeCell ref="FYH42:FYJ42"/>
    <mergeCell ref="FXA42:FXC42"/>
    <mergeCell ref="FXD42:FXF42"/>
    <mergeCell ref="FXG42:FXI42"/>
    <mergeCell ref="FXJ42:FXL42"/>
    <mergeCell ref="FXM42:FXO42"/>
    <mergeCell ref="FXP42:FXR42"/>
    <mergeCell ref="FWI42:FWK42"/>
    <mergeCell ref="FWL42:FWN42"/>
    <mergeCell ref="FWO42:FWQ42"/>
    <mergeCell ref="FWR42:FWT42"/>
    <mergeCell ref="FWU42:FWW42"/>
    <mergeCell ref="FWX42:FWZ42"/>
    <mergeCell ref="FVQ42:FVS42"/>
    <mergeCell ref="FVT42:FVV42"/>
    <mergeCell ref="FVW42:FVY42"/>
    <mergeCell ref="FVZ42:FWB42"/>
    <mergeCell ref="FWC42:FWE42"/>
    <mergeCell ref="FWF42:FWH42"/>
    <mergeCell ref="GDG42:GDI42"/>
    <mergeCell ref="GDJ42:GDL42"/>
    <mergeCell ref="GDM42:GDO42"/>
    <mergeCell ref="GDP42:GDR42"/>
    <mergeCell ref="GDS42:GDU42"/>
    <mergeCell ref="GDV42:GDX42"/>
    <mergeCell ref="GCO42:GCQ42"/>
    <mergeCell ref="GCR42:GCT42"/>
    <mergeCell ref="GCU42:GCW42"/>
    <mergeCell ref="GCX42:GCZ42"/>
    <mergeCell ref="GDA42:GDC42"/>
    <mergeCell ref="GDD42:GDF42"/>
    <mergeCell ref="GBW42:GBY42"/>
    <mergeCell ref="GBZ42:GCB42"/>
    <mergeCell ref="GCC42:GCE42"/>
    <mergeCell ref="GCF42:GCH42"/>
    <mergeCell ref="GCI42:GCK42"/>
    <mergeCell ref="GCL42:GCN42"/>
    <mergeCell ref="GBE42:GBG42"/>
    <mergeCell ref="GBH42:GBJ42"/>
    <mergeCell ref="GBK42:GBM42"/>
    <mergeCell ref="GBN42:GBP42"/>
    <mergeCell ref="GBQ42:GBS42"/>
    <mergeCell ref="GBT42:GBV42"/>
    <mergeCell ref="GAM42:GAO42"/>
    <mergeCell ref="GAP42:GAR42"/>
    <mergeCell ref="GAS42:GAU42"/>
    <mergeCell ref="GAV42:GAX42"/>
    <mergeCell ref="GAY42:GBA42"/>
    <mergeCell ref="GBB42:GBD42"/>
    <mergeCell ref="FZU42:FZW42"/>
    <mergeCell ref="FZX42:FZZ42"/>
    <mergeCell ref="GAA42:GAC42"/>
    <mergeCell ref="GAD42:GAF42"/>
    <mergeCell ref="GAG42:GAI42"/>
    <mergeCell ref="GAJ42:GAL42"/>
    <mergeCell ref="GHK42:GHM42"/>
    <mergeCell ref="GHN42:GHP42"/>
    <mergeCell ref="GHQ42:GHS42"/>
    <mergeCell ref="GHT42:GHV42"/>
    <mergeCell ref="GHW42:GHY42"/>
    <mergeCell ref="GHZ42:GIB42"/>
    <mergeCell ref="GGS42:GGU42"/>
    <mergeCell ref="GGV42:GGX42"/>
    <mergeCell ref="GGY42:GHA42"/>
    <mergeCell ref="GHB42:GHD42"/>
    <mergeCell ref="GHE42:GHG42"/>
    <mergeCell ref="GHH42:GHJ42"/>
    <mergeCell ref="GGA42:GGC42"/>
    <mergeCell ref="GGD42:GGF42"/>
    <mergeCell ref="GGG42:GGI42"/>
    <mergeCell ref="GGJ42:GGL42"/>
    <mergeCell ref="GGM42:GGO42"/>
    <mergeCell ref="GGP42:GGR42"/>
    <mergeCell ref="GFI42:GFK42"/>
    <mergeCell ref="GFL42:GFN42"/>
    <mergeCell ref="GFO42:GFQ42"/>
    <mergeCell ref="GFR42:GFT42"/>
    <mergeCell ref="GFU42:GFW42"/>
    <mergeCell ref="GFX42:GFZ42"/>
    <mergeCell ref="GEQ42:GES42"/>
    <mergeCell ref="GET42:GEV42"/>
    <mergeCell ref="GEW42:GEY42"/>
    <mergeCell ref="GEZ42:GFB42"/>
    <mergeCell ref="GFC42:GFE42"/>
    <mergeCell ref="GFF42:GFH42"/>
    <mergeCell ref="GDY42:GEA42"/>
    <mergeCell ref="GEB42:GED42"/>
    <mergeCell ref="GEE42:GEG42"/>
    <mergeCell ref="GEH42:GEJ42"/>
    <mergeCell ref="GEK42:GEM42"/>
    <mergeCell ref="GEN42:GEP42"/>
    <mergeCell ref="GLO42:GLQ42"/>
    <mergeCell ref="GLR42:GLT42"/>
    <mergeCell ref="GLU42:GLW42"/>
    <mergeCell ref="GLX42:GLZ42"/>
    <mergeCell ref="GMA42:GMC42"/>
    <mergeCell ref="GMD42:GMF42"/>
    <mergeCell ref="GKW42:GKY42"/>
    <mergeCell ref="GKZ42:GLB42"/>
    <mergeCell ref="GLC42:GLE42"/>
    <mergeCell ref="GLF42:GLH42"/>
    <mergeCell ref="GLI42:GLK42"/>
    <mergeCell ref="GLL42:GLN42"/>
    <mergeCell ref="GKE42:GKG42"/>
    <mergeCell ref="GKH42:GKJ42"/>
    <mergeCell ref="GKK42:GKM42"/>
    <mergeCell ref="GKN42:GKP42"/>
    <mergeCell ref="GKQ42:GKS42"/>
    <mergeCell ref="GKT42:GKV42"/>
    <mergeCell ref="GJM42:GJO42"/>
    <mergeCell ref="GJP42:GJR42"/>
    <mergeCell ref="GJS42:GJU42"/>
    <mergeCell ref="GJV42:GJX42"/>
    <mergeCell ref="GJY42:GKA42"/>
    <mergeCell ref="GKB42:GKD42"/>
    <mergeCell ref="GIU42:GIW42"/>
    <mergeCell ref="GIX42:GIZ42"/>
    <mergeCell ref="GJA42:GJC42"/>
    <mergeCell ref="GJD42:GJF42"/>
    <mergeCell ref="GJG42:GJI42"/>
    <mergeCell ref="GJJ42:GJL42"/>
    <mergeCell ref="GIC42:GIE42"/>
    <mergeCell ref="GIF42:GIH42"/>
    <mergeCell ref="GII42:GIK42"/>
    <mergeCell ref="GIL42:GIN42"/>
    <mergeCell ref="GIO42:GIQ42"/>
    <mergeCell ref="GIR42:GIT42"/>
    <mergeCell ref="GPS42:GPU42"/>
    <mergeCell ref="GPV42:GPX42"/>
    <mergeCell ref="GPY42:GQA42"/>
    <mergeCell ref="GQB42:GQD42"/>
    <mergeCell ref="GQE42:GQG42"/>
    <mergeCell ref="GQH42:GQJ42"/>
    <mergeCell ref="GPA42:GPC42"/>
    <mergeCell ref="GPD42:GPF42"/>
    <mergeCell ref="GPG42:GPI42"/>
    <mergeCell ref="GPJ42:GPL42"/>
    <mergeCell ref="GPM42:GPO42"/>
    <mergeCell ref="GPP42:GPR42"/>
    <mergeCell ref="GOI42:GOK42"/>
    <mergeCell ref="GOL42:GON42"/>
    <mergeCell ref="GOO42:GOQ42"/>
    <mergeCell ref="GOR42:GOT42"/>
    <mergeCell ref="GOU42:GOW42"/>
    <mergeCell ref="GOX42:GOZ42"/>
    <mergeCell ref="GNQ42:GNS42"/>
    <mergeCell ref="GNT42:GNV42"/>
    <mergeCell ref="GNW42:GNY42"/>
    <mergeCell ref="GNZ42:GOB42"/>
    <mergeCell ref="GOC42:GOE42"/>
    <mergeCell ref="GOF42:GOH42"/>
    <mergeCell ref="GMY42:GNA42"/>
    <mergeCell ref="GNB42:GND42"/>
    <mergeCell ref="GNE42:GNG42"/>
    <mergeCell ref="GNH42:GNJ42"/>
    <mergeCell ref="GNK42:GNM42"/>
    <mergeCell ref="GNN42:GNP42"/>
    <mergeCell ref="GMG42:GMI42"/>
    <mergeCell ref="GMJ42:GML42"/>
    <mergeCell ref="GMM42:GMO42"/>
    <mergeCell ref="GMP42:GMR42"/>
    <mergeCell ref="GMS42:GMU42"/>
    <mergeCell ref="GMV42:GMX42"/>
    <mergeCell ref="GTW42:GTY42"/>
    <mergeCell ref="GTZ42:GUB42"/>
    <mergeCell ref="GUC42:GUE42"/>
    <mergeCell ref="GUF42:GUH42"/>
    <mergeCell ref="GUI42:GUK42"/>
    <mergeCell ref="GUL42:GUN42"/>
    <mergeCell ref="GTE42:GTG42"/>
    <mergeCell ref="GTH42:GTJ42"/>
    <mergeCell ref="GTK42:GTM42"/>
    <mergeCell ref="GTN42:GTP42"/>
    <mergeCell ref="GTQ42:GTS42"/>
    <mergeCell ref="GTT42:GTV42"/>
    <mergeCell ref="GSM42:GSO42"/>
    <mergeCell ref="GSP42:GSR42"/>
    <mergeCell ref="GSS42:GSU42"/>
    <mergeCell ref="GSV42:GSX42"/>
    <mergeCell ref="GSY42:GTA42"/>
    <mergeCell ref="GTB42:GTD42"/>
    <mergeCell ref="GRU42:GRW42"/>
    <mergeCell ref="GRX42:GRZ42"/>
    <mergeCell ref="GSA42:GSC42"/>
    <mergeCell ref="GSD42:GSF42"/>
    <mergeCell ref="GSG42:GSI42"/>
    <mergeCell ref="GSJ42:GSL42"/>
    <mergeCell ref="GRC42:GRE42"/>
    <mergeCell ref="GRF42:GRH42"/>
    <mergeCell ref="GRI42:GRK42"/>
    <mergeCell ref="GRL42:GRN42"/>
    <mergeCell ref="GRO42:GRQ42"/>
    <mergeCell ref="GRR42:GRT42"/>
    <mergeCell ref="GQK42:GQM42"/>
    <mergeCell ref="GQN42:GQP42"/>
    <mergeCell ref="GQQ42:GQS42"/>
    <mergeCell ref="GQT42:GQV42"/>
    <mergeCell ref="GQW42:GQY42"/>
    <mergeCell ref="GQZ42:GRB42"/>
    <mergeCell ref="GYA42:GYC42"/>
    <mergeCell ref="GYD42:GYF42"/>
    <mergeCell ref="GYG42:GYI42"/>
    <mergeCell ref="GYJ42:GYL42"/>
    <mergeCell ref="GYM42:GYO42"/>
    <mergeCell ref="GYP42:GYR42"/>
    <mergeCell ref="GXI42:GXK42"/>
    <mergeCell ref="GXL42:GXN42"/>
    <mergeCell ref="GXO42:GXQ42"/>
    <mergeCell ref="GXR42:GXT42"/>
    <mergeCell ref="GXU42:GXW42"/>
    <mergeCell ref="GXX42:GXZ42"/>
    <mergeCell ref="GWQ42:GWS42"/>
    <mergeCell ref="GWT42:GWV42"/>
    <mergeCell ref="GWW42:GWY42"/>
    <mergeCell ref="GWZ42:GXB42"/>
    <mergeCell ref="GXC42:GXE42"/>
    <mergeCell ref="GXF42:GXH42"/>
    <mergeCell ref="GVY42:GWA42"/>
    <mergeCell ref="GWB42:GWD42"/>
    <mergeCell ref="GWE42:GWG42"/>
    <mergeCell ref="GWH42:GWJ42"/>
    <mergeCell ref="GWK42:GWM42"/>
    <mergeCell ref="GWN42:GWP42"/>
    <mergeCell ref="GVG42:GVI42"/>
    <mergeCell ref="GVJ42:GVL42"/>
    <mergeCell ref="GVM42:GVO42"/>
    <mergeCell ref="GVP42:GVR42"/>
    <mergeCell ref="GVS42:GVU42"/>
    <mergeCell ref="GVV42:GVX42"/>
    <mergeCell ref="GUO42:GUQ42"/>
    <mergeCell ref="GUR42:GUT42"/>
    <mergeCell ref="GUU42:GUW42"/>
    <mergeCell ref="GUX42:GUZ42"/>
    <mergeCell ref="GVA42:GVC42"/>
    <mergeCell ref="GVD42:GVF42"/>
    <mergeCell ref="HCE42:HCG42"/>
    <mergeCell ref="HCH42:HCJ42"/>
    <mergeCell ref="HCK42:HCM42"/>
    <mergeCell ref="HCN42:HCP42"/>
    <mergeCell ref="HCQ42:HCS42"/>
    <mergeCell ref="HCT42:HCV42"/>
    <mergeCell ref="HBM42:HBO42"/>
    <mergeCell ref="HBP42:HBR42"/>
    <mergeCell ref="HBS42:HBU42"/>
    <mergeCell ref="HBV42:HBX42"/>
    <mergeCell ref="HBY42:HCA42"/>
    <mergeCell ref="HCB42:HCD42"/>
    <mergeCell ref="HAU42:HAW42"/>
    <mergeCell ref="HAX42:HAZ42"/>
    <mergeCell ref="HBA42:HBC42"/>
    <mergeCell ref="HBD42:HBF42"/>
    <mergeCell ref="HBG42:HBI42"/>
    <mergeCell ref="HBJ42:HBL42"/>
    <mergeCell ref="HAC42:HAE42"/>
    <mergeCell ref="HAF42:HAH42"/>
    <mergeCell ref="HAI42:HAK42"/>
    <mergeCell ref="HAL42:HAN42"/>
    <mergeCell ref="HAO42:HAQ42"/>
    <mergeCell ref="HAR42:HAT42"/>
    <mergeCell ref="GZK42:GZM42"/>
    <mergeCell ref="GZN42:GZP42"/>
    <mergeCell ref="GZQ42:GZS42"/>
    <mergeCell ref="GZT42:GZV42"/>
    <mergeCell ref="GZW42:GZY42"/>
    <mergeCell ref="GZZ42:HAB42"/>
    <mergeCell ref="GYS42:GYU42"/>
    <mergeCell ref="GYV42:GYX42"/>
    <mergeCell ref="GYY42:GZA42"/>
    <mergeCell ref="GZB42:GZD42"/>
    <mergeCell ref="GZE42:GZG42"/>
    <mergeCell ref="GZH42:GZJ42"/>
    <mergeCell ref="HGI42:HGK42"/>
    <mergeCell ref="HGL42:HGN42"/>
    <mergeCell ref="HGO42:HGQ42"/>
    <mergeCell ref="HGR42:HGT42"/>
    <mergeCell ref="HGU42:HGW42"/>
    <mergeCell ref="HGX42:HGZ42"/>
    <mergeCell ref="HFQ42:HFS42"/>
    <mergeCell ref="HFT42:HFV42"/>
    <mergeCell ref="HFW42:HFY42"/>
    <mergeCell ref="HFZ42:HGB42"/>
    <mergeCell ref="HGC42:HGE42"/>
    <mergeCell ref="HGF42:HGH42"/>
    <mergeCell ref="HEY42:HFA42"/>
    <mergeCell ref="HFB42:HFD42"/>
    <mergeCell ref="HFE42:HFG42"/>
    <mergeCell ref="HFH42:HFJ42"/>
    <mergeCell ref="HFK42:HFM42"/>
    <mergeCell ref="HFN42:HFP42"/>
    <mergeCell ref="HEG42:HEI42"/>
    <mergeCell ref="HEJ42:HEL42"/>
    <mergeCell ref="HEM42:HEO42"/>
    <mergeCell ref="HEP42:HER42"/>
    <mergeCell ref="HES42:HEU42"/>
    <mergeCell ref="HEV42:HEX42"/>
    <mergeCell ref="HDO42:HDQ42"/>
    <mergeCell ref="HDR42:HDT42"/>
    <mergeCell ref="HDU42:HDW42"/>
    <mergeCell ref="HDX42:HDZ42"/>
    <mergeCell ref="HEA42:HEC42"/>
    <mergeCell ref="HED42:HEF42"/>
    <mergeCell ref="HCW42:HCY42"/>
    <mergeCell ref="HCZ42:HDB42"/>
    <mergeCell ref="HDC42:HDE42"/>
    <mergeCell ref="HDF42:HDH42"/>
    <mergeCell ref="HDI42:HDK42"/>
    <mergeCell ref="HDL42:HDN42"/>
    <mergeCell ref="HKM42:HKO42"/>
    <mergeCell ref="HKP42:HKR42"/>
    <mergeCell ref="HKS42:HKU42"/>
    <mergeCell ref="HKV42:HKX42"/>
    <mergeCell ref="HKY42:HLA42"/>
    <mergeCell ref="HLB42:HLD42"/>
    <mergeCell ref="HJU42:HJW42"/>
    <mergeCell ref="HJX42:HJZ42"/>
    <mergeCell ref="HKA42:HKC42"/>
    <mergeCell ref="HKD42:HKF42"/>
    <mergeCell ref="HKG42:HKI42"/>
    <mergeCell ref="HKJ42:HKL42"/>
    <mergeCell ref="HJC42:HJE42"/>
    <mergeCell ref="HJF42:HJH42"/>
    <mergeCell ref="HJI42:HJK42"/>
    <mergeCell ref="HJL42:HJN42"/>
    <mergeCell ref="HJO42:HJQ42"/>
    <mergeCell ref="HJR42:HJT42"/>
    <mergeCell ref="HIK42:HIM42"/>
    <mergeCell ref="HIN42:HIP42"/>
    <mergeCell ref="HIQ42:HIS42"/>
    <mergeCell ref="HIT42:HIV42"/>
    <mergeCell ref="HIW42:HIY42"/>
    <mergeCell ref="HIZ42:HJB42"/>
    <mergeCell ref="HHS42:HHU42"/>
    <mergeCell ref="HHV42:HHX42"/>
    <mergeCell ref="HHY42:HIA42"/>
    <mergeCell ref="HIB42:HID42"/>
    <mergeCell ref="HIE42:HIG42"/>
    <mergeCell ref="HIH42:HIJ42"/>
    <mergeCell ref="HHA42:HHC42"/>
    <mergeCell ref="HHD42:HHF42"/>
    <mergeCell ref="HHG42:HHI42"/>
    <mergeCell ref="HHJ42:HHL42"/>
    <mergeCell ref="HHM42:HHO42"/>
    <mergeCell ref="HHP42:HHR42"/>
    <mergeCell ref="HOQ42:HOS42"/>
    <mergeCell ref="HOT42:HOV42"/>
    <mergeCell ref="HOW42:HOY42"/>
    <mergeCell ref="HOZ42:HPB42"/>
    <mergeCell ref="HPC42:HPE42"/>
    <mergeCell ref="HPF42:HPH42"/>
    <mergeCell ref="HNY42:HOA42"/>
    <mergeCell ref="HOB42:HOD42"/>
    <mergeCell ref="HOE42:HOG42"/>
    <mergeCell ref="HOH42:HOJ42"/>
    <mergeCell ref="HOK42:HOM42"/>
    <mergeCell ref="HON42:HOP42"/>
    <mergeCell ref="HNG42:HNI42"/>
    <mergeCell ref="HNJ42:HNL42"/>
    <mergeCell ref="HNM42:HNO42"/>
    <mergeCell ref="HNP42:HNR42"/>
    <mergeCell ref="HNS42:HNU42"/>
    <mergeCell ref="HNV42:HNX42"/>
    <mergeCell ref="HMO42:HMQ42"/>
    <mergeCell ref="HMR42:HMT42"/>
    <mergeCell ref="HMU42:HMW42"/>
    <mergeCell ref="HMX42:HMZ42"/>
    <mergeCell ref="HNA42:HNC42"/>
    <mergeCell ref="HND42:HNF42"/>
    <mergeCell ref="HLW42:HLY42"/>
    <mergeCell ref="HLZ42:HMB42"/>
    <mergeCell ref="HMC42:HME42"/>
    <mergeCell ref="HMF42:HMH42"/>
    <mergeCell ref="HMI42:HMK42"/>
    <mergeCell ref="HML42:HMN42"/>
    <mergeCell ref="HLE42:HLG42"/>
    <mergeCell ref="HLH42:HLJ42"/>
    <mergeCell ref="HLK42:HLM42"/>
    <mergeCell ref="HLN42:HLP42"/>
    <mergeCell ref="HLQ42:HLS42"/>
    <mergeCell ref="HLT42:HLV42"/>
    <mergeCell ref="HSU42:HSW42"/>
    <mergeCell ref="HSX42:HSZ42"/>
    <mergeCell ref="HTA42:HTC42"/>
    <mergeCell ref="HTD42:HTF42"/>
    <mergeCell ref="HTG42:HTI42"/>
    <mergeCell ref="HTJ42:HTL42"/>
    <mergeCell ref="HSC42:HSE42"/>
    <mergeCell ref="HSF42:HSH42"/>
    <mergeCell ref="HSI42:HSK42"/>
    <mergeCell ref="HSL42:HSN42"/>
    <mergeCell ref="HSO42:HSQ42"/>
    <mergeCell ref="HSR42:HST42"/>
    <mergeCell ref="HRK42:HRM42"/>
    <mergeCell ref="HRN42:HRP42"/>
    <mergeCell ref="HRQ42:HRS42"/>
    <mergeCell ref="HRT42:HRV42"/>
    <mergeCell ref="HRW42:HRY42"/>
    <mergeCell ref="HRZ42:HSB42"/>
    <mergeCell ref="HQS42:HQU42"/>
    <mergeCell ref="HQV42:HQX42"/>
    <mergeCell ref="HQY42:HRA42"/>
    <mergeCell ref="HRB42:HRD42"/>
    <mergeCell ref="HRE42:HRG42"/>
    <mergeCell ref="HRH42:HRJ42"/>
    <mergeCell ref="HQA42:HQC42"/>
    <mergeCell ref="HQD42:HQF42"/>
    <mergeCell ref="HQG42:HQI42"/>
    <mergeCell ref="HQJ42:HQL42"/>
    <mergeCell ref="HQM42:HQO42"/>
    <mergeCell ref="HQP42:HQR42"/>
    <mergeCell ref="HPI42:HPK42"/>
    <mergeCell ref="HPL42:HPN42"/>
    <mergeCell ref="HPO42:HPQ42"/>
    <mergeCell ref="HPR42:HPT42"/>
    <mergeCell ref="HPU42:HPW42"/>
    <mergeCell ref="HPX42:HPZ42"/>
    <mergeCell ref="HWY42:HXA42"/>
    <mergeCell ref="HXB42:HXD42"/>
    <mergeCell ref="HXE42:HXG42"/>
    <mergeCell ref="HXH42:HXJ42"/>
    <mergeCell ref="HXK42:HXM42"/>
    <mergeCell ref="HXN42:HXP42"/>
    <mergeCell ref="HWG42:HWI42"/>
    <mergeCell ref="HWJ42:HWL42"/>
    <mergeCell ref="HWM42:HWO42"/>
    <mergeCell ref="HWP42:HWR42"/>
    <mergeCell ref="HWS42:HWU42"/>
    <mergeCell ref="HWV42:HWX42"/>
    <mergeCell ref="HVO42:HVQ42"/>
    <mergeCell ref="HVR42:HVT42"/>
    <mergeCell ref="HVU42:HVW42"/>
    <mergeCell ref="HVX42:HVZ42"/>
    <mergeCell ref="HWA42:HWC42"/>
    <mergeCell ref="HWD42:HWF42"/>
    <mergeCell ref="HUW42:HUY42"/>
    <mergeCell ref="HUZ42:HVB42"/>
    <mergeCell ref="HVC42:HVE42"/>
    <mergeCell ref="HVF42:HVH42"/>
    <mergeCell ref="HVI42:HVK42"/>
    <mergeCell ref="HVL42:HVN42"/>
    <mergeCell ref="HUE42:HUG42"/>
    <mergeCell ref="HUH42:HUJ42"/>
    <mergeCell ref="HUK42:HUM42"/>
    <mergeCell ref="HUN42:HUP42"/>
    <mergeCell ref="HUQ42:HUS42"/>
    <mergeCell ref="HUT42:HUV42"/>
    <mergeCell ref="HTM42:HTO42"/>
    <mergeCell ref="HTP42:HTR42"/>
    <mergeCell ref="HTS42:HTU42"/>
    <mergeCell ref="HTV42:HTX42"/>
    <mergeCell ref="HTY42:HUA42"/>
    <mergeCell ref="HUB42:HUD42"/>
    <mergeCell ref="IBC42:IBE42"/>
    <mergeCell ref="IBF42:IBH42"/>
    <mergeCell ref="IBI42:IBK42"/>
    <mergeCell ref="IBL42:IBN42"/>
    <mergeCell ref="IBO42:IBQ42"/>
    <mergeCell ref="IBR42:IBT42"/>
    <mergeCell ref="IAK42:IAM42"/>
    <mergeCell ref="IAN42:IAP42"/>
    <mergeCell ref="IAQ42:IAS42"/>
    <mergeCell ref="IAT42:IAV42"/>
    <mergeCell ref="IAW42:IAY42"/>
    <mergeCell ref="IAZ42:IBB42"/>
    <mergeCell ref="HZS42:HZU42"/>
    <mergeCell ref="HZV42:HZX42"/>
    <mergeCell ref="HZY42:IAA42"/>
    <mergeCell ref="IAB42:IAD42"/>
    <mergeCell ref="IAE42:IAG42"/>
    <mergeCell ref="IAH42:IAJ42"/>
    <mergeCell ref="HZA42:HZC42"/>
    <mergeCell ref="HZD42:HZF42"/>
    <mergeCell ref="HZG42:HZI42"/>
    <mergeCell ref="HZJ42:HZL42"/>
    <mergeCell ref="HZM42:HZO42"/>
    <mergeCell ref="HZP42:HZR42"/>
    <mergeCell ref="HYI42:HYK42"/>
    <mergeCell ref="HYL42:HYN42"/>
    <mergeCell ref="HYO42:HYQ42"/>
    <mergeCell ref="HYR42:HYT42"/>
    <mergeCell ref="HYU42:HYW42"/>
    <mergeCell ref="HYX42:HYZ42"/>
    <mergeCell ref="HXQ42:HXS42"/>
    <mergeCell ref="HXT42:HXV42"/>
    <mergeCell ref="HXW42:HXY42"/>
    <mergeCell ref="HXZ42:HYB42"/>
    <mergeCell ref="HYC42:HYE42"/>
    <mergeCell ref="HYF42:HYH42"/>
    <mergeCell ref="IFG42:IFI42"/>
    <mergeCell ref="IFJ42:IFL42"/>
    <mergeCell ref="IFM42:IFO42"/>
    <mergeCell ref="IFP42:IFR42"/>
    <mergeCell ref="IFS42:IFU42"/>
    <mergeCell ref="IFV42:IFX42"/>
    <mergeCell ref="IEO42:IEQ42"/>
    <mergeCell ref="IER42:IET42"/>
    <mergeCell ref="IEU42:IEW42"/>
    <mergeCell ref="IEX42:IEZ42"/>
    <mergeCell ref="IFA42:IFC42"/>
    <mergeCell ref="IFD42:IFF42"/>
    <mergeCell ref="IDW42:IDY42"/>
    <mergeCell ref="IDZ42:IEB42"/>
    <mergeCell ref="IEC42:IEE42"/>
    <mergeCell ref="IEF42:IEH42"/>
    <mergeCell ref="IEI42:IEK42"/>
    <mergeCell ref="IEL42:IEN42"/>
    <mergeCell ref="IDE42:IDG42"/>
    <mergeCell ref="IDH42:IDJ42"/>
    <mergeCell ref="IDK42:IDM42"/>
    <mergeCell ref="IDN42:IDP42"/>
    <mergeCell ref="IDQ42:IDS42"/>
    <mergeCell ref="IDT42:IDV42"/>
    <mergeCell ref="ICM42:ICO42"/>
    <mergeCell ref="ICP42:ICR42"/>
    <mergeCell ref="ICS42:ICU42"/>
    <mergeCell ref="ICV42:ICX42"/>
    <mergeCell ref="ICY42:IDA42"/>
    <mergeCell ref="IDB42:IDD42"/>
    <mergeCell ref="IBU42:IBW42"/>
    <mergeCell ref="IBX42:IBZ42"/>
    <mergeCell ref="ICA42:ICC42"/>
    <mergeCell ref="ICD42:ICF42"/>
    <mergeCell ref="ICG42:ICI42"/>
    <mergeCell ref="ICJ42:ICL42"/>
    <mergeCell ref="IJK42:IJM42"/>
    <mergeCell ref="IJN42:IJP42"/>
    <mergeCell ref="IJQ42:IJS42"/>
    <mergeCell ref="IJT42:IJV42"/>
    <mergeCell ref="IJW42:IJY42"/>
    <mergeCell ref="IJZ42:IKB42"/>
    <mergeCell ref="IIS42:IIU42"/>
    <mergeCell ref="IIV42:IIX42"/>
    <mergeCell ref="IIY42:IJA42"/>
    <mergeCell ref="IJB42:IJD42"/>
    <mergeCell ref="IJE42:IJG42"/>
    <mergeCell ref="IJH42:IJJ42"/>
    <mergeCell ref="IIA42:IIC42"/>
    <mergeCell ref="IID42:IIF42"/>
    <mergeCell ref="IIG42:III42"/>
    <mergeCell ref="IIJ42:IIL42"/>
    <mergeCell ref="IIM42:IIO42"/>
    <mergeCell ref="IIP42:IIR42"/>
    <mergeCell ref="IHI42:IHK42"/>
    <mergeCell ref="IHL42:IHN42"/>
    <mergeCell ref="IHO42:IHQ42"/>
    <mergeCell ref="IHR42:IHT42"/>
    <mergeCell ref="IHU42:IHW42"/>
    <mergeCell ref="IHX42:IHZ42"/>
    <mergeCell ref="IGQ42:IGS42"/>
    <mergeCell ref="IGT42:IGV42"/>
    <mergeCell ref="IGW42:IGY42"/>
    <mergeCell ref="IGZ42:IHB42"/>
    <mergeCell ref="IHC42:IHE42"/>
    <mergeCell ref="IHF42:IHH42"/>
    <mergeCell ref="IFY42:IGA42"/>
    <mergeCell ref="IGB42:IGD42"/>
    <mergeCell ref="IGE42:IGG42"/>
    <mergeCell ref="IGH42:IGJ42"/>
    <mergeCell ref="IGK42:IGM42"/>
    <mergeCell ref="IGN42:IGP42"/>
    <mergeCell ref="INO42:INQ42"/>
    <mergeCell ref="INR42:INT42"/>
    <mergeCell ref="INU42:INW42"/>
    <mergeCell ref="INX42:INZ42"/>
    <mergeCell ref="IOA42:IOC42"/>
    <mergeCell ref="IOD42:IOF42"/>
    <mergeCell ref="IMW42:IMY42"/>
    <mergeCell ref="IMZ42:INB42"/>
    <mergeCell ref="INC42:INE42"/>
    <mergeCell ref="INF42:INH42"/>
    <mergeCell ref="INI42:INK42"/>
    <mergeCell ref="INL42:INN42"/>
    <mergeCell ref="IME42:IMG42"/>
    <mergeCell ref="IMH42:IMJ42"/>
    <mergeCell ref="IMK42:IMM42"/>
    <mergeCell ref="IMN42:IMP42"/>
    <mergeCell ref="IMQ42:IMS42"/>
    <mergeCell ref="IMT42:IMV42"/>
    <mergeCell ref="ILM42:ILO42"/>
    <mergeCell ref="ILP42:ILR42"/>
    <mergeCell ref="ILS42:ILU42"/>
    <mergeCell ref="ILV42:ILX42"/>
    <mergeCell ref="ILY42:IMA42"/>
    <mergeCell ref="IMB42:IMD42"/>
    <mergeCell ref="IKU42:IKW42"/>
    <mergeCell ref="IKX42:IKZ42"/>
    <mergeCell ref="ILA42:ILC42"/>
    <mergeCell ref="ILD42:ILF42"/>
    <mergeCell ref="ILG42:ILI42"/>
    <mergeCell ref="ILJ42:ILL42"/>
    <mergeCell ref="IKC42:IKE42"/>
    <mergeCell ref="IKF42:IKH42"/>
    <mergeCell ref="IKI42:IKK42"/>
    <mergeCell ref="IKL42:IKN42"/>
    <mergeCell ref="IKO42:IKQ42"/>
    <mergeCell ref="IKR42:IKT42"/>
    <mergeCell ref="IRS42:IRU42"/>
    <mergeCell ref="IRV42:IRX42"/>
    <mergeCell ref="IRY42:ISA42"/>
    <mergeCell ref="ISB42:ISD42"/>
    <mergeCell ref="ISE42:ISG42"/>
    <mergeCell ref="ISH42:ISJ42"/>
    <mergeCell ref="IRA42:IRC42"/>
    <mergeCell ref="IRD42:IRF42"/>
    <mergeCell ref="IRG42:IRI42"/>
    <mergeCell ref="IRJ42:IRL42"/>
    <mergeCell ref="IRM42:IRO42"/>
    <mergeCell ref="IRP42:IRR42"/>
    <mergeCell ref="IQI42:IQK42"/>
    <mergeCell ref="IQL42:IQN42"/>
    <mergeCell ref="IQO42:IQQ42"/>
    <mergeCell ref="IQR42:IQT42"/>
    <mergeCell ref="IQU42:IQW42"/>
    <mergeCell ref="IQX42:IQZ42"/>
    <mergeCell ref="IPQ42:IPS42"/>
    <mergeCell ref="IPT42:IPV42"/>
    <mergeCell ref="IPW42:IPY42"/>
    <mergeCell ref="IPZ42:IQB42"/>
    <mergeCell ref="IQC42:IQE42"/>
    <mergeCell ref="IQF42:IQH42"/>
    <mergeCell ref="IOY42:IPA42"/>
    <mergeCell ref="IPB42:IPD42"/>
    <mergeCell ref="IPE42:IPG42"/>
    <mergeCell ref="IPH42:IPJ42"/>
    <mergeCell ref="IPK42:IPM42"/>
    <mergeCell ref="IPN42:IPP42"/>
    <mergeCell ref="IOG42:IOI42"/>
    <mergeCell ref="IOJ42:IOL42"/>
    <mergeCell ref="IOM42:IOO42"/>
    <mergeCell ref="IOP42:IOR42"/>
    <mergeCell ref="IOS42:IOU42"/>
    <mergeCell ref="IOV42:IOX42"/>
    <mergeCell ref="IVW42:IVY42"/>
    <mergeCell ref="IVZ42:IWB42"/>
    <mergeCell ref="IWC42:IWE42"/>
    <mergeCell ref="IWF42:IWH42"/>
    <mergeCell ref="IWI42:IWK42"/>
    <mergeCell ref="IWL42:IWN42"/>
    <mergeCell ref="IVE42:IVG42"/>
    <mergeCell ref="IVH42:IVJ42"/>
    <mergeCell ref="IVK42:IVM42"/>
    <mergeCell ref="IVN42:IVP42"/>
    <mergeCell ref="IVQ42:IVS42"/>
    <mergeCell ref="IVT42:IVV42"/>
    <mergeCell ref="IUM42:IUO42"/>
    <mergeCell ref="IUP42:IUR42"/>
    <mergeCell ref="IUS42:IUU42"/>
    <mergeCell ref="IUV42:IUX42"/>
    <mergeCell ref="IUY42:IVA42"/>
    <mergeCell ref="IVB42:IVD42"/>
    <mergeCell ref="ITU42:ITW42"/>
    <mergeCell ref="ITX42:ITZ42"/>
    <mergeCell ref="IUA42:IUC42"/>
    <mergeCell ref="IUD42:IUF42"/>
    <mergeCell ref="IUG42:IUI42"/>
    <mergeCell ref="IUJ42:IUL42"/>
    <mergeCell ref="ITC42:ITE42"/>
    <mergeCell ref="ITF42:ITH42"/>
    <mergeCell ref="ITI42:ITK42"/>
    <mergeCell ref="ITL42:ITN42"/>
    <mergeCell ref="ITO42:ITQ42"/>
    <mergeCell ref="ITR42:ITT42"/>
    <mergeCell ref="ISK42:ISM42"/>
    <mergeCell ref="ISN42:ISP42"/>
    <mergeCell ref="ISQ42:ISS42"/>
    <mergeCell ref="IST42:ISV42"/>
    <mergeCell ref="ISW42:ISY42"/>
    <mergeCell ref="ISZ42:ITB42"/>
    <mergeCell ref="JAA42:JAC42"/>
    <mergeCell ref="JAD42:JAF42"/>
    <mergeCell ref="JAG42:JAI42"/>
    <mergeCell ref="JAJ42:JAL42"/>
    <mergeCell ref="JAM42:JAO42"/>
    <mergeCell ref="JAP42:JAR42"/>
    <mergeCell ref="IZI42:IZK42"/>
    <mergeCell ref="IZL42:IZN42"/>
    <mergeCell ref="IZO42:IZQ42"/>
    <mergeCell ref="IZR42:IZT42"/>
    <mergeCell ref="IZU42:IZW42"/>
    <mergeCell ref="IZX42:IZZ42"/>
    <mergeCell ref="IYQ42:IYS42"/>
    <mergeCell ref="IYT42:IYV42"/>
    <mergeCell ref="IYW42:IYY42"/>
    <mergeCell ref="IYZ42:IZB42"/>
    <mergeCell ref="IZC42:IZE42"/>
    <mergeCell ref="IZF42:IZH42"/>
    <mergeCell ref="IXY42:IYA42"/>
    <mergeCell ref="IYB42:IYD42"/>
    <mergeCell ref="IYE42:IYG42"/>
    <mergeCell ref="IYH42:IYJ42"/>
    <mergeCell ref="IYK42:IYM42"/>
    <mergeCell ref="IYN42:IYP42"/>
    <mergeCell ref="IXG42:IXI42"/>
    <mergeCell ref="IXJ42:IXL42"/>
    <mergeCell ref="IXM42:IXO42"/>
    <mergeCell ref="IXP42:IXR42"/>
    <mergeCell ref="IXS42:IXU42"/>
    <mergeCell ref="IXV42:IXX42"/>
    <mergeCell ref="IWO42:IWQ42"/>
    <mergeCell ref="IWR42:IWT42"/>
    <mergeCell ref="IWU42:IWW42"/>
    <mergeCell ref="IWX42:IWZ42"/>
    <mergeCell ref="IXA42:IXC42"/>
    <mergeCell ref="IXD42:IXF42"/>
    <mergeCell ref="JEE42:JEG42"/>
    <mergeCell ref="JEH42:JEJ42"/>
    <mergeCell ref="JEK42:JEM42"/>
    <mergeCell ref="JEN42:JEP42"/>
    <mergeCell ref="JEQ42:JES42"/>
    <mergeCell ref="JET42:JEV42"/>
    <mergeCell ref="JDM42:JDO42"/>
    <mergeCell ref="JDP42:JDR42"/>
    <mergeCell ref="JDS42:JDU42"/>
    <mergeCell ref="JDV42:JDX42"/>
    <mergeCell ref="JDY42:JEA42"/>
    <mergeCell ref="JEB42:JED42"/>
    <mergeCell ref="JCU42:JCW42"/>
    <mergeCell ref="JCX42:JCZ42"/>
    <mergeCell ref="JDA42:JDC42"/>
    <mergeCell ref="JDD42:JDF42"/>
    <mergeCell ref="JDG42:JDI42"/>
    <mergeCell ref="JDJ42:JDL42"/>
    <mergeCell ref="JCC42:JCE42"/>
    <mergeCell ref="JCF42:JCH42"/>
    <mergeCell ref="JCI42:JCK42"/>
    <mergeCell ref="JCL42:JCN42"/>
    <mergeCell ref="JCO42:JCQ42"/>
    <mergeCell ref="JCR42:JCT42"/>
    <mergeCell ref="JBK42:JBM42"/>
    <mergeCell ref="JBN42:JBP42"/>
    <mergeCell ref="JBQ42:JBS42"/>
    <mergeCell ref="JBT42:JBV42"/>
    <mergeCell ref="JBW42:JBY42"/>
    <mergeCell ref="JBZ42:JCB42"/>
    <mergeCell ref="JAS42:JAU42"/>
    <mergeCell ref="JAV42:JAX42"/>
    <mergeCell ref="JAY42:JBA42"/>
    <mergeCell ref="JBB42:JBD42"/>
    <mergeCell ref="JBE42:JBG42"/>
    <mergeCell ref="JBH42:JBJ42"/>
    <mergeCell ref="JII42:JIK42"/>
    <mergeCell ref="JIL42:JIN42"/>
    <mergeCell ref="JIO42:JIQ42"/>
    <mergeCell ref="JIR42:JIT42"/>
    <mergeCell ref="JIU42:JIW42"/>
    <mergeCell ref="JIX42:JIZ42"/>
    <mergeCell ref="JHQ42:JHS42"/>
    <mergeCell ref="JHT42:JHV42"/>
    <mergeCell ref="JHW42:JHY42"/>
    <mergeCell ref="JHZ42:JIB42"/>
    <mergeCell ref="JIC42:JIE42"/>
    <mergeCell ref="JIF42:JIH42"/>
    <mergeCell ref="JGY42:JHA42"/>
    <mergeCell ref="JHB42:JHD42"/>
    <mergeCell ref="JHE42:JHG42"/>
    <mergeCell ref="JHH42:JHJ42"/>
    <mergeCell ref="JHK42:JHM42"/>
    <mergeCell ref="JHN42:JHP42"/>
    <mergeCell ref="JGG42:JGI42"/>
    <mergeCell ref="JGJ42:JGL42"/>
    <mergeCell ref="JGM42:JGO42"/>
    <mergeCell ref="JGP42:JGR42"/>
    <mergeCell ref="JGS42:JGU42"/>
    <mergeCell ref="JGV42:JGX42"/>
    <mergeCell ref="JFO42:JFQ42"/>
    <mergeCell ref="JFR42:JFT42"/>
    <mergeCell ref="JFU42:JFW42"/>
    <mergeCell ref="JFX42:JFZ42"/>
    <mergeCell ref="JGA42:JGC42"/>
    <mergeCell ref="JGD42:JGF42"/>
    <mergeCell ref="JEW42:JEY42"/>
    <mergeCell ref="JEZ42:JFB42"/>
    <mergeCell ref="JFC42:JFE42"/>
    <mergeCell ref="JFF42:JFH42"/>
    <mergeCell ref="JFI42:JFK42"/>
    <mergeCell ref="JFL42:JFN42"/>
    <mergeCell ref="JMM42:JMO42"/>
    <mergeCell ref="JMP42:JMR42"/>
    <mergeCell ref="JMS42:JMU42"/>
    <mergeCell ref="JMV42:JMX42"/>
    <mergeCell ref="JMY42:JNA42"/>
    <mergeCell ref="JNB42:JND42"/>
    <mergeCell ref="JLU42:JLW42"/>
    <mergeCell ref="JLX42:JLZ42"/>
    <mergeCell ref="JMA42:JMC42"/>
    <mergeCell ref="JMD42:JMF42"/>
    <mergeCell ref="JMG42:JMI42"/>
    <mergeCell ref="JMJ42:JML42"/>
    <mergeCell ref="JLC42:JLE42"/>
    <mergeCell ref="JLF42:JLH42"/>
    <mergeCell ref="JLI42:JLK42"/>
    <mergeCell ref="JLL42:JLN42"/>
    <mergeCell ref="JLO42:JLQ42"/>
    <mergeCell ref="JLR42:JLT42"/>
    <mergeCell ref="JKK42:JKM42"/>
    <mergeCell ref="JKN42:JKP42"/>
    <mergeCell ref="JKQ42:JKS42"/>
    <mergeCell ref="JKT42:JKV42"/>
    <mergeCell ref="JKW42:JKY42"/>
    <mergeCell ref="JKZ42:JLB42"/>
    <mergeCell ref="JJS42:JJU42"/>
    <mergeCell ref="JJV42:JJX42"/>
    <mergeCell ref="JJY42:JKA42"/>
    <mergeCell ref="JKB42:JKD42"/>
    <mergeCell ref="JKE42:JKG42"/>
    <mergeCell ref="JKH42:JKJ42"/>
    <mergeCell ref="JJA42:JJC42"/>
    <mergeCell ref="JJD42:JJF42"/>
    <mergeCell ref="JJG42:JJI42"/>
    <mergeCell ref="JJJ42:JJL42"/>
    <mergeCell ref="JJM42:JJO42"/>
    <mergeCell ref="JJP42:JJR42"/>
    <mergeCell ref="JQQ42:JQS42"/>
    <mergeCell ref="JQT42:JQV42"/>
    <mergeCell ref="JQW42:JQY42"/>
    <mergeCell ref="JQZ42:JRB42"/>
    <mergeCell ref="JRC42:JRE42"/>
    <mergeCell ref="JRF42:JRH42"/>
    <mergeCell ref="JPY42:JQA42"/>
    <mergeCell ref="JQB42:JQD42"/>
    <mergeCell ref="JQE42:JQG42"/>
    <mergeCell ref="JQH42:JQJ42"/>
    <mergeCell ref="JQK42:JQM42"/>
    <mergeCell ref="JQN42:JQP42"/>
    <mergeCell ref="JPG42:JPI42"/>
    <mergeCell ref="JPJ42:JPL42"/>
    <mergeCell ref="JPM42:JPO42"/>
    <mergeCell ref="JPP42:JPR42"/>
    <mergeCell ref="JPS42:JPU42"/>
    <mergeCell ref="JPV42:JPX42"/>
    <mergeCell ref="JOO42:JOQ42"/>
    <mergeCell ref="JOR42:JOT42"/>
    <mergeCell ref="JOU42:JOW42"/>
    <mergeCell ref="JOX42:JOZ42"/>
    <mergeCell ref="JPA42:JPC42"/>
    <mergeCell ref="JPD42:JPF42"/>
    <mergeCell ref="JNW42:JNY42"/>
    <mergeCell ref="JNZ42:JOB42"/>
    <mergeCell ref="JOC42:JOE42"/>
    <mergeCell ref="JOF42:JOH42"/>
    <mergeCell ref="JOI42:JOK42"/>
    <mergeCell ref="JOL42:JON42"/>
    <mergeCell ref="JNE42:JNG42"/>
    <mergeCell ref="JNH42:JNJ42"/>
    <mergeCell ref="JNK42:JNM42"/>
    <mergeCell ref="JNN42:JNP42"/>
    <mergeCell ref="JNQ42:JNS42"/>
    <mergeCell ref="JNT42:JNV42"/>
    <mergeCell ref="JUU42:JUW42"/>
    <mergeCell ref="JUX42:JUZ42"/>
    <mergeCell ref="JVA42:JVC42"/>
    <mergeCell ref="JVD42:JVF42"/>
    <mergeCell ref="JVG42:JVI42"/>
    <mergeCell ref="JVJ42:JVL42"/>
    <mergeCell ref="JUC42:JUE42"/>
    <mergeCell ref="JUF42:JUH42"/>
    <mergeCell ref="JUI42:JUK42"/>
    <mergeCell ref="JUL42:JUN42"/>
    <mergeCell ref="JUO42:JUQ42"/>
    <mergeCell ref="JUR42:JUT42"/>
    <mergeCell ref="JTK42:JTM42"/>
    <mergeCell ref="JTN42:JTP42"/>
    <mergeCell ref="JTQ42:JTS42"/>
    <mergeCell ref="JTT42:JTV42"/>
    <mergeCell ref="JTW42:JTY42"/>
    <mergeCell ref="JTZ42:JUB42"/>
    <mergeCell ref="JSS42:JSU42"/>
    <mergeCell ref="JSV42:JSX42"/>
    <mergeCell ref="JSY42:JTA42"/>
    <mergeCell ref="JTB42:JTD42"/>
    <mergeCell ref="JTE42:JTG42"/>
    <mergeCell ref="JTH42:JTJ42"/>
    <mergeCell ref="JSA42:JSC42"/>
    <mergeCell ref="JSD42:JSF42"/>
    <mergeCell ref="JSG42:JSI42"/>
    <mergeCell ref="JSJ42:JSL42"/>
    <mergeCell ref="JSM42:JSO42"/>
    <mergeCell ref="JSP42:JSR42"/>
    <mergeCell ref="JRI42:JRK42"/>
    <mergeCell ref="JRL42:JRN42"/>
    <mergeCell ref="JRO42:JRQ42"/>
    <mergeCell ref="JRR42:JRT42"/>
    <mergeCell ref="JRU42:JRW42"/>
    <mergeCell ref="JRX42:JRZ42"/>
    <mergeCell ref="JYY42:JZA42"/>
    <mergeCell ref="JZB42:JZD42"/>
    <mergeCell ref="JZE42:JZG42"/>
    <mergeCell ref="JZH42:JZJ42"/>
    <mergeCell ref="JZK42:JZM42"/>
    <mergeCell ref="JZN42:JZP42"/>
    <mergeCell ref="JYG42:JYI42"/>
    <mergeCell ref="JYJ42:JYL42"/>
    <mergeCell ref="JYM42:JYO42"/>
    <mergeCell ref="JYP42:JYR42"/>
    <mergeCell ref="JYS42:JYU42"/>
    <mergeCell ref="JYV42:JYX42"/>
    <mergeCell ref="JXO42:JXQ42"/>
    <mergeCell ref="JXR42:JXT42"/>
    <mergeCell ref="JXU42:JXW42"/>
    <mergeCell ref="JXX42:JXZ42"/>
    <mergeCell ref="JYA42:JYC42"/>
    <mergeCell ref="JYD42:JYF42"/>
    <mergeCell ref="JWW42:JWY42"/>
    <mergeCell ref="JWZ42:JXB42"/>
    <mergeCell ref="JXC42:JXE42"/>
    <mergeCell ref="JXF42:JXH42"/>
    <mergeCell ref="JXI42:JXK42"/>
    <mergeCell ref="JXL42:JXN42"/>
    <mergeCell ref="JWE42:JWG42"/>
    <mergeCell ref="JWH42:JWJ42"/>
    <mergeCell ref="JWK42:JWM42"/>
    <mergeCell ref="JWN42:JWP42"/>
    <mergeCell ref="JWQ42:JWS42"/>
    <mergeCell ref="JWT42:JWV42"/>
    <mergeCell ref="JVM42:JVO42"/>
    <mergeCell ref="JVP42:JVR42"/>
    <mergeCell ref="JVS42:JVU42"/>
    <mergeCell ref="JVV42:JVX42"/>
    <mergeCell ref="JVY42:JWA42"/>
    <mergeCell ref="JWB42:JWD42"/>
    <mergeCell ref="KDC42:KDE42"/>
    <mergeCell ref="KDF42:KDH42"/>
    <mergeCell ref="KDI42:KDK42"/>
    <mergeCell ref="KDL42:KDN42"/>
    <mergeCell ref="KDO42:KDQ42"/>
    <mergeCell ref="KDR42:KDT42"/>
    <mergeCell ref="KCK42:KCM42"/>
    <mergeCell ref="KCN42:KCP42"/>
    <mergeCell ref="KCQ42:KCS42"/>
    <mergeCell ref="KCT42:KCV42"/>
    <mergeCell ref="KCW42:KCY42"/>
    <mergeCell ref="KCZ42:KDB42"/>
    <mergeCell ref="KBS42:KBU42"/>
    <mergeCell ref="KBV42:KBX42"/>
    <mergeCell ref="KBY42:KCA42"/>
    <mergeCell ref="KCB42:KCD42"/>
    <mergeCell ref="KCE42:KCG42"/>
    <mergeCell ref="KCH42:KCJ42"/>
    <mergeCell ref="KBA42:KBC42"/>
    <mergeCell ref="KBD42:KBF42"/>
    <mergeCell ref="KBG42:KBI42"/>
    <mergeCell ref="KBJ42:KBL42"/>
    <mergeCell ref="KBM42:KBO42"/>
    <mergeCell ref="KBP42:KBR42"/>
    <mergeCell ref="KAI42:KAK42"/>
    <mergeCell ref="KAL42:KAN42"/>
    <mergeCell ref="KAO42:KAQ42"/>
    <mergeCell ref="KAR42:KAT42"/>
    <mergeCell ref="KAU42:KAW42"/>
    <mergeCell ref="KAX42:KAZ42"/>
    <mergeCell ref="JZQ42:JZS42"/>
    <mergeCell ref="JZT42:JZV42"/>
    <mergeCell ref="JZW42:JZY42"/>
    <mergeCell ref="JZZ42:KAB42"/>
    <mergeCell ref="KAC42:KAE42"/>
    <mergeCell ref="KAF42:KAH42"/>
    <mergeCell ref="KHG42:KHI42"/>
    <mergeCell ref="KHJ42:KHL42"/>
    <mergeCell ref="KHM42:KHO42"/>
    <mergeCell ref="KHP42:KHR42"/>
    <mergeCell ref="KHS42:KHU42"/>
    <mergeCell ref="KHV42:KHX42"/>
    <mergeCell ref="KGO42:KGQ42"/>
    <mergeCell ref="KGR42:KGT42"/>
    <mergeCell ref="KGU42:KGW42"/>
    <mergeCell ref="KGX42:KGZ42"/>
    <mergeCell ref="KHA42:KHC42"/>
    <mergeCell ref="KHD42:KHF42"/>
    <mergeCell ref="KFW42:KFY42"/>
    <mergeCell ref="KFZ42:KGB42"/>
    <mergeCell ref="KGC42:KGE42"/>
    <mergeCell ref="KGF42:KGH42"/>
    <mergeCell ref="KGI42:KGK42"/>
    <mergeCell ref="KGL42:KGN42"/>
    <mergeCell ref="KFE42:KFG42"/>
    <mergeCell ref="KFH42:KFJ42"/>
    <mergeCell ref="KFK42:KFM42"/>
    <mergeCell ref="KFN42:KFP42"/>
    <mergeCell ref="KFQ42:KFS42"/>
    <mergeCell ref="KFT42:KFV42"/>
    <mergeCell ref="KEM42:KEO42"/>
    <mergeCell ref="KEP42:KER42"/>
    <mergeCell ref="KES42:KEU42"/>
    <mergeCell ref="KEV42:KEX42"/>
    <mergeCell ref="KEY42:KFA42"/>
    <mergeCell ref="KFB42:KFD42"/>
    <mergeCell ref="KDU42:KDW42"/>
    <mergeCell ref="KDX42:KDZ42"/>
    <mergeCell ref="KEA42:KEC42"/>
    <mergeCell ref="KED42:KEF42"/>
    <mergeCell ref="KEG42:KEI42"/>
    <mergeCell ref="KEJ42:KEL42"/>
    <mergeCell ref="KLK42:KLM42"/>
    <mergeCell ref="KLN42:KLP42"/>
    <mergeCell ref="KLQ42:KLS42"/>
    <mergeCell ref="KLT42:KLV42"/>
    <mergeCell ref="KLW42:KLY42"/>
    <mergeCell ref="KLZ42:KMB42"/>
    <mergeCell ref="KKS42:KKU42"/>
    <mergeCell ref="KKV42:KKX42"/>
    <mergeCell ref="KKY42:KLA42"/>
    <mergeCell ref="KLB42:KLD42"/>
    <mergeCell ref="KLE42:KLG42"/>
    <mergeCell ref="KLH42:KLJ42"/>
    <mergeCell ref="KKA42:KKC42"/>
    <mergeCell ref="KKD42:KKF42"/>
    <mergeCell ref="KKG42:KKI42"/>
    <mergeCell ref="KKJ42:KKL42"/>
    <mergeCell ref="KKM42:KKO42"/>
    <mergeCell ref="KKP42:KKR42"/>
    <mergeCell ref="KJI42:KJK42"/>
    <mergeCell ref="KJL42:KJN42"/>
    <mergeCell ref="KJO42:KJQ42"/>
    <mergeCell ref="KJR42:KJT42"/>
    <mergeCell ref="KJU42:KJW42"/>
    <mergeCell ref="KJX42:KJZ42"/>
    <mergeCell ref="KIQ42:KIS42"/>
    <mergeCell ref="KIT42:KIV42"/>
    <mergeCell ref="KIW42:KIY42"/>
    <mergeCell ref="KIZ42:KJB42"/>
    <mergeCell ref="KJC42:KJE42"/>
    <mergeCell ref="KJF42:KJH42"/>
    <mergeCell ref="KHY42:KIA42"/>
    <mergeCell ref="KIB42:KID42"/>
    <mergeCell ref="KIE42:KIG42"/>
    <mergeCell ref="KIH42:KIJ42"/>
    <mergeCell ref="KIK42:KIM42"/>
    <mergeCell ref="KIN42:KIP42"/>
    <mergeCell ref="KPO42:KPQ42"/>
    <mergeCell ref="KPR42:KPT42"/>
    <mergeCell ref="KPU42:KPW42"/>
    <mergeCell ref="KPX42:KPZ42"/>
    <mergeCell ref="KQA42:KQC42"/>
    <mergeCell ref="KQD42:KQF42"/>
    <mergeCell ref="KOW42:KOY42"/>
    <mergeCell ref="KOZ42:KPB42"/>
    <mergeCell ref="KPC42:KPE42"/>
    <mergeCell ref="KPF42:KPH42"/>
    <mergeCell ref="KPI42:KPK42"/>
    <mergeCell ref="KPL42:KPN42"/>
    <mergeCell ref="KOE42:KOG42"/>
    <mergeCell ref="KOH42:KOJ42"/>
    <mergeCell ref="KOK42:KOM42"/>
    <mergeCell ref="KON42:KOP42"/>
    <mergeCell ref="KOQ42:KOS42"/>
    <mergeCell ref="KOT42:KOV42"/>
    <mergeCell ref="KNM42:KNO42"/>
    <mergeCell ref="KNP42:KNR42"/>
    <mergeCell ref="KNS42:KNU42"/>
    <mergeCell ref="KNV42:KNX42"/>
    <mergeCell ref="KNY42:KOA42"/>
    <mergeCell ref="KOB42:KOD42"/>
    <mergeCell ref="KMU42:KMW42"/>
    <mergeCell ref="KMX42:KMZ42"/>
    <mergeCell ref="KNA42:KNC42"/>
    <mergeCell ref="KND42:KNF42"/>
    <mergeCell ref="KNG42:KNI42"/>
    <mergeCell ref="KNJ42:KNL42"/>
    <mergeCell ref="KMC42:KME42"/>
    <mergeCell ref="KMF42:KMH42"/>
    <mergeCell ref="KMI42:KMK42"/>
    <mergeCell ref="KML42:KMN42"/>
    <mergeCell ref="KMO42:KMQ42"/>
    <mergeCell ref="KMR42:KMT42"/>
    <mergeCell ref="KTS42:KTU42"/>
    <mergeCell ref="KTV42:KTX42"/>
    <mergeCell ref="KTY42:KUA42"/>
    <mergeCell ref="KUB42:KUD42"/>
    <mergeCell ref="KUE42:KUG42"/>
    <mergeCell ref="KUH42:KUJ42"/>
    <mergeCell ref="KTA42:KTC42"/>
    <mergeCell ref="KTD42:KTF42"/>
    <mergeCell ref="KTG42:KTI42"/>
    <mergeCell ref="KTJ42:KTL42"/>
    <mergeCell ref="KTM42:KTO42"/>
    <mergeCell ref="KTP42:KTR42"/>
    <mergeCell ref="KSI42:KSK42"/>
    <mergeCell ref="KSL42:KSN42"/>
    <mergeCell ref="KSO42:KSQ42"/>
    <mergeCell ref="KSR42:KST42"/>
    <mergeCell ref="KSU42:KSW42"/>
    <mergeCell ref="KSX42:KSZ42"/>
    <mergeCell ref="KRQ42:KRS42"/>
    <mergeCell ref="KRT42:KRV42"/>
    <mergeCell ref="KRW42:KRY42"/>
    <mergeCell ref="KRZ42:KSB42"/>
    <mergeCell ref="KSC42:KSE42"/>
    <mergeCell ref="KSF42:KSH42"/>
    <mergeCell ref="KQY42:KRA42"/>
    <mergeCell ref="KRB42:KRD42"/>
    <mergeCell ref="KRE42:KRG42"/>
    <mergeCell ref="KRH42:KRJ42"/>
    <mergeCell ref="KRK42:KRM42"/>
    <mergeCell ref="KRN42:KRP42"/>
    <mergeCell ref="KQG42:KQI42"/>
    <mergeCell ref="KQJ42:KQL42"/>
    <mergeCell ref="KQM42:KQO42"/>
    <mergeCell ref="KQP42:KQR42"/>
    <mergeCell ref="KQS42:KQU42"/>
    <mergeCell ref="KQV42:KQX42"/>
    <mergeCell ref="KXW42:KXY42"/>
    <mergeCell ref="KXZ42:KYB42"/>
    <mergeCell ref="KYC42:KYE42"/>
    <mergeCell ref="KYF42:KYH42"/>
    <mergeCell ref="KYI42:KYK42"/>
    <mergeCell ref="KYL42:KYN42"/>
    <mergeCell ref="KXE42:KXG42"/>
    <mergeCell ref="KXH42:KXJ42"/>
    <mergeCell ref="KXK42:KXM42"/>
    <mergeCell ref="KXN42:KXP42"/>
    <mergeCell ref="KXQ42:KXS42"/>
    <mergeCell ref="KXT42:KXV42"/>
    <mergeCell ref="KWM42:KWO42"/>
    <mergeCell ref="KWP42:KWR42"/>
    <mergeCell ref="KWS42:KWU42"/>
    <mergeCell ref="KWV42:KWX42"/>
    <mergeCell ref="KWY42:KXA42"/>
    <mergeCell ref="KXB42:KXD42"/>
    <mergeCell ref="KVU42:KVW42"/>
    <mergeCell ref="KVX42:KVZ42"/>
    <mergeCell ref="KWA42:KWC42"/>
    <mergeCell ref="KWD42:KWF42"/>
    <mergeCell ref="KWG42:KWI42"/>
    <mergeCell ref="KWJ42:KWL42"/>
    <mergeCell ref="KVC42:KVE42"/>
    <mergeCell ref="KVF42:KVH42"/>
    <mergeCell ref="KVI42:KVK42"/>
    <mergeCell ref="KVL42:KVN42"/>
    <mergeCell ref="KVO42:KVQ42"/>
    <mergeCell ref="KVR42:KVT42"/>
    <mergeCell ref="KUK42:KUM42"/>
    <mergeCell ref="KUN42:KUP42"/>
    <mergeCell ref="KUQ42:KUS42"/>
    <mergeCell ref="KUT42:KUV42"/>
    <mergeCell ref="KUW42:KUY42"/>
    <mergeCell ref="KUZ42:KVB42"/>
    <mergeCell ref="LCA42:LCC42"/>
    <mergeCell ref="LCD42:LCF42"/>
    <mergeCell ref="LCG42:LCI42"/>
    <mergeCell ref="LCJ42:LCL42"/>
    <mergeCell ref="LCM42:LCO42"/>
    <mergeCell ref="LCP42:LCR42"/>
    <mergeCell ref="LBI42:LBK42"/>
    <mergeCell ref="LBL42:LBN42"/>
    <mergeCell ref="LBO42:LBQ42"/>
    <mergeCell ref="LBR42:LBT42"/>
    <mergeCell ref="LBU42:LBW42"/>
    <mergeCell ref="LBX42:LBZ42"/>
    <mergeCell ref="LAQ42:LAS42"/>
    <mergeCell ref="LAT42:LAV42"/>
    <mergeCell ref="LAW42:LAY42"/>
    <mergeCell ref="LAZ42:LBB42"/>
    <mergeCell ref="LBC42:LBE42"/>
    <mergeCell ref="LBF42:LBH42"/>
    <mergeCell ref="KZY42:LAA42"/>
    <mergeCell ref="LAB42:LAD42"/>
    <mergeCell ref="LAE42:LAG42"/>
    <mergeCell ref="LAH42:LAJ42"/>
    <mergeCell ref="LAK42:LAM42"/>
    <mergeCell ref="LAN42:LAP42"/>
    <mergeCell ref="KZG42:KZI42"/>
    <mergeCell ref="KZJ42:KZL42"/>
    <mergeCell ref="KZM42:KZO42"/>
    <mergeCell ref="KZP42:KZR42"/>
    <mergeCell ref="KZS42:KZU42"/>
    <mergeCell ref="KZV42:KZX42"/>
    <mergeCell ref="KYO42:KYQ42"/>
    <mergeCell ref="KYR42:KYT42"/>
    <mergeCell ref="KYU42:KYW42"/>
    <mergeCell ref="KYX42:KYZ42"/>
    <mergeCell ref="KZA42:KZC42"/>
    <mergeCell ref="KZD42:KZF42"/>
    <mergeCell ref="LGE42:LGG42"/>
    <mergeCell ref="LGH42:LGJ42"/>
    <mergeCell ref="LGK42:LGM42"/>
    <mergeCell ref="LGN42:LGP42"/>
    <mergeCell ref="LGQ42:LGS42"/>
    <mergeCell ref="LGT42:LGV42"/>
    <mergeCell ref="LFM42:LFO42"/>
    <mergeCell ref="LFP42:LFR42"/>
    <mergeCell ref="LFS42:LFU42"/>
    <mergeCell ref="LFV42:LFX42"/>
    <mergeCell ref="LFY42:LGA42"/>
    <mergeCell ref="LGB42:LGD42"/>
    <mergeCell ref="LEU42:LEW42"/>
    <mergeCell ref="LEX42:LEZ42"/>
    <mergeCell ref="LFA42:LFC42"/>
    <mergeCell ref="LFD42:LFF42"/>
    <mergeCell ref="LFG42:LFI42"/>
    <mergeCell ref="LFJ42:LFL42"/>
    <mergeCell ref="LEC42:LEE42"/>
    <mergeCell ref="LEF42:LEH42"/>
    <mergeCell ref="LEI42:LEK42"/>
    <mergeCell ref="LEL42:LEN42"/>
    <mergeCell ref="LEO42:LEQ42"/>
    <mergeCell ref="LER42:LET42"/>
    <mergeCell ref="LDK42:LDM42"/>
    <mergeCell ref="LDN42:LDP42"/>
    <mergeCell ref="LDQ42:LDS42"/>
    <mergeCell ref="LDT42:LDV42"/>
    <mergeCell ref="LDW42:LDY42"/>
    <mergeCell ref="LDZ42:LEB42"/>
    <mergeCell ref="LCS42:LCU42"/>
    <mergeCell ref="LCV42:LCX42"/>
    <mergeCell ref="LCY42:LDA42"/>
    <mergeCell ref="LDB42:LDD42"/>
    <mergeCell ref="LDE42:LDG42"/>
    <mergeCell ref="LDH42:LDJ42"/>
    <mergeCell ref="LKI42:LKK42"/>
    <mergeCell ref="LKL42:LKN42"/>
    <mergeCell ref="LKO42:LKQ42"/>
    <mergeCell ref="LKR42:LKT42"/>
    <mergeCell ref="LKU42:LKW42"/>
    <mergeCell ref="LKX42:LKZ42"/>
    <mergeCell ref="LJQ42:LJS42"/>
    <mergeCell ref="LJT42:LJV42"/>
    <mergeCell ref="LJW42:LJY42"/>
    <mergeCell ref="LJZ42:LKB42"/>
    <mergeCell ref="LKC42:LKE42"/>
    <mergeCell ref="LKF42:LKH42"/>
    <mergeCell ref="LIY42:LJA42"/>
    <mergeCell ref="LJB42:LJD42"/>
    <mergeCell ref="LJE42:LJG42"/>
    <mergeCell ref="LJH42:LJJ42"/>
    <mergeCell ref="LJK42:LJM42"/>
    <mergeCell ref="LJN42:LJP42"/>
    <mergeCell ref="LIG42:LII42"/>
    <mergeCell ref="LIJ42:LIL42"/>
    <mergeCell ref="LIM42:LIO42"/>
    <mergeCell ref="LIP42:LIR42"/>
    <mergeCell ref="LIS42:LIU42"/>
    <mergeCell ref="LIV42:LIX42"/>
    <mergeCell ref="LHO42:LHQ42"/>
    <mergeCell ref="LHR42:LHT42"/>
    <mergeCell ref="LHU42:LHW42"/>
    <mergeCell ref="LHX42:LHZ42"/>
    <mergeCell ref="LIA42:LIC42"/>
    <mergeCell ref="LID42:LIF42"/>
    <mergeCell ref="LGW42:LGY42"/>
    <mergeCell ref="LGZ42:LHB42"/>
    <mergeCell ref="LHC42:LHE42"/>
    <mergeCell ref="LHF42:LHH42"/>
    <mergeCell ref="LHI42:LHK42"/>
    <mergeCell ref="LHL42:LHN42"/>
    <mergeCell ref="LOM42:LOO42"/>
    <mergeCell ref="LOP42:LOR42"/>
    <mergeCell ref="LOS42:LOU42"/>
    <mergeCell ref="LOV42:LOX42"/>
    <mergeCell ref="LOY42:LPA42"/>
    <mergeCell ref="LPB42:LPD42"/>
    <mergeCell ref="LNU42:LNW42"/>
    <mergeCell ref="LNX42:LNZ42"/>
    <mergeCell ref="LOA42:LOC42"/>
    <mergeCell ref="LOD42:LOF42"/>
    <mergeCell ref="LOG42:LOI42"/>
    <mergeCell ref="LOJ42:LOL42"/>
    <mergeCell ref="LNC42:LNE42"/>
    <mergeCell ref="LNF42:LNH42"/>
    <mergeCell ref="LNI42:LNK42"/>
    <mergeCell ref="LNL42:LNN42"/>
    <mergeCell ref="LNO42:LNQ42"/>
    <mergeCell ref="LNR42:LNT42"/>
    <mergeCell ref="LMK42:LMM42"/>
    <mergeCell ref="LMN42:LMP42"/>
    <mergeCell ref="LMQ42:LMS42"/>
    <mergeCell ref="LMT42:LMV42"/>
    <mergeCell ref="LMW42:LMY42"/>
    <mergeCell ref="LMZ42:LNB42"/>
    <mergeCell ref="LLS42:LLU42"/>
    <mergeCell ref="LLV42:LLX42"/>
    <mergeCell ref="LLY42:LMA42"/>
    <mergeCell ref="LMB42:LMD42"/>
    <mergeCell ref="LME42:LMG42"/>
    <mergeCell ref="LMH42:LMJ42"/>
    <mergeCell ref="LLA42:LLC42"/>
    <mergeCell ref="LLD42:LLF42"/>
    <mergeCell ref="LLG42:LLI42"/>
    <mergeCell ref="LLJ42:LLL42"/>
    <mergeCell ref="LLM42:LLO42"/>
    <mergeCell ref="LLP42:LLR42"/>
    <mergeCell ref="LSQ42:LSS42"/>
    <mergeCell ref="LST42:LSV42"/>
    <mergeCell ref="LSW42:LSY42"/>
    <mergeCell ref="LSZ42:LTB42"/>
    <mergeCell ref="LTC42:LTE42"/>
    <mergeCell ref="LTF42:LTH42"/>
    <mergeCell ref="LRY42:LSA42"/>
    <mergeCell ref="LSB42:LSD42"/>
    <mergeCell ref="LSE42:LSG42"/>
    <mergeCell ref="LSH42:LSJ42"/>
    <mergeCell ref="LSK42:LSM42"/>
    <mergeCell ref="LSN42:LSP42"/>
    <mergeCell ref="LRG42:LRI42"/>
    <mergeCell ref="LRJ42:LRL42"/>
    <mergeCell ref="LRM42:LRO42"/>
    <mergeCell ref="LRP42:LRR42"/>
    <mergeCell ref="LRS42:LRU42"/>
    <mergeCell ref="LRV42:LRX42"/>
    <mergeCell ref="LQO42:LQQ42"/>
    <mergeCell ref="LQR42:LQT42"/>
    <mergeCell ref="LQU42:LQW42"/>
    <mergeCell ref="LQX42:LQZ42"/>
    <mergeCell ref="LRA42:LRC42"/>
    <mergeCell ref="LRD42:LRF42"/>
    <mergeCell ref="LPW42:LPY42"/>
    <mergeCell ref="LPZ42:LQB42"/>
    <mergeCell ref="LQC42:LQE42"/>
    <mergeCell ref="LQF42:LQH42"/>
    <mergeCell ref="LQI42:LQK42"/>
    <mergeCell ref="LQL42:LQN42"/>
    <mergeCell ref="LPE42:LPG42"/>
    <mergeCell ref="LPH42:LPJ42"/>
    <mergeCell ref="LPK42:LPM42"/>
    <mergeCell ref="LPN42:LPP42"/>
    <mergeCell ref="LPQ42:LPS42"/>
    <mergeCell ref="LPT42:LPV42"/>
    <mergeCell ref="LWU42:LWW42"/>
    <mergeCell ref="LWX42:LWZ42"/>
    <mergeCell ref="LXA42:LXC42"/>
    <mergeCell ref="LXD42:LXF42"/>
    <mergeCell ref="LXG42:LXI42"/>
    <mergeCell ref="LXJ42:LXL42"/>
    <mergeCell ref="LWC42:LWE42"/>
    <mergeCell ref="LWF42:LWH42"/>
    <mergeCell ref="LWI42:LWK42"/>
    <mergeCell ref="LWL42:LWN42"/>
    <mergeCell ref="LWO42:LWQ42"/>
    <mergeCell ref="LWR42:LWT42"/>
    <mergeCell ref="LVK42:LVM42"/>
    <mergeCell ref="LVN42:LVP42"/>
    <mergeCell ref="LVQ42:LVS42"/>
    <mergeCell ref="LVT42:LVV42"/>
    <mergeCell ref="LVW42:LVY42"/>
    <mergeCell ref="LVZ42:LWB42"/>
    <mergeCell ref="LUS42:LUU42"/>
    <mergeCell ref="LUV42:LUX42"/>
    <mergeCell ref="LUY42:LVA42"/>
    <mergeCell ref="LVB42:LVD42"/>
    <mergeCell ref="LVE42:LVG42"/>
    <mergeCell ref="LVH42:LVJ42"/>
    <mergeCell ref="LUA42:LUC42"/>
    <mergeCell ref="LUD42:LUF42"/>
    <mergeCell ref="LUG42:LUI42"/>
    <mergeCell ref="LUJ42:LUL42"/>
    <mergeCell ref="LUM42:LUO42"/>
    <mergeCell ref="LUP42:LUR42"/>
    <mergeCell ref="LTI42:LTK42"/>
    <mergeCell ref="LTL42:LTN42"/>
    <mergeCell ref="LTO42:LTQ42"/>
    <mergeCell ref="LTR42:LTT42"/>
    <mergeCell ref="LTU42:LTW42"/>
    <mergeCell ref="LTX42:LTZ42"/>
    <mergeCell ref="MAY42:MBA42"/>
    <mergeCell ref="MBB42:MBD42"/>
    <mergeCell ref="MBE42:MBG42"/>
    <mergeCell ref="MBH42:MBJ42"/>
    <mergeCell ref="MBK42:MBM42"/>
    <mergeCell ref="MBN42:MBP42"/>
    <mergeCell ref="MAG42:MAI42"/>
    <mergeCell ref="MAJ42:MAL42"/>
    <mergeCell ref="MAM42:MAO42"/>
    <mergeCell ref="MAP42:MAR42"/>
    <mergeCell ref="MAS42:MAU42"/>
    <mergeCell ref="MAV42:MAX42"/>
    <mergeCell ref="LZO42:LZQ42"/>
    <mergeCell ref="LZR42:LZT42"/>
    <mergeCell ref="LZU42:LZW42"/>
    <mergeCell ref="LZX42:LZZ42"/>
    <mergeCell ref="MAA42:MAC42"/>
    <mergeCell ref="MAD42:MAF42"/>
    <mergeCell ref="LYW42:LYY42"/>
    <mergeCell ref="LYZ42:LZB42"/>
    <mergeCell ref="LZC42:LZE42"/>
    <mergeCell ref="LZF42:LZH42"/>
    <mergeCell ref="LZI42:LZK42"/>
    <mergeCell ref="LZL42:LZN42"/>
    <mergeCell ref="LYE42:LYG42"/>
    <mergeCell ref="LYH42:LYJ42"/>
    <mergeCell ref="LYK42:LYM42"/>
    <mergeCell ref="LYN42:LYP42"/>
    <mergeCell ref="LYQ42:LYS42"/>
    <mergeCell ref="LYT42:LYV42"/>
    <mergeCell ref="LXM42:LXO42"/>
    <mergeCell ref="LXP42:LXR42"/>
    <mergeCell ref="LXS42:LXU42"/>
    <mergeCell ref="LXV42:LXX42"/>
    <mergeCell ref="LXY42:LYA42"/>
    <mergeCell ref="LYB42:LYD42"/>
    <mergeCell ref="MFC42:MFE42"/>
    <mergeCell ref="MFF42:MFH42"/>
    <mergeCell ref="MFI42:MFK42"/>
    <mergeCell ref="MFL42:MFN42"/>
    <mergeCell ref="MFO42:MFQ42"/>
    <mergeCell ref="MFR42:MFT42"/>
    <mergeCell ref="MEK42:MEM42"/>
    <mergeCell ref="MEN42:MEP42"/>
    <mergeCell ref="MEQ42:MES42"/>
    <mergeCell ref="MET42:MEV42"/>
    <mergeCell ref="MEW42:MEY42"/>
    <mergeCell ref="MEZ42:MFB42"/>
    <mergeCell ref="MDS42:MDU42"/>
    <mergeCell ref="MDV42:MDX42"/>
    <mergeCell ref="MDY42:MEA42"/>
    <mergeCell ref="MEB42:MED42"/>
    <mergeCell ref="MEE42:MEG42"/>
    <mergeCell ref="MEH42:MEJ42"/>
    <mergeCell ref="MDA42:MDC42"/>
    <mergeCell ref="MDD42:MDF42"/>
    <mergeCell ref="MDG42:MDI42"/>
    <mergeCell ref="MDJ42:MDL42"/>
    <mergeCell ref="MDM42:MDO42"/>
    <mergeCell ref="MDP42:MDR42"/>
    <mergeCell ref="MCI42:MCK42"/>
    <mergeCell ref="MCL42:MCN42"/>
    <mergeCell ref="MCO42:MCQ42"/>
    <mergeCell ref="MCR42:MCT42"/>
    <mergeCell ref="MCU42:MCW42"/>
    <mergeCell ref="MCX42:MCZ42"/>
    <mergeCell ref="MBQ42:MBS42"/>
    <mergeCell ref="MBT42:MBV42"/>
    <mergeCell ref="MBW42:MBY42"/>
    <mergeCell ref="MBZ42:MCB42"/>
    <mergeCell ref="MCC42:MCE42"/>
    <mergeCell ref="MCF42:MCH42"/>
    <mergeCell ref="MJG42:MJI42"/>
    <mergeCell ref="MJJ42:MJL42"/>
    <mergeCell ref="MJM42:MJO42"/>
    <mergeCell ref="MJP42:MJR42"/>
    <mergeCell ref="MJS42:MJU42"/>
    <mergeCell ref="MJV42:MJX42"/>
    <mergeCell ref="MIO42:MIQ42"/>
    <mergeCell ref="MIR42:MIT42"/>
    <mergeCell ref="MIU42:MIW42"/>
    <mergeCell ref="MIX42:MIZ42"/>
    <mergeCell ref="MJA42:MJC42"/>
    <mergeCell ref="MJD42:MJF42"/>
    <mergeCell ref="MHW42:MHY42"/>
    <mergeCell ref="MHZ42:MIB42"/>
    <mergeCell ref="MIC42:MIE42"/>
    <mergeCell ref="MIF42:MIH42"/>
    <mergeCell ref="MII42:MIK42"/>
    <mergeCell ref="MIL42:MIN42"/>
    <mergeCell ref="MHE42:MHG42"/>
    <mergeCell ref="MHH42:MHJ42"/>
    <mergeCell ref="MHK42:MHM42"/>
    <mergeCell ref="MHN42:MHP42"/>
    <mergeCell ref="MHQ42:MHS42"/>
    <mergeCell ref="MHT42:MHV42"/>
    <mergeCell ref="MGM42:MGO42"/>
    <mergeCell ref="MGP42:MGR42"/>
    <mergeCell ref="MGS42:MGU42"/>
    <mergeCell ref="MGV42:MGX42"/>
    <mergeCell ref="MGY42:MHA42"/>
    <mergeCell ref="MHB42:MHD42"/>
    <mergeCell ref="MFU42:MFW42"/>
    <mergeCell ref="MFX42:MFZ42"/>
    <mergeCell ref="MGA42:MGC42"/>
    <mergeCell ref="MGD42:MGF42"/>
    <mergeCell ref="MGG42:MGI42"/>
    <mergeCell ref="MGJ42:MGL42"/>
    <mergeCell ref="MNK42:MNM42"/>
    <mergeCell ref="MNN42:MNP42"/>
    <mergeCell ref="MNQ42:MNS42"/>
    <mergeCell ref="MNT42:MNV42"/>
    <mergeCell ref="MNW42:MNY42"/>
    <mergeCell ref="MNZ42:MOB42"/>
    <mergeCell ref="MMS42:MMU42"/>
    <mergeCell ref="MMV42:MMX42"/>
    <mergeCell ref="MMY42:MNA42"/>
    <mergeCell ref="MNB42:MND42"/>
    <mergeCell ref="MNE42:MNG42"/>
    <mergeCell ref="MNH42:MNJ42"/>
    <mergeCell ref="MMA42:MMC42"/>
    <mergeCell ref="MMD42:MMF42"/>
    <mergeCell ref="MMG42:MMI42"/>
    <mergeCell ref="MMJ42:MML42"/>
    <mergeCell ref="MMM42:MMO42"/>
    <mergeCell ref="MMP42:MMR42"/>
    <mergeCell ref="MLI42:MLK42"/>
    <mergeCell ref="MLL42:MLN42"/>
    <mergeCell ref="MLO42:MLQ42"/>
    <mergeCell ref="MLR42:MLT42"/>
    <mergeCell ref="MLU42:MLW42"/>
    <mergeCell ref="MLX42:MLZ42"/>
    <mergeCell ref="MKQ42:MKS42"/>
    <mergeCell ref="MKT42:MKV42"/>
    <mergeCell ref="MKW42:MKY42"/>
    <mergeCell ref="MKZ42:MLB42"/>
    <mergeCell ref="MLC42:MLE42"/>
    <mergeCell ref="MLF42:MLH42"/>
    <mergeCell ref="MJY42:MKA42"/>
    <mergeCell ref="MKB42:MKD42"/>
    <mergeCell ref="MKE42:MKG42"/>
    <mergeCell ref="MKH42:MKJ42"/>
    <mergeCell ref="MKK42:MKM42"/>
    <mergeCell ref="MKN42:MKP42"/>
    <mergeCell ref="MRO42:MRQ42"/>
    <mergeCell ref="MRR42:MRT42"/>
    <mergeCell ref="MRU42:MRW42"/>
    <mergeCell ref="MRX42:MRZ42"/>
    <mergeCell ref="MSA42:MSC42"/>
    <mergeCell ref="MSD42:MSF42"/>
    <mergeCell ref="MQW42:MQY42"/>
    <mergeCell ref="MQZ42:MRB42"/>
    <mergeCell ref="MRC42:MRE42"/>
    <mergeCell ref="MRF42:MRH42"/>
    <mergeCell ref="MRI42:MRK42"/>
    <mergeCell ref="MRL42:MRN42"/>
    <mergeCell ref="MQE42:MQG42"/>
    <mergeCell ref="MQH42:MQJ42"/>
    <mergeCell ref="MQK42:MQM42"/>
    <mergeCell ref="MQN42:MQP42"/>
    <mergeCell ref="MQQ42:MQS42"/>
    <mergeCell ref="MQT42:MQV42"/>
    <mergeCell ref="MPM42:MPO42"/>
    <mergeCell ref="MPP42:MPR42"/>
    <mergeCell ref="MPS42:MPU42"/>
    <mergeCell ref="MPV42:MPX42"/>
    <mergeCell ref="MPY42:MQA42"/>
    <mergeCell ref="MQB42:MQD42"/>
    <mergeCell ref="MOU42:MOW42"/>
    <mergeCell ref="MOX42:MOZ42"/>
    <mergeCell ref="MPA42:MPC42"/>
    <mergeCell ref="MPD42:MPF42"/>
    <mergeCell ref="MPG42:MPI42"/>
    <mergeCell ref="MPJ42:MPL42"/>
    <mergeCell ref="MOC42:MOE42"/>
    <mergeCell ref="MOF42:MOH42"/>
    <mergeCell ref="MOI42:MOK42"/>
    <mergeCell ref="MOL42:MON42"/>
    <mergeCell ref="MOO42:MOQ42"/>
    <mergeCell ref="MOR42:MOT42"/>
    <mergeCell ref="MVS42:MVU42"/>
    <mergeCell ref="MVV42:MVX42"/>
    <mergeCell ref="MVY42:MWA42"/>
    <mergeCell ref="MWB42:MWD42"/>
    <mergeCell ref="MWE42:MWG42"/>
    <mergeCell ref="MWH42:MWJ42"/>
    <mergeCell ref="MVA42:MVC42"/>
    <mergeCell ref="MVD42:MVF42"/>
    <mergeCell ref="MVG42:MVI42"/>
    <mergeCell ref="MVJ42:MVL42"/>
    <mergeCell ref="MVM42:MVO42"/>
    <mergeCell ref="MVP42:MVR42"/>
    <mergeCell ref="MUI42:MUK42"/>
    <mergeCell ref="MUL42:MUN42"/>
    <mergeCell ref="MUO42:MUQ42"/>
    <mergeCell ref="MUR42:MUT42"/>
    <mergeCell ref="MUU42:MUW42"/>
    <mergeCell ref="MUX42:MUZ42"/>
    <mergeCell ref="MTQ42:MTS42"/>
    <mergeCell ref="MTT42:MTV42"/>
    <mergeCell ref="MTW42:MTY42"/>
    <mergeCell ref="MTZ42:MUB42"/>
    <mergeCell ref="MUC42:MUE42"/>
    <mergeCell ref="MUF42:MUH42"/>
    <mergeCell ref="MSY42:MTA42"/>
    <mergeCell ref="MTB42:MTD42"/>
    <mergeCell ref="MTE42:MTG42"/>
    <mergeCell ref="MTH42:MTJ42"/>
    <mergeCell ref="MTK42:MTM42"/>
    <mergeCell ref="MTN42:MTP42"/>
    <mergeCell ref="MSG42:MSI42"/>
    <mergeCell ref="MSJ42:MSL42"/>
    <mergeCell ref="MSM42:MSO42"/>
    <mergeCell ref="MSP42:MSR42"/>
    <mergeCell ref="MSS42:MSU42"/>
    <mergeCell ref="MSV42:MSX42"/>
    <mergeCell ref="MZW42:MZY42"/>
    <mergeCell ref="MZZ42:NAB42"/>
    <mergeCell ref="NAC42:NAE42"/>
    <mergeCell ref="NAF42:NAH42"/>
    <mergeCell ref="NAI42:NAK42"/>
    <mergeCell ref="NAL42:NAN42"/>
    <mergeCell ref="MZE42:MZG42"/>
    <mergeCell ref="MZH42:MZJ42"/>
    <mergeCell ref="MZK42:MZM42"/>
    <mergeCell ref="MZN42:MZP42"/>
    <mergeCell ref="MZQ42:MZS42"/>
    <mergeCell ref="MZT42:MZV42"/>
    <mergeCell ref="MYM42:MYO42"/>
    <mergeCell ref="MYP42:MYR42"/>
    <mergeCell ref="MYS42:MYU42"/>
    <mergeCell ref="MYV42:MYX42"/>
    <mergeCell ref="MYY42:MZA42"/>
    <mergeCell ref="MZB42:MZD42"/>
    <mergeCell ref="MXU42:MXW42"/>
    <mergeCell ref="MXX42:MXZ42"/>
    <mergeCell ref="MYA42:MYC42"/>
    <mergeCell ref="MYD42:MYF42"/>
    <mergeCell ref="MYG42:MYI42"/>
    <mergeCell ref="MYJ42:MYL42"/>
    <mergeCell ref="MXC42:MXE42"/>
    <mergeCell ref="MXF42:MXH42"/>
    <mergeCell ref="MXI42:MXK42"/>
    <mergeCell ref="MXL42:MXN42"/>
    <mergeCell ref="MXO42:MXQ42"/>
    <mergeCell ref="MXR42:MXT42"/>
    <mergeCell ref="MWK42:MWM42"/>
    <mergeCell ref="MWN42:MWP42"/>
    <mergeCell ref="MWQ42:MWS42"/>
    <mergeCell ref="MWT42:MWV42"/>
    <mergeCell ref="MWW42:MWY42"/>
    <mergeCell ref="MWZ42:MXB42"/>
    <mergeCell ref="NEA42:NEC42"/>
    <mergeCell ref="NED42:NEF42"/>
    <mergeCell ref="NEG42:NEI42"/>
    <mergeCell ref="NEJ42:NEL42"/>
    <mergeCell ref="NEM42:NEO42"/>
    <mergeCell ref="NEP42:NER42"/>
    <mergeCell ref="NDI42:NDK42"/>
    <mergeCell ref="NDL42:NDN42"/>
    <mergeCell ref="NDO42:NDQ42"/>
    <mergeCell ref="NDR42:NDT42"/>
    <mergeCell ref="NDU42:NDW42"/>
    <mergeCell ref="NDX42:NDZ42"/>
    <mergeCell ref="NCQ42:NCS42"/>
    <mergeCell ref="NCT42:NCV42"/>
    <mergeCell ref="NCW42:NCY42"/>
    <mergeCell ref="NCZ42:NDB42"/>
    <mergeCell ref="NDC42:NDE42"/>
    <mergeCell ref="NDF42:NDH42"/>
    <mergeCell ref="NBY42:NCA42"/>
    <mergeCell ref="NCB42:NCD42"/>
    <mergeCell ref="NCE42:NCG42"/>
    <mergeCell ref="NCH42:NCJ42"/>
    <mergeCell ref="NCK42:NCM42"/>
    <mergeCell ref="NCN42:NCP42"/>
    <mergeCell ref="NBG42:NBI42"/>
    <mergeCell ref="NBJ42:NBL42"/>
    <mergeCell ref="NBM42:NBO42"/>
    <mergeCell ref="NBP42:NBR42"/>
    <mergeCell ref="NBS42:NBU42"/>
    <mergeCell ref="NBV42:NBX42"/>
    <mergeCell ref="NAO42:NAQ42"/>
    <mergeCell ref="NAR42:NAT42"/>
    <mergeCell ref="NAU42:NAW42"/>
    <mergeCell ref="NAX42:NAZ42"/>
    <mergeCell ref="NBA42:NBC42"/>
    <mergeCell ref="NBD42:NBF42"/>
    <mergeCell ref="NIE42:NIG42"/>
    <mergeCell ref="NIH42:NIJ42"/>
    <mergeCell ref="NIK42:NIM42"/>
    <mergeCell ref="NIN42:NIP42"/>
    <mergeCell ref="NIQ42:NIS42"/>
    <mergeCell ref="NIT42:NIV42"/>
    <mergeCell ref="NHM42:NHO42"/>
    <mergeCell ref="NHP42:NHR42"/>
    <mergeCell ref="NHS42:NHU42"/>
    <mergeCell ref="NHV42:NHX42"/>
    <mergeCell ref="NHY42:NIA42"/>
    <mergeCell ref="NIB42:NID42"/>
    <mergeCell ref="NGU42:NGW42"/>
    <mergeCell ref="NGX42:NGZ42"/>
    <mergeCell ref="NHA42:NHC42"/>
    <mergeCell ref="NHD42:NHF42"/>
    <mergeCell ref="NHG42:NHI42"/>
    <mergeCell ref="NHJ42:NHL42"/>
    <mergeCell ref="NGC42:NGE42"/>
    <mergeCell ref="NGF42:NGH42"/>
    <mergeCell ref="NGI42:NGK42"/>
    <mergeCell ref="NGL42:NGN42"/>
    <mergeCell ref="NGO42:NGQ42"/>
    <mergeCell ref="NGR42:NGT42"/>
    <mergeCell ref="NFK42:NFM42"/>
    <mergeCell ref="NFN42:NFP42"/>
    <mergeCell ref="NFQ42:NFS42"/>
    <mergeCell ref="NFT42:NFV42"/>
    <mergeCell ref="NFW42:NFY42"/>
    <mergeCell ref="NFZ42:NGB42"/>
    <mergeCell ref="NES42:NEU42"/>
    <mergeCell ref="NEV42:NEX42"/>
    <mergeCell ref="NEY42:NFA42"/>
    <mergeCell ref="NFB42:NFD42"/>
    <mergeCell ref="NFE42:NFG42"/>
    <mergeCell ref="NFH42:NFJ42"/>
    <mergeCell ref="NMI42:NMK42"/>
    <mergeCell ref="NML42:NMN42"/>
    <mergeCell ref="NMO42:NMQ42"/>
    <mergeCell ref="NMR42:NMT42"/>
    <mergeCell ref="NMU42:NMW42"/>
    <mergeCell ref="NMX42:NMZ42"/>
    <mergeCell ref="NLQ42:NLS42"/>
    <mergeCell ref="NLT42:NLV42"/>
    <mergeCell ref="NLW42:NLY42"/>
    <mergeCell ref="NLZ42:NMB42"/>
    <mergeCell ref="NMC42:NME42"/>
    <mergeCell ref="NMF42:NMH42"/>
    <mergeCell ref="NKY42:NLA42"/>
    <mergeCell ref="NLB42:NLD42"/>
    <mergeCell ref="NLE42:NLG42"/>
    <mergeCell ref="NLH42:NLJ42"/>
    <mergeCell ref="NLK42:NLM42"/>
    <mergeCell ref="NLN42:NLP42"/>
    <mergeCell ref="NKG42:NKI42"/>
    <mergeCell ref="NKJ42:NKL42"/>
    <mergeCell ref="NKM42:NKO42"/>
    <mergeCell ref="NKP42:NKR42"/>
    <mergeCell ref="NKS42:NKU42"/>
    <mergeCell ref="NKV42:NKX42"/>
    <mergeCell ref="NJO42:NJQ42"/>
    <mergeCell ref="NJR42:NJT42"/>
    <mergeCell ref="NJU42:NJW42"/>
    <mergeCell ref="NJX42:NJZ42"/>
    <mergeCell ref="NKA42:NKC42"/>
    <mergeCell ref="NKD42:NKF42"/>
    <mergeCell ref="NIW42:NIY42"/>
    <mergeCell ref="NIZ42:NJB42"/>
    <mergeCell ref="NJC42:NJE42"/>
    <mergeCell ref="NJF42:NJH42"/>
    <mergeCell ref="NJI42:NJK42"/>
    <mergeCell ref="NJL42:NJN42"/>
    <mergeCell ref="NQM42:NQO42"/>
    <mergeCell ref="NQP42:NQR42"/>
    <mergeCell ref="NQS42:NQU42"/>
    <mergeCell ref="NQV42:NQX42"/>
    <mergeCell ref="NQY42:NRA42"/>
    <mergeCell ref="NRB42:NRD42"/>
    <mergeCell ref="NPU42:NPW42"/>
    <mergeCell ref="NPX42:NPZ42"/>
    <mergeCell ref="NQA42:NQC42"/>
    <mergeCell ref="NQD42:NQF42"/>
    <mergeCell ref="NQG42:NQI42"/>
    <mergeCell ref="NQJ42:NQL42"/>
    <mergeCell ref="NPC42:NPE42"/>
    <mergeCell ref="NPF42:NPH42"/>
    <mergeCell ref="NPI42:NPK42"/>
    <mergeCell ref="NPL42:NPN42"/>
    <mergeCell ref="NPO42:NPQ42"/>
    <mergeCell ref="NPR42:NPT42"/>
    <mergeCell ref="NOK42:NOM42"/>
    <mergeCell ref="NON42:NOP42"/>
    <mergeCell ref="NOQ42:NOS42"/>
    <mergeCell ref="NOT42:NOV42"/>
    <mergeCell ref="NOW42:NOY42"/>
    <mergeCell ref="NOZ42:NPB42"/>
    <mergeCell ref="NNS42:NNU42"/>
    <mergeCell ref="NNV42:NNX42"/>
    <mergeCell ref="NNY42:NOA42"/>
    <mergeCell ref="NOB42:NOD42"/>
    <mergeCell ref="NOE42:NOG42"/>
    <mergeCell ref="NOH42:NOJ42"/>
    <mergeCell ref="NNA42:NNC42"/>
    <mergeCell ref="NND42:NNF42"/>
    <mergeCell ref="NNG42:NNI42"/>
    <mergeCell ref="NNJ42:NNL42"/>
    <mergeCell ref="NNM42:NNO42"/>
    <mergeCell ref="NNP42:NNR42"/>
    <mergeCell ref="NUQ42:NUS42"/>
    <mergeCell ref="NUT42:NUV42"/>
    <mergeCell ref="NUW42:NUY42"/>
    <mergeCell ref="NUZ42:NVB42"/>
    <mergeCell ref="NVC42:NVE42"/>
    <mergeCell ref="NVF42:NVH42"/>
    <mergeCell ref="NTY42:NUA42"/>
    <mergeCell ref="NUB42:NUD42"/>
    <mergeCell ref="NUE42:NUG42"/>
    <mergeCell ref="NUH42:NUJ42"/>
    <mergeCell ref="NUK42:NUM42"/>
    <mergeCell ref="NUN42:NUP42"/>
    <mergeCell ref="NTG42:NTI42"/>
    <mergeCell ref="NTJ42:NTL42"/>
    <mergeCell ref="NTM42:NTO42"/>
    <mergeCell ref="NTP42:NTR42"/>
    <mergeCell ref="NTS42:NTU42"/>
    <mergeCell ref="NTV42:NTX42"/>
    <mergeCell ref="NSO42:NSQ42"/>
    <mergeCell ref="NSR42:NST42"/>
    <mergeCell ref="NSU42:NSW42"/>
    <mergeCell ref="NSX42:NSZ42"/>
    <mergeCell ref="NTA42:NTC42"/>
    <mergeCell ref="NTD42:NTF42"/>
    <mergeCell ref="NRW42:NRY42"/>
    <mergeCell ref="NRZ42:NSB42"/>
    <mergeCell ref="NSC42:NSE42"/>
    <mergeCell ref="NSF42:NSH42"/>
    <mergeCell ref="NSI42:NSK42"/>
    <mergeCell ref="NSL42:NSN42"/>
    <mergeCell ref="NRE42:NRG42"/>
    <mergeCell ref="NRH42:NRJ42"/>
    <mergeCell ref="NRK42:NRM42"/>
    <mergeCell ref="NRN42:NRP42"/>
    <mergeCell ref="NRQ42:NRS42"/>
    <mergeCell ref="NRT42:NRV42"/>
    <mergeCell ref="NYU42:NYW42"/>
    <mergeCell ref="NYX42:NYZ42"/>
    <mergeCell ref="NZA42:NZC42"/>
    <mergeCell ref="NZD42:NZF42"/>
    <mergeCell ref="NZG42:NZI42"/>
    <mergeCell ref="NZJ42:NZL42"/>
    <mergeCell ref="NYC42:NYE42"/>
    <mergeCell ref="NYF42:NYH42"/>
    <mergeCell ref="NYI42:NYK42"/>
    <mergeCell ref="NYL42:NYN42"/>
    <mergeCell ref="NYO42:NYQ42"/>
    <mergeCell ref="NYR42:NYT42"/>
    <mergeCell ref="NXK42:NXM42"/>
    <mergeCell ref="NXN42:NXP42"/>
    <mergeCell ref="NXQ42:NXS42"/>
    <mergeCell ref="NXT42:NXV42"/>
    <mergeCell ref="NXW42:NXY42"/>
    <mergeCell ref="NXZ42:NYB42"/>
    <mergeCell ref="NWS42:NWU42"/>
    <mergeCell ref="NWV42:NWX42"/>
    <mergeCell ref="NWY42:NXA42"/>
    <mergeCell ref="NXB42:NXD42"/>
    <mergeCell ref="NXE42:NXG42"/>
    <mergeCell ref="NXH42:NXJ42"/>
    <mergeCell ref="NWA42:NWC42"/>
    <mergeCell ref="NWD42:NWF42"/>
    <mergeCell ref="NWG42:NWI42"/>
    <mergeCell ref="NWJ42:NWL42"/>
    <mergeCell ref="NWM42:NWO42"/>
    <mergeCell ref="NWP42:NWR42"/>
    <mergeCell ref="NVI42:NVK42"/>
    <mergeCell ref="NVL42:NVN42"/>
    <mergeCell ref="NVO42:NVQ42"/>
    <mergeCell ref="NVR42:NVT42"/>
    <mergeCell ref="NVU42:NVW42"/>
    <mergeCell ref="NVX42:NVZ42"/>
    <mergeCell ref="OCY42:ODA42"/>
    <mergeCell ref="ODB42:ODD42"/>
    <mergeCell ref="ODE42:ODG42"/>
    <mergeCell ref="ODH42:ODJ42"/>
    <mergeCell ref="ODK42:ODM42"/>
    <mergeCell ref="ODN42:ODP42"/>
    <mergeCell ref="OCG42:OCI42"/>
    <mergeCell ref="OCJ42:OCL42"/>
    <mergeCell ref="OCM42:OCO42"/>
    <mergeCell ref="OCP42:OCR42"/>
    <mergeCell ref="OCS42:OCU42"/>
    <mergeCell ref="OCV42:OCX42"/>
    <mergeCell ref="OBO42:OBQ42"/>
    <mergeCell ref="OBR42:OBT42"/>
    <mergeCell ref="OBU42:OBW42"/>
    <mergeCell ref="OBX42:OBZ42"/>
    <mergeCell ref="OCA42:OCC42"/>
    <mergeCell ref="OCD42:OCF42"/>
    <mergeCell ref="OAW42:OAY42"/>
    <mergeCell ref="OAZ42:OBB42"/>
    <mergeCell ref="OBC42:OBE42"/>
    <mergeCell ref="OBF42:OBH42"/>
    <mergeCell ref="OBI42:OBK42"/>
    <mergeCell ref="OBL42:OBN42"/>
    <mergeCell ref="OAE42:OAG42"/>
    <mergeCell ref="OAH42:OAJ42"/>
    <mergeCell ref="OAK42:OAM42"/>
    <mergeCell ref="OAN42:OAP42"/>
    <mergeCell ref="OAQ42:OAS42"/>
    <mergeCell ref="OAT42:OAV42"/>
    <mergeCell ref="NZM42:NZO42"/>
    <mergeCell ref="NZP42:NZR42"/>
    <mergeCell ref="NZS42:NZU42"/>
    <mergeCell ref="NZV42:NZX42"/>
    <mergeCell ref="NZY42:OAA42"/>
    <mergeCell ref="OAB42:OAD42"/>
    <mergeCell ref="OHC42:OHE42"/>
    <mergeCell ref="OHF42:OHH42"/>
    <mergeCell ref="OHI42:OHK42"/>
    <mergeCell ref="OHL42:OHN42"/>
    <mergeCell ref="OHO42:OHQ42"/>
    <mergeCell ref="OHR42:OHT42"/>
    <mergeCell ref="OGK42:OGM42"/>
    <mergeCell ref="OGN42:OGP42"/>
    <mergeCell ref="OGQ42:OGS42"/>
    <mergeCell ref="OGT42:OGV42"/>
    <mergeCell ref="OGW42:OGY42"/>
    <mergeCell ref="OGZ42:OHB42"/>
    <mergeCell ref="OFS42:OFU42"/>
    <mergeCell ref="OFV42:OFX42"/>
    <mergeCell ref="OFY42:OGA42"/>
    <mergeCell ref="OGB42:OGD42"/>
    <mergeCell ref="OGE42:OGG42"/>
    <mergeCell ref="OGH42:OGJ42"/>
    <mergeCell ref="OFA42:OFC42"/>
    <mergeCell ref="OFD42:OFF42"/>
    <mergeCell ref="OFG42:OFI42"/>
    <mergeCell ref="OFJ42:OFL42"/>
    <mergeCell ref="OFM42:OFO42"/>
    <mergeCell ref="OFP42:OFR42"/>
    <mergeCell ref="OEI42:OEK42"/>
    <mergeCell ref="OEL42:OEN42"/>
    <mergeCell ref="OEO42:OEQ42"/>
    <mergeCell ref="OER42:OET42"/>
    <mergeCell ref="OEU42:OEW42"/>
    <mergeCell ref="OEX42:OEZ42"/>
    <mergeCell ref="ODQ42:ODS42"/>
    <mergeCell ref="ODT42:ODV42"/>
    <mergeCell ref="ODW42:ODY42"/>
    <mergeCell ref="ODZ42:OEB42"/>
    <mergeCell ref="OEC42:OEE42"/>
    <mergeCell ref="OEF42:OEH42"/>
    <mergeCell ref="OLG42:OLI42"/>
    <mergeCell ref="OLJ42:OLL42"/>
    <mergeCell ref="OLM42:OLO42"/>
    <mergeCell ref="OLP42:OLR42"/>
    <mergeCell ref="OLS42:OLU42"/>
    <mergeCell ref="OLV42:OLX42"/>
    <mergeCell ref="OKO42:OKQ42"/>
    <mergeCell ref="OKR42:OKT42"/>
    <mergeCell ref="OKU42:OKW42"/>
    <mergeCell ref="OKX42:OKZ42"/>
    <mergeCell ref="OLA42:OLC42"/>
    <mergeCell ref="OLD42:OLF42"/>
    <mergeCell ref="OJW42:OJY42"/>
    <mergeCell ref="OJZ42:OKB42"/>
    <mergeCell ref="OKC42:OKE42"/>
    <mergeCell ref="OKF42:OKH42"/>
    <mergeCell ref="OKI42:OKK42"/>
    <mergeCell ref="OKL42:OKN42"/>
    <mergeCell ref="OJE42:OJG42"/>
    <mergeCell ref="OJH42:OJJ42"/>
    <mergeCell ref="OJK42:OJM42"/>
    <mergeCell ref="OJN42:OJP42"/>
    <mergeCell ref="OJQ42:OJS42"/>
    <mergeCell ref="OJT42:OJV42"/>
    <mergeCell ref="OIM42:OIO42"/>
    <mergeCell ref="OIP42:OIR42"/>
    <mergeCell ref="OIS42:OIU42"/>
    <mergeCell ref="OIV42:OIX42"/>
    <mergeCell ref="OIY42:OJA42"/>
    <mergeCell ref="OJB42:OJD42"/>
    <mergeCell ref="OHU42:OHW42"/>
    <mergeCell ref="OHX42:OHZ42"/>
    <mergeCell ref="OIA42:OIC42"/>
    <mergeCell ref="OID42:OIF42"/>
    <mergeCell ref="OIG42:OII42"/>
    <mergeCell ref="OIJ42:OIL42"/>
    <mergeCell ref="OPK42:OPM42"/>
    <mergeCell ref="OPN42:OPP42"/>
    <mergeCell ref="OPQ42:OPS42"/>
    <mergeCell ref="OPT42:OPV42"/>
    <mergeCell ref="OPW42:OPY42"/>
    <mergeCell ref="OPZ42:OQB42"/>
    <mergeCell ref="OOS42:OOU42"/>
    <mergeCell ref="OOV42:OOX42"/>
    <mergeCell ref="OOY42:OPA42"/>
    <mergeCell ref="OPB42:OPD42"/>
    <mergeCell ref="OPE42:OPG42"/>
    <mergeCell ref="OPH42:OPJ42"/>
    <mergeCell ref="OOA42:OOC42"/>
    <mergeCell ref="OOD42:OOF42"/>
    <mergeCell ref="OOG42:OOI42"/>
    <mergeCell ref="OOJ42:OOL42"/>
    <mergeCell ref="OOM42:OOO42"/>
    <mergeCell ref="OOP42:OOR42"/>
    <mergeCell ref="ONI42:ONK42"/>
    <mergeCell ref="ONL42:ONN42"/>
    <mergeCell ref="ONO42:ONQ42"/>
    <mergeCell ref="ONR42:ONT42"/>
    <mergeCell ref="ONU42:ONW42"/>
    <mergeCell ref="ONX42:ONZ42"/>
    <mergeCell ref="OMQ42:OMS42"/>
    <mergeCell ref="OMT42:OMV42"/>
    <mergeCell ref="OMW42:OMY42"/>
    <mergeCell ref="OMZ42:ONB42"/>
    <mergeCell ref="ONC42:ONE42"/>
    <mergeCell ref="ONF42:ONH42"/>
    <mergeCell ref="OLY42:OMA42"/>
    <mergeCell ref="OMB42:OMD42"/>
    <mergeCell ref="OME42:OMG42"/>
    <mergeCell ref="OMH42:OMJ42"/>
    <mergeCell ref="OMK42:OMM42"/>
    <mergeCell ref="OMN42:OMP42"/>
    <mergeCell ref="OTO42:OTQ42"/>
    <mergeCell ref="OTR42:OTT42"/>
    <mergeCell ref="OTU42:OTW42"/>
    <mergeCell ref="OTX42:OTZ42"/>
    <mergeCell ref="OUA42:OUC42"/>
    <mergeCell ref="OUD42:OUF42"/>
    <mergeCell ref="OSW42:OSY42"/>
    <mergeCell ref="OSZ42:OTB42"/>
    <mergeCell ref="OTC42:OTE42"/>
    <mergeCell ref="OTF42:OTH42"/>
    <mergeCell ref="OTI42:OTK42"/>
    <mergeCell ref="OTL42:OTN42"/>
    <mergeCell ref="OSE42:OSG42"/>
    <mergeCell ref="OSH42:OSJ42"/>
    <mergeCell ref="OSK42:OSM42"/>
    <mergeCell ref="OSN42:OSP42"/>
    <mergeCell ref="OSQ42:OSS42"/>
    <mergeCell ref="OST42:OSV42"/>
    <mergeCell ref="ORM42:ORO42"/>
    <mergeCell ref="ORP42:ORR42"/>
    <mergeCell ref="ORS42:ORU42"/>
    <mergeCell ref="ORV42:ORX42"/>
    <mergeCell ref="ORY42:OSA42"/>
    <mergeCell ref="OSB42:OSD42"/>
    <mergeCell ref="OQU42:OQW42"/>
    <mergeCell ref="OQX42:OQZ42"/>
    <mergeCell ref="ORA42:ORC42"/>
    <mergeCell ref="ORD42:ORF42"/>
    <mergeCell ref="ORG42:ORI42"/>
    <mergeCell ref="ORJ42:ORL42"/>
    <mergeCell ref="OQC42:OQE42"/>
    <mergeCell ref="OQF42:OQH42"/>
    <mergeCell ref="OQI42:OQK42"/>
    <mergeCell ref="OQL42:OQN42"/>
    <mergeCell ref="OQO42:OQQ42"/>
    <mergeCell ref="OQR42:OQT42"/>
    <mergeCell ref="OXS42:OXU42"/>
    <mergeCell ref="OXV42:OXX42"/>
    <mergeCell ref="OXY42:OYA42"/>
    <mergeCell ref="OYB42:OYD42"/>
    <mergeCell ref="OYE42:OYG42"/>
    <mergeCell ref="OYH42:OYJ42"/>
    <mergeCell ref="OXA42:OXC42"/>
    <mergeCell ref="OXD42:OXF42"/>
    <mergeCell ref="OXG42:OXI42"/>
    <mergeCell ref="OXJ42:OXL42"/>
    <mergeCell ref="OXM42:OXO42"/>
    <mergeCell ref="OXP42:OXR42"/>
    <mergeCell ref="OWI42:OWK42"/>
    <mergeCell ref="OWL42:OWN42"/>
    <mergeCell ref="OWO42:OWQ42"/>
    <mergeCell ref="OWR42:OWT42"/>
    <mergeCell ref="OWU42:OWW42"/>
    <mergeCell ref="OWX42:OWZ42"/>
    <mergeCell ref="OVQ42:OVS42"/>
    <mergeCell ref="OVT42:OVV42"/>
    <mergeCell ref="OVW42:OVY42"/>
    <mergeCell ref="OVZ42:OWB42"/>
    <mergeCell ref="OWC42:OWE42"/>
    <mergeCell ref="OWF42:OWH42"/>
    <mergeCell ref="OUY42:OVA42"/>
    <mergeCell ref="OVB42:OVD42"/>
    <mergeCell ref="OVE42:OVG42"/>
    <mergeCell ref="OVH42:OVJ42"/>
    <mergeCell ref="OVK42:OVM42"/>
    <mergeCell ref="OVN42:OVP42"/>
    <mergeCell ref="OUG42:OUI42"/>
    <mergeCell ref="OUJ42:OUL42"/>
    <mergeCell ref="OUM42:OUO42"/>
    <mergeCell ref="OUP42:OUR42"/>
    <mergeCell ref="OUS42:OUU42"/>
    <mergeCell ref="OUV42:OUX42"/>
    <mergeCell ref="PBW42:PBY42"/>
    <mergeCell ref="PBZ42:PCB42"/>
    <mergeCell ref="PCC42:PCE42"/>
    <mergeCell ref="PCF42:PCH42"/>
    <mergeCell ref="PCI42:PCK42"/>
    <mergeCell ref="PCL42:PCN42"/>
    <mergeCell ref="PBE42:PBG42"/>
    <mergeCell ref="PBH42:PBJ42"/>
    <mergeCell ref="PBK42:PBM42"/>
    <mergeCell ref="PBN42:PBP42"/>
    <mergeCell ref="PBQ42:PBS42"/>
    <mergeCell ref="PBT42:PBV42"/>
    <mergeCell ref="PAM42:PAO42"/>
    <mergeCell ref="PAP42:PAR42"/>
    <mergeCell ref="PAS42:PAU42"/>
    <mergeCell ref="PAV42:PAX42"/>
    <mergeCell ref="PAY42:PBA42"/>
    <mergeCell ref="PBB42:PBD42"/>
    <mergeCell ref="OZU42:OZW42"/>
    <mergeCell ref="OZX42:OZZ42"/>
    <mergeCell ref="PAA42:PAC42"/>
    <mergeCell ref="PAD42:PAF42"/>
    <mergeCell ref="PAG42:PAI42"/>
    <mergeCell ref="PAJ42:PAL42"/>
    <mergeCell ref="OZC42:OZE42"/>
    <mergeCell ref="OZF42:OZH42"/>
    <mergeCell ref="OZI42:OZK42"/>
    <mergeCell ref="OZL42:OZN42"/>
    <mergeCell ref="OZO42:OZQ42"/>
    <mergeCell ref="OZR42:OZT42"/>
    <mergeCell ref="OYK42:OYM42"/>
    <mergeCell ref="OYN42:OYP42"/>
    <mergeCell ref="OYQ42:OYS42"/>
    <mergeCell ref="OYT42:OYV42"/>
    <mergeCell ref="OYW42:OYY42"/>
    <mergeCell ref="OYZ42:OZB42"/>
    <mergeCell ref="PGA42:PGC42"/>
    <mergeCell ref="PGD42:PGF42"/>
    <mergeCell ref="PGG42:PGI42"/>
    <mergeCell ref="PGJ42:PGL42"/>
    <mergeCell ref="PGM42:PGO42"/>
    <mergeCell ref="PGP42:PGR42"/>
    <mergeCell ref="PFI42:PFK42"/>
    <mergeCell ref="PFL42:PFN42"/>
    <mergeCell ref="PFO42:PFQ42"/>
    <mergeCell ref="PFR42:PFT42"/>
    <mergeCell ref="PFU42:PFW42"/>
    <mergeCell ref="PFX42:PFZ42"/>
    <mergeCell ref="PEQ42:PES42"/>
    <mergeCell ref="PET42:PEV42"/>
    <mergeCell ref="PEW42:PEY42"/>
    <mergeCell ref="PEZ42:PFB42"/>
    <mergeCell ref="PFC42:PFE42"/>
    <mergeCell ref="PFF42:PFH42"/>
    <mergeCell ref="PDY42:PEA42"/>
    <mergeCell ref="PEB42:PED42"/>
    <mergeCell ref="PEE42:PEG42"/>
    <mergeCell ref="PEH42:PEJ42"/>
    <mergeCell ref="PEK42:PEM42"/>
    <mergeCell ref="PEN42:PEP42"/>
    <mergeCell ref="PDG42:PDI42"/>
    <mergeCell ref="PDJ42:PDL42"/>
    <mergeCell ref="PDM42:PDO42"/>
    <mergeCell ref="PDP42:PDR42"/>
    <mergeCell ref="PDS42:PDU42"/>
    <mergeCell ref="PDV42:PDX42"/>
    <mergeCell ref="PCO42:PCQ42"/>
    <mergeCell ref="PCR42:PCT42"/>
    <mergeCell ref="PCU42:PCW42"/>
    <mergeCell ref="PCX42:PCZ42"/>
    <mergeCell ref="PDA42:PDC42"/>
    <mergeCell ref="PDD42:PDF42"/>
    <mergeCell ref="PKE42:PKG42"/>
    <mergeCell ref="PKH42:PKJ42"/>
    <mergeCell ref="PKK42:PKM42"/>
    <mergeCell ref="PKN42:PKP42"/>
    <mergeCell ref="PKQ42:PKS42"/>
    <mergeCell ref="PKT42:PKV42"/>
    <mergeCell ref="PJM42:PJO42"/>
    <mergeCell ref="PJP42:PJR42"/>
    <mergeCell ref="PJS42:PJU42"/>
    <mergeCell ref="PJV42:PJX42"/>
    <mergeCell ref="PJY42:PKA42"/>
    <mergeCell ref="PKB42:PKD42"/>
    <mergeCell ref="PIU42:PIW42"/>
    <mergeCell ref="PIX42:PIZ42"/>
    <mergeCell ref="PJA42:PJC42"/>
    <mergeCell ref="PJD42:PJF42"/>
    <mergeCell ref="PJG42:PJI42"/>
    <mergeCell ref="PJJ42:PJL42"/>
    <mergeCell ref="PIC42:PIE42"/>
    <mergeCell ref="PIF42:PIH42"/>
    <mergeCell ref="PII42:PIK42"/>
    <mergeCell ref="PIL42:PIN42"/>
    <mergeCell ref="PIO42:PIQ42"/>
    <mergeCell ref="PIR42:PIT42"/>
    <mergeCell ref="PHK42:PHM42"/>
    <mergeCell ref="PHN42:PHP42"/>
    <mergeCell ref="PHQ42:PHS42"/>
    <mergeCell ref="PHT42:PHV42"/>
    <mergeCell ref="PHW42:PHY42"/>
    <mergeCell ref="PHZ42:PIB42"/>
    <mergeCell ref="PGS42:PGU42"/>
    <mergeCell ref="PGV42:PGX42"/>
    <mergeCell ref="PGY42:PHA42"/>
    <mergeCell ref="PHB42:PHD42"/>
    <mergeCell ref="PHE42:PHG42"/>
    <mergeCell ref="PHH42:PHJ42"/>
    <mergeCell ref="POI42:POK42"/>
    <mergeCell ref="POL42:PON42"/>
    <mergeCell ref="POO42:POQ42"/>
    <mergeCell ref="POR42:POT42"/>
    <mergeCell ref="POU42:POW42"/>
    <mergeCell ref="POX42:POZ42"/>
    <mergeCell ref="PNQ42:PNS42"/>
    <mergeCell ref="PNT42:PNV42"/>
    <mergeCell ref="PNW42:PNY42"/>
    <mergeCell ref="PNZ42:POB42"/>
    <mergeCell ref="POC42:POE42"/>
    <mergeCell ref="POF42:POH42"/>
    <mergeCell ref="PMY42:PNA42"/>
    <mergeCell ref="PNB42:PND42"/>
    <mergeCell ref="PNE42:PNG42"/>
    <mergeCell ref="PNH42:PNJ42"/>
    <mergeCell ref="PNK42:PNM42"/>
    <mergeCell ref="PNN42:PNP42"/>
    <mergeCell ref="PMG42:PMI42"/>
    <mergeCell ref="PMJ42:PML42"/>
    <mergeCell ref="PMM42:PMO42"/>
    <mergeCell ref="PMP42:PMR42"/>
    <mergeCell ref="PMS42:PMU42"/>
    <mergeCell ref="PMV42:PMX42"/>
    <mergeCell ref="PLO42:PLQ42"/>
    <mergeCell ref="PLR42:PLT42"/>
    <mergeCell ref="PLU42:PLW42"/>
    <mergeCell ref="PLX42:PLZ42"/>
    <mergeCell ref="PMA42:PMC42"/>
    <mergeCell ref="PMD42:PMF42"/>
    <mergeCell ref="PKW42:PKY42"/>
    <mergeCell ref="PKZ42:PLB42"/>
    <mergeCell ref="PLC42:PLE42"/>
    <mergeCell ref="PLF42:PLH42"/>
    <mergeCell ref="PLI42:PLK42"/>
    <mergeCell ref="PLL42:PLN42"/>
    <mergeCell ref="PSM42:PSO42"/>
    <mergeCell ref="PSP42:PSR42"/>
    <mergeCell ref="PSS42:PSU42"/>
    <mergeCell ref="PSV42:PSX42"/>
    <mergeCell ref="PSY42:PTA42"/>
    <mergeCell ref="PTB42:PTD42"/>
    <mergeCell ref="PRU42:PRW42"/>
    <mergeCell ref="PRX42:PRZ42"/>
    <mergeCell ref="PSA42:PSC42"/>
    <mergeCell ref="PSD42:PSF42"/>
    <mergeCell ref="PSG42:PSI42"/>
    <mergeCell ref="PSJ42:PSL42"/>
    <mergeCell ref="PRC42:PRE42"/>
    <mergeCell ref="PRF42:PRH42"/>
    <mergeCell ref="PRI42:PRK42"/>
    <mergeCell ref="PRL42:PRN42"/>
    <mergeCell ref="PRO42:PRQ42"/>
    <mergeCell ref="PRR42:PRT42"/>
    <mergeCell ref="PQK42:PQM42"/>
    <mergeCell ref="PQN42:PQP42"/>
    <mergeCell ref="PQQ42:PQS42"/>
    <mergeCell ref="PQT42:PQV42"/>
    <mergeCell ref="PQW42:PQY42"/>
    <mergeCell ref="PQZ42:PRB42"/>
    <mergeCell ref="PPS42:PPU42"/>
    <mergeCell ref="PPV42:PPX42"/>
    <mergeCell ref="PPY42:PQA42"/>
    <mergeCell ref="PQB42:PQD42"/>
    <mergeCell ref="PQE42:PQG42"/>
    <mergeCell ref="PQH42:PQJ42"/>
    <mergeCell ref="PPA42:PPC42"/>
    <mergeCell ref="PPD42:PPF42"/>
    <mergeCell ref="PPG42:PPI42"/>
    <mergeCell ref="PPJ42:PPL42"/>
    <mergeCell ref="PPM42:PPO42"/>
    <mergeCell ref="PPP42:PPR42"/>
    <mergeCell ref="PWQ42:PWS42"/>
    <mergeCell ref="PWT42:PWV42"/>
    <mergeCell ref="PWW42:PWY42"/>
    <mergeCell ref="PWZ42:PXB42"/>
    <mergeCell ref="PXC42:PXE42"/>
    <mergeCell ref="PXF42:PXH42"/>
    <mergeCell ref="PVY42:PWA42"/>
    <mergeCell ref="PWB42:PWD42"/>
    <mergeCell ref="PWE42:PWG42"/>
    <mergeCell ref="PWH42:PWJ42"/>
    <mergeCell ref="PWK42:PWM42"/>
    <mergeCell ref="PWN42:PWP42"/>
    <mergeCell ref="PVG42:PVI42"/>
    <mergeCell ref="PVJ42:PVL42"/>
    <mergeCell ref="PVM42:PVO42"/>
    <mergeCell ref="PVP42:PVR42"/>
    <mergeCell ref="PVS42:PVU42"/>
    <mergeCell ref="PVV42:PVX42"/>
    <mergeCell ref="PUO42:PUQ42"/>
    <mergeCell ref="PUR42:PUT42"/>
    <mergeCell ref="PUU42:PUW42"/>
    <mergeCell ref="PUX42:PUZ42"/>
    <mergeCell ref="PVA42:PVC42"/>
    <mergeCell ref="PVD42:PVF42"/>
    <mergeCell ref="PTW42:PTY42"/>
    <mergeCell ref="PTZ42:PUB42"/>
    <mergeCell ref="PUC42:PUE42"/>
    <mergeCell ref="PUF42:PUH42"/>
    <mergeCell ref="PUI42:PUK42"/>
    <mergeCell ref="PUL42:PUN42"/>
    <mergeCell ref="PTE42:PTG42"/>
    <mergeCell ref="PTH42:PTJ42"/>
    <mergeCell ref="PTK42:PTM42"/>
    <mergeCell ref="PTN42:PTP42"/>
    <mergeCell ref="PTQ42:PTS42"/>
    <mergeCell ref="PTT42:PTV42"/>
    <mergeCell ref="QAU42:QAW42"/>
    <mergeCell ref="QAX42:QAZ42"/>
    <mergeCell ref="QBA42:QBC42"/>
    <mergeCell ref="QBD42:QBF42"/>
    <mergeCell ref="QBG42:QBI42"/>
    <mergeCell ref="QBJ42:QBL42"/>
    <mergeCell ref="QAC42:QAE42"/>
    <mergeCell ref="QAF42:QAH42"/>
    <mergeCell ref="QAI42:QAK42"/>
    <mergeCell ref="QAL42:QAN42"/>
    <mergeCell ref="QAO42:QAQ42"/>
    <mergeCell ref="QAR42:QAT42"/>
    <mergeCell ref="PZK42:PZM42"/>
    <mergeCell ref="PZN42:PZP42"/>
    <mergeCell ref="PZQ42:PZS42"/>
    <mergeCell ref="PZT42:PZV42"/>
    <mergeCell ref="PZW42:PZY42"/>
    <mergeCell ref="PZZ42:QAB42"/>
    <mergeCell ref="PYS42:PYU42"/>
    <mergeCell ref="PYV42:PYX42"/>
    <mergeCell ref="PYY42:PZA42"/>
    <mergeCell ref="PZB42:PZD42"/>
    <mergeCell ref="PZE42:PZG42"/>
    <mergeCell ref="PZH42:PZJ42"/>
    <mergeCell ref="PYA42:PYC42"/>
    <mergeCell ref="PYD42:PYF42"/>
    <mergeCell ref="PYG42:PYI42"/>
    <mergeCell ref="PYJ42:PYL42"/>
    <mergeCell ref="PYM42:PYO42"/>
    <mergeCell ref="PYP42:PYR42"/>
    <mergeCell ref="PXI42:PXK42"/>
    <mergeCell ref="PXL42:PXN42"/>
    <mergeCell ref="PXO42:PXQ42"/>
    <mergeCell ref="PXR42:PXT42"/>
    <mergeCell ref="PXU42:PXW42"/>
    <mergeCell ref="PXX42:PXZ42"/>
    <mergeCell ref="QEY42:QFA42"/>
    <mergeCell ref="QFB42:QFD42"/>
    <mergeCell ref="QFE42:QFG42"/>
    <mergeCell ref="QFH42:QFJ42"/>
    <mergeCell ref="QFK42:QFM42"/>
    <mergeCell ref="QFN42:QFP42"/>
    <mergeCell ref="QEG42:QEI42"/>
    <mergeCell ref="QEJ42:QEL42"/>
    <mergeCell ref="QEM42:QEO42"/>
    <mergeCell ref="QEP42:QER42"/>
    <mergeCell ref="QES42:QEU42"/>
    <mergeCell ref="QEV42:QEX42"/>
    <mergeCell ref="QDO42:QDQ42"/>
    <mergeCell ref="QDR42:QDT42"/>
    <mergeCell ref="QDU42:QDW42"/>
    <mergeCell ref="QDX42:QDZ42"/>
    <mergeCell ref="QEA42:QEC42"/>
    <mergeCell ref="QED42:QEF42"/>
    <mergeCell ref="QCW42:QCY42"/>
    <mergeCell ref="QCZ42:QDB42"/>
    <mergeCell ref="QDC42:QDE42"/>
    <mergeCell ref="QDF42:QDH42"/>
    <mergeCell ref="QDI42:QDK42"/>
    <mergeCell ref="QDL42:QDN42"/>
    <mergeCell ref="QCE42:QCG42"/>
    <mergeCell ref="QCH42:QCJ42"/>
    <mergeCell ref="QCK42:QCM42"/>
    <mergeCell ref="QCN42:QCP42"/>
    <mergeCell ref="QCQ42:QCS42"/>
    <mergeCell ref="QCT42:QCV42"/>
    <mergeCell ref="QBM42:QBO42"/>
    <mergeCell ref="QBP42:QBR42"/>
    <mergeCell ref="QBS42:QBU42"/>
    <mergeCell ref="QBV42:QBX42"/>
    <mergeCell ref="QBY42:QCA42"/>
    <mergeCell ref="QCB42:QCD42"/>
    <mergeCell ref="QJC42:QJE42"/>
    <mergeCell ref="QJF42:QJH42"/>
    <mergeCell ref="QJI42:QJK42"/>
    <mergeCell ref="QJL42:QJN42"/>
    <mergeCell ref="QJO42:QJQ42"/>
    <mergeCell ref="QJR42:QJT42"/>
    <mergeCell ref="QIK42:QIM42"/>
    <mergeCell ref="QIN42:QIP42"/>
    <mergeCell ref="QIQ42:QIS42"/>
    <mergeCell ref="QIT42:QIV42"/>
    <mergeCell ref="QIW42:QIY42"/>
    <mergeCell ref="QIZ42:QJB42"/>
    <mergeCell ref="QHS42:QHU42"/>
    <mergeCell ref="QHV42:QHX42"/>
    <mergeCell ref="QHY42:QIA42"/>
    <mergeCell ref="QIB42:QID42"/>
    <mergeCell ref="QIE42:QIG42"/>
    <mergeCell ref="QIH42:QIJ42"/>
    <mergeCell ref="QHA42:QHC42"/>
    <mergeCell ref="QHD42:QHF42"/>
    <mergeCell ref="QHG42:QHI42"/>
    <mergeCell ref="QHJ42:QHL42"/>
    <mergeCell ref="QHM42:QHO42"/>
    <mergeCell ref="QHP42:QHR42"/>
    <mergeCell ref="QGI42:QGK42"/>
    <mergeCell ref="QGL42:QGN42"/>
    <mergeCell ref="QGO42:QGQ42"/>
    <mergeCell ref="QGR42:QGT42"/>
    <mergeCell ref="QGU42:QGW42"/>
    <mergeCell ref="QGX42:QGZ42"/>
    <mergeCell ref="QFQ42:QFS42"/>
    <mergeCell ref="QFT42:QFV42"/>
    <mergeCell ref="QFW42:QFY42"/>
    <mergeCell ref="QFZ42:QGB42"/>
    <mergeCell ref="QGC42:QGE42"/>
    <mergeCell ref="QGF42:QGH42"/>
    <mergeCell ref="QNG42:QNI42"/>
    <mergeCell ref="QNJ42:QNL42"/>
    <mergeCell ref="QNM42:QNO42"/>
    <mergeCell ref="QNP42:QNR42"/>
    <mergeCell ref="QNS42:QNU42"/>
    <mergeCell ref="QNV42:QNX42"/>
    <mergeCell ref="QMO42:QMQ42"/>
    <mergeCell ref="QMR42:QMT42"/>
    <mergeCell ref="QMU42:QMW42"/>
    <mergeCell ref="QMX42:QMZ42"/>
    <mergeCell ref="QNA42:QNC42"/>
    <mergeCell ref="QND42:QNF42"/>
    <mergeCell ref="QLW42:QLY42"/>
    <mergeCell ref="QLZ42:QMB42"/>
    <mergeCell ref="QMC42:QME42"/>
    <mergeCell ref="QMF42:QMH42"/>
    <mergeCell ref="QMI42:QMK42"/>
    <mergeCell ref="QML42:QMN42"/>
    <mergeCell ref="QLE42:QLG42"/>
    <mergeCell ref="QLH42:QLJ42"/>
    <mergeCell ref="QLK42:QLM42"/>
    <mergeCell ref="QLN42:QLP42"/>
    <mergeCell ref="QLQ42:QLS42"/>
    <mergeCell ref="QLT42:QLV42"/>
    <mergeCell ref="QKM42:QKO42"/>
    <mergeCell ref="QKP42:QKR42"/>
    <mergeCell ref="QKS42:QKU42"/>
    <mergeCell ref="QKV42:QKX42"/>
    <mergeCell ref="QKY42:QLA42"/>
    <mergeCell ref="QLB42:QLD42"/>
    <mergeCell ref="QJU42:QJW42"/>
    <mergeCell ref="QJX42:QJZ42"/>
    <mergeCell ref="QKA42:QKC42"/>
    <mergeCell ref="QKD42:QKF42"/>
    <mergeCell ref="QKG42:QKI42"/>
    <mergeCell ref="QKJ42:QKL42"/>
    <mergeCell ref="QRK42:QRM42"/>
    <mergeCell ref="QRN42:QRP42"/>
    <mergeCell ref="QRQ42:QRS42"/>
    <mergeCell ref="QRT42:QRV42"/>
    <mergeCell ref="QRW42:QRY42"/>
    <mergeCell ref="QRZ42:QSB42"/>
    <mergeCell ref="QQS42:QQU42"/>
    <mergeCell ref="QQV42:QQX42"/>
    <mergeCell ref="QQY42:QRA42"/>
    <mergeCell ref="QRB42:QRD42"/>
    <mergeCell ref="QRE42:QRG42"/>
    <mergeCell ref="QRH42:QRJ42"/>
    <mergeCell ref="QQA42:QQC42"/>
    <mergeCell ref="QQD42:QQF42"/>
    <mergeCell ref="QQG42:QQI42"/>
    <mergeCell ref="QQJ42:QQL42"/>
    <mergeCell ref="QQM42:QQO42"/>
    <mergeCell ref="QQP42:QQR42"/>
    <mergeCell ref="QPI42:QPK42"/>
    <mergeCell ref="QPL42:QPN42"/>
    <mergeCell ref="QPO42:QPQ42"/>
    <mergeCell ref="QPR42:QPT42"/>
    <mergeCell ref="QPU42:QPW42"/>
    <mergeCell ref="QPX42:QPZ42"/>
    <mergeCell ref="QOQ42:QOS42"/>
    <mergeCell ref="QOT42:QOV42"/>
    <mergeCell ref="QOW42:QOY42"/>
    <mergeCell ref="QOZ42:QPB42"/>
    <mergeCell ref="QPC42:QPE42"/>
    <mergeCell ref="QPF42:QPH42"/>
    <mergeCell ref="QNY42:QOA42"/>
    <mergeCell ref="QOB42:QOD42"/>
    <mergeCell ref="QOE42:QOG42"/>
    <mergeCell ref="QOH42:QOJ42"/>
    <mergeCell ref="QOK42:QOM42"/>
    <mergeCell ref="QON42:QOP42"/>
    <mergeCell ref="QVO42:QVQ42"/>
    <mergeCell ref="QVR42:QVT42"/>
    <mergeCell ref="QVU42:QVW42"/>
    <mergeCell ref="QVX42:QVZ42"/>
    <mergeCell ref="QWA42:QWC42"/>
    <mergeCell ref="QWD42:QWF42"/>
    <mergeCell ref="QUW42:QUY42"/>
    <mergeCell ref="QUZ42:QVB42"/>
    <mergeCell ref="QVC42:QVE42"/>
    <mergeCell ref="QVF42:QVH42"/>
    <mergeCell ref="QVI42:QVK42"/>
    <mergeCell ref="QVL42:QVN42"/>
    <mergeCell ref="QUE42:QUG42"/>
    <mergeCell ref="QUH42:QUJ42"/>
    <mergeCell ref="QUK42:QUM42"/>
    <mergeCell ref="QUN42:QUP42"/>
    <mergeCell ref="QUQ42:QUS42"/>
    <mergeCell ref="QUT42:QUV42"/>
    <mergeCell ref="QTM42:QTO42"/>
    <mergeCell ref="QTP42:QTR42"/>
    <mergeCell ref="QTS42:QTU42"/>
    <mergeCell ref="QTV42:QTX42"/>
    <mergeCell ref="QTY42:QUA42"/>
    <mergeCell ref="QUB42:QUD42"/>
    <mergeCell ref="QSU42:QSW42"/>
    <mergeCell ref="QSX42:QSZ42"/>
    <mergeCell ref="QTA42:QTC42"/>
    <mergeCell ref="QTD42:QTF42"/>
    <mergeCell ref="QTG42:QTI42"/>
    <mergeCell ref="QTJ42:QTL42"/>
    <mergeCell ref="QSC42:QSE42"/>
    <mergeCell ref="QSF42:QSH42"/>
    <mergeCell ref="QSI42:QSK42"/>
    <mergeCell ref="QSL42:QSN42"/>
    <mergeCell ref="QSO42:QSQ42"/>
    <mergeCell ref="QSR42:QST42"/>
    <mergeCell ref="QZS42:QZU42"/>
    <mergeCell ref="QZV42:QZX42"/>
    <mergeCell ref="QZY42:RAA42"/>
    <mergeCell ref="RAB42:RAD42"/>
    <mergeCell ref="RAE42:RAG42"/>
    <mergeCell ref="RAH42:RAJ42"/>
    <mergeCell ref="QZA42:QZC42"/>
    <mergeCell ref="QZD42:QZF42"/>
    <mergeCell ref="QZG42:QZI42"/>
    <mergeCell ref="QZJ42:QZL42"/>
    <mergeCell ref="QZM42:QZO42"/>
    <mergeCell ref="QZP42:QZR42"/>
    <mergeCell ref="QYI42:QYK42"/>
    <mergeCell ref="QYL42:QYN42"/>
    <mergeCell ref="QYO42:QYQ42"/>
    <mergeCell ref="QYR42:QYT42"/>
    <mergeCell ref="QYU42:QYW42"/>
    <mergeCell ref="QYX42:QYZ42"/>
    <mergeCell ref="QXQ42:QXS42"/>
    <mergeCell ref="QXT42:QXV42"/>
    <mergeCell ref="QXW42:QXY42"/>
    <mergeCell ref="QXZ42:QYB42"/>
    <mergeCell ref="QYC42:QYE42"/>
    <mergeCell ref="QYF42:QYH42"/>
    <mergeCell ref="QWY42:QXA42"/>
    <mergeCell ref="QXB42:QXD42"/>
    <mergeCell ref="QXE42:QXG42"/>
    <mergeCell ref="QXH42:QXJ42"/>
    <mergeCell ref="QXK42:QXM42"/>
    <mergeCell ref="QXN42:QXP42"/>
    <mergeCell ref="QWG42:QWI42"/>
    <mergeCell ref="QWJ42:QWL42"/>
    <mergeCell ref="QWM42:QWO42"/>
    <mergeCell ref="QWP42:QWR42"/>
    <mergeCell ref="QWS42:QWU42"/>
    <mergeCell ref="QWV42:QWX42"/>
    <mergeCell ref="RDW42:RDY42"/>
    <mergeCell ref="RDZ42:REB42"/>
    <mergeCell ref="REC42:REE42"/>
    <mergeCell ref="REF42:REH42"/>
    <mergeCell ref="REI42:REK42"/>
    <mergeCell ref="REL42:REN42"/>
    <mergeCell ref="RDE42:RDG42"/>
    <mergeCell ref="RDH42:RDJ42"/>
    <mergeCell ref="RDK42:RDM42"/>
    <mergeCell ref="RDN42:RDP42"/>
    <mergeCell ref="RDQ42:RDS42"/>
    <mergeCell ref="RDT42:RDV42"/>
    <mergeCell ref="RCM42:RCO42"/>
    <mergeCell ref="RCP42:RCR42"/>
    <mergeCell ref="RCS42:RCU42"/>
    <mergeCell ref="RCV42:RCX42"/>
    <mergeCell ref="RCY42:RDA42"/>
    <mergeCell ref="RDB42:RDD42"/>
    <mergeCell ref="RBU42:RBW42"/>
    <mergeCell ref="RBX42:RBZ42"/>
    <mergeCell ref="RCA42:RCC42"/>
    <mergeCell ref="RCD42:RCF42"/>
    <mergeCell ref="RCG42:RCI42"/>
    <mergeCell ref="RCJ42:RCL42"/>
    <mergeCell ref="RBC42:RBE42"/>
    <mergeCell ref="RBF42:RBH42"/>
    <mergeCell ref="RBI42:RBK42"/>
    <mergeCell ref="RBL42:RBN42"/>
    <mergeCell ref="RBO42:RBQ42"/>
    <mergeCell ref="RBR42:RBT42"/>
    <mergeCell ref="RAK42:RAM42"/>
    <mergeCell ref="RAN42:RAP42"/>
    <mergeCell ref="RAQ42:RAS42"/>
    <mergeCell ref="RAT42:RAV42"/>
    <mergeCell ref="RAW42:RAY42"/>
    <mergeCell ref="RAZ42:RBB42"/>
    <mergeCell ref="RIA42:RIC42"/>
    <mergeCell ref="RID42:RIF42"/>
    <mergeCell ref="RIG42:RII42"/>
    <mergeCell ref="RIJ42:RIL42"/>
    <mergeCell ref="RIM42:RIO42"/>
    <mergeCell ref="RIP42:RIR42"/>
    <mergeCell ref="RHI42:RHK42"/>
    <mergeCell ref="RHL42:RHN42"/>
    <mergeCell ref="RHO42:RHQ42"/>
    <mergeCell ref="RHR42:RHT42"/>
    <mergeCell ref="RHU42:RHW42"/>
    <mergeCell ref="RHX42:RHZ42"/>
    <mergeCell ref="RGQ42:RGS42"/>
    <mergeCell ref="RGT42:RGV42"/>
    <mergeCell ref="RGW42:RGY42"/>
    <mergeCell ref="RGZ42:RHB42"/>
    <mergeCell ref="RHC42:RHE42"/>
    <mergeCell ref="RHF42:RHH42"/>
    <mergeCell ref="RFY42:RGA42"/>
    <mergeCell ref="RGB42:RGD42"/>
    <mergeCell ref="RGE42:RGG42"/>
    <mergeCell ref="RGH42:RGJ42"/>
    <mergeCell ref="RGK42:RGM42"/>
    <mergeCell ref="RGN42:RGP42"/>
    <mergeCell ref="RFG42:RFI42"/>
    <mergeCell ref="RFJ42:RFL42"/>
    <mergeCell ref="RFM42:RFO42"/>
    <mergeCell ref="RFP42:RFR42"/>
    <mergeCell ref="RFS42:RFU42"/>
    <mergeCell ref="RFV42:RFX42"/>
    <mergeCell ref="REO42:REQ42"/>
    <mergeCell ref="RER42:RET42"/>
    <mergeCell ref="REU42:REW42"/>
    <mergeCell ref="REX42:REZ42"/>
    <mergeCell ref="RFA42:RFC42"/>
    <mergeCell ref="RFD42:RFF42"/>
    <mergeCell ref="RME42:RMG42"/>
    <mergeCell ref="RMH42:RMJ42"/>
    <mergeCell ref="RMK42:RMM42"/>
    <mergeCell ref="RMN42:RMP42"/>
    <mergeCell ref="RMQ42:RMS42"/>
    <mergeCell ref="RMT42:RMV42"/>
    <mergeCell ref="RLM42:RLO42"/>
    <mergeCell ref="RLP42:RLR42"/>
    <mergeCell ref="RLS42:RLU42"/>
    <mergeCell ref="RLV42:RLX42"/>
    <mergeCell ref="RLY42:RMA42"/>
    <mergeCell ref="RMB42:RMD42"/>
    <mergeCell ref="RKU42:RKW42"/>
    <mergeCell ref="RKX42:RKZ42"/>
    <mergeCell ref="RLA42:RLC42"/>
    <mergeCell ref="RLD42:RLF42"/>
    <mergeCell ref="RLG42:RLI42"/>
    <mergeCell ref="RLJ42:RLL42"/>
    <mergeCell ref="RKC42:RKE42"/>
    <mergeCell ref="RKF42:RKH42"/>
    <mergeCell ref="RKI42:RKK42"/>
    <mergeCell ref="RKL42:RKN42"/>
    <mergeCell ref="RKO42:RKQ42"/>
    <mergeCell ref="RKR42:RKT42"/>
    <mergeCell ref="RJK42:RJM42"/>
    <mergeCell ref="RJN42:RJP42"/>
    <mergeCell ref="RJQ42:RJS42"/>
    <mergeCell ref="RJT42:RJV42"/>
    <mergeCell ref="RJW42:RJY42"/>
    <mergeCell ref="RJZ42:RKB42"/>
    <mergeCell ref="RIS42:RIU42"/>
    <mergeCell ref="RIV42:RIX42"/>
    <mergeCell ref="RIY42:RJA42"/>
    <mergeCell ref="RJB42:RJD42"/>
    <mergeCell ref="RJE42:RJG42"/>
    <mergeCell ref="RJH42:RJJ42"/>
    <mergeCell ref="RQI42:RQK42"/>
    <mergeCell ref="RQL42:RQN42"/>
    <mergeCell ref="RQO42:RQQ42"/>
    <mergeCell ref="RQR42:RQT42"/>
    <mergeCell ref="RQU42:RQW42"/>
    <mergeCell ref="RQX42:RQZ42"/>
    <mergeCell ref="RPQ42:RPS42"/>
    <mergeCell ref="RPT42:RPV42"/>
    <mergeCell ref="RPW42:RPY42"/>
    <mergeCell ref="RPZ42:RQB42"/>
    <mergeCell ref="RQC42:RQE42"/>
    <mergeCell ref="RQF42:RQH42"/>
    <mergeCell ref="ROY42:RPA42"/>
    <mergeCell ref="RPB42:RPD42"/>
    <mergeCell ref="RPE42:RPG42"/>
    <mergeCell ref="RPH42:RPJ42"/>
    <mergeCell ref="RPK42:RPM42"/>
    <mergeCell ref="RPN42:RPP42"/>
    <mergeCell ref="ROG42:ROI42"/>
    <mergeCell ref="ROJ42:ROL42"/>
    <mergeCell ref="ROM42:ROO42"/>
    <mergeCell ref="ROP42:ROR42"/>
    <mergeCell ref="ROS42:ROU42"/>
    <mergeCell ref="ROV42:ROX42"/>
    <mergeCell ref="RNO42:RNQ42"/>
    <mergeCell ref="RNR42:RNT42"/>
    <mergeCell ref="RNU42:RNW42"/>
    <mergeCell ref="RNX42:RNZ42"/>
    <mergeCell ref="ROA42:ROC42"/>
    <mergeCell ref="ROD42:ROF42"/>
    <mergeCell ref="RMW42:RMY42"/>
    <mergeCell ref="RMZ42:RNB42"/>
    <mergeCell ref="RNC42:RNE42"/>
    <mergeCell ref="RNF42:RNH42"/>
    <mergeCell ref="RNI42:RNK42"/>
    <mergeCell ref="RNL42:RNN42"/>
    <mergeCell ref="RUM42:RUO42"/>
    <mergeCell ref="RUP42:RUR42"/>
    <mergeCell ref="RUS42:RUU42"/>
    <mergeCell ref="RUV42:RUX42"/>
    <mergeCell ref="RUY42:RVA42"/>
    <mergeCell ref="RVB42:RVD42"/>
    <mergeCell ref="RTU42:RTW42"/>
    <mergeCell ref="RTX42:RTZ42"/>
    <mergeCell ref="RUA42:RUC42"/>
    <mergeCell ref="RUD42:RUF42"/>
    <mergeCell ref="RUG42:RUI42"/>
    <mergeCell ref="RUJ42:RUL42"/>
    <mergeCell ref="RTC42:RTE42"/>
    <mergeCell ref="RTF42:RTH42"/>
    <mergeCell ref="RTI42:RTK42"/>
    <mergeCell ref="RTL42:RTN42"/>
    <mergeCell ref="RTO42:RTQ42"/>
    <mergeCell ref="RTR42:RTT42"/>
    <mergeCell ref="RSK42:RSM42"/>
    <mergeCell ref="RSN42:RSP42"/>
    <mergeCell ref="RSQ42:RSS42"/>
    <mergeCell ref="RST42:RSV42"/>
    <mergeCell ref="RSW42:RSY42"/>
    <mergeCell ref="RSZ42:RTB42"/>
    <mergeCell ref="RRS42:RRU42"/>
    <mergeCell ref="RRV42:RRX42"/>
    <mergeCell ref="RRY42:RSA42"/>
    <mergeCell ref="RSB42:RSD42"/>
    <mergeCell ref="RSE42:RSG42"/>
    <mergeCell ref="RSH42:RSJ42"/>
    <mergeCell ref="RRA42:RRC42"/>
    <mergeCell ref="RRD42:RRF42"/>
    <mergeCell ref="RRG42:RRI42"/>
    <mergeCell ref="RRJ42:RRL42"/>
    <mergeCell ref="RRM42:RRO42"/>
    <mergeCell ref="RRP42:RRR42"/>
    <mergeCell ref="RYQ42:RYS42"/>
    <mergeCell ref="RYT42:RYV42"/>
    <mergeCell ref="RYW42:RYY42"/>
    <mergeCell ref="RYZ42:RZB42"/>
    <mergeCell ref="RZC42:RZE42"/>
    <mergeCell ref="RZF42:RZH42"/>
    <mergeCell ref="RXY42:RYA42"/>
    <mergeCell ref="RYB42:RYD42"/>
    <mergeCell ref="RYE42:RYG42"/>
    <mergeCell ref="RYH42:RYJ42"/>
    <mergeCell ref="RYK42:RYM42"/>
    <mergeCell ref="RYN42:RYP42"/>
    <mergeCell ref="RXG42:RXI42"/>
    <mergeCell ref="RXJ42:RXL42"/>
    <mergeCell ref="RXM42:RXO42"/>
    <mergeCell ref="RXP42:RXR42"/>
    <mergeCell ref="RXS42:RXU42"/>
    <mergeCell ref="RXV42:RXX42"/>
    <mergeCell ref="RWO42:RWQ42"/>
    <mergeCell ref="RWR42:RWT42"/>
    <mergeCell ref="RWU42:RWW42"/>
    <mergeCell ref="RWX42:RWZ42"/>
    <mergeCell ref="RXA42:RXC42"/>
    <mergeCell ref="RXD42:RXF42"/>
    <mergeCell ref="RVW42:RVY42"/>
    <mergeCell ref="RVZ42:RWB42"/>
    <mergeCell ref="RWC42:RWE42"/>
    <mergeCell ref="RWF42:RWH42"/>
    <mergeCell ref="RWI42:RWK42"/>
    <mergeCell ref="RWL42:RWN42"/>
    <mergeCell ref="RVE42:RVG42"/>
    <mergeCell ref="RVH42:RVJ42"/>
    <mergeCell ref="RVK42:RVM42"/>
    <mergeCell ref="RVN42:RVP42"/>
    <mergeCell ref="RVQ42:RVS42"/>
    <mergeCell ref="RVT42:RVV42"/>
    <mergeCell ref="SCU42:SCW42"/>
    <mergeCell ref="SCX42:SCZ42"/>
    <mergeCell ref="SDA42:SDC42"/>
    <mergeCell ref="SDD42:SDF42"/>
    <mergeCell ref="SDG42:SDI42"/>
    <mergeCell ref="SDJ42:SDL42"/>
    <mergeCell ref="SCC42:SCE42"/>
    <mergeCell ref="SCF42:SCH42"/>
    <mergeCell ref="SCI42:SCK42"/>
    <mergeCell ref="SCL42:SCN42"/>
    <mergeCell ref="SCO42:SCQ42"/>
    <mergeCell ref="SCR42:SCT42"/>
    <mergeCell ref="SBK42:SBM42"/>
    <mergeCell ref="SBN42:SBP42"/>
    <mergeCell ref="SBQ42:SBS42"/>
    <mergeCell ref="SBT42:SBV42"/>
    <mergeCell ref="SBW42:SBY42"/>
    <mergeCell ref="SBZ42:SCB42"/>
    <mergeCell ref="SAS42:SAU42"/>
    <mergeCell ref="SAV42:SAX42"/>
    <mergeCell ref="SAY42:SBA42"/>
    <mergeCell ref="SBB42:SBD42"/>
    <mergeCell ref="SBE42:SBG42"/>
    <mergeCell ref="SBH42:SBJ42"/>
    <mergeCell ref="SAA42:SAC42"/>
    <mergeCell ref="SAD42:SAF42"/>
    <mergeCell ref="SAG42:SAI42"/>
    <mergeCell ref="SAJ42:SAL42"/>
    <mergeCell ref="SAM42:SAO42"/>
    <mergeCell ref="SAP42:SAR42"/>
    <mergeCell ref="RZI42:RZK42"/>
    <mergeCell ref="RZL42:RZN42"/>
    <mergeCell ref="RZO42:RZQ42"/>
    <mergeCell ref="RZR42:RZT42"/>
    <mergeCell ref="RZU42:RZW42"/>
    <mergeCell ref="RZX42:RZZ42"/>
    <mergeCell ref="SGY42:SHA42"/>
    <mergeCell ref="SHB42:SHD42"/>
    <mergeCell ref="SHE42:SHG42"/>
    <mergeCell ref="SHH42:SHJ42"/>
    <mergeCell ref="SHK42:SHM42"/>
    <mergeCell ref="SHN42:SHP42"/>
    <mergeCell ref="SGG42:SGI42"/>
    <mergeCell ref="SGJ42:SGL42"/>
    <mergeCell ref="SGM42:SGO42"/>
    <mergeCell ref="SGP42:SGR42"/>
    <mergeCell ref="SGS42:SGU42"/>
    <mergeCell ref="SGV42:SGX42"/>
    <mergeCell ref="SFO42:SFQ42"/>
    <mergeCell ref="SFR42:SFT42"/>
    <mergeCell ref="SFU42:SFW42"/>
    <mergeCell ref="SFX42:SFZ42"/>
    <mergeCell ref="SGA42:SGC42"/>
    <mergeCell ref="SGD42:SGF42"/>
    <mergeCell ref="SEW42:SEY42"/>
    <mergeCell ref="SEZ42:SFB42"/>
    <mergeCell ref="SFC42:SFE42"/>
    <mergeCell ref="SFF42:SFH42"/>
    <mergeCell ref="SFI42:SFK42"/>
    <mergeCell ref="SFL42:SFN42"/>
    <mergeCell ref="SEE42:SEG42"/>
    <mergeCell ref="SEH42:SEJ42"/>
    <mergeCell ref="SEK42:SEM42"/>
    <mergeCell ref="SEN42:SEP42"/>
    <mergeCell ref="SEQ42:SES42"/>
    <mergeCell ref="SET42:SEV42"/>
    <mergeCell ref="SDM42:SDO42"/>
    <mergeCell ref="SDP42:SDR42"/>
    <mergeCell ref="SDS42:SDU42"/>
    <mergeCell ref="SDV42:SDX42"/>
    <mergeCell ref="SDY42:SEA42"/>
    <mergeCell ref="SEB42:SED42"/>
    <mergeCell ref="SLC42:SLE42"/>
    <mergeCell ref="SLF42:SLH42"/>
    <mergeCell ref="SLI42:SLK42"/>
    <mergeCell ref="SLL42:SLN42"/>
    <mergeCell ref="SLO42:SLQ42"/>
    <mergeCell ref="SLR42:SLT42"/>
    <mergeCell ref="SKK42:SKM42"/>
    <mergeCell ref="SKN42:SKP42"/>
    <mergeCell ref="SKQ42:SKS42"/>
    <mergeCell ref="SKT42:SKV42"/>
    <mergeCell ref="SKW42:SKY42"/>
    <mergeCell ref="SKZ42:SLB42"/>
    <mergeCell ref="SJS42:SJU42"/>
    <mergeCell ref="SJV42:SJX42"/>
    <mergeCell ref="SJY42:SKA42"/>
    <mergeCell ref="SKB42:SKD42"/>
    <mergeCell ref="SKE42:SKG42"/>
    <mergeCell ref="SKH42:SKJ42"/>
    <mergeCell ref="SJA42:SJC42"/>
    <mergeCell ref="SJD42:SJF42"/>
    <mergeCell ref="SJG42:SJI42"/>
    <mergeCell ref="SJJ42:SJL42"/>
    <mergeCell ref="SJM42:SJO42"/>
    <mergeCell ref="SJP42:SJR42"/>
    <mergeCell ref="SII42:SIK42"/>
    <mergeCell ref="SIL42:SIN42"/>
    <mergeCell ref="SIO42:SIQ42"/>
    <mergeCell ref="SIR42:SIT42"/>
    <mergeCell ref="SIU42:SIW42"/>
    <mergeCell ref="SIX42:SIZ42"/>
    <mergeCell ref="SHQ42:SHS42"/>
    <mergeCell ref="SHT42:SHV42"/>
    <mergeCell ref="SHW42:SHY42"/>
    <mergeCell ref="SHZ42:SIB42"/>
    <mergeCell ref="SIC42:SIE42"/>
    <mergeCell ref="SIF42:SIH42"/>
    <mergeCell ref="SPG42:SPI42"/>
    <mergeCell ref="SPJ42:SPL42"/>
    <mergeCell ref="SPM42:SPO42"/>
    <mergeCell ref="SPP42:SPR42"/>
    <mergeCell ref="SPS42:SPU42"/>
    <mergeCell ref="SPV42:SPX42"/>
    <mergeCell ref="SOO42:SOQ42"/>
    <mergeCell ref="SOR42:SOT42"/>
    <mergeCell ref="SOU42:SOW42"/>
    <mergeCell ref="SOX42:SOZ42"/>
    <mergeCell ref="SPA42:SPC42"/>
    <mergeCell ref="SPD42:SPF42"/>
    <mergeCell ref="SNW42:SNY42"/>
    <mergeCell ref="SNZ42:SOB42"/>
    <mergeCell ref="SOC42:SOE42"/>
    <mergeCell ref="SOF42:SOH42"/>
    <mergeCell ref="SOI42:SOK42"/>
    <mergeCell ref="SOL42:SON42"/>
    <mergeCell ref="SNE42:SNG42"/>
    <mergeCell ref="SNH42:SNJ42"/>
    <mergeCell ref="SNK42:SNM42"/>
    <mergeCell ref="SNN42:SNP42"/>
    <mergeCell ref="SNQ42:SNS42"/>
    <mergeCell ref="SNT42:SNV42"/>
    <mergeCell ref="SMM42:SMO42"/>
    <mergeCell ref="SMP42:SMR42"/>
    <mergeCell ref="SMS42:SMU42"/>
    <mergeCell ref="SMV42:SMX42"/>
    <mergeCell ref="SMY42:SNA42"/>
    <mergeCell ref="SNB42:SND42"/>
    <mergeCell ref="SLU42:SLW42"/>
    <mergeCell ref="SLX42:SLZ42"/>
    <mergeCell ref="SMA42:SMC42"/>
    <mergeCell ref="SMD42:SMF42"/>
    <mergeCell ref="SMG42:SMI42"/>
    <mergeCell ref="SMJ42:SML42"/>
    <mergeCell ref="STK42:STM42"/>
    <mergeCell ref="STN42:STP42"/>
    <mergeCell ref="STQ42:STS42"/>
    <mergeCell ref="STT42:STV42"/>
    <mergeCell ref="STW42:STY42"/>
    <mergeCell ref="STZ42:SUB42"/>
    <mergeCell ref="SSS42:SSU42"/>
    <mergeCell ref="SSV42:SSX42"/>
    <mergeCell ref="SSY42:STA42"/>
    <mergeCell ref="STB42:STD42"/>
    <mergeCell ref="STE42:STG42"/>
    <mergeCell ref="STH42:STJ42"/>
    <mergeCell ref="SSA42:SSC42"/>
    <mergeCell ref="SSD42:SSF42"/>
    <mergeCell ref="SSG42:SSI42"/>
    <mergeCell ref="SSJ42:SSL42"/>
    <mergeCell ref="SSM42:SSO42"/>
    <mergeCell ref="SSP42:SSR42"/>
    <mergeCell ref="SRI42:SRK42"/>
    <mergeCell ref="SRL42:SRN42"/>
    <mergeCell ref="SRO42:SRQ42"/>
    <mergeCell ref="SRR42:SRT42"/>
    <mergeCell ref="SRU42:SRW42"/>
    <mergeCell ref="SRX42:SRZ42"/>
    <mergeCell ref="SQQ42:SQS42"/>
    <mergeCell ref="SQT42:SQV42"/>
    <mergeCell ref="SQW42:SQY42"/>
    <mergeCell ref="SQZ42:SRB42"/>
    <mergeCell ref="SRC42:SRE42"/>
    <mergeCell ref="SRF42:SRH42"/>
    <mergeCell ref="SPY42:SQA42"/>
    <mergeCell ref="SQB42:SQD42"/>
    <mergeCell ref="SQE42:SQG42"/>
    <mergeCell ref="SQH42:SQJ42"/>
    <mergeCell ref="SQK42:SQM42"/>
    <mergeCell ref="SQN42:SQP42"/>
    <mergeCell ref="SXO42:SXQ42"/>
    <mergeCell ref="SXR42:SXT42"/>
    <mergeCell ref="SXU42:SXW42"/>
    <mergeCell ref="SXX42:SXZ42"/>
    <mergeCell ref="SYA42:SYC42"/>
    <mergeCell ref="SYD42:SYF42"/>
    <mergeCell ref="SWW42:SWY42"/>
    <mergeCell ref="SWZ42:SXB42"/>
    <mergeCell ref="SXC42:SXE42"/>
    <mergeCell ref="SXF42:SXH42"/>
    <mergeCell ref="SXI42:SXK42"/>
    <mergeCell ref="SXL42:SXN42"/>
    <mergeCell ref="SWE42:SWG42"/>
    <mergeCell ref="SWH42:SWJ42"/>
    <mergeCell ref="SWK42:SWM42"/>
    <mergeCell ref="SWN42:SWP42"/>
    <mergeCell ref="SWQ42:SWS42"/>
    <mergeCell ref="SWT42:SWV42"/>
    <mergeCell ref="SVM42:SVO42"/>
    <mergeCell ref="SVP42:SVR42"/>
    <mergeCell ref="SVS42:SVU42"/>
    <mergeCell ref="SVV42:SVX42"/>
    <mergeCell ref="SVY42:SWA42"/>
    <mergeCell ref="SWB42:SWD42"/>
    <mergeCell ref="SUU42:SUW42"/>
    <mergeCell ref="SUX42:SUZ42"/>
    <mergeCell ref="SVA42:SVC42"/>
    <mergeCell ref="SVD42:SVF42"/>
    <mergeCell ref="SVG42:SVI42"/>
    <mergeCell ref="SVJ42:SVL42"/>
    <mergeCell ref="SUC42:SUE42"/>
    <mergeCell ref="SUF42:SUH42"/>
    <mergeCell ref="SUI42:SUK42"/>
    <mergeCell ref="SUL42:SUN42"/>
    <mergeCell ref="SUO42:SUQ42"/>
    <mergeCell ref="SUR42:SUT42"/>
    <mergeCell ref="TBS42:TBU42"/>
    <mergeCell ref="TBV42:TBX42"/>
    <mergeCell ref="TBY42:TCA42"/>
    <mergeCell ref="TCB42:TCD42"/>
    <mergeCell ref="TCE42:TCG42"/>
    <mergeCell ref="TCH42:TCJ42"/>
    <mergeCell ref="TBA42:TBC42"/>
    <mergeCell ref="TBD42:TBF42"/>
    <mergeCell ref="TBG42:TBI42"/>
    <mergeCell ref="TBJ42:TBL42"/>
    <mergeCell ref="TBM42:TBO42"/>
    <mergeCell ref="TBP42:TBR42"/>
    <mergeCell ref="TAI42:TAK42"/>
    <mergeCell ref="TAL42:TAN42"/>
    <mergeCell ref="TAO42:TAQ42"/>
    <mergeCell ref="TAR42:TAT42"/>
    <mergeCell ref="TAU42:TAW42"/>
    <mergeCell ref="TAX42:TAZ42"/>
    <mergeCell ref="SZQ42:SZS42"/>
    <mergeCell ref="SZT42:SZV42"/>
    <mergeCell ref="SZW42:SZY42"/>
    <mergeCell ref="SZZ42:TAB42"/>
    <mergeCell ref="TAC42:TAE42"/>
    <mergeCell ref="TAF42:TAH42"/>
    <mergeCell ref="SYY42:SZA42"/>
    <mergeCell ref="SZB42:SZD42"/>
    <mergeCell ref="SZE42:SZG42"/>
    <mergeCell ref="SZH42:SZJ42"/>
    <mergeCell ref="SZK42:SZM42"/>
    <mergeCell ref="SZN42:SZP42"/>
    <mergeCell ref="SYG42:SYI42"/>
    <mergeCell ref="SYJ42:SYL42"/>
    <mergeCell ref="SYM42:SYO42"/>
    <mergeCell ref="SYP42:SYR42"/>
    <mergeCell ref="SYS42:SYU42"/>
    <mergeCell ref="SYV42:SYX42"/>
    <mergeCell ref="TFW42:TFY42"/>
    <mergeCell ref="TFZ42:TGB42"/>
    <mergeCell ref="TGC42:TGE42"/>
    <mergeCell ref="TGF42:TGH42"/>
    <mergeCell ref="TGI42:TGK42"/>
    <mergeCell ref="TGL42:TGN42"/>
    <mergeCell ref="TFE42:TFG42"/>
    <mergeCell ref="TFH42:TFJ42"/>
    <mergeCell ref="TFK42:TFM42"/>
    <mergeCell ref="TFN42:TFP42"/>
    <mergeCell ref="TFQ42:TFS42"/>
    <mergeCell ref="TFT42:TFV42"/>
    <mergeCell ref="TEM42:TEO42"/>
    <mergeCell ref="TEP42:TER42"/>
    <mergeCell ref="TES42:TEU42"/>
    <mergeCell ref="TEV42:TEX42"/>
    <mergeCell ref="TEY42:TFA42"/>
    <mergeCell ref="TFB42:TFD42"/>
    <mergeCell ref="TDU42:TDW42"/>
    <mergeCell ref="TDX42:TDZ42"/>
    <mergeCell ref="TEA42:TEC42"/>
    <mergeCell ref="TED42:TEF42"/>
    <mergeCell ref="TEG42:TEI42"/>
    <mergeCell ref="TEJ42:TEL42"/>
    <mergeCell ref="TDC42:TDE42"/>
    <mergeCell ref="TDF42:TDH42"/>
    <mergeCell ref="TDI42:TDK42"/>
    <mergeCell ref="TDL42:TDN42"/>
    <mergeCell ref="TDO42:TDQ42"/>
    <mergeCell ref="TDR42:TDT42"/>
    <mergeCell ref="TCK42:TCM42"/>
    <mergeCell ref="TCN42:TCP42"/>
    <mergeCell ref="TCQ42:TCS42"/>
    <mergeCell ref="TCT42:TCV42"/>
    <mergeCell ref="TCW42:TCY42"/>
    <mergeCell ref="TCZ42:TDB42"/>
    <mergeCell ref="TKA42:TKC42"/>
    <mergeCell ref="TKD42:TKF42"/>
    <mergeCell ref="TKG42:TKI42"/>
    <mergeCell ref="TKJ42:TKL42"/>
    <mergeCell ref="TKM42:TKO42"/>
    <mergeCell ref="TKP42:TKR42"/>
    <mergeCell ref="TJI42:TJK42"/>
    <mergeCell ref="TJL42:TJN42"/>
    <mergeCell ref="TJO42:TJQ42"/>
    <mergeCell ref="TJR42:TJT42"/>
    <mergeCell ref="TJU42:TJW42"/>
    <mergeCell ref="TJX42:TJZ42"/>
    <mergeCell ref="TIQ42:TIS42"/>
    <mergeCell ref="TIT42:TIV42"/>
    <mergeCell ref="TIW42:TIY42"/>
    <mergeCell ref="TIZ42:TJB42"/>
    <mergeCell ref="TJC42:TJE42"/>
    <mergeCell ref="TJF42:TJH42"/>
    <mergeCell ref="THY42:TIA42"/>
    <mergeCell ref="TIB42:TID42"/>
    <mergeCell ref="TIE42:TIG42"/>
    <mergeCell ref="TIH42:TIJ42"/>
    <mergeCell ref="TIK42:TIM42"/>
    <mergeCell ref="TIN42:TIP42"/>
    <mergeCell ref="THG42:THI42"/>
    <mergeCell ref="THJ42:THL42"/>
    <mergeCell ref="THM42:THO42"/>
    <mergeCell ref="THP42:THR42"/>
    <mergeCell ref="THS42:THU42"/>
    <mergeCell ref="THV42:THX42"/>
    <mergeCell ref="TGO42:TGQ42"/>
    <mergeCell ref="TGR42:TGT42"/>
    <mergeCell ref="TGU42:TGW42"/>
    <mergeCell ref="TGX42:TGZ42"/>
    <mergeCell ref="THA42:THC42"/>
    <mergeCell ref="THD42:THF42"/>
    <mergeCell ref="TOE42:TOG42"/>
    <mergeCell ref="TOH42:TOJ42"/>
    <mergeCell ref="TOK42:TOM42"/>
    <mergeCell ref="TON42:TOP42"/>
    <mergeCell ref="TOQ42:TOS42"/>
    <mergeCell ref="TOT42:TOV42"/>
    <mergeCell ref="TNM42:TNO42"/>
    <mergeCell ref="TNP42:TNR42"/>
    <mergeCell ref="TNS42:TNU42"/>
    <mergeCell ref="TNV42:TNX42"/>
    <mergeCell ref="TNY42:TOA42"/>
    <mergeCell ref="TOB42:TOD42"/>
    <mergeCell ref="TMU42:TMW42"/>
    <mergeCell ref="TMX42:TMZ42"/>
    <mergeCell ref="TNA42:TNC42"/>
    <mergeCell ref="TND42:TNF42"/>
    <mergeCell ref="TNG42:TNI42"/>
    <mergeCell ref="TNJ42:TNL42"/>
    <mergeCell ref="TMC42:TME42"/>
    <mergeCell ref="TMF42:TMH42"/>
    <mergeCell ref="TMI42:TMK42"/>
    <mergeCell ref="TML42:TMN42"/>
    <mergeCell ref="TMO42:TMQ42"/>
    <mergeCell ref="TMR42:TMT42"/>
    <mergeCell ref="TLK42:TLM42"/>
    <mergeCell ref="TLN42:TLP42"/>
    <mergeCell ref="TLQ42:TLS42"/>
    <mergeCell ref="TLT42:TLV42"/>
    <mergeCell ref="TLW42:TLY42"/>
    <mergeCell ref="TLZ42:TMB42"/>
    <mergeCell ref="TKS42:TKU42"/>
    <mergeCell ref="TKV42:TKX42"/>
    <mergeCell ref="TKY42:TLA42"/>
    <mergeCell ref="TLB42:TLD42"/>
    <mergeCell ref="TLE42:TLG42"/>
    <mergeCell ref="TLH42:TLJ42"/>
    <mergeCell ref="TSI42:TSK42"/>
    <mergeCell ref="TSL42:TSN42"/>
    <mergeCell ref="TSO42:TSQ42"/>
    <mergeCell ref="TSR42:TST42"/>
    <mergeCell ref="TSU42:TSW42"/>
    <mergeCell ref="TSX42:TSZ42"/>
    <mergeCell ref="TRQ42:TRS42"/>
    <mergeCell ref="TRT42:TRV42"/>
    <mergeCell ref="TRW42:TRY42"/>
    <mergeCell ref="TRZ42:TSB42"/>
    <mergeCell ref="TSC42:TSE42"/>
    <mergeCell ref="TSF42:TSH42"/>
    <mergeCell ref="TQY42:TRA42"/>
    <mergeCell ref="TRB42:TRD42"/>
    <mergeCell ref="TRE42:TRG42"/>
    <mergeCell ref="TRH42:TRJ42"/>
    <mergeCell ref="TRK42:TRM42"/>
    <mergeCell ref="TRN42:TRP42"/>
    <mergeCell ref="TQG42:TQI42"/>
    <mergeCell ref="TQJ42:TQL42"/>
    <mergeCell ref="TQM42:TQO42"/>
    <mergeCell ref="TQP42:TQR42"/>
    <mergeCell ref="TQS42:TQU42"/>
    <mergeCell ref="TQV42:TQX42"/>
    <mergeCell ref="TPO42:TPQ42"/>
    <mergeCell ref="TPR42:TPT42"/>
    <mergeCell ref="TPU42:TPW42"/>
    <mergeCell ref="TPX42:TPZ42"/>
    <mergeCell ref="TQA42:TQC42"/>
    <mergeCell ref="TQD42:TQF42"/>
    <mergeCell ref="TOW42:TOY42"/>
    <mergeCell ref="TOZ42:TPB42"/>
    <mergeCell ref="TPC42:TPE42"/>
    <mergeCell ref="TPF42:TPH42"/>
    <mergeCell ref="TPI42:TPK42"/>
    <mergeCell ref="TPL42:TPN42"/>
    <mergeCell ref="TWM42:TWO42"/>
    <mergeCell ref="TWP42:TWR42"/>
    <mergeCell ref="TWS42:TWU42"/>
    <mergeCell ref="TWV42:TWX42"/>
    <mergeCell ref="TWY42:TXA42"/>
    <mergeCell ref="TXB42:TXD42"/>
    <mergeCell ref="TVU42:TVW42"/>
    <mergeCell ref="TVX42:TVZ42"/>
    <mergeCell ref="TWA42:TWC42"/>
    <mergeCell ref="TWD42:TWF42"/>
    <mergeCell ref="TWG42:TWI42"/>
    <mergeCell ref="TWJ42:TWL42"/>
    <mergeCell ref="TVC42:TVE42"/>
    <mergeCell ref="TVF42:TVH42"/>
    <mergeCell ref="TVI42:TVK42"/>
    <mergeCell ref="TVL42:TVN42"/>
    <mergeCell ref="TVO42:TVQ42"/>
    <mergeCell ref="TVR42:TVT42"/>
    <mergeCell ref="TUK42:TUM42"/>
    <mergeCell ref="TUN42:TUP42"/>
    <mergeCell ref="TUQ42:TUS42"/>
    <mergeCell ref="TUT42:TUV42"/>
    <mergeCell ref="TUW42:TUY42"/>
    <mergeCell ref="TUZ42:TVB42"/>
    <mergeCell ref="TTS42:TTU42"/>
    <mergeCell ref="TTV42:TTX42"/>
    <mergeCell ref="TTY42:TUA42"/>
    <mergeCell ref="TUB42:TUD42"/>
    <mergeCell ref="TUE42:TUG42"/>
    <mergeCell ref="TUH42:TUJ42"/>
    <mergeCell ref="TTA42:TTC42"/>
    <mergeCell ref="TTD42:TTF42"/>
    <mergeCell ref="TTG42:TTI42"/>
    <mergeCell ref="TTJ42:TTL42"/>
    <mergeCell ref="TTM42:TTO42"/>
    <mergeCell ref="TTP42:TTR42"/>
    <mergeCell ref="UAQ42:UAS42"/>
    <mergeCell ref="UAT42:UAV42"/>
    <mergeCell ref="UAW42:UAY42"/>
    <mergeCell ref="UAZ42:UBB42"/>
    <mergeCell ref="UBC42:UBE42"/>
    <mergeCell ref="UBF42:UBH42"/>
    <mergeCell ref="TZY42:UAA42"/>
    <mergeCell ref="UAB42:UAD42"/>
    <mergeCell ref="UAE42:UAG42"/>
    <mergeCell ref="UAH42:UAJ42"/>
    <mergeCell ref="UAK42:UAM42"/>
    <mergeCell ref="UAN42:UAP42"/>
    <mergeCell ref="TZG42:TZI42"/>
    <mergeCell ref="TZJ42:TZL42"/>
    <mergeCell ref="TZM42:TZO42"/>
    <mergeCell ref="TZP42:TZR42"/>
    <mergeCell ref="TZS42:TZU42"/>
    <mergeCell ref="TZV42:TZX42"/>
    <mergeCell ref="TYO42:TYQ42"/>
    <mergeCell ref="TYR42:TYT42"/>
    <mergeCell ref="TYU42:TYW42"/>
    <mergeCell ref="TYX42:TYZ42"/>
    <mergeCell ref="TZA42:TZC42"/>
    <mergeCell ref="TZD42:TZF42"/>
    <mergeCell ref="TXW42:TXY42"/>
    <mergeCell ref="TXZ42:TYB42"/>
    <mergeCell ref="TYC42:TYE42"/>
    <mergeCell ref="TYF42:TYH42"/>
    <mergeCell ref="TYI42:TYK42"/>
    <mergeCell ref="TYL42:TYN42"/>
    <mergeCell ref="TXE42:TXG42"/>
    <mergeCell ref="TXH42:TXJ42"/>
    <mergeCell ref="TXK42:TXM42"/>
    <mergeCell ref="TXN42:TXP42"/>
    <mergeCell ref="TXQ42:TXS42"/>
    <mergeCell ref="TXT42:TXV42"/>
    <mergeCell ref="UEU42:UEW42"/>
    <mergeCell ref="UEX42:UEZ42"/>
    <mergeCell ref="UFA42:UFC42"/>
    <mergeCell ref="UFD42:UFF42"/>
    <mergeCell ref="UFG42:UFI42"/>
    <mergeCell ref="UFJ42:UFL42"/>
    <mergeCell ref="UEC42:UEE42"/>
    <mergeCell ref="UEF42:UEH42"/>
    <mergeCell ref="UEI42:UEK42"/>
    <mergeCell ref="UEL42:UEN42"/>
    <mergeCell ref="UEO42:UEQ42"/>
    <mergeCell ref="UER42:UET42"/>
    <mergeCell ref="UDK42:UDM42"/>
    <mergeCell ref="UDN42:UDP42"/>
    <mergeCell ref="UDQ42:UDS42"/>
    <mergeCell ref="UDT42:UDV42"/>
    <mergeCell ref="UDW42:UDY42"/>
    <mergeCell ref="UDZ42:UEB42"/>
    <mergeCell ref="UCS42:UCU42"/>
    <mergeCell ref="UCV42:UCX42"/>
    <mergeCell ref="UCY42:UDA42"/>
    <mergeCell ref="UDB42:UDD42"/>
    <mergeCell ref="UDE42:UDG42"/>
    <mergeCell ref="UDH42:UDJ42"/>
    <mergeCell ref="UCA42:UCC42"/>
    <mergeCell ref="UCD42:UCF42"/>
    <mergeCell ref="UCG42:UCI42"/>
    <mergeCell ref="UCJ42:UCL42"/>
    <mergeCell ref="UCM42:UCO42"/>
    <mergeCell ref="UCP42:UCR42"/>
    <mergeCell ref="UBI42:UBK42"/>
    <mergeCell ref="UBL42:UBN42"/>
    <mergeCell ref="UBO42:UBQ42"/>
    <mergeCell ref="UBR42:UBT42"/>
    <mergeCell ref="UBU42:UBW42"/>
    <mergeCell ref="UBX42:UBZ42"/>
    <mergeCell ref="UIY42:UJA42"/>
    <mergeCell ref="UJB42:UJD42"/>
    <mergeCell ref="UJE42:UJG42"/>
    <mergeCell ref="UJH42:UJJ42"/>
    <mergeCell ref="UJK42:UJM42"/>
    <mergeCell ref="UJN42:UJP42"/>
    <mergeCell ref="UIG42:UII42"/>
    <mergeCell ref="UIJ42:UIL42"/>
    <mergeCell ref="UIM42:UIO42"/>
    <mergeCell ref="UIP42:UIR42"/>
    <mergeCell ref="UIS42:UIU42"/>
    <mergeCell ref="UIV42:UIX42"/>
    <mergeCell ref="UHO42:UHQ42"/>
    <mergeCell ref="UHR42:UHT42"/>
    <mergeCell ref="UHU42:UHW42"/>
    <mergeCell ref="UHX42:UHZ42"/>
    <mergeCell ref="UIA42:UIC42"/>
    <mergeCell ref="UID42:UIF42"/>
    <mergeCell ref="UGW42:UGY42"/>
    <mergeCell ref="UGZ42:UHB42"/>
    <mergeCell ref="UHC42:UHE42"/>
    <mergeCell ref="UHF42:UHH42"/>
    <mergeCell ref="UHI42:UHK42"/>
    <mergeCell ref="UHL42:UHN42"/>
    <mergeCell ref="UGE42:UGG42"/>
    <mergeCell ref="UGH42:UGJ42"/>
    <mergeCell ref="UGK42:UGM42"/>
    <mergeCell ref="UGN42:UGP42"/>
    <mergeCell ref="UGQ42:UGS42"/>
    <mergeCell ref="UGT42:UGV42"/>
    <mergeCell ref="UFM42:UFO42"/>
    <mergeCell ref="UFP42:UFR42"/>
    <mergeCell ref="UFS42:UFU42"/>
    <mergeCell ref="UFV42:UFX42"/>
    <mergeCell ref="UFY42:UGA42"/>
    <mergeCell ref="UGB42:UGD42"/>
    <mergeCell ref="UNC42:UNE42"/>
    <mergeCell ref="UNF42:UNH42"/>
    <mergeCell ref="UNI42:UNK42"/>
    <mergeCell ref="UNL42:UNN42"/>
    <mergeCell ref="UNO42:UNQ42"/>
    <mergeCell ref="UNR42:UNT42"/>
    <mergeCell ref="UMK42:UMM42"/>
    <mergeCell ref="UMN42:UMP42"/>
    <mergeCell ref="UMQ42:UMS42"/>
    <mergeCell ref="UMT42:UMV42"/>
    <mergeCell ref="UMW42:UMY42"/>
    <mergeCell ref="UMZ42:UNB42"/>
    <mergeCell ref="ULS42:ULU42"/>
    <mergeCell ref="ULV42:ULX42"/>
    <mergeCell ref="ULY42:UMA42"/>
    <mergeCell ref="UMB42:UMD42"/>
    <mergeCell ref="UME42:UMG42"/>
    <mergeCell ref="UMH42:UMJ42"/>
    <mergeCell ref="ULA42:ULC42"/>
    <mergeCell ref="ULD42:ULF42"/>
    <mergeCell ref="ULG42:ULI42"/>
    <mergeCell ref="ULJ42:ULL42"/>
    <mergeCell ref="ULM42:ULO42"/>
    <mergeCell ref="ULP42:ULR42"/>
    <mergeCell ref="UKI42:UKK42"/>
    <mergeCell ref="UKL42:UKN42"/>
    <mergeCell ref="UKO42:UKQ42"/>
    <mergeCell ref="UKR42:UKT42"/>
    <mergeCell ref="UKU42:UKW42"/>
    <mergeCell ref="UKX42:UKZ42"/>
    <mergeCell ref="UJQ42:UJS42"/>
    <mergeCell ref="UJT42:UJV42"/>
    <mergeCell ref="UJW42:UJY42"/>
    <mergeCell ref="UJZ42:UKB42"/>
    <mergeCell ref="UKC42:UKE42"/>
    <mergeCell ref="UKF42:UKH42"/>
    <mergeCell ref="URG42:URI42"/>
    <mergeCell ref="URJ42:URL42"/>
    <mergeCell ref="URM42:URO42"/>
    <mergeCell ref="URP42:URR42"/>
    <mergeCell ref="URS42:URU42"/>
    <mergeCell ref="URV42:URX42"/>
    <mergeCell ref="UQO42:UQQ42"/>
    <mergeCell ref="UQR42:UQT42"/>
    <mergeCell ref="UQU42:UQW42"/>
    <mergeCell ref="UQX42:UQZ42"/>
    <mergeCell ref="URA42:URC42"/>
    <mergeCell ref="URD42:URF42"/>
    <mergeCell ref="UPW42:UPY42"/>
    <mergeCell ref="UPZ42:UQB42"/>
    <mergeCell ref="UQC42:UQE42"/>
    <mergeCell ref="UQF42:UQH42"/>
    <mergeCell ref="UQI42:UQK42"/>
    <mergeCell ref="UQL42:UQN42"/>
    <mergeCell ref="UPE42:UPG42"/>
    <mergeCell ref="UPH42:UPJ42"/>
    <mergeCell ref="UPK42:UPM42"/>
    <mergeCell ref="UPN42:UPP42"/>
    <mergeCell ref="UPQ42:UPS42"/>
    <mergeCell ref="UPT42:UPV42"/>
    <mergeCell ref="UOM42:UOO42"/>
    <mergeCell ref="UOP42:UOR42"/>
    <mergeCell ref="UOS42:UOU42"/>
    <mergeCell ref="UOV42:UOX42"/>
    <mergeCell ref="UOY42:UPA42"/>
    <mergeCell ref="UPB42:UPD42"/>
    <mergeCell ref="UNU42:UNW42"/>
    <mergeCell ref="UNX42:UNZ42"/>
    <mergeCell ref="UOA42:UOC42"/>
    <mergeCell ref="UOD42:UOF42"/>
    <mergeCell ref="UOG42:UOI42"/>
    <mergeCell ref="UOJ42:UOL42"/>
    <mergeCell ref="UVK42:UVM42"/>
    <mergeCell ref="UVN42:UVP42"/>
    <mergeCell ref="UVQ42:UVS42"/>
    <mergeCell ref="UVT42:UVV42"/>
    <mergeCell ref="UVW42:UVY42"/>
    <mergeCell ref="UVZ42:UWB42"/>
    <mergeCell ref="UUS42:UUU42"/>
    <mergeCell ref="UUV42:UUX42"/>
    <mergeCell ref="UUY42:UVA42"/>
    <mergeCell ref="UVB42:UVD42"/>
    <mergeCell ref="UVE42:UVG42"/>
    <mergeCell ref="UVH42:UVJ42"/>
    <mergeCell ref="UUA42:UUC42"/>
    <mergeCell ref="UUD42:UUF42"/>
    <mergeCell ref="UUG42:UUI42"/>
    <mergeCell ref="UUJ42:UUL42"/>
    <mergeCell ref="UUM42:UUO42"/>
    <mergeCell ref="UUP42:UUR42"/>
    <mergeCell ref="UTI42:UTK42"/>
    <mergeCell ref="UTL42:UTN42"/>
    <mergeCell ref="UTO42:UTQ42"/>
    <mergeCell ref="UTR42:UTT42"/>
    <mergeCell ref="UTU42:UTW42"/>
    <mergeCell ref="UTX42:UTZ42"/>
    <mergeCell ref="USQ42:USS42"/>
    <mergeCell ref="UST42:USV42"/>
    <mergeCell ref="USW42:USY42"/>
    <mergeCell ref="USZ42:UTB42"/>
    <mergeCell ref="UTC42:UTE42"/>
    <mergeCell ref="UTF42:UTH42"/>
    <mergeCell ref="URY42:USA42"/>
    <mergeCell ref="USB42:USD42"/>
    <mergeCell ref="USE42:USG42"/>
    <mergeCell ref="USH42:USJ42"/>
    <mergeCell ref="USK42:USM42"/>
    <mergeCell ref="USN42:USP42"/>
    <mergeCell ref="UZO42:UZQ42"/>
    <mergeCell ref="UZR42:UZT42"/>
    <mergeCell ref="UZU42:UZW42"/>
    <mergeCell ref="UZX42:UZZ42"/>
    <mergeCell ref="VAA42:VAC42"/>
    <mergeCell ref="VAD42:VAF42"/>
    <mergeCell ref="UYW42:UYY42"/>
    <mergeCell ref="UYZ42:UZB42"/>
    <mergeCell ref="UZC42:UZE42"/>
    <mergeCell ref="UZF42:UZH42"/>
    <mergeCell ref="UZI42:UZK42"/>
    <mergeCell ref="UZL42:UZN42"/>
    <mergeCell ref="UYE42:UYG42"/>
    <mergeCell ref="UYH42:UYJ42"/>
    <mergeCell ref="UYK42:UYM42"/>
    <mergeCell ref="UYN42:UYP42"/>
    <mergeCell ref="UYQ42:UYS42"/>
    <mergeCell ref="UYT42:UYV42"/>
    <mergeCell ref="UXM42:UXO42"/>
    <mergeCell ref="UXP42:UXR42"/>
    <mergeCell ref="UXS42:UXU42"/>
    <mergeCell ref="UXV42:UXX42"/>
    <mergeCell ref="UXY42:UYA42"/>
    <mergeCell ref="UYB42:UYD42"/>
    <mergeCell ref="UWU42:UWW42"/>
    <mergeCell ref="UWX42:UWZ42"/>
    <mergeCell ref="UXA42:UXC42"/>
    <mergeCell ref="UXD42:UXF42"/>
    <mergeCell ref="UXG42:UXI42"/>
    <mergeCell ref="UXJ42:UXL42"/>
    <mergeCell ref="UWC42:UWE42"/>
    <mergeCell ref="UWF42:UWH42"/>
    <mergeCell ref="UWI42:UWK42"/>
    <mergeCell ref="UWL42:UWN42"/>
    <mergeCell ref="UWO42:UWQ42"/>
    <mergeCell ref="UWR42:UWT42"/>
    <mergeCell ref="VDS42:VDU42"/>
    <mergeCell ref="VDV42:VDX42"/>
    <mergeCell ref="VDY42:VEA42"/>
    <mergeCell ref="VEB42:VED42"/>
    <mergeCell ref="VEE42:VEG42"/>
    <mergeCell ref="VEH42:VEJ42"/>
    <mergeCell ref="VDA42:VDC42"/>
    <mergeCell ref="VDD42:VDF42"/>
    <mergeCell ref="VDG42:VDI42"/>
    <mergeCell ref="VDJ42:VDL42"/>
    <mergeCell ref="VDM42:VDO42"/>
    <mergeCell ref="VDP42:VDR42"/>
    <mergeCell ref="VCI42:VCK42"/>
    <mergeCell ref="VCL42:VCN42"/>
    <mergeCell ref="VCO42:VCQ42"/>
    <mergeCell ref="VCR42:VCT42"/>
    <mergeCell ref="VCU42:VCW42"/>
    <mergeCell ref="VCX42:VCZ42"/>
    <mergeCell ref="VBQ42:VBS42"/>
    <mergeCell ref="VBT42:VBV42"/>
    <mergeCell ref="VBW42:VBY42"/>
    <mergeCell ref="VBZ42:VCB42"/>
    <mergeCell ref="VCC42:VCE42"/>
    <mergeCell ref="VCF42:VCH42"/>
    <mergeCell ref="VAY42:VBA42"/>
    <mergeCell ref="VBB42:VBD42"/>
    <mergeCell ref="VBE42:VBG42"/>
    <mergeCell ref="VBH42:VBJ42"/>
    <mergeCell ref="VBK42:VBM42"/>
    <mergeCell ref="VBN42:VBP42"/>
    <mergeCell ref="VAG42:VAI42"/>
    <mergeCell ref="VAJ42:VAL42"/>
    <mergeCell ref="VAM42:VAO42"/>
    <mergeCell ref="VAP42:VAR42"/>
    <mergeCell ref="VAS42:VAU42"/>
    <mergeCell ref="VAV42:VAX42"/>
    <mergeCell ref="VHW42:VHY42"/>
    <mergeCell ref="VHZ42:VIB42"/>
    <mergeCell ref="VIC42:VIE42"/>
    <mergeCell ref="VIF42:VIH42"/>
    <mergeCell ref="VII42:VIK42"/>
    <mergeCell ref="VIL42:VIN42"/>
    <mergeCell ref="VHE42:VHG42"/>
    <mergeCell ref="VHH42:VHJ42"/>
    <mergeCell ref="VHK42:VHM42"/>
    <mergeCell ref="VHN42:VHP42"/>
    <mergeCell ref="VHQ42:VHS42"/>
    <mergeCell ref="VHT42:VHV42"/>
    <mergeCell ref="VGM42:VGO42"/>
    <mergeCell ref="VGP42:VGR42"/>
    <mergeCell ref="VGS42:VGU42"/>
    <mergeCell ref="VGV42:VGX42"/>
    <mergeCell ref="VGY42:VHA42"/>
    <mergeCell ref="VHB42:VHD42"/>
    <mergeCell ref="VFU42:VFW42"/>
    <mergeCell ref="VFX42:VFZ42"/>
    <mergeCell ref="VGA42:VGC42"/>
    <mergeCell ref="VGD42:VGF42"/>
    <mergeCell ref="VGG42:VGI42"/>
    <mergeCell ref="VGJ42:VGL42"/>
    <mergeCell ref="VFC42:VFE42"/>
    <mergeCell ref="VFF42:VFH42"/>
    <mergeCell ref="VFI42:VFK42"/>
    <mergeCell ref="VFL42:VFN42"/>
    <mergeCell ref="VFO42:VFQ42"/>
    <mergeCell ref="VFR42:VFT42"/>
    <mergeCell ref="VEK42:VEM42"/>
    <mergeCell ref="VEN42:VEP42"/>
    <mergeCell ref="VEQ42:VES42"/>
    <mergeCell ref="VET42:VEV42"/>
    <mergeCell ref="VEW42:VEY42"/>
    <mergeCell ref="VEZ42:VFB42"/>
    <mergeCell ref="VMA42:VMC42"/>
    <mergeCell ref="VMD42:VMF42"/>
    <mergeCell ref="VMG42:VMI42"/>
    <mergeCell ref="VMJ42:VML42"/>
    <mergeCell ref="VMM42:VMO42"/>
    <mergeCell ref="VMP42:VMR42"/>
    <mergeCell ref="VLI42:VLK42"/>
    <mergeCell ref="VLL42:VLN42"/>
    <mergeCell ref="VLO42:VLQ42"/>
    <mergeCell ref="VLR42:VLT42"/>
    <mergeCell ref="VLU42:VLW42"/>
    <mergeCell ref="VLX42:VLZ42"/>
    <mergeCell ref="VKQ42:VKS42"/>
    <mergeCell ref="VKT42:VKV42"/>
    <mergeCell ref="VKW42:VKY42"/>
    <mergeCell ref="VKZ42:VLB42"/>
    <mergeCell ref="VLC42:VLE42"/>
    <mergeCell ref="VLF42:VLH42"/>
    <mergeCell ref="VJY42:VKA42"/>
    <mergeCell ref="VKB42:VKD42"/>
    <mergeCell ref="VKE42:VKG42"/>
    <mergeCell ref="VKH42:VKJ42"/>
    <mergeCell ref="VKK42:VKM42"/>
    <mergeCell ref="VKN42:VKP42"/>
    <mergeCell ref="VJG42:VJI42"/>
    <mergeCell ref="VJJ42:VJL42"/>
    <mergeCell ref="VJM42:VJO42"/>
    <mergeCell ref="VJP42:VJR42"/>
    <mergeCell ref="VJS42:VJU42"/>
    <mergeCell ref="VJV42:VJX42"/>
    <mergeCell ref="VIO42:VIQ42"/>
    <mergeCell ref="VIR42:VIT42"/>
    <mergeCell ref="VIU42:VIW42"/>
    <mergeCell ref="VIX42:VIZ42"/>
    <mergeCell ref="VJA42:VJC42"/>
    <mergeCell ref="VJD42:VJF42"/>
    <mergeCell ref="VQE42:VQG42"/>
    <mergeCell ref="VQH42:VQJ42"/>
    <mergeCell ref="VQK42:VQM42"/>
    <mergeCell ref="VQN42:VQP42"/>
    <mergeCell ref="VQQ42:VQS42"/>
    <mergeCell ref="VQT42:VQV42"/>
    <mergeCell ref="VPM42:VPO42"/>
    <mergeCell ref="VPP42:VPR42"/>
    <mergeCell ref="VPS42:VPU42"/>
    <mergeCell ref="VPV42:VPX42"/>
    <mergeCell ref="VPY42:VQA42"/>
    <mergeCell ref="VQB42:VQD42"/>
    <mergeCell ref="VOU42:VOW42"/>
    <mergeCell ref="VOX42:VOZ42"/>
    <mergeCell ref="VPA42:VPC42"/>
    <mergeCell ref="VPD42:VPF42"/>
    <mergeCell ref="VPG42:VPI42"/>
    <mergeCell ref="VPJ42:VPL42"/>
    <mergeCell ref="VOC42:VOE42"/>
    <mergeCell ref="VOF42:VOH42"/>
    <mergeCell ref="VOI42:VOK42"/>
    <mergeCell ref="VOL42:VON42"/>
    <mergeCell ref="VOO42:VOQ42"/>
    <mergeCell ref="VOR42:VOT42"/>
    <mergeCell ref="VNK42:VNM42"/>
    <mergeCell ref="VNN42:VNP42"/>
    <mergeCell ref="VNQ42:VNS42"/>
    <mergeCell ref="VNT42:VNV42"/>
    <mergeCell ref="VNW42:VNY42"/>
    <mergeCell ref="VNZ42:VOB42"/>
    <mergeCell ref="VMS42:VMU42"/>
    <mergeCell ref="VMV42:VMX42"/>
    <mergeCell ref="VMY42:VNA42"/>
    <mergeCell ref="VNB42:VND42"/>
    <mergeCell ref="VNE42:VNG42"/>
    <mergeCell ref="VNH42:VNJ42"/>
    <mergeCell ref="VUI42:VUK42"/>
    <mergeCell ref="VUL42:VUN42"/>
    <mergeCell ref="VUO42:VUQ42"/>
    <mergeCell ref="VUR42:VUT42"/>
    <mergeCell ref="VUU42:VUW42"/>
    <mergeCell ref="VUX42:VUZ42"/>
    <mergeCell ref="VTQ42:VTS42"/>
    <mergeCell ref="VTT42:VTV42"/>
    <mergeCell ref="VTW42:VTY42"/>
    <mergeCell ref="VTZ42:VUB42"/>
    <mergeCell ref="VUC42:VUE42"/>
    <mergeCell ref="VUF42:VUH42"/>
    <mergeCell ref="VSY42:VTA42"/>
    <mergeCell ref="VTB42:VTD42"/>
    <mergeCell ref="VTE42:VTG42"/>
    <mergeCell ref="VTH42:VTJ42"/>
    <mergeCell ref="VTK42:VTM42"/>
    <mergeCell ref="VTN42:VTP42"/>
    <mergeCell ref="VSG42:VSI42"/>
    <mergeCell ref="VSJ42:VSL42"/>
    <mergeCell ref="VSM42:VSO42"/>
    <mergeCell ref="VSP42:VSR42"/>
    <mergeCell ref="VSS42:VSU42"/>
    <mergeCell ref="VSV42:VSX42"/>
    <mergeCell ref="VRO42:VRQ42"/>
    <mergeCell ref="VRR42:VRT42"/>
    <mergeCell ref="VRU42:VRW42"/>
    <mergeCell ref="VRX42:VRZ42"/>
    <mergeCell ref="VSA42:VSC42"/>
    <mergeCell ref="VSD42:VSF42"/>
    <mergeCell ref="VQW42:VQY42"/>
    <mergeCell ref="VQZ42:VRB42"/>
    <mergeCell ref="VRC42:VRE42"/>
    <mergeCell ref="VRF42:VRH42"/>
    <mergeCell ref="VRI42:VRK42"/>
    <mergeCell ref="VRL42:VRN42"/>
    <mergeCell ref="VYM42:VYO42"/>
    <mergeCell ref="VYP42:VYR42"/>
    <mergeCell ref="VYS42:VYU42"/>
    <mergeCell ref="VYV42:VYX42"/>
    <mergeCell ref="VYY42:VZA42"/>
    <mergeCell ref="VZB42:VZD42"/>
    <mergeCell ref="VXU42:VXW42"/>
    <mergeCell ref="VXX42:VXZ42"/>
    <mergeCell ref="VYA42:VYC42"/>
    <mergeCell ref="VYD42:VYF42"/>
    <mergeCell ref="VYG42:VYI42"/>
    <mergeCell ref="VYJ42:VYL42"/>
    <mergeCell ref="VXC42:VXE42"/>
    <mergeCell ref="VXF42:VXH42"/>
    <mergeCell ref="VXI42:VXK42"/>
    <mergeCell ref="VXL42:VXN42"/>
    <mergeCell ref="VXO42:VXQ42"/>
    <mergeCell ref="VXR42:VXT42"/>
    <mergeCell ref="VWK42:VWM42"/>
    <mergeCell ref="VWN42:VWP42"/>
    <mergeCell ref="VWQ42:VWS42"/>
    <mergeCell ref="VWT42:VWV42"/>
    <mergeCell ref="VWW42:VWY42"/>
    <mergeCell ref="VWZ42:VXB42"/>
    <mergeCell ref="VVS42:VVU42"/>
    <mergeCell ref="VVV42:VVX42"/>
    <mergeCell ref="VVY42:VWA42"/>
    <mergeCell ref="VWB42:VWD42"/>
    <mergeCell ref="VWE42:VWG42"/>
    <mergeCell ref="VWH42:VWJ42"/>
    <mergeCell ref="VVA42:VVC42"/>
    <mergeCell ref="VVD42:VVF42"/>
    <mergeCell ref="VVG42:VVI42"/>
    <mergeCell ref="VVJ42:VVL42"/>
    <mergeCell ref="VVM42:VVO42"/>
    <mergeCell ref="VVP42:VVR42"/>
    <mergeCell ref="WCQ42:WCS42"/>
    <mergeCell ref="WCT42:WCV42"/>
    <mergeCell ref="WCW42:WCY42"/>
    <mergeCell ref="WCZ42:WDB42"/>
    <mergeCell ref="WDC42:WDE42"/>
    <mergeCell ref="WDF42:WDH42"/>
    <mergeCell ref="WBY42:WCA42"/>
    <mergeCell ref="WCB42:WCD42"/>
    <mergeCell ref="WCE42:WCG42"/>
    <mergeCell ref="WCH42:WCJ42"/>
    <mergeCell ref="WCK42:WCM42"/>
    <mergeCell ref="WCN42:WCP42"/>
    <mergeCell ref="WBG42:WBI42"/>
    <mergeCell ref="WBJ42:WBL42"/>
    <mergeCell ref="WBM42:WBO42"/>
    <mergeCell ref="WBP42:WBR42"/>
    <mergeCell ref="WBS42:WBU42"/>
    <mergeCell ref="WBV42:WBX42"/>
    <mergeCell ref="WAO42:WAQ42"/>
    <mergeCell ref="WAR42:WAT42"/>
    <mergeCell ref="WAU42:WAW42"/>
    <mergeCell ref="WAX42:WAZ42"/>
    <mergeCell ref="WBA42:WBC42"/>
    <mergeCell ref="WBD42:WBF42"/>
    <mergeCell ref="VZW42:VZY42"/>
    <mergeCell ref="VZZ42:WAB42"/>
    <mergeCell ref="WAC42:WAE42"/>
    <mergeCell ref="WAF42:WAH42"/>
    <mergeCell ref="WAI42:WAK42"/>
    <mergeCell ref="WAL42:WAN42"/>
    <mergeCell ref="VZE42:VZG42"/>
    <mergeCell ref="VZH42:VZJ42"/>
    <mergeCell ref="VZK42:VZM42"/>
    <mergeCell ref="VZN42:VZP42"/>
    <mergeCell ref="VZQ42:VZS42"/>
    <mergeCell ref="VZT42:VZV42"/>
    <mergeCell ref="WGU42:WGW42"/>
    <mergeCell ref="WGX42:WGZ42"/>
    <mergeCell ref="WHA42:WHC42"/>
    <mergeCell ref="WHD42:WHF42"/>
    <mergeCell ref="WHG42:WHI42"/>
    <mergeCell ref="WHJ42:WHL42"/>
    <mergeCell ref="WGC42:WGE42"/>
    <mergeCell ref="WGF42:WGH42"/>
    <mergeCell ref="WGI42:WGK42"/>
    <mergeCell ref="WGL42:WGN42"/>
    <mergeCell ref="WGO42:WGQ42"/>
    <mergeCell ref="WGR42:WGT42"/>
    <mergeCell ref="WFK42:WFM42"/>
    <mergeCell ref="WFN42:WFP42"/>
    <mergeCell ref="WFQ42:WFS42"/>
    <mergeCell ref="WFT42:WFV42"/>
    <mergeCell ref="WFW42:WFY42"/>
    <mergeCell ref="WFZ42:WGB42"/>
    <mergeCell ref="WES42:WEU42"/>
    <mergeCell ref="WEV42:WEX42"/>
    <mergeCell ref="WEY42:WFA42"/>
    <mergeCell ref="WFB42:WFD42"/>
    <mergeCell ref="WFE42:WFG42"/>
    <mergeCell ref="WFH42:WFJ42"/>
    <mergeCell ref="WEA42:WEC42"/>
    <mergeCell ref="WED42:WEF42"/>
    <mergeCell ref="WEG42:WEI42"/>
    <mergeCell ref="WEJ42:WEL42"/>
    <mergeCell ref="WEM42:WEO42"/>
    <mergeCell ref="WEP42:WER42"/>
    <mergeCell ref="WDI42:WDK42"/>
    <mergeCell ref="WDL42:WDN42"/>
    <mergeCell ref="WDO42:WDQ42"/>
    <mergeCell ref="WDR42:WDT42"/>
    <mergeCell ref="WDU42:WDW42"/>
    <mergeCell ref="WDX42:WDZ42"/>
    <mergeCell ref="WKY42:WLA42"/>
    <mergeCell ref="WLB42:WLD42"/>
    <mergeCell ref="WLE42:WLG42"/>
    <mergeCell ref="WLH42:WLJ42"/>
    <mergeCell ref="WLK42:WLM42"/>
    <mergeCell ref="WLN42:WLP42"/>
    <mergeCell ref="WKG42:WKI42"/>
    <mergeCell ref="WKJ42:WKL42"/>
    <mergeCell ref="WKM42:WKO42"/>
    <mergeCell ref="WKP42:WKR42"/>
    <mergeCell ref="WKS42:WKU42"/>
    <mergeCell ref="WKV42:WKX42"/>
    <mergeCell ref="WJO42:WJQ42"/>
    <mergeCell ref="WJR42:WJT42"/>
    <mergeCell ref="WJU42:WJW42"/>
    <mergeCell ref="WJX42:WJZ42"/>
    <mergeCell ref="WKA42:WKC42"/>
    <mergeCell ref="WKD42:WKF42"/>
    <mergeCell ref="WIW42:WIY42"/>
    <mergeCell ref="WIZ42:WJB42"/>
    <mergeCell ref="WJC42:WJE42"/>
    <mergeCell ref="WJF42:WJH42"/>
    <mergeCell ref="WJI42:WJK42"/>
    <mergeCell ref="WJL42:WJN42"/>
    <mergeCell ref="WIE42:WIG42"/>
    <mergeCell ref="WIH42:WIJ42"/>
    <mergeCell ref="WIK42:WIM42"/>
    <mergeCell ref="WIN42:WIP42"/>
    <mergeCell ref="WIQ42:WIS42"/>
    <mergeCell ref="WIT42:WIV42"/>
    <mergeCell ref="WHM42:WHO42"/>
    <mergeCell ref="WHP42:WHR42"/>
    <mergeCell ref="WHS42:WHU42"/>
    <mergeCell ref="WHV42:WHX42"/>
    <mergeCell ref="WHY42:WIA42"/>
    <mergeCell ref="WIB42:WID42"/>
    <mergeCell ref="WPC42:WPE42"/>
    <mergeCell ref="WPF42:WPH42"/>
    <mergeCell ref="WPI42:WPK42"/>
    <mergeCell ref="WPL42:WPN42"/>
    <mergeCell ref="WPO42:WPQ42"/>
    <mergeCell ref="WPR42:WPT42"/>
    <mergeCell ref="WOK42:WOM42"/>
    <mergeCell ref="WON42:WOP42"/>
    <mergeCell ref="WOQ42:WOS42"/>
    <mergeCell ref="WOT42:WOV42"/>
    <mergeCell ref="WOW42:WOY42"/>
    <mergeCell ref="WOZ42:WPB42"/>
    <mergeCell ref="WNS42:WNU42"/>
    <mergeCell ref="WNV42:WNX42"/>
    <mergeCell ref="WNY42:WOA42"/>
    <mergeCell ref="WOB42:WOD42"/>
    <mergeCell ref="WOE42:WOG42"/>
    <mergeCell ref="WOH42:WOJ42"/>
    <mergeCell ref="WNA42:WNC42"/>
    <mergeCell ref="WND42:WNF42"/>
    <mergeCell ref="WNG42:WNI42"/>
    <mergeCell ref="WNJ42:WNL42"/>
    <mergeCell ref="WNM42:WNO42"/>
    <mergeCell ref="WNP42:WNR42"/>
    <mergeCell ref="WMI42:WMK42"/>
    <mergeCell ref="WML42:WMN42"/>
    <mergeCell ref="WMO42:WMQ42"/>
    <mergeCell ref="WMR42:WMT42"/>
    <mergeCell ref="WMU42:WMW42"/>
    <mergeCell ref="WMX42:WMZ42"/>
    <mergeCell ref="WLQ42:WLS42"/>
    <mergeCell ref="WLT42:WLV42"/>
    <mergeCell ref="WLW42:WLY42"/>
    <mergeCell ref="WLZ42:WMB42"/>
    <mergeCell ref="WMC42:WME42"/>
    <mergeCell ref="WMF42:WMH42"/>
    <mergeCell ref="WTG42:WTI42"/>
    <mergeCell ref="WTJ42:WTL42"/>
    <mergeCell ref="WTM42:WTO42"/>
    <mergeCell ref="WTP42:WTR42"/>
    <mergeCell ref="WTS42:WTU42"/>
    <mergeCell ref="WTV42:WTX42"/>
    <mergeCell ref="WSO42:WSQ42"/>
    <mergeCell ref="WSR42:WST42"/>
    <mergeCell ref="WSU42:WSW42"/>
    <mergeCell ref="WSX42:WSZ42"/>
    <mergeCell ref="WTA42:WTC42"/>
    <mergeCell ref="WTD42:WTF42"/>
    <mergeCell ref="WRW42:WRY42"/>
    <mergeCell ref="WRZ42:WSB42"/>
    <mergeCell ref="WSC42:WSE42"/>
    <mergeCell ref="WSF42:WSH42"/>
    <mergeCell ref="WSI42:WSK42"/>
    <mergeCell ref="WSL42:WSN42"/>
    <mergeCell ref="WRE42:WRG42"/>
    <mergeCell ref="WRH42:WRJ42"/>
    <mergeCell ref="WRK42:WRM42"/>
    <mergeCell ref="WRN42:WRP42"/>
    <mergeCell ref="WRQ42:WRS42"/>
    <mergeCell ref="WRT42:WRV42"/>
    <mergeCell ref="WQM42:WQO42"/>
    <mergeCell ref="WQP42:WQR42"/>
    <mergeCell ref="WQS42:WQU42"/>
    <mergeCell ref="WQV42:WQX42"/>
    <mergeCell ref="WQY42:WRA42"/>
    <mergeCell ref="WRB42:WRD42"/>
    <mergeCell ref="WPU42:WPW42"/>
    <mergeCell ref="WPX42:WPZ42"/>
    <mergeCell ref="WQA42:WQC42"/>
    <mergeCell ref="WQD42:WQF42"/>
    <mergeCell ref="WQG42:WQI42"/>
    <mergeCell ref="WQJ42:WQL42"/>
    <mergeCell ref="WXQ42:WXS42"/>
    <mergeCell ref="WXT42:WXV42"/>
    <mergeCell ref="WXW42:WXY42"/>
    <mergeCell ref="WXZ42:WYB42"/>
    <mergeCell ref="WWS42:WWU42"/>
    <mergeCell ref="WWV42:WWX42"/>
    <mergeCell ref="WWY42:WXA42"/>
    <mergeCell ref="WXB42:WXD42"/>
    <mergeCell ref="WXE42:WXG42"/>
    <mergeCell ref="WXH42:WXJ42"/>
    <mergeCell ref="WWA42:WWC42"/>
    <mergeCell ref="WWD42:WWF42"/>
    <mergeCell ref="WWG42:WWI42"/>
    <mergeCell ref="WWJ42:WWL42"/>
    <mergeCell ref="WWM42:WWO42"/>
    <mergeCell ref="WWP42:WWR42"/>
    <mergeCell ref="WVI42:WVK42"/>
    <mergeCell ref="WVL42:WVN42"/>
    <mergeCell ref="WVO42:WVQ42"/>
    <mergeCell ref="WVR42:WVT42"/>
    <mergeCell ref="WVU42:WVW42"/>
    <mergeCell ref="WVX42:WVZ42"/>
    <mergeCell ref="WUQ42:WUS42"/>
    <mergeCell ref="WUT42:WUV42"/>
    <mergeCell ref="WUW42:WUY42"/>
    <mergeCell ref="WUZ42:WVB42"/>
    <mergeCell ref="WVC42:WVE42"/>
    <mergeCell ref="WVF42:WVH42"/>
    <mergeCell ref="WTY42:WUA42"/>
    <mergeCell ref="WUB42:WUD42"/>
    <mergeCell ref="WUE42:WUG42"/>
    <mergeCell ref="WUH42:WUJ42"/>
    <mergeCell ref="WUK42:WUM42"/>
    <mergeCell ref="WUN42:WUP42"/>
    <mergeCell ref="XFA42:XFC42"/>
    <mergeCell ref="A43:B43"/>
    <mergeCell ref="XEI42:XEK42"/>
    <mergeCell ref="XEL42:XEN42"/>
    <mergeCell ref="XEO42:XEQ42"/>
    <mergeCell ref="XER42:XET42"/>
    <mergeCell ref="XEU42:XEW42"/>
    <mergeCell ref="XEX42:XEZ42"/>
    <mergeCell ref="XDQ42:XDS42"/>
    <mergeCell ref="XDT42:XDV42"/>
    <mergeCell ref="XDW42:XDY42"/>
    <mergeCell ref="XDZ42:XEB42"/>
    <mergeCell ref="XEC42:XEE42"/>
    <mergeCell ref="XEF42:XEH42"/>
    <mergeCell ref="XCY42:XDA42"/>
    <mergeCell ref="XDB42:XDD42"/>
    <mergeCell ref="XDE42:XDG42"/>
    <mergeCell ref="XDH42:XDJ42"/>
    <mergeCell ref="XDK42:XDM42"/>
    <mergeCell ref="XDN42:XDP42"/>
    <mergeCell ref="XCG42:XCI42"/>
    <mergeCell ref="XCJ42:XCL42"/>
    <mergeCell ref="XCM42:XCO42"/>
    <mergeCell ref="XCP42:XCR42"/>
    <mergeCell ref="XCS42:XCU42"/>
    <mergeCell ref="XCV42:XCX42"/>
    <mergeCell ref="XBO42:XBQ42"/>
    <mergeCell ref="XBR42:XBT42"/>
    <mergeCell ref="XBU42:XBW42"/>
    <mergeCell ref="XBX42:XBZ42"/>
    <mergeCell ref="XCA42:XCC42"/>
    <mergeCell ref="XCD42:XCF42"/>
    <mergeCell ref="XAW42:XAY42"/>
    <mergeCell ref="XAZ42:XBB42"/>
    <mergeCell ref="XBC42:XBE42"/>
    <mergeCell ref="XBF42:XBH42"/>
    <mergeCell ref="XBI42:XBK42"/>
    <mergeCell ref="XBL42:XBN42"/>
    <mergeCell ref="XAE42:XAG42"/>
    <mergeCell ref="XAH42:XAJ42"/>
    <mergeCell ref="XAK42:XAM42"/>
    <mergeCell ref="XAN42:XAP42"/>
    <mergeCell ref="XAQ42:XAS42"/>
    <mergeCell ref="XAT42:XAV42"/>
    <mergeCell ref="WZM42:WZO42"/>
    <mergeCell ref="WZP42:WZR42"/>
    <mergeCell ref="WZS42:WZU42"/>
    <mergeCell ref="WZV42:WZX42"/>
    <mergeCell ref="WZY42:XAA42"/>
    <mergeCell ref="XAB42:XAD42"/>
    <mergeCell ref="WYU42:WYW42"/>
    <mergeCell ref="WYX42:WYZ42"/>
    <mergeCell ref="WZA42:WZC42"/>
    <mergeCell ref="WZD42:WZF42"/>
    <mergeCell ref="WZG42:WZI42"/>
    <mergeCell ref="WZJ42:WZL42"/>
    <mergeCell ref="WYC42:WYE42"/>
    <mergeCell ref="WYF42:WYH42"/>
    <mergeCell ref="WYI42:WYK42"/>
    <mergeCell ref="WYL42:WYN42"/>
    <mergeCell ref="WYO42:WYQ42"/>
    <mergeCell ref="WYR42:WYT42"/>
    <mergeCell ref="WXK42:WXM42"/>
    <mergeCell ref="WXN42:WXP42"/>
  </mergeCells>
  <printOptions horizontalCentered="1"/>
  <pageMargins left="0" right="0" top="0.99803149599999996" bottom="0.35433070900000002" header="0.31496062992126" footer="0.31496062992126"/>
  <pageSetup paperSize="9" scale="5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4"/>
  <sheetViews>
    <sheetView topLeftCell="B1" zoomScaleNormal="100" workbookViewId="0">
      <selection activeCell="R17" sqref="R17"/>
    </sheetView>
  </sheetViews>
  <sheetFormatPr defaultRowHeight="12.75"/>
  <cols>
    <col min="1" max="1" width="15.7109375" style="47" customWidth="1"/>
    <col min="2" max="6" width="15.7109375" style="46" customWidth="1"/>
    <col min="7" max="7" width="2" style="46" customWidth="1"/>
    <col min="8" max="8" width="8.140625" style="46" customWidth="1"/>
    <col min="9" max="9" width="10.85546875" style="46" customWidth="1"/>
    <col min="10" max="11" width="9.140625" style="46"/>
    <col min="12" max="12" width="11.28515625" style="46" bestFit="1" customWidth="1"/>
    <col min="13" max="256" width="9.140625" style="46"/>
    <col min="257" max="262" width="15.7109375" style="46" customWidth="1"/>
    <col min="263" max="263" width="2" style="46" customWidth="1"/>
    <col min="264" max="264" width="8.140625" style="46" customWidth="1"/>
    <col min="265" max="265" width="10.85546875" style="46" customWidth="1"/>
    <col min="266" max="267" width="9.140625" style="46"/>
    <col min="268" max="268" width="11.28515625" style="46" bestFit="1" customWidth="1"/>
    <col min="269" max="512" width="9.140625" style="46"/>
    <col min="513" max="518" width="15.7109375" style="46" customWidth="1"/>
    <col min="519" max="519" width="2" style="46" customWidth="1"/>
    <col min="520" max="520" width="8.140625" style="46" customWidth="1"/>
    <col min="521" max="521" width="10.85546875" style="46" customWidth="1"/>
    <col min="522" max="523" width="9.140625" style="46"/>
    <col min="524" max="524" width="11.28515625" style="46" bestFit="1" customWidth="1"/>
    <col min="525" max="768" width="9.140625" style="46"/>
    <col min="769" max="774" width="15.7109375" style="46" customWidth="1"/>
    <col min="775" max="775" width="2" style="46" customWidth="1"/>
    <col min="776" max="776" width="8.140625" style="46" customWidth="1"/>
    <col min="777" max="777" width="10.85546875" style="46" customWidth="1"/>
    <col min="778" max="779" width="9.140625" style="46"/>
    <col min="780" max="780" width="11.28515625" style="46" bestFit="1" customWidth="1"/>
    <col min="781" max="1024" width="9.140625" style="46"/>
    <col min="1025" max="1030" width="15.7109375" style="46" customWidth="1"/>
    <col min="1031" max="1031" width="2" style="46" customWidth="1"/>
    <col min="1032" max="1032" width="8.140625" style="46" customWidth="1"/>
    <col min="1033" max="1033" width="10.85546875" style="46" customWidth="1"/>
    <col min="1034" max="1035" width="9.140625" style="46"/>
    <col min="1036" max="1036" width="11.28515625" style="46" bestFit="1" customWidth="1"/>
    <col min="1037" max="1280" width="9.140625" style="46"/>
    <col min="1281" max="1286" width="15.7109375" style="46" customWidth="1"/>
    <col min="1287" max="1287" width="2" style="46" customWidth="1"/>
    <col min="1288" max="1288" width="8.140625" style="46" customWidth="1"/>
    <col min="1289" max="1289" width="10.85546875" style="46" customWidth="1"/>
    <col min="1290" max="1291" width="9.140625" style="46"/>
    <col min="1292" max="1292" width="11.28515625" style="46" bestFit="1" customWidth="1"/>
    <col min="1293" max="1536" width="9.140625" style="46"/>
    <col min="1537" max="1542" width="15.7109375" style="46" customWidth="1"/>
    <col min="1543" max="1543" width="2" style="46" customWidth="1"/>
    <col min="1544" max="1544" width="8.140625" style="46" customWidth="1"/>
    <col min="1545" max="1545" width="10.85546875" style="46" customWidth="1"/>
    <col min="1546" max="1547" width="9.140625" style="46"/>
    <col min="1548" max="1548" width="11.28515625" style="46" bestFit="1" customWidth="1"/>
    <col min="1549" max="1792" width="9.140625" style="46"/>
    <col min="1793" max="1798" width="15.7109375" style="46" customWidth="1"/>
    <col min="1799" max="1799" width="2" style="46" customWidth="1"/>
    <col min="1800" max="1800" width="8.140625" style="46" customWidth="1"/>
    <col min="1801" max="1801" width="10.85546875" style="46" customWidth="1"/>
    <col min="1802" max="1803" width="9.140625" style="46"/>
    <col min="1804" max="1804" width="11.28515625" style="46" bestFit="1" customWidth="1"/>
    <col min="1805" max="2048" width="9.140625" style="46"/>
    <col min="2049" max="2054" width="15.7109375" style="46" customWidth="1"/>
    <col min="2055" max="2055" width="2" style="46" customWidth="1"/>
    <col min="2056" max="2056" width="8.140625" style="46" customWidth="1"/>
    <col min="2057" max="2057" width="10.85546875" style="46" customWidth="1"/>
    <col min="2058" max="2059" width="9.140625" style="46"/>
    <col min="2060" max="2060" width="11.28515625" style="46" bestFit="1" customWidth="1"/>
    <col min="2061" max="2304" width="9.140625" style="46"/>
    <col min="2305" max="2310" width="15.7109375" style="46" customWidth="1"/>
    <col min="2311" max="2311" width="2" style="46" customWidth="1"/>
    <col min="2312" max="2312" width="8.140625" style="46" customWidth="1"/>
    <col min="2313" max="2313" width="10.85546875" style="46" customWidth="1"/>
    <col min="2314" max="2315" width="9.140625" style="46"/>
    <col min="2316" max="2316" width="11.28515625" style="46" bestFit="1" customWidth="1"/>
    <col min="2317" max="2560" width="9.140625" style="46"/>
    <col min="2561" max="2566" width="15.7109375" style="46" customWidth="1"/>
    <col min="2567" max="2567" width="2" style="46" customWidth="1"/>
    <col min="2568" max="2568" width="8.140625" style="46" customWidth="1"/>
    <col min="2569" max="2569" width="10.85546875" style="46" customWidth="1"/>
    <col min="2570" max="2571" width="9.140625" style="46"/>
    <col min="2572" max="2572" width="11.28515625" style="46" bestFit="1" customWidth="1"/>
    <col min="2573" max="2816" width="9.140625" style="46"/>
    <col min="2817" max="2822" width="15.7109375" style="46" customWidth="1"/>
    <col min="2823" max="2823" width="2" style="46" customWidth="1"/>
    <col min="2824" max="2824" width="8.140625" style="46" customWidth="1"/>
    <col min="2825" max="2825" width="10.85546875" style="46" customWidth="1"/>
    <col min="2826" max="2827" width="9.140625" style="46"/>
    <col min="2828" max="2828" width="11.28515625" style="46" bestFit="1" customWidth="1"/>
    <col min="2829" max="3072" width="9.140625" style="46"/>
    <col min="3073" max="3078" width="15.7109375" style="46" customWidth="1"/>
    <col min="3079" max="3079" width="2" style="46" customWidth="1"/>
    <col min="3080" max="3080" width="8.140625" style="46" customWidth="1"/>
    <col min="3081" max="3081" width="10.85546875" style="46" customWidth="1"/>
    <col min="3082" max="3083" width="9.140625" style="46"/>
    <col min="3084" max="3084" width="11.28515625" style="46" bestFit="1" customWidth="1"/>
    <col min="3085" max="3328" width="9.140625" style="46"/>
    <col min="3329" max="3334" width="15.7109375" style="46" customWidth="1"/>
    <col min="3335" max="3335" width="2" style="46" customWidth="1"/>
    <col min="3336" max="3336" width="8.140625" style="46" customWidth="1"/>
    <col min="3337" max="3337" width="10.85546875" style="46" customWidth="1"/>
    <col min="3338" max="3339" width="9.140625" style="46"/>
    <col min="3340" max="3340" width="11.28515625" style="46" bestFit="1" customWidth="1"/>
    <col min="3341" max="3584" width="9.140625" style="46"/>
    <col min="3585" max="3590" width="15.7109375" style="46" customWidth="1"/>
    <col min="3591" max="3591" width="2" style="46" customWidth="1"/>
    <col min="3592" max="3592" width="8.140625" style="46" customWidth="1"/>
    <col min="3593" max="3593" width="10.85546875" style="46" customWidth="1"/>
    <col min="3594" max="3595" width="9.140625" style="46"/>
    <col min="3596" max="3596" width="11.28515625" style="46" bestFit="1" customWidth="1"/>
    <col min="3597" max="3840" width="9.140625" style="46"/>
    <col min="3841" max="3846" width="15.7109375" style="46" customWidth="1"/>
    <col min="3847" max="3847" width="2" style="46" customWidth="1"/>
    <col min="3848" max="3848" width="8.140625" style="46" customWidth="1"/>
    <col min="3849" max="3849" width="10.85546875" style="46" customWidth="1"/>
    <col min="3850" max="3851" width="9.140625" style="46"/>
    <col min="3852" max="3852" width="11.28515625" style="46" bestFit="1" customWidth="1"/>
    <col min="3853" max="4096" width="9.140625" style="46"/>
    <col min="4097" max="4102" width="15.7109375" style="46" customWidth="1"/>
    <col min="4103" max="4103" width="2" style="46" customWidth="1"/>
    <col min="4104" max="4104" width="8.140625" style="46" customWidth="1"/>
    <col min="4105" max="4105" width="10.85546875" style="46" customWidth="1"/>
    <col min="4106" max="4107" width="9.140625" style="46"/>
    <col min="4108" max="4108" width="11.28515625" style="46" bestFit="1" customWidth="1"/>
    <col min="4109" max="4352" width="9.140625" style="46"/>
    <col min="4353" max="4358" width="15.7109375" style="46" customWidth="1"/>
    <col min="4359" max="4359" width="2" style="46" customWidth="1"/>
    <col min="4360" max="4360" width="8.140625" style="46" customWidth="1"/>
    <col min="4361" max="4361" width="10.85546875" style="46" customWidth="1"/>
    <col min="4362" max="4363" width="9.140625" style="46"/>
    <col min="4364" max="4364" width="11.28515625" style="46" bestFit="1" customWidth="1"/>
    <col min="4365" max="4608" width="9.140625" style="46"/>
    <col min="4609" max="4614" width="15.7109375" style="46" customWidth="1"/>
    <col min="4615" max="4615" width="2" style="46" customWidth="1"/>
    <col min="4616" max="4616" width="8.140625" style="46" customWidth="1"/>
    <col min="4617" max="4617" width="10.85546875" style="46" customWidth="1"/>
    <col min="4618" max="4619" width="9.140625" style="46"/>
    <col min="4620" max="4620" width="11.28515625" style="46" bestFit="1" customWidth="1"/>
    <col min="4621" max="4864" width="9.140625" style="46"/>
    <col min="4865" max="4870" width="15.7109375" style="46" customWidth="1"/>
    <col min="4871" max="4871" width="2" style="46" customWidth="1"/>
    <col min="4872" max="4872" width="8.140625" style="46" customWidth="1"/>
    <col min="4873" max="4873" width="10.85546875" style="46" customWidth="1"/>
    <col min="4874" max="4875" width="9.140625" style="46"/>
    <col min="4876" max="4876" width="11.28515625" style="46" bestFit="1" customWidth="1"/>
    <col min="4877" max="5120" width="9.140625" style="46"/>
    <col min="5121" max="5126" width="15.7109375" style="46" customWidth="1"/>
    <col min="5127" max="5127" width="2" style="46" customWidth="1"/>
    <col min="5128" max="5128" width="8.140625" style="46" customWidth="1"/>
    <col min="5129" max="5129" width="10.85546875" style="46" customWidth="1"/>
    <col min="5130" max="5131" width="9.140625" style="46"/>
    <col min="5132" max="5132" width="11.28515625" style="46" bestFit="1" customWidth="1"/>
    <col min="5133" max="5376" width="9.140625" style="46"/>
    <col min="5377" max="5382" width="15.7109375" style="46" customWidth="1"/>
    <col min="5383" max="5383" width="2" style="46" customWidth="1"/>
    <col min="5384" max="5384" width="8.140625" style="46" customWidth="1"/>
    <col min="5385" max="5385" width="10.85546875" style="46" customWidth="1"/>
    <col min="5386" max="5387" width="9.140625" style="46"/>
    <col min="5388" max="5388" width="11.28515625" style="46" bestFit="1" customWidth="1"/>
    <col min="5389" max="5632" width="9.140625" style="46"/>
    <col min="5633" max="5638" width="15.7109375" style="46" customWidth="1"/>
    <col min="5639" max="5639" width="2" style="46" customWidth="1"/>
    <col min="5640" max="5640" width="8.140625" style="46" customWidth="1"/>
    <col min="5641" max="5641" width="10.85546875" style="46" customWidth="1"/>
    <col min="5642" max="5643" width="9.140625" style="46"/>
    <col min="5644" max="5644" width="11.28515625" style="46" bestFit="1" customWidth="1"/>
    <col min="5645" max="5888" width="9.140625" style="46"/>
    <col min="5889" max="5894" width="15.7109375" style="46" customWidth="1"/>
    <col min="5895" max="5895" width="2" style="46" customWidth="1"/>
    <col min="5896" max="5896" width="8.140625" style="46" customWidth="1"/>
    <col min="5897" max="5897" width="10.85546875" style="46" customWidth="1"/>
    <col min="5898" max="5899" width="9.140625" style="46"/>
    <col min="5900" max="5900" width="11.28515625" style="46" bestFit="1" customWidth="1"/>
    <col min="5901" max="6144" width="9.140625" style="46"/>
    <col min="6145" max="6150" width="15.7109375" style="46" customWidth="1"/>
    <col min="6151" max="6151" width="2" style="46" customWidth="1"/>
    <col min="6152" max="6152" width="8.140625" style="46" customWidth="1"/>
    <col min="6153" max="6153" width="10.85546875" style="46" customWidth="1"/>
    <col min="6154" max="6155" width="9.140625" style="46"/>
    <col min="6156" max="6156" width="11.28515625" style="46" bestFit="1" customWidth="1"/>
    <col min="6157" max="6400" width="9.140625" style="46"/>
    <col min="6401" max="6406" width="15.7109375" style="46" customWidth="1"/>
    <col min="6407" max="6407" width="2" style="46" customWidth="1"/>
    <col min="6408" max="6408" width="8.140625" style="46" customWidth="1"/>
    <col min="6409" max="6409" width="10.85546875" style="46" customWidth="1"/>
    <col min="6410" max="6411" width="9.140625" style="46"/>
    <col min="6412" max="6412" width="11.28515625" style="46" bestFit="1" customWidth="1"/>
    <col min="6413" max="6656" width="9.140625" style="46"/>
    <col min="6657" max="6662" width="15.7109375" style="46" customWidth="1"/>
    <col min="6663" max="6663" width="2" style="46" customWidth="1"/>
    <col min="6664" max="6664" width="8.140625" style="46" customWidth="1"/>
    <col min="6665" max="6665" width="10.85546875" style="46" customWidth="1"/>
    <col min="6666" max="6667" width="9.140625" style="46"/>
    <col min="6668" max="6668" width="11.28515625" style="46" bestFit="1" customWidth="1"/>
    <col min="6669" max="6912" width="9.140625" style="46"/>
    <col min="6913" max="6918" width="15.7109375" style="46" customWidth="1"/>
    <col min="6919" max="6919" width="2" style="46" customWidth="1"/>
    <col min="6920" max="6920" width="8.140625" style="46" customWidth="1"/>
    <col min="6921" max="6921" width="10.85546875" style="46" customWidth="1"/>
    <col min="6922" max="6923" width="9.140625" style="46"/>
    <col min="6924" max="6924" width="11.28515625" style="46" bestFit="1" customWidth="1"/>
    <col min="6925" max="7168" width="9.140625" style="46"/>
    <col min="7169" max="7174" width="15.7109375" style="46" customWidth="1"/>
    <col min="7175" max="7175" width="2" style="46" customWidth="1"/>
    <col min="7176" max="7176" width="8.140625" style="46" customWidth="1"/>
    <col min="7177" max="7177" width="10.85546875" style="46" customWidth="1"/>
    <col min="7178" max="7179" width="9.140625" style="46"/>
    <col min="7180" max="7180" width="11.28515625" style="46" bestFit="1" customWidth="1"/>
    <col min="7181" max="7424" width="9.140625" style="46"/>
    <col min="7425" max="7430" width="15.7109375" style="46" customWidth="1"/>
    <col min="7431" max="7431" width="2" style="46" customWidth="1"/>
    <col min="7432" max="7432" width="8.140625" style="46" customWidth="1"/>
    <col min="7433" max="7433" width="10.85546875" style="46" customWidth="1"/>
    <col min="7434" max="7435" width="9.140625" style="46"/>
    <col min="7436" max="7436" width="11.28515625" style="46" bestFit="1" customWidth="1"/>
    <col min="7437" max="7680" width="9.140625" style="46"/>
    <col min="7681" max="7686" width="15.7109375" style="46" customWidth="1"/>
    <col min="7687" max="7687" width="2" style="46" customWidth="1"/>
    <col min="7688" max="7688" width="8.140625" style="46" customWidth="1"/>
    <col min="7689" max="7689" width="10.85546875" style="46" customWidth="1"/>
    <col min="7690" max="7691" width="9.140625" style="46"/>
    <col min="7692" max="7692" width="11.28515625" style="46" bestFit="1" customWidth="1"/>
    <col min="7693" max="7936" width="9.140625" style="46"/>
    <col min="7937" max="7942" width="15.7109375" style="46" customWidth="1"/>
    <col min="7943" max="7943" width="2" style="46" customWidth="1"/>
    <col min="7944" max="7944" width="8.140625" style="46" customWidth="1"/>
    <col min="7945" max="7945" width="10.85546875" style="46" customWidth="1"/>
    <col min="7946" max="7947" width="9.140625" style="46"/>
    <col min="7948" max="7948" width="11.28515625" style="46" bestFit="1" customWidth="1"/>
    <col min="7949" max="8192" width="9.140625" style="46"/>
    <col min="8193" max="8198" width="15.7109375" style="46" customWidth="1"/>
    <col min="8199" max="8199" width="2" style="46" customWidth="1"/>
    <col min="8200" max="8200" width="8.140625" style="46" customWidth="1"/>
    <col min="8201" max="8201" width="10.85546875" style="46" customWidth="1"/>
    <col min="8202" max="8203" width="9.140625" style="46"/>
    <col min="8204" max="8204" width="11.28515625" style="46" bestFit="1" customWidth="1"/>
    <col min="8205" max="8448" width="9.140625" style="46"/>
    <col min="8449" max="8454" width="15.7109375" style="46" customWidth="1"/>
    <col min="8455" max="8455" width="2" style="46" customWidth="1"/>
    <col min="8456" max="8456" width="8.140625" style="46" customWidth="1"/>
    <col min="8457" max="8457" width="10.85546875" style="46" customWidth="1"/>
    <col min="8458" max="8459" width="9.140625" style="46"/>
    <col min="8460" max="8460" width="11.28515625" style="46" bestFit="1" customWidth="1"/>
    <col min="8461" max="8704" width="9.140625" style="46"/>
    <col min="8705" max="8710" width="15.7109375" style="46" customWidth="1"/>
    <col min="8711" max="8711" width="2" style="46" customWidth="1"/>
    <col min="8712" max="8712" width="8.140625" style="46" customWidth="1"/>
    <col min="8713" max="8713" width="10.85546875" style="46" customWidth="1"/>
    <col min="8714" max="8715" width="9.140625" style="46"/>
    <col min="8716" max="8716" width="11.28515625" style="46" bestFit="1" customWidth="1"/>
    <col min="8717" max="8960" width="9.140625" style="46"/>
    <col min="8961" max="8966" width="15.7109375" style="46" customWidth="1"/>
    <col min="8967" max="8967" width="2" style="46" customWidth="1"/>
    <col min="8968" max="8968" width="8.140625" style="46" customWidth="1"/>
    <col min="8969" max="8969" width="10.85546875" style="46" customWidth="1"/>
    <col min="8970" max="8971" width="9.140625" style="46"/>
    <col min="8972" max="8972" width="11.28515625" style="46" bestFit="1" customWidth="1"/>
    <col min="8973" max="9216" width="9.140625" style="46"/>
    <col min="9217" max="9222" width="15.7109375" style="46" customWidth="1"/>
    <col min="9223" max="9223" width="2" style="46" customWidth="1"/>
    <col min="9224" max="9224" width="8.140625" style="46" customWidth="1"/>
    <col min="9225" max="9225" width="10.85546875" style="46" customWidth="1"/>
    <col min="9226" max="9227" width="9.140625" style="46"/>
    <col min="9228" max="9228" width="11.28515625" style="46" bestFit="1" customWidth="1"/>
    <col min="9229" max="9472" width="9.140625" style="46"/>
    <col min="9473" max="9478" width="15.7109375" style="46" customWidth="1"/>
    <col min="9479" max="9479" width="2" style="46" customWidth="1"/>
    <col min="9480" max="9480" width="8.140625" style="46" customWidth="1"/>
    <col min="9481" max="9481" width="10.85546875" style="46" customWidth="1"/>
    <col min="9482" max="9483" width="9.140625" style="46"/>
    <col min="9484" max="9484" width="11.28515625" style="46" bestFit="1" customWidth="1"/>
    <col min="9485" max="9728" width="9.140625" style="46"/>
    <col min="9729" max="9734" width="15.7109375" style="46" customWidth="1"/>
    <col min="9735" max="9735" width="2" style="46" customWidth="1"/>
    <col min="9736" max="9736" width="8.140625" style="46" customWidth="1"/>
    <col min="9737" max="9737" width="10.85546875" style="46" customWidth="1"/>
    <col min="9738" max="9739" width="9.140625" style="46"/>
    <col min="9740" max="9740" width="11.28515625" style="46" bestFit="1" customWidth="1"/>
    <col min="9741" max="9984" width="9.140625" style="46"/>
    <col min="9985" max="9990" width="15.7109375" style="46" customWidth="1"/>
    <col min="9991" max="9991" width="2" style="46" customWidth="1"/>
    <col min="9992" max="9992" width="8.140625" style="46" customWidth="1"/>
    <col min="9993" max="9993" width="10.85546875" style="46" customWidth="1"/>
    <col min="9994" max="9995" width="9.140625" style="46"/>
    <col min="9996" max="9996" width="11.28515625" style="46" bestFit="1" customWidth="1"/>
    <col min="9997" max="10240" width="9.140625" style="46"/>
    <col min="10241" max="10246" width="15.7109375" style="46" customWidth="1"/>
    <col min="10247" max="10247" width="2" style="46" customWidth="1"/>
    <col min="10248" max="10248" width="8.140625" style="46" customWidth="1"/>
    <col min="10249" max="10249" width="10.85546875" style="46" customWidth="1"/>
    <col min="10250" max="10251" width="9.140625" style="46"/>
    <col min="10252" max="10252" width="11.28515625" style="46" bestFit="1" customWidth="1"/>
    <col min="10253" max="10496" width="9.140625" style="46"/>
    <col min="10497" max="10502" width="15.7109375" style="46" customWidth="1"/>
    <col min="10503" max="10503" width="2" style="46" customWidth="1"/>
    <col min="10504" max="10504" width="8.140625" style="46" customWidth="1"/>
    <col min="10505" max="10505" width="10.85546875" style="46" customWidth="1"/>
    <col min="10506" max="10507" width="9.140625" style="46"/>
    <col min="10508" max="10508" width="11.28515625" style="46" bestFit="1" customWidth="1"/>
    <col min="10509" max="10752" width="9.140625" style="46"/>
    <col min="10753" max="10758" width="15.7109375" style="46" customWidth="1"/>
    <col min="10759" max="10759" width="2" style="46" customWidth="1"/>
    <col min="10760" max="10760" width="8.140625" style="46" customWidth="1"/>
    <col min="10761" max="10761" width="10.85546875" style="46" customWidth="1"/>
    <col min="10762" max="10763" width="9.140625" style="46"/>
    <col min="10764" max="10764" width="11.28515625" style="46" bestFit="1" customWidth="1"/>
    <col min="10765" max="11008" width="9.140625" style="46"/>
    <col min="11009" max="11014" width="15.7109375" style="46" customWidth="1"/>
    <col min="11015" max="11015" width="2" style="46" customWidth="1"/>
    <col min="11016" max="11016" width="8.140625" style="46" customWidth="1"/>
    <col min="11017" max="11017" width="10.85546875" style="46" customWidth="1"/>
    <col min="11018" max="11019" width="9.140625" style="46"/>
    <col min="11020" max="11020" width="11.28515625" style="46" bestFit="1" customWidth="1"/>
    <col min="11021" max="11264" width="9.140625" style="46"/>
    <col min="11265" max="11270" width="15.7109375" style="46" customWidth="1"/>
    <col min="11271" max="11271" width="2" style="46" customWidth="1"/>
    <col min="11272" max="11272" width="8.140625" style="46" customWidth="1"/>
    <col min="11273" max="11273" width="10.85546875" style="46" customWidth="1"/>
    <col min="11274" max="11275" width="9.140625" style="46"/>
    <col min="11276" max="11276" width="11.28515625" style="46" bestFit="1" customWidth="1"/>
    <col min="11277" max="11520" width="9.140625" style="46"/>
    <col min="11521" max="11526" width="15.7109375" style="46" customWidth="1"/>
    <col min="11527" max="11527" width="2" style="46" customWidth="1"/>
    <col min="11528" max="11528" width="8.140625" style="46" customWidth="1"/>
    <col min="11529" max="11529" width="10.85546875" style="46" customWidth="1"/>
    <col min="11530" max="11531" width="9.140625" style="46"/>
    <col min="11532" max="11532" width="11.28515625" style="46" bestFit="1" customWidth="1"/>
    <col min="11533" max="11776" width="9.140625" style="46"/>
    <col min="11777" max="11782" width="15.7109375" style="46" customWidth="1"/>
    <col min="11783" max="11783" width="2" style="46" customWidth="1"/>
    <col min="11784" max="11784" width="8.140625" style="46" customWidth="1"/>
    <col min="11785" max="11785" width="10.85546875" style="46" customWidth="1"/>
    <col min="11786" max="11787" width="9.140625" style="46"/>
    <col min="11788" max="11788" width="11.28515625" style="46" bestFit="1" customWidth="1"/>
    <col min="11789" max="12032" width="9.140625" style="46"/>
    <col min="12033" max="12038" width="15.7109375" style="46" customWidth="1"/>
    <col min="12039" max="12039" width="2" style="46" customWidth="1"/>
    <col min="12040" max="12040" width="8.140625" style="46" customWidth="1"/>
    <col min="12041" max="12041" width="10.85546875" style="46" customWidth="1"/>
    <col min="12042" max="12043" width="9.140625" style="46"/>
    <col min="12044" max="12044" width="11.28515625" style="46" bestFit="1" customWidth="1"/>
    <col min="12045" max="12288" width="9.140625" style="46"/>
    <col min="12289" max="12294" width="15.7109375" style="46" customWidth="1"/>
    <col min="12295" max="12295" width="2" style="46" customWidth="1"/>
    <col min="12296" max="12296" width="8.140625" style="46" customWidth="1"/>
    <col min="12297" max="12297" width="10.85546875" style="46" customWidth="1"/>
    <col min="12298" max="12299" width="9.140625" style="46"/>
    <col min="12300" max="12300" width="11.28515625" style="46" bestFit="1" customWidth="1"/>
    <col min="12301" max="12544" width="9.140625" style="46"/>
    <col min="12545" max="12550" width="15.7109375" style="46" customWidth="1"/>
    <col min="12551" max="12551" width="2" style="46" customWidth="1"/>
    <col min="12552" max="12552" width="8.140625" style="46" customWidth="1"/>
    <col min="12553" max="12553" width="10.85546875" style="46" customWidth="1"/>
    <col min="12554" max="12555" width="9.140625" style="46"/>
    <col min="12556" max="12556" width="11.28515625" style="46" bestFit="1" customWidth="1"/>
    <col min="12557" max="12800" width="9.140625" style="46"/>
    <col min="12801" max="12806" width="15.7109375" style="46" customWidth="1"/>
    <col min="12807" max="12807" width="2" style="46" customWidth="1"/>
    <col min="12808" max="12808" width="8.140625" style="46" customWidth="1"/>
    <col min="12809" max="12809" width="10.85546875" style="46" customWidth="1"/>
    <col min="12810" max="12811" width="9.140625" style="46"/>
    <col min="12812" max="12812" width="11.28515625" style="46" bestFit="1" customWidth="1"/>
    <col min="12813" max="13056" width="9.140625" style="46"/>
    <col min="13057" max="13062" width="15.7109375" style="46" customWidth="1"/>
    <col min="13063" max="13063" width="2" style="46" customWidth="1"/>
    <col min="13064" max="13064" width="8.140625" style="46" customWidth="1"/>
    <col min="13065" max="13065" width="10.85546875" style="46" customWidth="1"/>
    <col min="13066" max="13067" width="9.140625" style="46"/>
    <col min="13068" max="13068" width="11.28515625" style="46" bestFit="1" customWidth="1"/>
    <col min="13069" max="13312" width="9.140625" style="46"/>
    <col min="13313" max="13318" width="15.7109375" style="46" customWidth="1"/>
    <col min="13319" max="13319" width="2" style="46" customWidth="1"/>
    <col min="13320" max="13320" width="8.140625" style="46" customWidth="1"/>
    <col min="13321" max="13321" width="10.85546875" style="46" customWidth="1"/>
    <col min="13322" max="13323" width="9.140625" style="46"/>
    <col min="13324" max="13324" width="11.28515625" style="46" bestFit="1" customWidth="1"/>
    <col min="13325" max="13568" width="9.140625" style="46"/>
    <col min="13569" max="13574" width="15.7109375" style="46" customWidth="1"/>
    <col min="13575" max="13575" width="2" style="46" customWidth="1"/>
    <col min="13576" max="13576" width="8.140625" style="46" customWidth="1"/>
    <col min="13577" max="13577" width="10.85546875" style="46" customWidth="1"/>
    <col min="13578" max="13579" width="9.140625" style="46"/>
    <col min="13580" max="13580" width="11.28515625" style="46" bestFit="1" customWidth="1"/>
    <col min="13581" max="13824" width="9.140625" style="46"/>
    <col min="13825" max="13830" width="15.7109375" style="46" customWidth="1"/>
    <col min="13831" max="13831" width="2" style="46" customWidth="1"/>
    <col min="13832" max="13832" width="8.140625" style="46" customWidth="1"/>
    <col min="13833" max="13833" width="10.85546875" style="46" customWidth="1"/>
    <col min="13834" max="13835" width="9.140625" style="46"/>
    <col min="13836" max="13836" width="11.28515625" style="46" bestFit="1" customWidth="1"/>
    <col min="13837" max="14080" width="9.140625" style="46"/>
    <col min="14081" max="14086" width="15.7109375" style="46" customWidth="1"/>
    <col min="14087" max="14087" width="2" style="46" customWidth="1"/>
    <col min="14088" max="14088" width="8.140625" style="46" customWidth="1"/>
    <col min="14089" max="14089" width="10.85546875" style="46" customWidth="1"/>
    <col min="14090" max="14091" width="9.140625" style="46"/>
    <col min="14092" max="14092" width="11.28515625" style="46" bestFit="1" customWidth="1"/>
    <col min="14093" max="14336" width="9.140625" style="46"/>
    <col min="14337" max="14342" width="15.7109375" style="46" customWidth="1"/>
    <col min="14343" max="14343" width="2" style="46" customWidth="1"/>
    <col min="14344" max="14344" width="8.140625" style="46" customWidth="1"/>
    <col min="14345" max="14345" width="10.85546875" style="46" customWidth="1"/>
    <col min="14346" max="14347" width="9.140625" style="46"/>
    <col min="14348" max="14348" width="11.28515625" style="46" bestFit="1" customWidth="1"/>
    <col min="14349" max="14592" width="9.140625" style="46"/>
    <col min="14593" max="14598" width="15.7109375" style="46" customWidth="1"/>
    <col min="14599" max="14599" width="2" style="46" customWidth="1"/>
    <col min="14600" max="14600" width="8.140625" style="46" customWidth="1"/>
    <col min="14601" max="14601" width="10.85546875" style="46" customWidth="1"/>
    <col min="14602" max="14603" width="9.140625" style="46"/>
    <col min="14604" max="14604" width="11.28515625" style="46" bestFit="1" customWidth="1"/>
    <col min="14605" max="14848" width="9.140625" style="46"/>
    <col min="14849" max="14854" width="15.7109375" style="46" customWidth="1"/>
    <col min="14855" max="14855" width="2" style="46" customWidth="1"/>
    <col min="14856" max="14856" width="8.140625" style="46" customWidth="1"/>
    <col min="14857" max="14857" width="10.85546875" style="46" customWidth="1"/>
    <col min="14858" max="14859" width="9.140625" style="46"/>
    <col min="14860" max="14860" width="11.28515625" style="46" bestFit="1" customWidth="1"/>
    <col min="14861" max="15104" width="9.140625" style="46"/>
    <col min="15105" max="15110" width="15.7109375" style="46" customWidth="1"/>
    <col min="15111" max="15111" width="2" style="46" customWidth="1"/>
    <col min="15112" max="15112" width="8.140625" style="46" customWidth="1"/>
    <col min="15113" max="15113" width="10.85546875" style="46" customWidth="1"/>
    <col min="15114" max="15115" width="9.140625" style="46"/>
    <col min="15116" max="15116" width="11.28515625" style="46" bestFit="1" customWidth="1"/>
    <col min="15117" max="15360" width="9.140625" style="46"/>
    <col min="15361" max="15366" width="15.7109375" style="46" customWidth="1"/>
    <col min="15367" max="15367" width="2" style="46" customWidth="1"/>
    <col min="15368" max="15368" width="8.140625" style="46" customWidth="1"/>
    <col min="15369" max="15369" width="10.85546875" style="46" customWidth="1"/>
    <col min="15370" max="15371" width="9.140625" style="46"/>
    <col min="15372" max="15372" width="11.28515625" style="46" bestFit="1" customWidth="1"/>
    <col min="15373" max="15616" width="9.140625" style="46"/>
    <col min="15617" max="15622" width="15.7109375" style="46" customWidth="1"/>
    <col min="15623" max="15623" width="2" style="46" customWidth="1"/>
    <col min="15624" max="15624" width="8.140625" style="46" customWidth="1"/>
    <col min="15625" max="15625" width="10.85546875" style="46" customWidth="1"/>
    <col min="15626" max="15627" width="9.140625" style="46"/>
    <col min="15628" max="15628" width="11.28515625" style="46" bestFit="1" customWidth="1"/>
    <col min="15629" max="15872" width="9.140625" style="46"/>
    <col min="15873" max="15878" width="15.7109375" style="46" customWidth="1"/>
    <col min="15879" max="15879" width="2" style="46" customWidth="1"/>
    <col min="15880" max="15880" width="8.140625" style="46" customWidth="1"/>
    <col min="15881" max="15881" width="10.85546875" style="46" customWidth="1"/>
    <col min="15882" max="15883" width="9.140625" style="46"/>
    <col min="15884" max="15884" width="11.28515625" style="46" bestFit="1" customWidth="1"/>
    <col min="15885" max="16128" width="9.140625" style="46"/>
    <col min="16129" max="16134" width="15.7109375" style="46" customWidth="1"/>
    <col min="16135" max="16135" width="2" style="46" customWidth="1"/>
    <col min="16136" max="16136" width="8.140625" style="46" customWidth="1"/>
    <col min="16137" max="16137" width="10.85546875" style="46" customWidth="1"/>
    <col min="16138" max="16139" width="9.140625" style="46"/>
    <col min="16140" max="16140" width="11.28515625" style="46" bestFit="1" customWidth="1"/>
    <col min="16141" max="16384" width="9.140625" style="46"/>
  </cols>
  <sheetData>
    <row r="1" spans="1:256" ht="18.75">
      <c r="A1" s="44" t="s">
        <v>48</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5"/>
      <c r="FC1" s="45"/>
      <c r="FD1" s="45"/>
      <c r="FE1" s="45"/>
      <c r="FF1" s="45"/>
      <c r="FG1" s="45"/>
      <c r="FH1" s="45"/>
      <c r="FI1" s="45"/>
      <c r="FJ1" s="45"/>
      <c r="FK1" s="45"/>
      <c r="FL1" s="45"/>
      <c r="FM1" s="45"/>
      <c r="FN1" s="45"/>
      <c r="FO1" s="45"/>
      <c r="FP1" s="45"/>
      <c r="FQ1" s="45"/>
      <c r="FR1" s="45"/>
      <c r="FS1" s="45"/>
      <c r="FT1" s="45"/>
      <c r="FU1" s="45"/>
      <c r="FV1" s="45"/>
      <c r="FW1" s="45"/>
      <c r="FX1" s="45"/>
      <c r="FY1" s="45"/>
      <c r="FZ1" s="45"/>
      <c r="GA1" s="45"/>
      <c r="GB1" s="45"/>
      <c r="GC1" s="45"/>
      <c r="GD1" s="45"/>
      <c r="GE1" s="45"/>
      <c r="GF1" s="45"/>
      <c r="GG1" s="45"/>
      <c r="GH1" s="45"/>
      <c r="GI1" s="45"/>
      <c r="GJ1" s="45"/>
      <c r="GK1" s="45"/>
      <c r="GL1" s="45"/>
      <c r="GM1" s="45"/>
      <c r="GN1" s="45"/>
      <c r="GO1" s="45"/>
      <c r="GP1" s="45"/>
      <c r="GQ1" s="45"/>
      <c r="GR1" s="45"/>
      <c r="GS1" s="45"/>
      <c r="GT1" s="45"/>
      <c r="GU1" s="45"/>
      <c r="GV1" s="45"/>
      <c r="GW1" s="45"/>
      <c r="GX1" s="45"/>
      <c r="GY1" s="45"/>
      <c r="GZ1" s="45"/>
      <c r="HA1" s="45"/>
      <c r="HB1" s="45"/>
      <c r="HC1" s="45"/>
      <c r="HD1" s="45"/>
      <c r="HE1" s="45"/>
      <c r="HF1" s="45"/>
      <c r="HG1" s="45"/>
      <c r="HH1" s="45"/>
      <c r="HI1" s="45"/>
      <c r="HJ1" s="45"/>
      <c r="HK1" s="45"/>
      <c r="HL1" s="45"/>
      <c r="HM1" s="45"/>
      <c r="HN1" s="45"/>
      <c r="HO1" s="45"/>
      <c r="HP1" s="45"/>
      <c r="HQ1" s="45"/>
      <c r="HR1" s="45"/>
      <c r="HS1" s="45"/>
      <c r="HT1" s="45"/>
      <c r="HU1" s="45"/>
      <c r="HV1" s="45"/>
      <c r="HW1" s="45"/>
      <c r="HX1" s="45"/>
      <c r="HY1" s="45"/>
      <c r="HZ1" s="45"/>
      <c r="IA1" s="45"/>
      <c r="IB1" s="45"/>
      <c r="IC1" s="45"/>
      <c r="ID1" s="45"/>
      <c r="IE1" s="45"/>
      <c r="IF1" s="45"/>
      <c r="IG1" s="45"/>
      <c r="IH1" s="45"/>
      <c r="II1" s="45"/>
      <c r="IJ1" s="45"/>
      <c r="IK1" s="45"/>
      <c r="IL1" s="45"/>
      <c r="IM1" s="45"/>
      <c r="IN1" s="45"/>
      <c r="IO1" s="45"/>
      <c r="IP1" s="45"/>
      <c r="IQ1" s="45"/>
      <c r="IR1" s="45"/>
      <c r="IS1" s="45"/>
      <c r="IT1" s="45"/>
      <c r="IU1" s="45"/>
      <c r="IV1" s="45"/>
    </row>
    <row r="2" spans="1:256" ht="13.5" thickBot="1">
      <c r="F2" s="48" t="s">
        <v>49</v>
      </c>
    </row>
    <row r="3" spans="1:256" ht="29.25" thickBot="1">
      <c r="A3" s="49"/>
      <c r="B3" s="50" t="s">
        <v>50</v>
      </c>
      <c r="C3" s="50" t="s">
        <v>51</v>
      </c>
      <c r="D3" s="50" t="s">
        <v>52</v>
      </c>
      <c r="E3" s="50" t="s">
        <v>53</v>
      </c>
      <c r="F3" s="51" t="s">
        <v>54</v>
      </c>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c r="DB3" s="52"/>
      <c r="DC3" s="52"/>
      <c r="DD3" s="52"/>
      <c r="DE3" s="52"/>
      <c r="DF3" s="52"/>
      <c r="DG3" s="52"/>
      <c r="DH3" s="52"/>
      <c r="DI3" s="52"/>
      <c r="DJ3" s="52"/>
      <c r="DK3" s="52"/>
      <c r="DL3" s="52"/>
      <c r="DM3" s="52"/>
      <c r="DN3" s="52"/>
      <c r="DO3" s="52"/>
      <c r="DP3" s="52"/>
      <c r="DQ3" s="52"/>
      <c r="DR3" s="52"/>
      <c r="DS3" s="52"/>
      <c r="DT3" s="52"/>
      <c r="DU3" s="52"/>
      <c r="DV3" s="52"/>
      <c r="DW3" s="52"/>
      <c r="DX3" s="52"/>
      <c r="DY3" s="52"/>
      <c r="DZ3" s="52"/>
      <c r="EA3" s="52"/>
      <c r="EB3" s="52"/>
      <c r="EC3" s="52"/>
      <c r="ED3" s="52"/>
      <c r="EE3" s="52"/>
      <c r="EF3" s="52"/>
      <c r="EG3" s="52"/>
      <c r="EH3" s="52"/>
      <c r="EI3" s="52"/>
      <c r="EJ3" s="52"/>
      <c r="EK3" s="52"/>
      <c r="EL3" s="52"/>
      <c r="EM3" s="52"/>
      <c r="EN3" s="52"/>
      <c r="EO3" s="52"/>
      <c r="EP3" s="52"/>
      <c r="EQ3" s="52"/>
      <c r="ER3" s="52"/>
      <c r="ES3" s="52"/>
      <c r="ET3" s="52"/>
      <c r="EU3" s="52"/>
      <c r="EV3" s="52"/>
      <c r="EW3" s="52"/>
      <c r="EX3" s="52"/>
      <c r="EY3" s="52"/>
      <c r="EZ3" s="52"/>
      <c r="FA3" s="52"/>
      <c r="FB3" s="52"/>
      <c r="FC3" s="52"/>
      <c r="FD3" s="52"/>
      <c r="FE3" s="52"/>
      <c r="FF3" s="52"/>
      <c r="FG3" s="52"/>
      <c r="FH3" s="52"/>
      <c r="FI3" s="52"/>
      <c r="FJ3" s="52"/>
      <c r="FK3" s="52"/>
      <c r="FL3" s="52"/>
      <c r="FM3" s="52"/>
      <c r="FN3" s="52"/>
      <c r="FO3" s="52"/>
      <c r="FP3" s="52"/>
      <c r="FQ3" s="52"/>
      <c r="FR3" s="52"/>
      <c r="FS3" s="52"/>
      <c r="FT3" s="52"/>
      <c r="FU3" s="52"/>
      <c r="FV3" s="52"/>
      <c r="FW3" s="52"/>
      <c r="FX3" s="52"/>
      <c r="FY3" s="52"/>
      <c r="FZ3" s="52"/>
      <c r="GA3" s="52"/>
      <c r="GB3" s="52"/>
      <c r="GC3" s="52"/>
      <c r="GD3" s="52"/>
      <c r="GE3" s="52"/>
      <c r="GF3" s="52"/>
      <c r="GG3" s="52"/>
      <c r="GH3" s="52"/>
      <c r="GI3" s="52"/>
      <c r="GJ3" s="52"/>
      <c r="GK3" s="52"/>
      <c r="GL3" s="52"/>
      <c r="GM3" s="52"/>
      <c r="GN3" s="52"/>
      <c r="GO3" s="52"/>
      <c r="GP3" s="52"/>
      <c r="GQ3" s="52"/>
      <c r="GR3" s="52"/>
      <c r="GS3" s="52"/>
      <c r="GT3" s="52"/>
      <c r="GU3" s="52"/>
      <c r="GV3" s="52"/>
      <c r="GW3" s="52"/>
      <c r="GX3" s="52"/>
      <c r="GY3" s="52"/>
      <c r="GZ3" s="52"/>
      <c r="HA3" s="52"/>
      <c r="HB3" s="52"/>
      <c r="HC3" s="52"/>
      <c r="HD3" s="52"/>
      <c r="HE3" s="52"/>
      <c r="HF3" s="52"/>
      <c r="HG3" s="52"/>
      <c r="HH3" s="52"/>
      <c r="HI3" s="52"/>
      <c r="HJ3" s="52"/>
      <c r="HK3" s="52"/>
      <c r="HL3" s="52"/>
      <c r="HM3" s="52"/>
      <c r="HN3" s="52"/>
      <c r="HO3" s="52"/>
      <c r="HP3" s="52"/>
      <c r="HQ3" s="52"/>
      <c r="HR3" s="52"/>
      <c r="HS3" s="52"/>
      <c r="HT3" s="52"/>
      <c r="HU3" s="52"/>
      <c r="HV3" s="52"/>
      <c r="HW3" s="52"/>
      <c r="HX3" s="52"/>
      <c r="HY3" s="52"/>
      <c r="HZ3" s="52"/>
      <c r="IA3" s="52"/>
      <c r="IB3" s="52"/>
      <c r="IC3" s="52"/>
      <c r="ID3" s="52"/>
      <c r="IE3" s="52"/>
      <c r="IF3" s="52"/>
      <c r="IG3" s="52"/>
      <c r="IH3" s="52"/>
      <c r="II3" s="52"/>
      <c r="IJ3" s="52"/>
      <c r="IK3" s="52"/>
      <c r="IL3" s="52"/>
      <c r="IM3" s="52"/>
      <c r="IN3" s="52"/>
      <c r="IO3" s="52"/>
      <c r="IP3" s="52"/>
      <c r="IQ3" s="52"/>
      <c r="IR3" s="52"/>
      <c r="IS3" s="52"/>
      <c r="IT3" s="52"/>
      <c r="IU3" s="52"/>
      <c r="IV3" s="52"/>
    </row>
    <row r="4" spans="1:256" ht="15">
      <c r="A4" s="53">
        <v>41851</v>
      </c>
      <c r="B4" s="54">
        <v>22000</v>
      </c>
      <c r="C4" s="54">
        <v>51344.4</v>
      </c>
      <c r="D4" s="54">
        <v>34234.199999999997</v>
      </c>
      <c r="E4" s="54">
        <v>50093.3</v>
      </c>
      <c r="F4" s="55">
        <f t="shared" ref="F4:F11" si="0">SUM(B4:E4)</f>
        <v>157671.9</v>
      </c>
    </row>
    <row r="5" spans="1:256" ht="15">
      <c r="A5" s="53">
        <v>41882</v>
      </c>
      <c r="B5" s="54">
        <v>22410</v>
      </c>
      <c r="C5" s="54">
        <v>52072.9</v>
      </c>
      <c r="D5" s="54">
        <v>34260.300000000003</v>
      </c>
      <c r="E5" s="54">
        <v>50093.3</v>
      </c>
      <c r="F5" s="55">
        <f t="shared" si="0"/>
        <v>158836.5</v>
      </c>
    </row>
    <row r="6" spans="1:256" ht="15">
      <c r="A6" s="53">
        <v>41912</v>
      </c>
      <c r="B6" s="54">
        <v>23840</v>
      </c>
      <c r="C6" s="54">
        <v>53378</v>
      </c>
      <c r="D6" s="54">
        <v>34366</v>
      </c>
      <c r="E6" s="54">
        <v>51816</v>
      </c>
      <c r="F6" s="55">
        <f t="shared" si="0"/>
        <v>163400</v>
      </c>
    </row>
    <row r="7" spans="1:256" ht="15">
      <c r="A7" s="53">
        <v>41943</v>
      </c>
      <c r="B7" s="54">
        <v>25215</v>
      </c>
      <c r="C7" s="54">
        <v>49231</v>
      </c>
      <c r="D7" s="54">
        <v>35522</v>
      </c>
      <c r="E7" s="54">
        <v>53819</v>
      </c>
      <c r="F7" s="55">
        <f t="shared" si="0"/>
        <v>163787</v>
      </c>
    </row>
    <row r="8" spans="1:256" ht="15">
      <c r="A8" s="53">
        <v>41973</v>
      </c>
      <c r="B8" s="54">
        <v>26784</v>
      </c>
      <c r="C8" s="54">
        <v>47731</v>
      </c>
      <c r="D8" s="54">
        <v>35467</v>
      </c>
      <c r="E8" s="54">
        <v>53322</v>
      </c>
      <c r="F8" s="55">
        <f t="shared" si="0"/>
        <v>163304</v>
      </c>
    </row>
    <row r="9" spans="1:256" ht="15">
      <c r="A9" s="53">
        <v>42004</v>
      </c>
      <c r="B9" s="54">
        <v>26854</v>
      </c>
      <c r="C9" s="54">
        <v>48543.4</v>
      </c>
      <c r="D9" s="54">
        <v>36800.5</v>
      </c>
      <c r="E9" s="54">
        <v>53321.7</v>
      </c>
      <c r="F9" s="55">
        <f t="shared" si="0"/>
        <v>165519.59999999998</v>
      </c>
    </row>
    <row r="10" spans="1:256" ht="15">
      <c r="A10" s="53">
        <v>42035</v>
      </c>
      <c r="B10" s="54">
        <v>25864</v>
      </c>
      <c r="C10" s="54">
        <v>49569</v>
      </c>
      <c r="D10" s="54">
        <v>36848</v>
      </c>
      <c r="E10" s="54">
        <v>52801</v>
      </c>
      <c r="F10" s="55">
        <f t="shared" si="0"/>
        <v>165082</v>
      </c>
    </row>
    <row r="11" spans="1:256" ht="15">
      <c r="A11" s="53">
        <v>42063</v>
      </c>
      <c r="B11" s="54">
        <v>26154</v>
      </c>
      <c r="C11" s="54">
        <v>49350</v>
      </c>
      <c r="D11" s="54">
        <v>38418</v>
      </c>
      <c r="E11" s="54">
        <v>54201</v>
      </c>
      <c r="F11" s="55">
        <f t="shared" si="0"/>
        <v>168123</v>
      </c>
    </row>
    <row r="12" spans="1:256" ht="15">
      <c r="A12" s="53">
        <v>42094</v>
      </c>
      <c r="B12" s="54">
        <v>25144</v>
      </c>
      <c r="C12" s="54">
        <v>50449.9</v>
      </c>
      <c r="D12" s="54">
        <v>38417.699999999997</v>
      </c>
      <c r="E12" s="54">
        <v>54830.400000000001</v>
      </c>
      <c r="F12" s="55">
        <f>SUM(B12:E12)</f>
        <v>168842</v>
      </c>
    </row>
    <row r="13" spans="1:256" ht="15">
      <c r="A13" s="53">
        <v>42124</v>
      </c>
      <c r="B13" s="54">
        <v>24594</v>
      </c>
      <c r="C13" s="54">
        <v>50149.9</v>
      </c>
      <c r="D13" s="54">
        <v>40417.699999999997</v>
      </c>
      <c r="E13" s="54">
        <v>54830.400000000001</v>
      </c>
      <c r="F13" s="55">
        <f>SUM(B13:E13)</f>
        <v>169992</v>
      </c>
      <c r="L13" s="56"/>
    </row>
    <row r="14" spans="1:256" ht="15">
      <c r="A14" s="53">
        <v>42153</v>
      </c>
      <c r="B14" s="54">
        <v>24604</v>
      </c>
      <c r="C14" s="54">
        <v>49725</v>
      </c>
      <c r="D14" s="54">
        <v>40417</v>
      </c>
      <c r="E14" s="54">
        <v>58530</v>
      </c>
      <c r="F14" s="55">
        <f>SUM(B14:E14)</f>
        <v>173276</v>
      </c>
      <c r="L14" s="56"/>
    </row>
    <row r="15" spans="1:256" ht="15">
      <c r="A15" s="53">
        <v>42185</v>
      </c>
      <c r="B15" s="54">
        <v>25654</v>
      </c>
      <c r="C15" s="54">
        <v>50384.9</v>
      </c>
      <c r="D15" s="54">
        <v>36159.699999999997</v>
      </c>
      <c r="E15" s="54">
        <v>59641.9</v>
      </c>
      <c r="F15" s="55">
        <f>SUM(B15:E15)</f>
        <v>171840.5</v>
      </c>
      <c r="L15" s="56"/>
    </row>
    <row r="16" spans="1:256" ht="15.75" thickBot="1">
      <c r="A16" s="57">
        <v>42216</v>
      </c>
      <c r="B16" s="58">
        <v>26514</v>
      </c>
      <c r="C16" s="58">
        <v>51094.400000000001</v>
      </c>
      <c r="D16" s="58">
        <v>36159.699999999997</v>
      </c>
      <c r="E16" s="58">
        <v>61141.9</v>
      </c>
      <c r="F16" s="59">
        <f>SUM(B16:E16)</f>
        <v>174910</v>
      </c>
      <c r="L16" s="56"/>
    </row>
    <row r="17" spans="1:256">
      <c r="A17" s="60" t="s">
        <v>55</v>
      </c>
      <c r="F17" s="47"/>
    </row>
    <row r="18" spans="1:256">
      <c r="A18" s="60" t="s">
        <v>56</v>
      </c>
      <c r="F18" s="47"/>
    </row>
    <row r="19" spans="1:256">
      <c r="A19" s="60"/>
      <c r="F19" s="47"/>
    </row>
    <row r="21" spans="1:256" ht="18.75">
      <c r="A21" s="44" t="s">
        <v>57</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c r="DW21" s="61"/>
      <c r="DX21" s="61"/>
      <c r="DY21" s="61"/>
      <c r="DZ21" s="61"/>
      <c r="EA21" s="61"/>
      <c r="EB21" s="61"/>
      <c r="EC21" s="61"/>
      <c r="ED21" s="61"/>
      <c r="EE21" s="61"/>
      <c r="EF21" s="61"/>
      <c r="EG21" s="61"/>
      <c r="EH21" s="61"/>
      <c r="EI21" s="61"/>
      <c r="EJ21" s="61"/>
      <c r="EK21" s="61"/>
      <c r="EL21" s="61"/>
      <c r="EM21" s="61"/>
      <c r="EN21" s="61"/>
      <c r="EO21" s="61"/>
      <c r="EP21" s="61"/>
      <c r="EQ21" s="61"/>
      <c r="ER21" s="61"/>
      <c r="ES21" s="61"/>
      <c r="ET21" s="61"/>
      <c r="EU21" s="61"/>
      <c r="EV21" s="61"/>
      <c r="EW21" s="61"/>
      <c r="EX21" s="61"/>
      <c r="EY21" s="61"/>
      <c r="EZ21" s="61"/>
      <c r="FA21" s="61"/>
      <c r="FB21" s="61"/>
      <c r="FC21" s="61"/>
      <c r="FD21" s="61"/>
      <c r="FE21" s="61"/>
      <c r="FF21" s="61"/>
      <c r="FG21" s="61"/>
      <c r="FH21" s="61"/>
      <c r="FI21" s="61"/>
      <c r="FJ21" s="61"/>
      <c r="FK21" s="61"/>
      <c r="FL21" s="61"/>
      <c r="FM21" s="61"/>
      <c r="FN21" s="61"/>
      <c r="FO21" s="61"/>
      <c r="FP21" s="61"/>
      <c r="FQ21" s="61"/>
      <c r="FR21" s="61"/>
      <c r="FS21" s="61"/>
      <c r="FT21" s="61"/>
      <c r="FU21" s="61"/>
      <c r="FV21" s="61"/>
      <c r="FW21" s="61"/>
      <c r="FX21" s="61"/>
      <c r="FY21" s="61"/>
      <c r="FZ21" s="61"/>
      <c r="GA21" s="61"/>
      <c r="GB21" s="61"/>
      <c r="GC21" s="61"/>
      <c r="GD21" s="61"/>
      <c r="GE21" s="61"/>
      <c r="GF21" s="61"/>
      <c r="GG21" s="61"/>
      <c r="GH21" s="61"/>
      <c r="GI21" s="61"/>
      <c r="GJ21" s="61"/>
      <c r="GK21" s="61"/>
      <c r="GL21" s="61"/>
      <c r="GM21" s="61"/>
      <c r="GN21" s="61"/>
      <c r="GO21" s="61"/>
      <c r="GP21" s="61"/>
      <c r="GQ21" s="61"/>
      <c r="GR21" s="61"/>
      <c r="GS21" s="61"/>
      <c r="GT21" s="61"/>
      <c r="GU21" s="61"/>
      <c r="GV21" s="61"/>
      <c r="GW21" s="61"/>
      <c r="GX21" s="61"/>
      <c r="GY21" s="61"/>
      <c r="GZ21" s="61"/>
      <c r="HA21" s="61"/>
      <c r="HB21" s="61"/>
      <c r="HC21" s="61"/>
      <c r="HD21" s="61"/>
      <c r="HE21" s="61"/>
      <c r="HF21" s="61"/>
      <c r="HG21" s="61"/>
      <c r="HH21" s="61"/>
      <c r="HI21" s="61"/>
      <c r="HJ21" s="61"/>
      <c r="HK21" s="61"/>
      <c r="HL21" s="61"/>
      <c r="HM21" s="61"/>
      <c r="HN21" s="61"/>
      <c r="HO21" s="61"/>
      <c r="HP21" s="61"/>
      <c r="HQ21" s="61"/>
      <c r="HR21" s="61"/>
      <c r="HS21" s="61"/>
      <c r="HT21" s="61"/>
      <c r="HU21" s="61"/>
      <c r="HV21" s="61"/>
      <c r="HW21" s="61"/>
      <c r="HX21" s="61"/>
      <c r="HY21" s="61"/>
      <c r="HZ21" s="61"/>
      <c r="IA21" s="61"/>
      <c r="IB21" s="61"/>
      <c r="IC21" s="61"/>
      <c r="ID21" s="61"/>
      <c r="IE21" s="61"/>
      <c r="IF21" s="61"/>
      <c r="IG21" s="61"/>
      <c r="IH21" s="61"/>
      <c r="II21" s="61"/>
      <c r="IJ21" s="61"/>
      <c r="IK21" s="61"/>
      <c r="IL21" s="61"/>
      <c r="IM21" s="61"/>
      <c r="IN21" s="61"/>
      <c r="IO21" s="61"/>
      <c r="IP21" s="61"/>
      <c r="IQ21" s="61"/>
      <c r="IR21" s="61"/>
      <c r="IS21" s="61"/>
      <c r="IT21" s="61"/>
      <c r="IU21" s="61"/>
      <c r="IV21" s="61"/>
    </row>
    <row r="22" spans="1:256" ht="13.5" thickBot="1">
      <c r="E22" s="48"/>
      <c r="F22" s="48" t="s">
        <v>49</v>
      </c>
    </row>
    <row r="23" spans="1:256" ht="29.25" thickBot="1">
      <c r="A23" s="62"/>
      <c r="B23" s="63" t="s">
        <v>50</v>
      </c>
      <c r="C23" s="50" t="s">
        <v>51</v>
      </c>
      <c r="D23" s="50" t="s">
        <v>52</v>
      </c>
      <c r="E23" s="50" t="s">
        <v>58</v>
      </c>
      <c r="F23" s="51" t="s">
        <v>54</v>
      </c>
    </row>
    <row r="24" spans="1:256" ht="15">
      <c r="A24" s="64" t="s">
        <v>59</v>
      </c>
      <c r="B24" s="54">
        <v>25114</v>
      </c>
      <c r="C24" s="54">
        <v>16497.05</v>
      </c>
      <c r="D24" s="54" t="s">
        <v>60</v>
      </c>
      <c r="E24" s="54">
        <v>3611</v>
      </c>
      <c r="F24" s="54">
        <f t="shared" ref="F24:F39" si="1">SUM(B24:E24)</f>
        <v>45222.05</v>
      </c>
      <c r="H24" s="65"/>
    </row>
    <row r="25" spans="1:256" ht="15">
      <c r="A25" s="64" t="s">
        <v>61</v>
      </c>
      <c r="B25" s="54">
        <v>1400</v>
      </c>
      <c r="C25" s="54">
        <v>15470</v>
      </c>
      <c r="D25" s="54">
        <v>9544.2000000000007</v>
      </c>
      <c r="E25" s="54">
        <v>1363</v>
      </c>
      <c r="F25" s="54">
        <f t="shared" si="1"/>
        <v>27777.200000000001</v>
      </c>
      <c r="H25" s="65"/>
    </row>
    <row r="26" spans="1:256" ht="15">
      <c r="A26" s="64" t="s">
        <v>62</v>
      </c>
      <c r="B26" s="54" t="s">
        <v>60</v>
      </c>
      <c r="C26" s="54">
        <v>19127.349999999999</v>
      </c>
      <c r="D26" s="54">
        <v>7190</v>
      </c>
      <c r="E26" s="54">
        <v>369</v>
      </c>
      <c r="F26" s="54">
        <f t="shared" si="1"/>
        <v>26686.35</v>
      </c>
      <c r="H26" s="65"/>
    </row>
    <row r="27" spans="1:256" ht="15">
      <c r="A27" s="64" t="s">
        <v>63</v>
      </c>
      <c r="B27" s="54" t="s">
        <v>60</v>
      </c>
      <c r="C27" s="66" t="s">
        <v>60</v>
      </c>
      <c r="D27" s="54">
        <v>10120</v>
      </c>
      <c r="E27" s="54">
        <v>1610</v>
      </c>
      <c r="F27" s="54">
        <f t="shared" si="1"/>
        <v>11730</v>
      </c>
      <c r="H27" s="65"/>
    </row>
    <row r="28" spans="1:256" ht="15">
      <c r="A28" s="64" t="s">
        <v>64</v>
      </c>
      <c r="B28" s="54" t="s">
        <v>60</v>
      </c>
      <c r="C28" s="66" t="s">
        <v>60</v>
      </c>
      <c r="D28" s="54">
        <v>9305.2999999999993</v>
      </c>
      <c r="E28" s="54">
        <v>1826</v>
      </c>
      <c r="F28" s="54">
        <f t="shared" si="1"/>
        <v>11131.3</v>
      </c>
      <c r="H28" s="65"/>
    </row>
    <row r="29" spans="1:256" ht="15">
      <c r="A29" s="64" t="s">
        <v>65</v>
      </c>
      <c r="B29" s="54" t="s">
        <v>60</v>
      </c>
      <c r="C29" s="66" t="s">
        <v>60</v>
      </c>
      <c r="D29" s="54" t="s">
        <v>60</v>
      </c>
      <c r="E29" s="54">
        <v>4349</v>
      </c>
      <c r="F29" s="54">
        <f t="shared" si="1"/>
        <v>4349</v>
      </c>
      <c r="H29" s="65"/>
    </row>
    <row r="30" spans="1:256" ht="15">
      <c r="A30" s="64" t="s">
        <v>66</v>
      </c>
      <c r="B30" s="54" t="s">
        <v>60</v>
      </c>
      <c r="C30" s="66" t="s">
        <v>60</v>
      </c>
      <c r="D30" s="54" t="s">
        <v>60</v>
      </c>
      <c r="E30" s="54">
        <v>4931</v>
      </c>
      <c r="F30" s="54">
        <f t="shared" si="1"/>
        <v>4931</v>
      </c>
      <c r="H30" s="65"/>
    </row>
    <row r="31" spans="1:256" ht="15">
      <c r="A31" s="64" t="s">
        <v>67</v>
      </c>
      <c r="B31" s="54" t="s">
        <v>60</v>
      </c>
      <c r="C31" s="66" t="s">
        <v>60</v>
      </c>
      <c r="D31" s="54" t="s">
        <v>60</v>
      </c>
      <c r="E31" s="54">
        <v>2631</v>
      </c>
      <c r="F31" s="54">
        <f t="shared" si="1"/>
        <v>2631</v>
      </c>
      <c r="H31" s="65"/>
    </row>
    <row r="32" spans="1:256" ht="15">
      <c r="A32" s="64" t="s">
        <v>68</v>
      </c>
      <c r="B32" s="54" t="s">
        <v>60</v>
      </c>
      <c r="C32" s="66" t="s">
        <v>60</v>
      </c>
      <c r="D32" s="54" t="s">
        <v>60</v>
      </c>
      <c r="E32" s="54">
        <v>6513</v>
      </c>
      <c r="F32" s="54">
        <f t="shared" si="1"/>
        <v>6513</v>
      </c>
      <c r="H32" s="65"/>
    </row>
    <row r="33" spans="1:256" ht="15">
      <c r="A33" s="64" t="s">
        <v>69</v>
      </c>
      <c r="B33" s="54" t="s">
        <v>60</v>
      </c>
      <c r="C33" s="66" t="s">
        <v>60</v>
      </c>
      <c r="D33" s="54" t="s">
        <v>60</v>
      </c>
      <c r="E33" s="54">
        <v>6083</v>
      </c>
      <c r="F33" s="54">
        <f t="shared" si="1"/>
        <v>6083</v>
      </c>
      <c r="H33" s="65"/>
    </row>
    <row r="34" spans="1:256" ht="15">
      <c r="A34" s="64" t="s">
        <v>70</v>
      </c>
      <c r="B34" s="54" t="s">
        <v>60</v>
      </c>
      <c r="C34" s="66" t="s">
        <v>60</v>
      </c>
      <c r="D34" s="54" t="s">
        <v>60</v>
      </c>
      <c r="E34" s="54">
        <v>5061.8999999999996</v>
      </c>
      <c r="F34" s="54">
        <f t="shared" si="1"/>
        <v>5061.8999999999996</v>
      </c>
      <c r="H34" s="65"/>
    </row>
    <row r="35" spans="1:256" ht="15">
      <c r="A35" s="64" t="s">
        <v>71</v>
      </c>
      <c r="B35" s="54" t="s">
        <v>60</v>
      </c>
      <c r="C35" s="66" t="s">
        <v>60</v>
      </c>
      <c r="D35" s="54" t="s">
        <v>60</v>
      </c>
      <c r="E35" s="54">
        <v>3493</v>
      </c>
      <c r="F35" s="54">
        <f t="shared" si="1"/>
        <v>3493</v>
      </c>
      <c r="H35" s="65"/>
    </row>
    <row r="36" spans="1:256" ht="15">
      <c r="A36" s="64" t="s">
        <v>72</v>
      </c>
      <c r="B36" s="54" t="s">
        <v>60</v>
      </c>
      <c r="C36" s="66" t="s">
        <v>60</v>
      </c>
      <c r="D36" s="54" t="s">
        <v>60</v>
      </c>
      <c r="E36" s="54">
        <v>6123</v>
      </c>
      <c r="F36" s="54">
        <f t="shared" si="1"/>
        <v>6123</v>
      </c>
      <c r="H36" s="65"/>
    </row>
    <row r="37" spans="1:256" ht="15">
      <c r="A37" s="64" t="s">
        <v>73</v>
      </c>
      <c r="B37" s="54" t="s">
        <v>60</v>
      </c>
      <c r="C37" s="66" t="s">
        <v>60</v>
      </c>
      <c r="D37" s="54" t="s">
        <v>60</v>
      </c>
      <c r="E37" s="54">
        <v>3596</v>
      </c>
      <c r="F37" s="54">
        <f t="shared" si="1"/>
        <v>3596</v>
      </c>
      <c r="H37" s="65"/>
    </row>
    <row r="38" spans="1:256" ht="15">
      <c r="A38" s="64" t="s">
        <v>74</v>
      </c>
      <c r="B38" s="54" t="s">
        <v>60</v>
      </c>
      <c r="C38" s="66" t="s">
        <v>60</v>
      </c>
      <c r="D38" s="54" t="s">
        <v>60</v>
      </c>
      <c r="E38" s="54">
        <v>8082</v>
      </c>
      <c r="F38" s="54">
        <f t="shared" si="1"/>
        <v>8082</v>
      </c>
      <c r="H38" s="65"/>
    </row>
    <row r="39" spans="1:256" ht="15.75" thickBot="1">
      <c r="A39" s="64" t="s">
        <v>75</v>
      </c>
      <c r="B39" s="54" t="s">
        <v>60</v>
      </c>
      <c r="C39" s="66" t="s">
        <v>60</v>
      </c>
      <c r="D39" s="54" t="s">
        <v>60</v>
      </c>
      <c r="E39" s="54">
        <v>1500</v>
      </c>
      <c r="F39" s="54">
        <f t="shared" si="1"/>
        <v>1500</v>
      </c>
      <c r="H39" s="65"/>
    </row>
    <row r="40" spans="1:256" ht="15" thickBot="1">
      <c r="A40" s="67" t="s">
        <v>54</v>
      </c>
      <c r="B40" s="68">
        <f>SUM(B24:B39)</f>
        <v>26514</v>
      </c>
      <c r="C40" s="68">
        <f>SUM(C24:C39)</f>
        <v>51094.399999999994</v>
      </c>
      <c r="D40" s="69">
        <f>SUM(D24:D39)</f>
        <v>36159.5</v>
      </c>
      <c r="E40" s="69">
        <f>SUM(E24:E39)</f>
        <v>61141.9</v>
      </c>
      <c r="F40" s="69">
        <f>SUM(F24:F39)</f>
        <v>174909.80000000002</v>
      </c>
      <c r="G40" s="47"/>
      <c r="H40" s="70"/>
      <c r="I40" s="70"/>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row>
    <row r="41" spans="1:256">
      <c r="A41" s="60"/>
      <c r="C41" s="60"/>
      <c r="D41" s="60"/>
    </row>
    <row r="42" spans="1:256">
      <c r="A42" s="60" t="s">
        <v>76</v>
      </c>
      <c r="D42" s="60"/>
      <c r="F42" s="47"/>
    </row>
    <row r="43" spans="1:256">
      <c r="A43" s="60" t="s">
        <v>55</v>
      </c>
    </row>
    <row r="44" spans="1:256">
      <c r="A44" s="60" t="s">
        <v>56</v>
      </c>
    </row>
  </sheetData>
  <printOptions horizontalCentered="1"/>
  <pageMargins left="0.11811023622047245" right="0.11811023622047245" top="0.15748031496062992" bottom="0.15748031496062992" header="0" footer="0"/>
  <pageSetup paperSize="9" scale="8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99"/>
  <sheetViews>
    <sheetView zoomScaleNormal="100" workbookViewId="0">
      <selection activeCell="P19" sqref="P19"/>
    </sheetView>
  </sheetViews>
  <sheetFormatPr defaultRowHeight="12.75"/>
  <cols>
    <col min="1" max="1" width="16.7109375" style="1465" customWidth="1"/>
    <col min="2" max="2" width="15.7109375" style="1465" customWidth="1"/>
    <col min="3" max="3" width="14.5703125" style="1465" customWidth="1"/>
    <col min="4" max="4" width="20.7109375" style="1465" customWidth="1"/>
    <col min="5" max="5" width="21.85546875" style="1465" customWidth="1"/>
    <col min="6" max="6" width="8.5703125" style="1465" customWidth="1"/>
    <col min="7" max="7" width="12.140625" style="1465" customWidth="1"/>
    <col min="8" max="8" width="12.28515625" style="1465" bestFit="1" customWidth="1"/>
    <col min="9" max="9" width="9.7109375" style="1465" bestFit="1" customWidth="1"/>
    <col min="10" max="10" width="9.5703125" style="1465" bestFit="1" customWidth="1"/>
    <col min="11" max="12" width="9.140625" style="1465"/>
    <col min="13" max="13" width="9.5703125" style="1465" bestFit="1" customWidth="1"/>
    <col min="14" max="256" width="9.140625" style="1465"/>
    <col min="257" max="258" width="15.7109375" style="1465" customWidth="1"/>
    <col min="259" max="259" width="12.140625" style="1465" bestFit="1" customWidth="1"/>
    <col min="260" max="261" width="20" style="1465" bestFit="1" customWidth="1"/>
    <col min="262" max="262" width="8.5703125" style="1465" customWidth="1"/>
    <col min="263" max="263" width="12.140625" style="1465" customWidth="1"/>
    <col min="264" max="264" width="12.28515625" style="1465" bestFit="1" customWidth="1"/>
    <col min="265" max="265" width="9.7109375" style="1465" bestFit="1" customWidth="1"/>
    <col min="266" max="266" width="9.5703125" style="1465" bestFit="1" customWidth="1"/>
    <col min="267" max="268" width="9.140625" style="1465"/>
    <col min="269" max="269" width="9.5703125" style="1465" bestFit="1" customWidth="1"/>
    <col min="270" max="512" width="9.140625" style="1465"/>
    <col min="513" max="514" width="15.7109375" style="1465" customWidth="1"/>
    <col min="515" max="515" width="12.140625" style="1465" bestFit="1" customWidth="1"/>
    <col min="516" max="517" width="20" style="1465" bestFit="1" customWidth="1"/>
    <col min="518" max="518" width="8.5703125" style="1465" customWidth="1"/>
    <col min="519" max="519" width="12.140625" style="1465" customWidth="1"/>
    <col min="520" max="520" width="12.28515625" style="1465" bestFit="1" customWidth="1"/>
    <col min="521" max="521" width="9.7109375" style="1465" bestFit="1" customWidth="1"/>
    <col min="522" max="522" width="9.5703125" style="1465" bestFit="1" customWidth="1"/>
    <col min="523" max="524" width="9.140625" style="1465"/>
    <col min="525" max="525" width="9.5703125" style="1465" bestFit="1" customWidth="1"/>
    <col min="526" max="768" width="9.140625" style="1465"/>
    <col min="769" max="770" width="15.7109375" style="1465" customWidth="1"/>
    <col min="771" max="771" width="12.140625" style="1465" bestFit="1" customWidth="1"/>
    <col min="772" max="773" width="20" style="1465" bestFit="1" customWidth="1"/>
    <col min="774" max="774" width="8.5703125" style="1465" customWidth="1"/>
    <col min="775" max="775" width="12.140625" style="1465" customWidth="1"/>
    <col min="776" max="776" width="12.28515625" style="1465" bestFit="1" customWidth="1"/>
    <col min="777" max="777" width="9.7109375" style="1465" bestFit="1" customWidth="1"/>
    <col min="778" max="778" width="9.5703125" style="1465" bestFit="1" customWidth="1"/>
    <col min="779" max="780" width="9.140625" style="1465"/>
    <col min="781" max="781" width="9.5703125" style="1465" bestFit="1" customWidth="1"/>
    <col min="782" max="1024" width="9.140625" style="1465"/>
    <col min="1025" max="1026" width="15.7109375" style="1465" customWidth="1"/>
    <col min="1027" max="1027" width="12.140625" style="1465" bestFit="1" customWidth="1"/>
    <col min="1028" max="1029" width="20" style="1465" bestFit="1" customWidth="1"/>
    <col min="1030" max="1030" width="8.5703125" style="1465" customWidth="1"/>
    <col min="1031" max="1031" width="12.140625" style="1465" customWidth="1"/>
    <col min="1032" max="1032" width="12.28515625" style="1465" bestFit="1" customWidth="1"/>
    <col min="1033" max="1033" width="9.7109375" style="1465" bestFit="1" customWidth="1"/>
    <col min="1034" max="1034" width="9.5703125" style="1465" bestFit="1" customWidth="1"/>
    <col min="1035" max="1036" width="9.140625" style="1465"/>
    <col min="1037" max="1037" width="9.5703125" style="1465" bestFit="1" customWidth="1"/>
    <col min="1038" max="1280" width="9.140625" style="1465"/>
    <col min="1281" max="1282" width="15.7109375" style="1465" customWidth="1"/>
    <col min="1283" max="1283" width="12.140625" style="1465" bestFit="1" customWidth="1"/>
    <col min="1284" max="1285" width="20" style="1465" bestFit="1" customWidth="1"/>
    <col min="1286" max="1286" width="8.5703125" style="1465" customWidth="1"/>
    <col min="1287" max="1287" width="12.140625" style="1465" customWidth="1"/>
    <col min="1288" max="1288" width="12.28515625" style="1465" bestFit="1" customWidth="1"/>
    <col min="1289" max="1289" width="9.7109375" style="1465" bestFit="1" customWidth="1"/>
    <col min="1290" max="1290" width="9.5703125" style="1465" bestFit="1" customWidth="1"/>
    <col min="1291" max="1292" width="9.140625" style="1465"/>
    <col min="1293" max="1293" width="9.5703125" style="1465" bestFit="1" customWidth="1"/>
    <col min="1294" max="1536" width="9.140625" style="1465"/>
    <col min="1537" max="1538" width="15.7109375" style="1465" customWidth="1"/>
    <col min="1539" max="1539" width="12.140625" style="1465" bestFit="1" customWidth="1"/>
    <col min="1540" max="1541" width="20" style="1465" bestFit="1" customWidth="1"/>
    <col min="1542" max="1542" width="8.5703125" style="1465" customWidth="1"/>
    <col min="1543" max="1543" width="12.140625" style="1465" customWidth="1"/>
    <col min="1544" max="1544" width="12.28515625" style="1465" bestFit="1" customWidth="1"/>
    <col min="1545" max="1545" width="9.7109375" style="1465" bestFit="1" customWidth="1"/>
    <col min="1546" max="1546" width="9.5703125" style="1465" bestFit="1" customWidth="1"/>
    <col min="1547" max="1548" width="9.140625" style="1465"/>
    <col min="1549" max="1549" width="9.5703125" style="1465" bestFit="1" customWidth="1"/>
    <col min="1550" max="1792" width="9.140625" style="1465"/>
    <col min="1793" max="1794" width="15.7109375" style="1465" customWidth="1"/>
    <col min="1795" max="1795" width="12.140625" style="1465" bestFit="1" customWidth="1"/>
    <col min="1796" max="1797" width="20" style="1465" bestFit="1" customWidth="1"/>
    <col min="1798" max="1798" width="8.5703125" style="1465" customWidth="1"/>
    <col min="1799" max="1799" width="12.140625" style="1465" customWidth="1"/>
    <col min="1800" max="1800" width="12.28515625" style="1465" bestFit="1" customWidth="1"/>
    <col min="1801" max="1801" width="9.7109375" style="1465" bestFit="1" customWidth="1"/>
    <col min="1802" max="1802" width="9.5703125" style="1465" bestFit="1" customWidth="1"/>
    <col min="1803" max="1804" width="9.140625" style="1465"/>
    <col min="1805" max="1805" width="9.5703125" style="1465" bestFit="1" customWidth="1"/>
    <col min="1806" max="2048" width="9.140625" style="1465"/>
    <col min="2049" max="2050" width="15.7109375" style="1465" customWidth="1"/>
    <col min="2051" max="2051" width="12.140625" style="1465" bestFit="1" customWidth="1"/>
    <col min="2052" max="2053" width="20" style="1465" bestFit="1" customWidth="1"/>
    <col min="2054" max="2054" width="8.5703125" style="1465" customWidth="1"/>
    <col min="2055" max="2055" width="12.140625" style="1465" customWidth="1"/>
    <col min="2056" max="2056" width="12.28515625" style="1465" bestFit="1" customWidth="1"/>
    <col min="2057" max="2057" width="9.7109375" style="1465" bestFit="1" customWidth="1"/>
    <col min="2058" max="2058" width="9.5703125" style="1465" bestFit="1" customWidth="1"/>
    <col min="2059" max="2060" width="9.140625" style="1465"/>
    <col min="2061" max="2061" width="9.5703125" style="1465" bestFit="1" customWidth="1"/>
    <col min="2062" max="2304" width="9.140625" style="1465"/>
    <col min="2305" max="2306" width="15.7109375" style="1465" customWidth="1"/>
    <col min="2307" max="2307" width="12.140625" style="1465" bestFit="1" customWidth="1"/>
    <col min="2308" max="2309" width="20" style="1465" bestFit="1" customWidth="1"/>
    <col min="2310" max="2310" width="8.5703125" style="1465" customWidth="1"/>
    <col min="2311" max="2311" width="12.140625" style="1465" customWidth="1"/>
    <col min="2312" max="2312" width="12.28515625" style="1465" bestFit="1" customWidth="1"/>
    <col min="2313" max="2313" width="9.7109375" style="1465" bestFit="1" customWidth="1"/>
    <col min="2314" max="2314" width="9.5703125" style="1465" bestFit="1" customWidth="1"/>
    <col min="2315" max="2316" width="9.140625" style="1465"/>
    <col min="2317" max="2317" width="9.5703125" style="1465" bestFit="1" customWidth="1"/>
    <col min="2318" max="2560" width="9.140625" style="1465"/>
    <col min="2561" max="2562" width="15.7109375" style="1465" customWidth="1"/>
    <col min="2563" max="2563" width="12.140625" style="1465" bestFit="1" customWidth="1"/>
    <col min="2564" max="2565" width="20" style="1465" bestFit="1" customWidth="1"/>
    <col min="2566" max="2566" width="8.5703125" style="1465" customWidth="1"/>
    <col min="2567" max="2567" width="12.140625" style="1465" customWidth="1"/>
    <col min="2568" max="2568" width="12.28515625" style="1465" bestFit="1" customWidth="1"/>
    <col min="2569" max="2569" width="9.7109375" style="1465" bestFit="1" customWidth="1"/>
    <col min="2570" max="2570" width="9.5703125" style="1465" bestFit="1" customWidth="1"/>
    <col min="2571" max="2572" width="9.140625" style="1465"/>
    <col min="2573" max="2573" width="9.5703125" style="1465" bestFit="1" customWidth="1"/>
    <col min="2574" max="2816" width="9.140625" style="1465"/>
    <col min="2817" max="2818" width="15.7109375" style="1465" customWidth="1"/>
    <col min="2819" max="2819" width="12.140625" style="1465" bestFit="1" customWidth="1"/>
    <col min="2820" max="2821" width="20" style="1465" bestFit="1" customWidth="1"/>
    <col min="2822" max="2822" width="8.5703125" style="1465" customWidth="1"/>
    <col min="2823" max="2823" width="12.140625" style="1465" customWidth="1"/>
    <col min="2824" max="2824" width="12.28515625" style="1465" bestFit="1" customWidth="1"/>
    <col min="2825" max="2825" width="9.7109375" style="1465" bestFit="1" customWidth="1"/>
    <col min="2826" max="2826" width="9.5703125" style="1465" bestFit="1" customWidth="1"/>
    <col min="2827" max="2828" width="9.140625" style="1465"/>
    <col min="2829" max="2829" width="9.5703125" style="1465" bestFit="1" customWidth="1"/>
    <col min="2830" max="3072" width="9.140625" style="1465"/>
    <col min="3073" max="3074" width="15.7109375" style="1465" customWidth="1"/>
    <col min="3075" max="3075" width="12.140625" style="1465" bestFit="1" customWidth="1"/>
    <col min="3076" max="3077" width="20" style="1465" bestFit="1" customWidth="1"/>
    <col min="3078" max="3078" width="8.5703125" style="1465" customWidth="1"/>
    <col min="3079" max="3079" width="12.140625" style="1465" customWidth="1"/>
    <col min="3080" max="3080" width="12.28515625" style="1465" bestFit="1" customWidth="1"/>
    <col min="3081" max="3081" width="9.7109375" style="1465" bestFit="1" customWidth="1"/>
    <col min="3082" max="3082" width="9.5703125" style="1465" bestFit="1" customWidth="1"/>
    <col min="3083" max="3084" width="9.140625" style="1465"/>
    <col min="3085" max="3085" width="9.5703125" style="1465" bestFit="1" customWidth="1"/>
    <col min="3086" max="3328" width="9.140625" style="1465"/>
    <col min="3329" max="3330" width="15.7109375" style="1465" customWidth="1"/>
    <col min="3331" max="3331" width="12.140625" style="1465" bestFit="1" customWidth="1"/>
    <col min="3332" max="3333" width="20" style="1465" bestFit="1" customWidth="1"/>
    <col min="3334" max="3334" width="8.5703125" style="1465" customWidth="1"/>
    <col min="3335" max="3335" width="12.140625" style="1465" customWidth="1"/>
    <col min="3336" max="3336" width="12.28515625" style="1465" bestFit="1" customWidth="1"/>
    <col min="3337" max="3337" width="9.7109375" style="1465" bestFit="1" customWidth="1"/>
    <col min="3338" max="3338" width="9.5703125" style="1465" bestFit="1" customWidth="1"/>
    <col min="3339" max="3340" width="9.140625" style="1465"/>
    <col min="3341" max="3341" width="9.5703125" style="1465" bestFit="1" customWidth="1"/>
    <col min="3342" max="3584" width="9.140625" style="1465"/>
    <col min="3585" max="3586" width="15.7109375" style="1465" customWidth="1"/>
    <col min="3587" max="3587" width="12.140625" style="1465" bestFit="1" customWidth="1"/>
    <col min="3588" max="3589" width="20" style="1465" bestFit="1" customWidth="1"/>
    <col min="3590" max="3590" width="8.5703125" style="1465" customWidth="1"/>
    <col min="3591" max="3591" width="12.140625" style="1465" customWidth="1"/>
    <col min="3592" max="3592" width="12.28515625" style="1465" bestFit="1" customWidth="1"/>
    <col min="3593" max="3593" width="9.7109375" style="1465" bestFit="1" customWidth="1"/>
    <col min="3594" max="3594" width="9.5703125" style="1465" bestFit="1" customWidth="1"/>
    <col min="3595" max="3596" width="9.140625" style="1465"/>
    <col min="3597" max="3597" width="9.5703125" style="1465" bestFit="1" customWidth="1"/>
    <col min="3598" max="3840" width="9.140625" style="1465"/>
    <col min="3841" max="3842" width="15.7109375" style="1465" customWidth="1"/>
    <col min="3843" max="3843" width="12.140625" style="1465" bestFit="1" customWidth="1"/>
    <col min="3844" max="3845" width="20" style="1465" bestFit="1" customWidth="1"/>
    <col min="3846" max="3846" width="8.5703125" style="1465" customWidth="1"/>
    <col min="3847" max="3847" width="12.140625" style="1465" customWidth="1"/>
    <col min="3848" max="3848" width="12.28515625" style="1465" bestFit="1" customWidth="1"/>
    <col min="3849" max="3849" width="9.7109375" style="1465" bestFit="1" customWidth="1"/>
    <col min="3850" max="3850" width="9.5703125" style="1465" bestFit="1" customWidth="1"/>
    <col min="3851" max="3852" width="9.140625" style="1465"/>
    <col min="3853" max="3853" width="9.5703125" style="1465" bestFit="1" customWidth="1"/>
    <col min="3854" max="4096" width="9.140625" style="1465"/>
    <col min="4097" max="4098" width="15.7109375" style="1465" customWidth="1"/>
    <col min="4099" max="4099" width="12.140625" style="1465" bestFit="1" customWidth="1"/>
    <col min="4100" max="4101" width="20" style="1465" bestFit="1" customWidth="1"/>
    <col min="4102" max="4102" width="8.5703125" style="1465" customWidth="1"/>
    <col min="4103" max="4103" width="12.140625" style="1465" customWidth="1"/>
    <col min="4104" max="4104" width="12.28515625" style="1465" bestFit="1" customWidth="1"/>
    <col min="4105" max="4105" width="9.7109375" style="1465" bestFit="1" customWidth="1"/>
    <col min="4106" max="4106" width="9.5703125" style="1465" bestFit="1" customWidth="1"/>
    <col min="4107" max="4108" width="9.140625" style="1465"/>
    <col min="4109" max="4109" width="9.5703125" style="1465" bestFit="1" customWidth="1"/>
    <col min="4110" max="4352" width="9.140625" style="1465"/>
    <col min="4353" max="4354" width="15.7109375" style="1465" customWidth="1"/>
    <col min="4355" max="4355" width="12.140625" style="1465" bestFit="1" customWidth="1"/>
    <col min="4356" max="4357" width="20" style="1465" bestFit="1" customWidth="1"/>
    <col min="4358" max="4358" width="8.5703125" style="1465" customWidth="1"/>
    <col min="4359" max="4359" width="12.140625" style="1465" customWidth="1"/>
    <col min="4360" max="4360" width="12.28515625" style="1465" bestFit="1" customWidth="1"/>
    <col min="4361" max="4361" width="9.7109375" style="1465" bestFit="1" customWidth="1"/>
    <col min="4362" max="4362" width="9.5703125" style="1465" bestFit="1" customWidth="1"/>
    <col min="4363" max="4364" width="9.140625" style="1465"/>
    <col min="4365" max="4365" width="9.5703125" style="1465" bestFit="1" customWidth="1"/>
    <col min="4366" max="4608" width="9.140625" style="1465"/>
    <col min="4609" max="4610" width="15.7109375" style="1465" customWidth="1"/>
    <col min="4611" max="4611" width="12.140625" style="1465" bestFit="1" customWidth="1"/>
    <col min="4612" max="4613" width="20" style="1465" bestFit="1" customWidth="1"/>
    <col min="4614" max="4614" width="8.5703125" style="1465" customWidth="1"/>
    <col min="4615" max="4615" width="12.140625" style="1465" customWidth="1"/>
    <col min="4616" max="4616" width="12.28515625" style="1465" bestFit="1" customWidth="1"/>
    <col min="4617" max="4617" width="9.7109375" style="1465" bestFit="1" customWidth="1"/>
    <col min="4618" max="4618" width="9.5703125" style="1465" bestFit="1" customWidth="1"/>
    <col min="4619" max="4620" width="9.140625" style="1465"/>
    <col min="4621" max="4621" width="9.5703125" style="1465" bestFit="1" customWidth="1"/>
    <col min="4622" max="4864" width="9.140625" style="1465"/>
    <col min="4865" max="4866" width="15.7109375" style="1465" customWidth="1"/>
    <col min="4867" max="4867" width="12.140625" style="1465" bestFit="1" customWidth="1"/>
    <col min="4868" max="4869" width="20" style="1465" bestFit="1" customWidth="1"/>
    <col min="4870" max="4870" width="8.5703125" style="1465" customWidth="1"/>
    <col min="4871" max="4871" width="12.140625" style="1465" customWidth="1"/>
    <col min="4872" max="4872" width="12.28515625" style="1465" bestFit="1" customWidth="1"/>
    <col min="4873" max="4873" width="9.7109375" style="1465" bestFit="1" customWidth="1"/>
    <col min="4874" max="4874" width="9.5703125" style="1465" bestFit="1" customWidth="1"/>
    <col min="4875" max="4876" width="9.140625" style="1465"/>
    <col min="4877" max="4877" width="9.5703125" style="1465" bestFit="1" customWidth="1"/>
    <col min="4878" max="5120" width="9.140625" style="1465"/>
    <col min="5121" max="5122" width="15.7109375" style="1465" customWidth="1"/>
    <col min="5123" max="5123" width="12.140625" style="1465" bestFit="1" customWidth="1"/>
    <col min="5124" max="5125" width="20" style="1465" bestFit="1" customWidth="1"/>
    <col min="5126" max="5126" width="8.5703125" style="1465" customWidth="1"/>
    <col min="5127" max="5127" width="12.140625" style="1465" customWidth="1"/>
    <col min="5128" max="5128" width="12.28515625" style="1465" bestFit="1" customWidth="1"/>
    <col min="5129" max="5129" width="9.7109375" style="1465" bestFit="1" customWidth="1"/>
    <col min="5130" max="5130" width="9.5703125" style="1465" bestFit="1" customWidth="1"/>
    <col min="5131" max="5132" width="9.140625" style="1465"/>
    <col min="5133" max="5133" width="9.5703125" style="1465" bestFit="1" customWidth="1"/>
    <col min="5134" max="5376" width="9.140625" style="1465"/>
    <col min="5377" max="5378" width="15.7109375" style="1465" customWidth="1"/>
    <col min="5379" max="5379" width="12.140625" style="1465" bestFit="1" customWidth="1"/>
    <col min="5380" max="5381" width="20" style="1465" bestFit="1" customWidth="1"/>
    <col min="5382" max="5382" width="8.5703125" style="1465" customWidth="1"/>
    <col min="5383" max="5383" width="12.140625" style="1465" customWidth="1"/>
    <col min="5384" max="5384" width="12.28515625" style="1465" bestFit="1" customWidth="1"/>
    <col min="5385" max="5385" width="9.7109375" style="1465" bestFit="1" customWidth="1"/>
    <col min="5386" max="5386" width="9.5703125" style="1465" bestFit="1" customWidth="1"/>
    <col min="5387" max="5388" width="9.140625" style="1465"/>
    <col min="5389" max="5389" width="9.5703125" style="1465" bestFit="1" customWidth="1"/>
    <col min="5390" max="5632" width="9.140625" style="1465"/>
    <col min="5633" max="5634" width="15.7109375" style="1465" customWidth="1"/>
    <col min="5635" max="5635" width="12.140625" style="1465" bestFit="1" customWidth="1"/>
    <col min="5636" max="5637" width="20" style="1465" bestFit="1" customWidth="1"/>
    <col min="5638" max="5638" width="8.5703125" style="1465" customWidth="1"/>
    <col min="5639" max="5639" width="12.140625" style="1465" customWidth="1"/>
    <col min="5640" max="5640" width="12.28515625" style="1465" bestFit="1" customWidth="1"/>
    <col min="5641" max="5641" width="9.7109375" style="1465" bestFit="1" customWidth="1"/>
    <col min="5642" max="5642" width="9.5703125" style="1465" bestFit="1" customWidth="1"/>
    <col min="5643" max="5644" width="9.140625" style="1465"/>
    <col min="5645" max="5645" width="9.5703125" style="1465" bestFit="1" customWidth="1"/>
    <col min="5646" max="5888" width="9.140625" style="1465"/>
    <col min="5889" max="5890" width="15.7109375" style="1465" customWidth="1"/>
    <col min="5891" max="5891" width="12.140625" style="1465" bestFit="1" customWidth="1"/>
    <col min="5892" max="5893" width="20" style="1465" bestFit="1" customWidth="1"/>
    <col min="5894" max="5894" width="8.5703125" style="1465" customWidth="1"/>
    <col min="5895" max="5895" width="12.140625" style="1465" customWidth="1"/>
    <col min="5896" max="5896" width="12.28515625" style="1465" bestFit="1" customWidth="1"/>
    <col min="5897" max="5897" width="9.7109375" style="1465" bestFit="1" customWidth="1"/>
    <col min="5898" max="5898" width="9.5703125" style="1465" bestFit="1" customWidth="1"/>
    <col min="5899" max="5900" width="9.140625" style="1465"/>
    <col min="5901" max="5901" width="9.5703125" style="1465" bestFit="1" customWidth="1"/>
    <col min="5902" max="6144" width="9.140625" style="1465"/>
    <col min="6145" max="6146" width="15.7109375" style="1465" customWidth="1"/>
    <col min="6147" max="6147" width="12.140625" style="1465" bestFit="1" customWidth="1"/>
    <col min="6148" max="6149" width="20" style="1465" bestFit="1" customWidth="1"/>
    <col min="6150" max="6150" width="8.5703125" style="1465" customWidth="1"/>
    <col min="6151" max="6151" width="12.140625" style="1465" customWidth="1"/>
    <col min="6152" max="6152" width="12.28515625" style="1465" bestFit="1" customWidth="1"/>
    <col min="6153" max="6153" width="9.7109375" style="1465" bestFit="1" customWidth="1"/>
    <col min="6154" max="6154" width="9.5703125" style="1465" bestFit="1" customWidth="1"/>
    <col min="6155" max="6156" width="9.140625" style="1465"/>
    <col min="6157" max="6157" width="9.5703125" style="1465" bestFit="1" customWidth="1"/>
    <col min="6158" max="6400" width="9.140625" style="1465"/>
    <col min="6401" max="6402" width="15.7109375" style="1465" customWidth="1"/>
    <col min="6403" max="6403" width="12.140625" style="1465" bestFit="1" customWidth="1"/>
    <col min="6404" max="6405" width="20" style="1465" bestFit="1" customWidth="1"/>
    <col min="6406" max="6406" width="8.5703125" style="1465" customWidth="1"/>
    <col min="6407" max="6407" width="12.140625" style="1465" customWidth="1"/>
    <col min="6408" max="6408" width="12.28515625" style="1465" bestFit="1" customWidth="1"/>
    <col min="6409" max="6409" width="9.7109375" style="1465" bestFit="1" customWidth="1"/>
    <col min="6410" max="6410" width="9.5703125" style="1465" bestFit="1" customWidth="1"/>
    <col min="6411" max="6412" width="9.140625" style="1465"/>
    <col min="6413" max="6413" width="9.5703125" style="1465" bestFit="1" customWidth="1"/>
    <col min="6414" max="6656" width="9.140625" style="1465"/>
    <col min="6657" max="6658" width="15.7109375" style="1465" customWidth="1"/>
    <col min="6659" max="6659" width="12.140625" style="1465" bestFit="1" customWidth="1"/>
    <col min="6660" max="6661" width="20" style="1465" bestFit="1" customWidth="1"/>
    <col min="6662" max="6662" width="8.5703125" style="1465" customWidth="1"/>
    <col min="6663" max="6663" width="12.140625" style="1465" customWidth="1"/>
    <col min="6664" max="6664" width="12.28515625" style="1465" bestFit="1" customWidth="1"/>
    <col min="6665" max="6665" width="9.7109375" style="1465" bestFit="1" customWidth="1"/>
    <col min="6666" max="6666" width="9.5703125" style="1465" bestFit="1" customWidth="1"/>
    <col min="6667" max="6668" width="9.140625" style="1465"/>
    <col min="6669" max="6669" width="9.5703125" style="1465" bestFit="1" customWidth="1"/>
    <col min="6670" max="6912" width="9.140625" style="1465"/>
    <col min="6913" max="6914" width="15.7109375" style="1465" customWidth="1"/>
    <col min="6915" max="6915" width="12.140625" style="1465" bestFit="1" customWidth="1"/>
    <col min="6916" max="6917" width="20" style="1465" bestFit="1" customWidth="1"/>
    <col min="6918" max="6918" width="8.5703125" style="1465" customWidth="1"/>
    <col min="6919" max="6919" width="12.140625" style="1465" customWidth="1"/>
    <col min="6920" max="6920" width="12.28515625" style="1465" bestFit="1" customWidth="1"/>
    <col min="6921" max="6921" width="9.7109375" style="1465" bestFit="1" customWidth="1"/>
    <col min="6922" max="6922" width="9.5703125" style="1465" bestFit="1" customWidth="1"/>
    <col min="6923" max="6924" width="9.140625" style="1465"/>
    <col min="6925" max="6925" width="9.5703125" style="1465" bestFit="1" customWidth="1"/>
    <col min="6926" max="7168" width="9.140625" style="1465"/>
    <col min="7169" max="7170" width="15.7109375" style="1465" customWidth="1"/>
    <col min="7171" max="7171" width="12.140625" style="1465" bestFit="1" customWidth="1"/>
    <col min="7172" max="7173" width="20" style="1465" bestFit="1" customWidth="1"/>
    <col min="7174" max="7174" width="8.5703125" style="1465" customWidth="1"/>
    <col min="7175" max="7175" width="12.140625" style="1465" customWidth="1"/>
    <col min="7176" max="7176" width="12.28515625" style="1465" bestFit="1" customWidth="1"/>
    <col min="7177" max="7177" width="9.7109375" style="1465" bestFit="1" customWidth="1"/>
    <col min="7178" max="7178" width="9.5703125" style="1465" bestFit="1" customWidth="1"/>
    <col min="7179" max="7180" width="9.140625" style="1465"/>
    <col min="7181" max="7181" width="9.5703125" style="1465" bestFit="1" customWidth="1"/>
    <col min="7182" max="7424" width="9.140625" style="1465"/>
    <col min="7425" max="7426" width="15.7109375" style="1465" customWidth="1"/>
    <col min="7427" max="7427" width="12.140625" style="1465" bestFit="1" customWidth="1"/>
    <col min="7428" max="7429" width="20" style="1465" bestFit="1" customWidth="1"/>
    <col min="7430" max="7430" width="8.5703125" style="1465" customWidth="1"/>
    <col min="7431" max="7431" width="12.140625" style="1465" customWidth="1"/>
    <col min="7432" max="7432" width="12.28515625" style="1465" bestFit="1" customWidth="1"/>
    <col min="7433" max="7433" width="9.7109375" style="1465" bestFit="1" customWidth="1"/>
    <col min="7434" max="7434" width="9.5703125" style="1465" bestFit="1" customWidth="1"/>
    <col min="7435" max="7436" width="9.140625" style="1465"/>
    <col min="7437" max="7437" width="9.5703125" style="1465" bestFit="1" customWidth="1"/>
    <col min="7438" max="7680" width="9.140625" style="1465"/>
    <col min="7681" max="7682" width="15.7109375" style="1465" customWidth="1"/>
    <col min="7683" max="7683" width="12.140625" style="1465" bestFit="1" customWidth="1"/>
    <col min="7684" max="7685" width="20" style="1465" bestFit="1" customWidth="1"/>
    <col min="7686" max="7686" width="8.5703125" style="1465" customWidth="1"/>
    <col min="7687" max="7687" width="12.140625" style="1465" customWidth="1"/>
    <col min="7688" max="7688" width="12.28515625" style="1465" bestFit="1" customWidth="1"/>
    <col min="7689" max="7689" width="9.7109375" style="1465" bestFit="1" customWidth="1"/>
    <col min="7690" max="7690" width="9.5703125" style="1465" bestFit="1" customWidth="1"/>
    <col min="7691" max="7692" width="9.140625" style="1465"/>
    <col min="7693" max="7693" width="9.5703125" style="1465" bestFit="1" customWidth="1"/>
    <col min="7694" max="7936" width="9.140625" style="1465"/>
    <col min="7937" max="7938" width="15.7109375" style="1465" customWidth="1"/>
    <col min="7939" max="7939" width="12.140625" style="1465" bestFit="1" customWidth="1"/>
    <col min="7940" max="7941" width="20" style="1465" bestFit="1" customWidth="1"/>
    <col min="7942" max="7942" width="8.5703125" style="1465" customWidth="1"/>
    <col min="7943" max="7943" width="12.140625" style="1465" customWidth="1"/>
    <col min="7944" max="7944" width="12.28515625" style="1465" bestFit="1" customWidth="1"/>
    <col min="7945" max="7945" width="9.7109375" style="1465" bestFit="1" customWidth="1"/>
    <col min="7946" max="7946" width="9.5703125" style="1465" bestFit="1" customWidth="1"/>
    <col min="7947" max="7948" width="9.140625" style="1465"/>
    <col min="7949" max="7949" width="9.5703125" style="1465" bestFit="1" customWidth="1"/>
    <col min="7950" max="8192" width="9.140625" style="1465"/>
    <col min="8193" max="8194" width="15.7109375" style="1465" customWidth="1"/>
    <col min="8195" max="8195" width="12.140625" style="1465" bestFit="1" customWidth="1"/>
    <col min="8196" max="8197" width="20" style="1465" bestFit="1" customWidth="1"/>
    <col min="8198" max="8198" width="8.5703125" style="1465" customWidth="1"/>
    <col min="8199" max="8199" width="12.140625" style="1465" customWidth="1"/>
    <col min="8200" max="8200" width="12.28515625" style="1465" bestFit="1" customWidth="1"/>
    <col min="8201" max="8201" width="9.7109375" style="1465" bestFit="1" customWidth="1"/>
    <col min="8202" max="8202" width="9.5703125" style="1465" bestFit="1" customWidth="1"/>
    <col min="8203" max="8204" width="9.140625" style="1465"/>
    <col min="8205" max="8205" width="9.5703125" style="1465" bestFit="1" customWidth="1"/>
    <col min="8206" max="8448" width="9.140625" style="1465"/>
    <col min="8449" max="8450" width="15.7109375" style="1465" customWidth="1"/>
    <col min="8451" max="8451" width="12.140625" style="1465" bestFit="1" customWidth="1"/>
    <col min="8452" max="8453" width="20" style="1465" bestFit="1" customWidth="1"/>
    <col min="8454" max="8454" width="8.5703125" style="1465" customWidth="1"/>
    <col min="8455" max="8455" width="12.140625" style="1465" customWidth="1"/>
    <col min="8456" max="8456" width="12.28515625" style="1465" bestFit="1" customWidth="1"/>
    <col min="8457" max="8457" width="9.7109375" style="1465" bestFit="1" customWidth="1"/>
    <col min="8458" max="8458" width="9.5703125" style="1465" bestFit="1" customWidth="1"/>
    <col min="8459" max="8460" width="9.140625" style="1465"/>
    <col min="8461" max="8461" width="9.5703125" style="1465" bestFit="1" customWidth="1"/>
    <col min="8462" max="8704" width="9.140625" style="1465"/>
    <col min="8705" max="8706" width="15.7109375" style="1465" customWidth="1"/>
    <col min="8707" max="8707" width="12.140625" style="1465" bestFit="1" customWidth="1"/>
    <col min="8708" max="8709" width="20" style="1465" bestFit="1" customWidth="1"/>
    <col min="8710" max="8710" width="8.5703125" style="1465" customWidth="1"/>
    <col min="8711" max="8711" width="12.140625" style="1465" customWidth="1"/>
    <col min="8712" max="8712" width="12.28515625" style="1465" bestFit="1" customWidth="1"/>
    <col min="8713" max="8713" width="9.7109375" style="1465" bestFit="1" customWidth="1"/>
    <col min="8714" max="8714" width="9.5703125" style="1465" bestFit="1" customWidth="1"/>
    <col min="8715" max="8716" width="9.140625" style="1465"/>
    <col min="8717" max="8717" width="9.5703125" style="1465" bestFit="1" customWidth="1"/>
    <col min="8718" max="8960" width="9.140625" style="1465"/>
    <col min="8961" max="8962" width="15.7109375" style="1465" customWidth="1"/>
    <col min="8963" max="8963" width="12.140625" style="1465" bestFit="1" customWidth="1"/>
    <col min="8964" max="8965" width="20" style="1465" bestFit="1" customWidth="1"/>
    <col min="8966" max="8966" width="8.5703125" style="1465" customWidth="1"/>
    <col min="8967" max="8967" width="12.140625" style="1465" customWidth="1"/>
    <col min="8968" max="8968" width="12.28515625" style="1465" bestFit="1" customWidth="1"/>
    <col min="8969" max="8969" width="9.7109375" style="1465" bestFit="1" customWidth="1"/>
    <col min="8970" max="8970" width="9.5703125" style="1465" bestFit="1" customWidth="1"/>
    <col min="8971" max="8972" width="9.140625" style="1465"/>
    <col min="8973" max="8973" width="9.5703125" style="1465" bestFit="1" customWidth="1"/>
    <col min="8974" max="9216" width="9.140625" style="1465"/>
    <col min="9217" max="9218" width="15.7109375" style="1465" customWidth="1"/>
    <col min="9219" max="9219" width="12.140625" style="1465" bestFit="1" customWidth="1"/>
    <col min="9220" max="9221" width="20" style="1465" bestFit="1" customWidth="1"/>
    <col min="9222" max="9222" width="8.5703125" style="1465" customWidth="1"/>
    <col min="9223" max="9223" width="12.140625" style="1465" customWidth="1"/>
    <col min="9224" max="9224" width="12.28515625" style="1465" bestFit="1" customWidth="1"/>
    <col min="9225" max="9225" width="9.7109375" style="1465" bestFit="1" customWidth="1"/>
    <col min="9226" max="9226" width="9.5703125" style="1465" bestFit="1" customWidth="1"/>
    <col min="9227" max="9228" width="9.140625" style="1465"/>
    <col min="9229" max="9229" width="9.5703125" style="1465" bestFit="1" customWidth="1"/>
    <col min="9230" max="9472" width="9.140625" style="1465"/>
    <col min="9473" max="9474" width="15.7109375" style="1465" customWidth="1"/>
    <col min="9475" max="9475" width="12.140625" style="1465" bestFit="1" customWidth="1"/>
    <col min="9476" max="9477" width="20" style="1465" bestFit="1" customWidth="1"/>
    <col min="9478" max="9478" width="8.5703125" style="1465" customWidth="1"/>
    <col min="9479" max="9479" width="12.140625" style="1465" customWidth="1"/>
    <col min="9480" max="9480" width="12.28515625" style="1465" bestFit="1" customWidth="1"/>
    <col min="9481" max="9481" width="9.7109375" style="1465" bestFit="1" customWidth="1"/>
    <col min="9482" max="9482" width="9.5703125" style="1465" bestFit="1" customWidth="1"/>
    <col min="9483" max="9484" width="9.140625" style="1465"/>
    <col min="9485" max="9485" width="9.5703125" style="1465" bestFit="1" customWidth="1"/>
    <col min="9486" max="9728" width="9.140625" style="1465"/>
    <col min="9729" max="9730" width="15.7109375" style="1465" customWidth="1"/>
    <col min="9731" max="9731" width="12.140625" style="1465" bestFit="1" customWidth="1"/>
    <col min="9732" max="9733" width="20" style="1465" bestFit="1" customWidth="1"/>
    <col min="9734" max="9734" width="8.5703125" style="1465" customWidth="1"/>
    <col min="9735" max="9735" width="12.140625" style="1465" customWidth="1"/>
    <col min="9736" max="9736" width="12.28515625" style="1465" bestFit="1" customWidth="1"/>
    <col min="9737" max="9737" width="9.7109375" style="1465" bestFit="1" customWidth="1"/>
    <col min="9738" max="9738" width="9.5703125" style="1465" bestFit="1" customWidth="1"/>
    <col min="9739" max="9740" width="9.140625" style="1465"/>
    <col min="9741" max="9741" width="9.5703125" style="1465" bestFit="1" customWidth="1"/>
    <col min="9742" max="9984" width="9.140625" style="1465"/>
    <col min="9985" max="9986" width="15.7109375" style="1465" customWidth="1"/>
    <col min="9987" max="9987" width="12.140625" style="1465" bestFit="1" customWidth="1"/>
    <col min="9988" max="9989" width="20" style="1465" bestFit="1" customWidth="1"/>
    <col min="9990" max="9990" width="8.5703125" style="1465" customWidth="1"/>
    <col min="9991" max="9991" width="12.140625" style="1465" customWidth="1"/>
    <col min="9992" max="9992" width="12.28515625" style="1465" bestFit="1" customWidth="1"/>
    <col min="9993" max="9993" width="9.7109375" style="1465" bestFit="1" customWidth="1"/>
    <col min="9994" max="9994" width="9.5703125" style="1465" bestFit="1" customWidth="1"/>
    <col min="9995" max="9996" width="9.140625" style="1465"/>
    <col min="9997" max="9997" width="9.5703125" style="1465" bestFit="1" customWidth="1"/>
    <col min="9998" max="10240" width="9.140625" style="1465"/>
    <col min="10241" max="10242" width="15.7109375" style="1465" customWidth="1"/>
    <col min="10243" max="10243" width="12.140625" style="1465" bestFit="1" customWidth="1"/>
    <col min="10244" max="10245" width="20" style="1465" bestFit="1" customWidth="1"/>
    <col min="10246" max="10246" width="8.5703125" style="1465" customWidth="1"/>
    <col min="10247" max="10247" width="12.140625" style="1465" customWidth="1"/>
    <col min="10248" max="10248" width="12.28515625" style="1465" bestFit="1" customWidth="1"/>
    <col min="10249" max="10249" width="9.7109375" style="1465" bestFit="1" customWidth="1"/>
    <col min="10250" max="10250" width="9.5703125" style="1465" bestFit="1" customWidth="1"/>
    <col min="10251" max="10252" width="9.140625" style="1465"/>
    <col min="10253" max="10253" width="9.5703125" style="1465" bestFit="1" customWidth="1"/>
    <col min="10254" max="10496" width="9.140625" style="1465"/>
    <col min="10497" max="10498" width="15.7109375" style="1465" customWidth="1"/>
    <col min="10499" max="10499" width="12.140625" style="1465" bestFit="1" customWidth="1"/>
    <col min="10500" max="10501" width="20" style="1465" bestFit="1" customWidth="1"/>
    <col min="10502" max="10502" width="8.5703125" style="1465" customWidth="1"/>
    <col min="10503" max="10503" width="12.140625" style="1465" customWidth="1"/>
    <col min="10504" max="10504" width="12.28515625" style="1465" bestFit="1" customWidth="1"/>
    <col min="10505" max="10505" width="9.7109375" style="1465" bestFit="1" customWidth="1"/>
    <col min="10506" max="10506" width="9.5703125" style="1465" bestFit="1" customWidth="1"/>
    <col min="10507" max="10508" width="9.140625" style="1465"/>
    <col min="10509" max="10509" width="9.5703125" style="1465" bestFit="1" customWidth="1"/>
    <col min="10510" max="10752" width="9.140625" style="1465"/>
    <col min="10753" max="10754" width="15.7109375" style="1465" customWidth="1"/>
    <col min="10755" max="10755" width="12.140625" style="1465" bestFit="1" customWidth="1"/>
    <col min="10756" max="10757" width="20" style="1465" bestFit="1" customWidth="1"/>
    <col min="10758" max="10758" width="8.5703125" style="1465" customWidth="1"/>
    <col min="10759" max="10759" width="12.140625" style="1465" customWidth="1"/>
    <col min="10760" max="10760" width="12.28515625" style="1465" bestFit="1" customWidth="1"/>
    <col min="10761" max="10761" width="9.7109375" style="1465" bestFit="1" customWidth="1"/>
    <col min="10762" max="10762" width="9.5703125" style="1465" bestFit="1" customWidth="1"/>
    <col min="10763" max="10764" width="9.140625" style="1465"/>
    <col min="10765" max="10765" width="9.5703125" style="1465" bestFit="1" customWidth="1"/>
    <col min="10766" max="11008" width="9.140625" style="1465"/>
    <col min="11009" max="11010" width="15.7109375" style="1465" customWidth="1"/>
    <col min="11011" max="11011" width="12.140625" style="1465" bestFit="1" customWidth="1"/>
    <col min="11012" max="11013" width="20" style="1465" bestFit="1" customWidth="1"/>
    <col min="11014" max="11014" width="8.5703125" style="1465" customWidth="1"/>
    <col min="11015" max="11015" width="12.140625" style="1465" customWidth="1"/>
    <col min="11016" max="11016" width="12.28515625" style="1465" bestFit="1" customWidth="1"/>
    <col min="11017" max="11017" width="9.7109375" style="1465" bestFit="1" customWidth="1"/>
    <col min="11018" max="11018" width="9.5703125" style="1465" bestFit="1" customWidth="1"/>
    <col min="11019" max="11020" width="9.140625" style="1465"/>
    <col min="11021" max="11021" width="9.5703125" style="1465" bestFit="1" customWidth="1"/>
    <col min="11022" max="11264" width="9.140625" style="1465"/>
    <col min="11265" max="11266" width="15.7109375" style="1465" customWidth="1"/>
    <col min="11267" max="11267" width="12.140625" style="1465" bestFit="1" customWidth="1"/>
    <col min="11268" max="11269" width="20" style="1465" bestFit="1" customWidth="1"/>
    <col min="11270" max="11270" width="8.5703125" style="1465" customWidth="1"/>
    <col min="11271" max="11271" width="12.140625" style="1465" customWidth="1"/>
    <col min="11272" max="11272" width="12.28515625" style="1465" bestFit="1" customWidth="1"/>
    <col min="11273" max="11273" width="9.7109375" style="1465" bestFit="1" customWidth="1"/>
    <col min="11274" max="11274" width="9.5703125" style="1465" bestFit="1" customWidth="1"/>
    <col min="11275" max="11276" width="9.140625" style="1465"/>
    <col min="11277" max="11277" width="9.5703125" style="1465" bestFit="1" customWidth="1"/>
    <col min="11278" max="11520" width="9.140625" style="1465"/>
    <col min="11521" max="11522" width="15.7109375" style="1465" customWidth="1"/>
    <col min="11523" max="11523" width="12.140625" style="1465" bestFit="1" customWidth="1"/>
    <col min="11524" max="11525" width="20" style="1465" bestFit="1" customWidth="1"/>
    <col min="11526" max="11526" width="8.5703125" style="1465" customWidth="1"/>
    <col min="11527" max="11527" width="12.140625" style="1465" customWidth="1"/>
    <col min="11528" max="11528" width="12.28515625" style="1465" bestFit="1" customWidth="1"/>
    <col min="11529" max="11529" width="9.7109375" style="1465" bestFit="1" customWidth="1"/>
    <col min="11530" max="11530" width="9.5703125" style="1465" bestFit="1" customWidth="1"/>
    <col min="11531" max="11532" width="9.140625" style="1465"/>
    <col min="11533" max="11533" width="9.5703125" style="1465" bestFit="1" customWidth="1"/>
    <col min="11534" max="11776" width="9.140625" style="1465"/>
    <col min="11777" max="11778" width="15.7109375" style="1465" customWidth="1"/>
    <col min="11779" max="11779" width="12.140625" style="1465" bestFit="1" customWidth="1"/>
    <col min="11780" max="11781" width="20" style="1465" bestFit="1" customWidth="1"/>
    <col min="11782" max="11782" width="8.5703125" style="1465" customWidth="1"/>
    <col min="11783" max="11783" width="12.140625" style="1465" customWidth="1"/>
    <col min="11784" max="11784" width="12.28515625" style="1465" bestFit="1" customWidth="1"/>
    <col min="11785" max="11785" width="9.7109375" style="1465" bestFit="1" customWidth="1"/>
    <col min="11786" max="11786" width="9.5703125" style="1465" bestFit="1" customWidth="1"/>
    <col min="11787" max="11788" width="9.140625" style="1465"/>
    <col min="11789" max="11789" width="9.5703125" style="1465" bestFit="1" customWidth="1"/>
    <col min="11790" max="12032" width="9.140625" style="1465"/>
    <col min="12033" max="12034" width="15.7109375" style="1465" customWidth="1"/>
    <col min="12035" max="12035" width="12.140625" style="1465" bestFit="1" customWidth="1"/>
    <col min="12036" max="12037" width="20" style="1465" bestFit="1" customWidth="1"/>
    <col min="12038" max="12038" width="8.5703125" style="1465" customWidth="1"/>
    <col min="12039" max="12039" width="12.140625" style="1465" customWidth="1"/>
    <col min="12040" max="12040" width="12.28515625" style="1465" bestFit="1" customWidth="1"/>
    <col min="12041" max="12041" width="9.7109375" style="1465" bestFit="1" customWidth="1"/>
    <col min="12042" max="12042" width="9.5703125" style="1465" bestFit="1" customWidth="1"/>
    <col min="12043" max="12044" width="9.140625" style="1465"/>
    <col min="12045" max="12045" width="9.5703125" style="1465" bestFit="1" customWidth="1"/>
    <col min="12046" max="12288" width="9.140625" style="1465"/>
    <col min="12289" max="12290" width="15.7109375" style="1465" customWidth="1"/>
    <col min="12291" max="12291" width="12.140625" style="1465" bestFit="1" customWidth="1"/>
    <col min="12292" max="12293" width="20" style="1465" bestFit="1" customWidth="1"/>
    <col min="12294" max="12294" width="8.5703125" style="1465" customWidth="1"/>
    <col min="12295" max="12295" width="12.140625" style="1465" customWidth="1"/>
    <col min="12296" max="12296" width="12.28515625" style="1465" bestFit="1" customWidth="1"/>
    <col min="12297" max="12297" width="9.7109375" style="1465" bestFit="1" customWidth="1"/>
    <col min="12298" max="12298" width="9.5703125" style="1465" bestFit="1" customWidth="1"/>
    <col min="12299" max="12300" width="9.140625" style="1465"/>
    <col min="12301" max="12301" width="9.5703125" style="1465" bestFit="1" customWidth="1"/>
    <col min="12302" max="12544" width="9.140625" style="1465"/>
    <col min="12545" max="12546" width="15.7109375" style="1465" customWidth="1"/>
    <col min="12547" max="12547" width="12.140625" style="1465" bestFit="1" customWidth="1"/>
    <col min="12548" max="12549" width="20" style="1465" bestFit="1" customWidth="1"/>
    <col min="12550" max="12550" width="8.5703125" style="1465" customWidth="1"/>
    <col min="12551" max="12551" width="12.140625" style="1465" customWidth="1"/>
    <col min="12552" max="12552" width="12.28515625" style="1465" bestFit="1" customWidth="1"/>
    <col min="12553" max="12553" width="9.7109375" style="1465" bestFit="1" customWidth="1"/>
    <col min="12554" max="12554" width="9.5703125" style="1465" bestFit="1" customWidth="1"/>
    <col min="12555" max="12556" width="9.140625" style="1465"/>
    <col min="12557" max="12557" width="9.5703125" style="1465" bestFit="1" customWidth="1"/>
    <col min="12558" max="12800" width="9.140625" style="1465"/>
    <col min="12801" max="12802" width="15.7109375" style="1465" customWidth="1"/>
    <col min="12803" max="12803" width="12.140625" style="1465" bestFit="1" customWidth="1"/>
    <col min="12804" max="12805" width="20" style="1465" bestFit="1" customWidth="1"/>
    <col min="12806" max="12806" width="8.5703125" style="1465" customWidth="1"/>
    <col min="12807" max="12807" width="12.140625" style="1465" customWidth="1"/>
    <col min="12808" max="12808" width="12.28515625" style="1465" bestFit="1" customWidth="1"/>
    <col min="12809" max="12809" width="9.7109375" style="1465" bestFit="1" customWidth="1"/>
    <col min="12810" max="12810" width="9.5703125" style="1465" bestFit="1" customWidth="1"/>
    <col min="12811" max="12812" width="9.140625" style="1465"/>
    <col min="12813" max="12813" width="9.5703125" style="1465" bestFit="1" customWidth="1"/>
    <col min="12814" max="13056" width="9.140625" style="1465"/>
    <col min="13057" max="13058" width="15.7109375" style="1465" customWidth="1"/>
    <col min="13059" max="13059" width="12.140625" style="1465" bestFit="1" customWidth="1"/>
    <col min="13060" max="13061" width="20" style="1465" bestFit="1" customWidth="1"/>
    <col min="13062" max="13062" width="8.5703125" style="1465" customWidth="1"/>
    <col min="13063" max="13063" width="12.140625" style="1465" customWidth="1"/>
    <col min="13064" max="13064" width="12.28515625" style="1465" bestFit="1" customWidth="1"/>
    <col min="13065" max="13065" width="9.7109375" style="1465" bestFit="1" customWidth="1"/>
    <col min="13066" max="13066" width="9.5703125" style="1465" bestFit="1" customWidth="1"/>
    <col min="13067" max="13068" width="9.140625" style="1465"/>
    <col min="13069" max="13069" width="9.5703125" style="1465" bestFit="1" customWidth="1"/>
    <col min="13070" max="13312" width="9.140625" style="1465"/>
    <col min="13313" max="13314" width="15.7109375" style="1465" customWidth="1"/>
    <col min="13315" max="13315" width="12.140625" style="1465" bestFit="1" customWidth="1"/>
    <col min="13316" max="13317" width="20" style="1465" bestFit="1" customWidth="1"/>
    <col min="13318" max="13318" width="8.5703125" style="1465" customWidth="1"/>
    <col min="13319" max="13319" width="12.140625" style="1465" customWidth="1"/>
    <col min="13320" max="13320" width="12.28515625" style="1465" bestFit="1" customWidth="1"/>
    <col min="13321" max="13321" width="9.7109375" style="1465" bestFit="1" customWidth="1"/>
    <col min="13322" max="13322" width="9.5703125" style="1465" bestFit="1" customWidth="1"/>
    <col min="13323" max="13324" width="9.140625" style="1465"/>
    <col min="13325" max="13325" width="9.5703125" style="1465" bestFit="1" customWidth="1"/>
    <col min="13326" max="13568" width="9.140625" style="1465"/>
    <col min="13569" max="13570" width="15.7109375" style="1465" customWidth="1"/>
    <col min="13571" max="13571" width="12.140625" style="1465" bestFit="1" customWidth="1"/>
    <col min="13572" max="13573" width="20" style="1465" bestFit="1" customWidth="1"/>
    <col min="13574" max="13574" width="8.5703125" style="1465" customWidth="1"/>
    <col min="13575" max="13575" width="12.140625" style="1465" customWidth="1"/>
    <col min="13576" max="13576" width="12.28515625" style="1465" bestFit="1" customWidth="1"/>
    <col min="13577" max="13577" width="9.7109375" style="1465" bestFit="1" customWidth="1"/>
    <col min="13578" max="13578" width="9.5703125" style="1465" bestFit="1" customWidth="1"/>
    <col min="13579" max="13580" width="9.140625" style="1465"/>
    <col min="13581" max="13581" width="9.5703125" style="1465" bestFit="1" customWidth="1"/>
    <col min="13582" max="13824" width="9.140625" style="1465"/>
    <col min="13825" max="13826" width="15.7109375" style="1465" customWidth="1"/>
    <col min="13827" max="13827" width="12.140625" style="1465" bestFit="1" customWidth="1"/>
    <col min="13828" max="13829" width="20" style="1465" bestFit="1" customWidth="1"/>
    <col min="13830" max="13830" width="8.5703125" style="1465" customWidth="1"/>
    <col min="13831" max="13831" width="12.140625" style="1465" customWidth="1"/>
    <col min="13832" max="13832" width="12.28515625" style="1465" bestFit="1" customWidth="1"/>
    <col min="13833" max="13833" width="9.7109375" style="1465" bestFit="1" customWidth="1"/>
    <col min="13834" max="13834" width="9.5703125" style="1465" bestFit="1" customWidth="1"/>
    <col min="13835" max="13836" width="9.140625" style="1465"/>
    <col min="13837" max="13837" width="9.5703125" style="1465" bestFit="1" customWidth="1"/>
    <col min="13838" max="14080" width="9.140625" style="1465"/>
    <col min="14081" max="14082" width="15.7109375" style="1465" customWidth="1"/>
    <col min="14083" max="14083" width="12.140625" style="1465" bestFit="1" customWidth="1"/>
    <col min="14084" max="14085" width="20" style="1465" bestFit="1" customWidth="1"/>
    <col min="14086" max="14086" width="8.5703125" style="1465" customWidth="1"/>
    <col min="14087" max="14087" width="12.140625" style="1465" customWidth="1"/>
    <col min="14088" max="14088" width="12.28515625" style="1465" bestFit="1" customWidth="1"/>
    <col min="14089" max="14089" width="9.7109375" style="1465" bestFit="1" customWidth="1"/>
    <col min="14090" max="14090" width="9.5703125" style="1465" bestFit="1" customWidth="1"/>
    <col min="14091" max="14092" width="9.140625" style="1465"/>
    <col min="14093" max="14093" width="9.5703125" style="1465" bestFit="1" customWidth="1"/>
    <col min="14094" max="14336" width="9.140625" style="1465"/>
    <col min="14337" max="14338" width="15.7109375" style="1465" customWidth="1"/>
    <col min="14339" max="14339" width="12.140625" style="1465" bestFit="1" customWidth="1"/>
    <col min="14340" max="14341" width="20" style="1465" bestFit="1" customWidth="1"/>
    <col min="14342" max="14342" width="8.5703125" style="1465" customWidth="1"/>
    <col min="14343" max="14343" width="12.140625" style="1465" customWidth="1"/>
    <col min="14344" max="14344" width="12.28515625" style="1465" bestFit="1" customWidth="1"/>
    <col min="14345" max="14345" width="9.7109375" style="1465" bestFit="1" customWidth="1"/>
    <col min="14346" max="14346" width="9.5703125" style="1465" bestFit="1" customWidth="1"/>
    <col min="14347" max="14348" width="9.140625" style="1465"/>
    <col min="14349" max="14349" width="9.5703125" style="1465" bestFit="1" customWidth="1"/>
    <col min="14350" max="14592" width="9.140625" style="1465"/>
    <col min="14593" max="14594" width="15.7109375" style="1465" customWidth="1"/>
    <col min="14595" max="14595" width="12.140625" style="1465" bestFit="1" customWidth="1"/>
    <col min="14596" max="14597" width="20" style="1465" bestFit="1" customWidth="1"/>
    <col min="14598" max="14598" width="8.5703125" style="1465" customWidth="1"/>
    <col min="14599" max="14599" width="12.140625" style="1465" customWidth="1"/>
    <col min="14600" max="14600" width="12.28515625" style="1465" bestFit="1" customWidth="1"/>
    <col min="14601" max="14601" width="9.7109375" style="1465" bestFit="1" customWidth="1"/>
    <col min="14602" max="14602" width="9.5703125" style="1465" bestFit="1" customWidth="1"/>
    <col min="14603" max="14604" width="9.140625" style="1465"/>
    <col min="14605" max="14605" width="9.5703125" style="1465" bestFit="1" customWidth="1"/>
    <col min="14606" max="14848" width="9.140625" style="1465"/>
    <col min="14849" max="14850" width="15.7109375" style="1465" customWidth="1"/>
    <col min="14851" max="14851" width="12.140625" style="1465" bestFit="1" customWidth="1"/>
    <col min="14852" max="14853" width="20" style="1465" bestFit="1" customWidth="1"/>
    <col min="14854" max="14854" width="8.5703125" style="1465" customWidth="1"/>
    <col min="14855" max="14855" width="12.140625" style="1465" customWidth="1"/>
    <col min="14856" max="14856" width="12.28515625" style="1465" bestFit="1" customWidth="1"/>
    <col min="14857" max="14857" width="9.7109375" style="1465" bestFit="1" customWidth="1"/>
    <col min="14858" max="14858" width="9.5703125" style="1465" bestFit="1" customWidth="1"/>
    <col min="14859" max="14860" width="9.140625" style="1465"/>
    <col min="14861" max="14861" width="9.5703125" style="1465" bestFit="1" customWidth="1"/>
    <col min="14862" max="15104" width="9.140625" style="1465"/>
    <col min="15105" max="15106" width="15.7109375" style="1465" customWidth="1"/>
    <col min="15107" max="15107" width="12.140625" style="1465" bestFit="1" customWidth="1"/>
    <col min="15108" max="15109" width="20" style="1465" bestFit="1" customWidth="1"/>
    <col min="15110" max="15110" width="8.5703125" style="1465" customWidth="1"/>
    <col min="15111" max="15111" width="12.140625" style="1465" customWidth="1"/>
    <col min="15112" max="15112" width="12.28515625" style="1465" bestFit="1" customWidth="1"/>
    <col min="15113" max="15113" width="9.7109375" style="1465" bestFit="1" customWidth="1"/>
    <col min="15114" max="15114" width="9.5703125" style="1465" bestFit="1" customWidth="1"/>
    <col min="15115" max="15116" width="9.140625" style="1465"/>
    <col min="15117" max="15117" width="9.5703125" style="1465" bestFit="1" customWidth="1"/>
    <col min="15118" max="15360" width="9.140625" style="1465"/>
    <col min="15361" max="15362" width="15.7109375" style="1465" customWidth="1"/>
    <col min="15363" max="15363" width="12.140625" style="1465" bestFit="1" customWidth="1"/>
    <col min="15364" max="15365" width="20" style="1465" bestFit="1" customWidth="1"/>
    <col min="15366" max="15366" width="8.5703125" style="1465" customWidth="1"/>
    <col min="15367" max="15367" width="12.140625" style="1465" customWidth="1"/>
    <col min="15368" max="15368" width="12.28515625" style="1465" bestFit="1" customWidth="1"/>
    <col min="15369" max="15369" width="9.7109375" style="1465" bestFit="1" customWidth="1"/>
    <col min="15370" max="15370" width="9.5703125" style="1465" bestFit="1" customWidth="1"/>
    <col min="15371" max="15372" width="9.140625" style="1465"/>
    <col min="15373" max="15373" width="9.5703125" style="1465" bestFit="1" customWidth="1"/>
    <col min="15374" max="15616" width="9.140625" style="1465"/>
    <col min="15617" max="15618" width="15.7109375" style="1465" customWidth="1"/>
    <col min="15619" max="15619" width="12.140625" style="1465" bestFit="1" customWidth="1"/>
    <col min="15620" max="15621" width="20" style="1465" bestFit="1" customWidth="1"/>
    <col min="15622" max="15622" width="8.5703125" style="1465" customWidth="1"/>
    <col min="15623" max="15623" width="12.140625" style="1465" customWidth="1"/>
    <col min="15624" max="15624" width="12.28515625" style="1465" bestFit="1" customWidth="1"/>
    <col min="15625" max="15625" width="9.7109375" style="1465" bestFit="1" customWidth="1"/>
    <col min="15626" max="15626" width="9.5703125" style="1465" bestFit="1" customWidth="1"/>
    <col min="15627" max="15628" width="9.140625" style="1465"/>
    <col min="15629" max="15629" width="9.5703125" style="1465" bestFit="1" customWidth="1"/>
    <col min="15630" max="15872" width="9.140625" style="1465"/>
    <col min="15873" max="15874" width="15.7109375" style="1465" customWidth="1"/>
    <col min="15875" max="15875" width="12.140625" style="1465" bestFit="1" customWidth="1"/>
    <col min="15876" max="15877" width="20" style="1465" bestFit="1" customWidth="1"/>
    <col min="15878" max="15878" width="8.5703125" style="1465" customWidth="1"/>
    <col min="15879" max="15879" width="12.140625" style="1465" customWidth="1"/>
    <col min="15880" max="15880" width="12.28515625" style="1465" bestFit="1" customWidth="1"/>
    <col min="15881" max="15881" width="9.7109375" style="1465" bestFit="1" customWidth="1"/>
    <col min="15882" max="15882" width="9.5703125" style="1465" bestFit="1" customWidth="1"/>
    <col min="15883" max="15884" width="9.140625" style="1465"/>
    <col min="15885" max="15885" width="9.5703125" style="1465" bestFit="1" customWidth="1"/>
    <col min="15886" max="16128" width="9.140625" style="1465"/>
    <col min="16129" max="16130" width="15.7109375" style="1465" customWidth="1"/>
    <col min="16131" max="16131" width="12.140625" style="1465" bestFit="1" customWidth="1"/>
    <col min="16132" max="16133" width="20" style="1465" bestFit="1" customWidth="1"/>
    <col min="16134" max="16134" width="8.5703125" style="1465" customWidth="1"/>
    <col min="16135" max="16135" width="12.140625" style="1465" customWidth="1"/>
    <col min="16136" max="16136" width="12.28515625" style="1465" bestFit="1" customWidth="1"/>
    <col min="16137" max="16137" width="9.7109375" style="1465" bestFit="1" customWidth="1"/>
    <col min="16138" max="16138" width="9.5703125" style="1465" bestFit="1" customWidth="1"/>
    <col min="16139" max="16140" width="9.140625" style="1465"/>
    <col min="16141" max="16141" width="9.5703125" style="1465" bestFit="1" customWidth="1"/>
    <col min="16142" max="16384" width="9.140625" style="1465"/>
  </cols>
  <sheetData>
    <row r="1" spans="1:12" ht="15.75">
      <c r="A1" s="1463" t="s">
        <v>2856</v>
      </c>
      <c r="B1" s="1464"/>
      <c r="C1" s="1464"/>
      <c r="D1" s="1464"/>
      <c r="E1" s="1464"/>
      <c r="G1" s="1466"/>
      <c r="H1" s="1467"/>
    </row>
    <row r="2" spans="1:12" ht="5.25" customHeight="1" thickBot="1">
      <c r="A2" s="1468"/>
      <c r="B2" s="1464"/>
      <c r="C2" s="1464"/>
      <c r="D2" s="1464"/>
      <c r="E2" s="1464"/>
      <c r="G2" s="1466"/>
      <c r="H2" s="1469"/>
    </row>
    <row r="3" spans="1:12" ht="20.25" customHeight="1">
      <c r="A3" s="1470" t="s">
        <v>2857</v>
      </c>
      <c r="B3" s="1470" t="s">
        <v>2163</v>
      </c>
      <c r="C3" s="1470" t="s">
        <v>2858</v>
      </c>
      <c r="D3" s="1470" t="s">
        <v>2859</v>
      </c>
      <c r="E3" s="1470" t="s">
        <v>2066</v>
      </c>
      <c r="G3" s="1466"/>
      <c r="H3" s="1469"/>
    </row>
    <row r="4" spans="1:12" ht="21.75" customHeight="1" thickBot="1">
      <c r="A4" s="1471"/>
      <c r="B4" s="1471" t="s">
        <v>2860</v>
      </c>
      <c r="C4" s="1471" t="s">
        <v>2808</v>
      </c>
      <c r="D4" s="1472" t="s">
        <v>49</v>
      </c>
      <c r="E4" s="1472" t="s">
        <v>2055</v>
      </c>
      <c r="G4" s="1466"/>
      <c r="H4" s="1469"/>
    </row>
    <row r="5" spans="1:12" ht="15.75">
      <c r="A5" s="1473">
        <v>1</v>
      </c>
      <c r="B5" s="1474" t="s">
        <v>2861</v>
      </c>
      <c r="C5" s="1475">
        <v>2</v>
      </c>
      <c r="D5" s="1476">
        <v>50</v>
      </c>
      <c r="E5" s="1477" t="s">
        <v>2862</v>
      </c>
      <c r="G5" s="1466"/>
      <c r="H5" s="1478"/>
    </row>
    <row r="6" spans="1:12" ht="15.75">
      <c r="A6" s="1473">
        <v>2</v>
      </c>
      <c r="B6" s="1474" t="s">
        <v>2863</v>
      </c>
      <c r="C6" s="1475">
        <v>4</v>
      </c>
      <c r="D6" s="1476">
        <v>250</v>
      </c>
      <c r="E6" s="1475" t="s">
        <v>2864</v>
      </c>
      <c r="G6" s="1466"/>
      <c r="H6" s="1479"/>
    </row>
    <row r="7" spans="1:12" ht="15.75">
      <c r="A7" s="1473">
        <v>3</v>
      </c>
      <c r="B7" s="1474" t="s">
        <v>2865</v>
      </c>
      <c r="C7" s="1475">
        <v>9</v>
      </c>
      <c r="D7" s="1476">
        <v>590</v>
      </c>
      <c r="E7" s="1475" t="s">
        <v>2866</v>
      </c>
      <c r="G7" s="1466"/>
      <c r="H7" s="1480"/>
    </row>
    <row r="8" spans="1:12" ht="15.75">
      <c r="A8" s="1473">
        <v>4</v>
      </c>
      <c r="B8" s="1474" t="s">
        <v>2867</v>
      </c>
      <c r="C8" s="1475">
        <v>16</v>
      </c>
      <c r="D8" s="1476">
        <v>1046</v>
      </c>
      <c r="E8" s="1477" t="s">
        <v>2868</v>
      </c>
      <c r="G8" s="1466"/>
      <c r="H8" s="1480"/>
    </row>
    <row r="9" spans="1:12" ht="15.75">
      <c r="A9" s="1473">
        <v>5</v>
      </c>
      <c r="B9" s="1474" t="s">
        <v>2869</v>
      </c>
      <c r="C9" s="1475">
        <v>9</v>
      </c>
      <c r="D9" s="1476">
        <v>323</v>
      </c>
      <c r="E9" s="1477" t="s">
        <v>2870</v>
      </c>
      <c r="G9" s="1466"/>
      <c r="H9" s="1480"/>
      <c r="L9" s="1481"/>
    </row>
    <row r="10" spans="1:12" ht="15.75">
      <c r="A10" s="1473">
        <v>6</v>
      </c>
      <c r="B10" s="1474" t="s">
        <v>2871</v>
      </c>
      <c r="C10" s="1475" t="s">
        <v>60</v>
      </c>
      <c r="D10" s="1476" t="s">
        <v>60</v>
      </c>
      <c r="E10" s="1475" t="s">
        <v>60</v>
      </c>
      <c r="G10" s="1466"/>
      <c r="H10" s="1480"/>
      <c r="L10" s="1481"/>
    </row>
    <row r="11" spans="1:12" ht="15.75">
      <c r="A11" s="1473">
        <v>7</v>
      </c>
      <c r="B11" s="1474" t="s">
        <v>2872</v>
      </c>
      <c r="C11" s="1475" t="s">
        <v>60</v>
      </c>
      <c r="D11" s="1476" t="s">
        <v>60</v>
      </c>
      <c r="E11" s="1475" t="s">
        <v>60</v>
      </c>
      <c r="G11" s="1466"/>
      <c r="H11" s="1480"/>
      <c r="L11" s="1481"/>
    </row>
    <row r="12" spans="1:12" ht="15.75">
      <c r="A12" s="1473">
        <v>8</v>
      </c>
      <c r="B12" s="1474" t="s">
        <v>2873</v>
      </c>
      <c r="C12" s="1475">
        <v>8</v>
      </c>
      <c r="D12" s="1476">
        <v>213.6</v>
      </c>
      <c r="E12" s="1477" t="s">
        <v>2874</v>
      </c>
      <c r="G12" s="1466"/>
      <c r="H12" s="1480"/>
      <c r="L12" s="1481"/>
    </row>
    <row r="13" spans="1:12" ht="21" hidden="1" customHeight="1">
      <c r="A13" s="1473">
        <v>9</v>
      </c>
      <c r="B13" s="1473" t="s">
        <v>2875</v>
      </c>
      <c r="C13" s="1475"/>
      <c r="D13" s="1476"/>
      <c r="E13" s="1477"/>
      <c r="G13" s="1466"/>
      <c r="H13" s="1480"/>
      <c r="L13" s="1481"/>
    </row>
    <row r="14" spans="1:12" ht="21" hidden="1" customHeight="1">
      <c r="A14" s="1473">
        <v>10</v>
      </c>
      <c r="B14" s="1473" t="s">
        <v>2876</v>
      </c>
      <c r="C14" s="1475"/>
      <c r="D14" s="1476"/>
      <c r="E14" s="1477"/>
      <c r="G14" s="1466"/>
      <c r="H14" s="1480"/>
      <c r="L14" s="1481"/>
    </row>
    <row r="15" spans="1:12" ht="21" hidden="1" customHeight="1">
      <c r="A15" s="1473">
        <v>11</v>
      </c>
      <c r="B15" s="1473" t="s">
        <v>2877</v>
      </c>
      <c r="C15" s="1475"/>
      <c r="D15" s="1476"/>
      <c r="E15" s="1477"/>
      <c r="G15" s="1466"/>
      <c r="H15" s="1480"/>
      <c r="L15" s="1481"/>
    </row>
    <row r="16" spans="1:12" ht="0.75" customHeight="1" thickBot="1">
      <c r="A16" s="1482"/>
      <c r="B16" s="1482"/>
      <c r="C16" s="1483"/>
      <c r="D16" s="1484"/>
      <c r="E16" s="1483" t="s">
        <v>2878</v>
      </c>
      <c r="G16" s="1466"/>
      <c r="H16" s="1480"/>
      <c r="L16" s="1481"/>
    </row>
    <row r="17" spans="1:12" ht="24" customHeight="1" thickBot="1">
      <c r="A17" s="3310" t="s">
        <v>81</v>
      </c>
      <c r="B17" s="3310"/>
      <c r="C17" s="1485">
        <f>SUM(C5:C12)</f>
        <v>48</v>
      </c>
      <c r="D17" s="1486">
        <f>SUM(D5:D12)</f>
        <v>2472.6</v>
      </c>
      <c r="E17" s="1487" t="s">
        <v>2879</v>
      </c>
      <c r="F17" s="1488"/>
      <c r="G17" s="1466"/>
      <c r="H17" s="1489"/>
      <c r="L17" s="1481"/>
    </row>
    <row r="18" spans="1:12" ht="15" customHeight="1">
      <c r="A18" s="1490" t="s">
        <v>2681</v>
      </c>
      <c r="B18" s="1491"/>
      <c r="C18" s="1491"/>
      <c r="D18" s="1492"/>
      <c r="E18" s="1493"/>
      <c r="F18" s="1494"/>
      <c r="G18" s="1489"/>
      <c r="H18" s="1489"/>
    </row>
    <row r="19" spans="1:12" ht="18" customHeight="1">
      <c r="A19" s="1490"/>
      <c r="B19" s="1491"/>
      <c r="C19" s="1495"/>
      <c r="D19" s="1495"/>
      <c r="E19" s="1493"/>
      <c r="F19" s="1494"/>
      <c r="G19" s="1466"/>
      <c r="H19" s="1489"/>
      <c r="I19" s="1496"/>
    </row>
    <row r="20" spans="1:12" ht="18" hidden="1" customHeight="1">
      <c r="A20" s="1491"/>
      <c r="B20" s="1491"/>
      <c r="C20" s="1497"/>
      <c r="D20" s="1495"/>
      <c r="E20" s="1493"/>
      <c r="F20" s="1489"/>
      <c r="G20" s="1489"/>
      <c r="H20" s="1489"/>
      <c r="I20" s="1496"/>
    </row>
    <row r="21" spans="1:12" ht="18" hidden="1" customHeight="1">
      <c r="A21" s="1491"/>
      <c r="B21" s="1491"/>
      <c r="C21" s="1491"/>
      <c r="D21" s="1491"/>
      <c r="E21" s="1493"/>
      <c r="F21" s="1489"/>
      <c r="G21" s="1489"/>
      <c r="H21" s="1489"/>
      <c r="I21" s="1496"/>
    </row>
    <row r="22" spans="1:12" ht="15.75">
      <c r="A22" s="1463" t="s">
        <v>2880</v>
      </c>
      <c r="B22" s="1464"/>
      <c r="C22" s="1464"/>
      <c r="D22" s="1464"/>
      <c r="E22" s="1464"/>
      <c r="G22" s="1466"/>
      <c r="H22" s="1467"/>
    </row>
    <row r="23" spans="1:12" ht="10.5" customHeight="1" thickBot="1">
      <c r="A23" s="1491"/>
      <c r="B23" s="1491"/>
      <c r="C23" s="1491"/>
      <c r="D23" s="1491"/>
      <c r="E23" s="1493"/>
      <c r="F23" s="1489"/>
      <c r="G23" s="1489"/>
      <c r="H23" s="1489"/>
      <c r="I23" s="1496"/>
    </row>
    <row r="24" spans="1:12" ht="18" customHeight="1">
      <c r="A24" s="1498" t="s">
        <v>78</v>
      </c>
      <c r="B24" s="1470" t="s">
        <v>2858</v>
      </c>
      <c r="C24" s="1499" t="s">
        <v>2859</v>
      </c>
      <c r="D24" s="1470" t="s">
        <v>2066</v>
      </c>
      <c r="E24" s="1493"/>
      <c r="F24" s="1489"/>
      <c r="G24" s="1489"/>
      <c r="H24" s="1489"/>
      <c r="I24" s="1496"/>
    </row>
    <row r="25" spans="1:12" ht="18" customHeight="1" thickBot="1">
      <c r="A25" s="1500"/>
      <c r="B25" s="1471" t="s">
        <v>2808</v>
      </c>
      <c r="C25" s="1501" t="s">
        <v>49</v>
      </c>
      <c r="D25" s="1472" t="s">
        <v>2055</v>
      </c>
      <c r="E25" s="1493"/>
      <c r="F25" s="1489"/>
      <c r="G25" s="1489"/>
      <c r="H25" s="1489"/>
      <c r="I25" s="1496"/>
    </row>
    <row r="26" spans="1:12" ht="15.75">
      <c r="A26" s="1502">
        <v>42186</v>
      </c>
      <c r="B26" s="1503"/>
      <c r="C26" s="1504"/>
      <c r="D26" s="1505"/>
      <c r="E26" s="1493"/>
      <c r="F26" s="1489"/>
      <c r="G26" s="1489"/>
      <c r="H26" s="1489"/>
      <c r="I26" s="1496"/>
    </row>
    <row r="27" spans="1:12" ht="15.75">
      <c r="A27" s="1506" t="s">
        <v>2671</v>
      </c>
      <c r="B27" s="1507">
        <v>8</v>
      </c>
      <c r="C27" s="1508">
        <v>286</v>
      </c>
      <c r="D27" s="1477" t="s">
        <v>2881</v>
      </c>
      <c r="E27" s="1493"/>
      <c r="F27" s="1489"/>
      <c r="G27" s="1489"/>
      <c r="H27" s="1489"/>
      <c r="I27" s="1496"/>
    </row>
    <row r="28" spans="1:12" ht="15.75">
      <c r="A28" s="1506" t="s">
        <v>2672</v>
      </c>
      <c r="B28" s="1475" t="s">
        <v>60</v>
      </c>
      <c r="C28" s="1476" t="s">
        <v>60</v>
      </c>
      <c r="D28" s="1475" t="s">
        <v>60</v>
      </c>
      <c r="E28" s="1493"/>
      <c r="F28" s="1489"/>
      <c r="G28" s="1489"/>
      <c r="H28" s="1489"/>
      <c r="I28" s="1496"/>
    </row>
    <row r="29" spans="1:12" ht="15.75">
      <c r="A29" s="1506" t="s">
        <v>2673</v>
      </c>
      <c r="B29" s="1475">
        <v>11</v>
      </c>
      <c r="C29" s="1476">
        <v>586.1</v>
      </c>
      <c r="D29" s="1477" t="s">
        <v>2882</v>
      </c>
      <c r="E29" s="1493"/>
      <c r="F29" s="1489"/>
      <c r="G29" s="1489"/>
      <c r="H29" s="1489"/>
      <c r="I29" s="1496"/>
    </row>
    <row r="30" spans="1:12" ht="15.75">
      <c r="A30" s="1506" t="s">
        <v>2674</v>
      </c>
      <c r="B30" s="1507">
        <v>14</v>
      </c>
      <c r="C30" s="1508">
        <v>799.5</v>
      </c>
      <c r="D30" s="1477" t="s">
        <v>2883</v>
      </c>
      <c r="E30" s="1493"/>
      <c r="F30" s="1489"/>
      <c r="G30" s="1489"/>
      <c r="H30" s="1489"/>
      <c r="I30" s="1496"/>
    </row>
    <row r="31" spans="1:12" ht="15.75">
      <c r="A31" s="1506" t="s">
        <v>2675</v>
      </c>
      <c r="B31" s="1507">
        <v>15</v>
      </c>
      <c r="C31" s="1508">
        <v>801</v>
      </c>
      <c r="D31" s="1477" t="s">
        <v>2884</v>
      </c>
      <c r="E31" s="1493"/>
      <c r="F31" s="1489"/>
      <c r="G31" s="1489"/>
      <c r="H31" s="1489"/>
      <c r="I31" s="1496"/>
    </row>
    <row r="32" spans="1:12" ht="15.75" hidden="1">
      <c r="A32" s="1506"/>
      <c r="B32" s="1475"/>
      <c r="C32" s="1476"/>
      <c r="D32" s="1477"/>
      <c r="E32" s="1493"/>
      <c r="F32" s="1489"/>
      <c r="G32" s="1489"/>
      <c r="H32" s="1489"/>
      <c r="I32" s="1496"/>
    </row>
    <row r="33" spans="1:9" ht="15.75" hidden="1">
      <c r="A33" s="1506"/>
      <c r="B33" s="1507" t="s">
        <v>60</v>
      </c>
      <c r="C33" s="1507" t="s">
        <v>60</v>
      </c>
      <c r="D33" s="1475" t="s">
        <v>60</v>
      </c>
      <c r="E33" s="1493"/>
      <c r="F33" s="1489"/>
      <c r="G33" s="1489"/>
      <c r="H33" s="1489"/>
      <c r="I33" s="1496"/>
    </row>
    <row r="34" spans="1:9" ht="3.75" customHeight="1" thickBot="1">
      <c r="A34" s="1509"/>
      <c r="B34" s="1510" t="s">
        <v>60</v>
      </c>
      <c r="C34" s="1511" t="s">
        <v>60</v>
      </c>
      <c r="D34" s="1512"/>
      <c r="E34" s="1493"/>
      <c r="F34" s="1513"/>
      <c r="G34" s="1489"/>
      <c r="H34" s="1489"/>
      <c r="I34" s="1496"/>
    </row>
    <row r="35" spans="1:9" ht="24" hidden="1" customHeight="1">
      <c r="A35" s="1514">
        <v>37347</v>
      </c>
      <c r="B35" s="1475">
        <v>29</v>
      </c>
      <c r="C35" s="1508">
        <v>187.3</v>
      </c>
      <c r="D35" s="1515" t="s">
        <v>2885</v>
      </c>
      <c r="E35" s="1493"/>
      <c r="F35" s="1489"/>
      <c r="G35" s="1489"/>
      <c r="H35" s="1489"/>
      <c r="I35" s="1496"/>
    </row>
    <row r="36" spans="1:9" ht="18" hidden="1" customHeight="1">
      <c r="A36" s="1514">
        <v>37377</v>
      </c>
      <c r="B36" s="1475">
        <v>25</v>
      </c>
      <c r="C36" s="1508">
        <v>73.3</v>
      </c>
      <c r="D36" s="1515" t="s">
        <v>2886</v>
      </c>
      <c r="E36" s="1493"/>
      <c r="F36" s="1489"/>
      <c r="G36" s="1489"/>
      <c r="H36" s="1489"/>
      <c r="I36" s="1496"/>
    </row>
    <row r="37" spans="1:9" ht="18" hidden="1" customHeight="1">
      <c r="A37" s="1514">
        <v>37408</v>
      </c>
      <c r="B37" s="1475">
        <v>22</v>
      </c>
      <c r="C37" s="1508">
        <v>628.5</v>
      </c>
      <c r="D37" s="1515" t="s">
        <v>2887</v>
      </c>
      <c r="E37" s="1493"/>
      <c r="F37" s="1489"/>
      <c r="G37" s="1489"/>
      <c r="H37" s="1489"/>
      <c r="I37" s="1496"/>
    </row>
    <row r="38" spans="1:9" ht="18" hidden="1" customHeight="1">
      <c r="A38" s="1514">
        <v>37438</v>
      </c>
      <c r="B38" s="1475">
        <v>35</v>
      </c>
      <c r="C38" s="1508">
        <v>137</v>
      </c>
      <c r="D38" s="1515" t="s">
        <v>2888</v>
      </c>
      <c r="E38" s="1493"/>
      <c r="F38" s="1489"/>
      <c r="G38" s="1489"/>
      <c r="H38" s="1489"/>
      <c r="I38" s="1496"/>
    </row>
    <row r="39" spans="1:9" ht="18" hidden="1" customHeight="1">
      <c r="A39" s="1514">
        <v>37469</v>
      </c>
      <c r="B39" s="1475">
        <v>35</v>
      </c>
      <c r="C39" s="1508">
        <v>436.1</v>
      </c>
      <c r="D39" s="1515" t="s">
        <v>2889</v>
      </c>
      <c r="E39" s="1493"/>
      <c r="F39" s="1489"/>
      <c r="G39" s="1489"/>
      <c r="H39" s="1489"/>
      <c r="I39" s="1496"/>
    </row>
    <row r="40" spans="1:9" ht="18" hidden="1" customHeight="1">
      <c r="A40" s="1514">
        <v>37500</v>
      </c>
      <c r="B40" s="1475">
        <v>13</v>
      </c>
      <c r="C40" s="1508">
        <v>201.7</v>
      </c>
      <c r="D40" s="1515" t="s">
        <v>2890</v>
      </c>
      <c r="E40" s="1493"/>
      <c r="F40" s="1489"/>
      <c r="G40" s="1489"/>
      <c r="H40" s="1489"/>
      <c r="I40" s="1496"/>
    </row>
    <row r="41" spans="1:9" ht="18" hidden="1" customHeight="1">
      <c r="A41" s="1514">
        <v>37530</v>
      </c>
      <c r="B41" s="1475">
        <v>101</v>
      </c>
      <c r="C41" s="1508">
        <v>859.5</v>
      </c>
      <c r="D41" s="1515" t="s">
        <v>2891</v>
      </c>
      <c r="E41" s="1493"/>
      <c r="F41" s="1489"/>
      <c r="G41" s="1489"/>
      <c r="H41" s="1489"/>
      <c r="I41" s="1496"/>
    </row>
    <row r="42" spans="1:9" ht="18" hidden="1" customHeight="1">
      <c r="A42" s="1514">
        <v>37561</v>
      </c>
      <c r="B42" s="1475">
        <v>116</v>
      </c>
      <c r="C42" s="1508">
        <v>716</v>
      </c>
      <c r="D42" s="1515" t="s">
        <v>2892</v>
      </c>
      <c r="E42" s="1493"/>
      <c r="F42" s="1489"/>
      <c r="G42" s="1489"/>
      <c r="H42" s="1489"/>
      <c r="I42" s="1496"/>
    </row>
    <row r="43" spans="1:9" ht="18" hidden="1" customHeight="1">
      <c r="A43" s="1514">
        <v>37591</v>
      </c>
      <c r="B43" s="1475">
        <v>196</v>
      </c>
      <c r="C43" s="1508">
        <v>1139.9000000000001</v>
      </c>
      <c r="D43" s="1515" t="s">
        <v>2893</v>
      </c>
      <c r="E43" s="1493"/>
      <c r="F43" s="1489"/>
      <c r="G43" s="1489"/>
      <c r="H43" s="1489"/>
      <c r="I43" s="1496"/>
    </row>
    <row r="44" spans="1:9" ht="18" hidden="1" customHeight="1">
      <c r="A44" s="1514">
        <v>37622</v>
      </c>
      <c r="B44" s="1475">
        <v>251</v>
      </c>
      <c r="C44" s="1508">
        <v>1278.4000000000001</v>
      </c>
      <c r="D44" s="1515" t="s">
        <v>2894</v>
      </c>
      <c r="E44" s="1493"/>
      <c r="F44" s="1489"/>
      <c r="G44" s="1489"/>
      <c r="H44" s="1489"/>
      <c r="I44" s="1496"/>
    </row>
    <row r="45" spans="1:9" ht="18" hidden="1" customHeight="1">
      <c r="A45" s="1514">
        <v>37653</v>
      </c>
      <c r="B45" s="1475">
        <v>191</v>
      </c>
      <c r="C45" s="1508">
        <v>956.7</v>
      </c>
      <c r="D45" s="1515" t="s">
        <v>2895</v>
      </c>
      <c r="E45" s="1493"/>
      <c r="F45" s="1489"/>
      <c r="G45" s="1489"/>
      <c r="H45" s="1489"/>
      <c r="I45" s="1496"/>
    </row>
    <row r="46" spans="1:9" ht="18" hidden="1" customHeight="1">
      <c r="A46" s="1514">
        <v>37681</v>
      </c>
      <c r="B46" s="1475">
        <v>235</v>
      </c>
      <c r="C46" s="1508">
        <v>2219.4</v>
      </c>
      <c r="D46" s="1515" t="s">
        <v>2896</v>
      </c>
      <c r="E46" s="1493"/>
      <c r="F46" s="1489"/>
      <c r="G46" s="1489"/>
      <c r="H46" s="1489"/>
      <c r="I46" s="1496"/>
    </row>
    <row r="47" spans="1:9" ht="18" hidden="1" customHeight="1">
      <c r="A47" s="1514">
        <v>37712</v>
      </c>
      <c r="B47" s="1475">
        <v>223</v>
      </c>
      <c r="C47" s="1508">
        <v>1211.5999999999999</v>
      </c>
      <c r="D47" s="1515" t="s">
        <v>2897</v>
      </c>
      <c r="E47" s="1493"/>
      <c r="F47" s="1489"/>
      <c r="G47" s="1489"/>
      <c r="H47" s="1489"/>
      <c r="I47" s="1496"/>
    </row>
    <row r="48" spans="1:9" ht="18" hidden="1" customHeight="1">
      <c r="A48" s="1514">
        <v>37742</v>
      </c>
      <c r="B48" s="1475">
        <v>234</v>
      </c>
      <c r="C48" s="1508">
        <v>906.8</v>
      </c>
      <c r="D48" s="1515" t="s">
        <v>2898</v>
      </c>
      <c r="E48" s="1493"/>
      <c r="F48" s="1489"/>
      <c r="G48" s="1489"/>
      <c r="H48" s="1489"/>
      <c r="I48" s="1496"/>
    </row>
    <row r="49" spans="1:9" ht="18" hidden="1" customHeight="1">
      <c r="A49" s="1514">
        <v>37773</v>
      </c>
      <c r="B49" s="1475">
        <v>203</v>
      </c>
      <c r="C49" s="1508">
        <v>1531.7</v>
      </c>
      <c r="D49" s="1515" t="s">
        <v>2899</v>
      </c>
      <c r="E49" s="1493"/>
      <c r="F49" s="1489"/>
      <c r="G49" s="1489"/>
      <c r="H49" s="1489"/>
      <c r="I49" s="1496"/>
    </row>
    <row r="50" spans="1:9" ht="18" hidden="1" customHeight="1">
      <c r="A50" s="1514">
        <v>37803</v>
      </c>
      <c r="B50" s="1475">
        <v>202</v>
      </c>
      <c r="C50" s="1508">
        <v>1136.3</v>
      </c>
      <c r="D50" s="1515" t="s">
        <v>2900</v>
      </c>
      <c r="E50" s="1493"/>
      <c r="F50" s="1489"/>
      <c r="G50" s="1489"/>
      <c r="H50" s="1489"/>
      <c r="I50" s="1496"/>
    </row>
    <row r="51" spans="1:9" ht="18" hidden="1" customHeight="1">
      <c r="A51" s="1514">
        <v>37834</v>
      </c>
      <c r="B51" s="1475">
        <v>196</v>
      </c>
      <c r="C51" s="1508">
        <v>921.4</v>
      </c>
      <c r="D51" s="1515" t="s">
        <v>2901</v>
      </c>
      <c r="E51" s="1493"/>
      <c r="F51" s="1489"/>
      <c r="G51" s="1489"/>
      <c r="H51" s="1489"/>
      <c r="I51" s="1496"/>
    </row>
    <row r="52" spans="1:9" ht="18" hidden="1" customHeight="1">
      <c r="A52" s="1514">
        <v>37865</v>
      </c>
      <c r="B52" s="1475">
        <v>184</v>
      </c>
      <c r="C52" s="1508">
        <v>1119.0999999999999</v>
      </c>
      <c r="D52" s="1515" t="s">
        <v>2902</v>
      </c>
      <c r="E52" s="1493"/>
      <c r="F52" s="1489"/>
      <c r="G52" s="1489"/>
      <c r="H52" s="1489"/>
      <c r="I52" s="1496"/>
    </row>
    <row r="53" spans="1:9" ht="18" hidden="1" customHeight="1">
      <c r="A53" s="1514">
        <v>37895</v>
      </c>
      <c r="B53" s="1475">
        <v>246</v>
      </c>
      <c r="C53" s="1508">
        <v>1514.7</v>
      </c>
      <c r="D53" s="1515" t="s">
        <v>2903</v>
      </c>
      <c r="E53" s="1493"/>
      <c r="F53" s="1489"/>
      <c r="G53" s="1489"/>
      <c r="H53" s="1489"/>
      <c r="I53" s="1496"/>
    </row>
    <row r="54" spans="1:9" ht="18" hidden="1" customHeight="1">
      <c r="A54" s="1514">
        <v>37926</v>
      </c>
      <c r="B54" s="1475">
        <v>183</v>
      </c>
      <c r="C54" s="1508">
        <v>833.9</v>
      </c>
      <c r="D54" s="1515" t="s">
        <v>2904</v>
      </c>
      <c r="E54" s="1493"/>
      <c r="F54" s="1489"/>
      <c r="G54" s="1489"/>
      <c r="H54" s="1489"/>
      <c r="I54" s="1496"/>
    </row>
    <row r="55" spans="1:9" ht="18" hidden="1" customHeight="1">
      <c r="A55" s="1514">
        <v>37956</v>
      </c>
      <c r="B55" s="1475">
        <v>240</v>
      </c>
      <c r="C55" s="1508">
        <v>1636.4</v>
      </c>
      <c r="D55" s="1515" t="s">
        <v>2905</v>
      </c>
      <c r="E55" s="1493"/>
      <c r="F55" s="1489"/>
      <c r="G55" s="1489"/>
      <c r="H55" s="1489"/>
      <c r="I55" s="1496"/>
    </row>
    <row r="56" spans="1:9" ht="18" hidden="1" customHeight="1">
      <c r="A56" s="1514">
        <v>37987</v>
      </c>
      <c r="B56" s="1475">
        <v>226</v>
      </c>
      <c r="C56" s="1508">
        <v>1834.9</v>
      </c>
      <c r="D56" s="1515" t="s">
        <v>2906</v>
      </c>
      <c r="E56" s="1493"/>
      <c r="F56" s="1489"/>
      <c r="G56" s="1489"/>
      <c r="H56" s="1489"/>
      <c r="I56" s="1496"/>
    </row>
    <row r="57" spans="1:9" ht="18" hidden="1" customHeight="1">
      <c r="A57" s="1514">
        <v>38018</v>
      </c>
      <c r="B57" s="1475">
        <v>140</v>
      </c>
      <c r="C57" s="1508">
        <v>1196.0999999999999</v>
      </c>
      <c r="D57" s="1515" t="s">
        <v>2907</v>
      </c>
      <c r="E57" s="1493"/>
      <c r="F57" s="1489"/>
      <c r="G57" s="1489"/>
      <c r="H57" s="1489"/>
      <c r="I57" s="1496"/>
    </row>
    <row r="58" spans="1:9" ht="18" hidden="1" customHeight="1">
      <c r="A58" s="1514">
        <v>38047</v>
      </c>
      <c r="B58" s="1475">
        <v>113</v>
      </c>
      <c r="C58" s="1508">
        <v>1247.7</v>
      </c>
      <c r="D58" s="1515" t="s">
        <v>2908</v>
      </c>
      <c r="E58" s="1493"/>
      <c r="F58" s="1489"/>
      <c r="G58" s="1489"/>
      <c r="H58" s="1489"/>
      <c r="I58" s="1496"/>
    </row>
    <row r="59" spans="1:9" ht="18" hidden="1" customHeight="1">
      <c r="A59" s="1514">
        <v>38078</v>
      </c>
      <c r="B59" s="1475">
        <v>82</v>
      </c>
      <c r="C59" s="1508">
        <v>1185.5999999999999</v>
      </c>
      <c r="D59" s="1515" t="s">
        <v>2909</v>
      </c>
      <c r="E59" s="1493"/>
      <c r="F59" s="1489"/>
      <c r="G59" s="1489"/>
      <c r="H59" s="1489"/>
      <c r="I59" s="1496"/>
    </row>
    <row r="60" spans="1:9" ht="18" hidden="1" customHeight="1">
      <c r="A60" s="1514">
        <v>38108</v>
      </c>
      <c r="B60" s="1475">
        <v>32</v>
      </c>
      <c r="C60" s="1508">
        <v>421.9</v>
      </c>
      <c r="D60" s="1515" t="s">
        <v>2910</v>
      </c>
      <c r="E60" s="1493"/>
      <c r="F60" s="1489"/>
      <c r="G60" s="1489"/>
      <c r="H60" s="1489"/>
      <c r="I60" s="1496"/>
    </row>
    <row r="61" spans="1:9" ht="18" hidden="1" customHeight="1">
      <c r="A61" s="1514">
        <v>38139</v>
      </c>
      <c r="B61" s="1475">
        <v>95</v>
      </c>
      <c r="C61" s="1508">
        <v>1510.9</v>
      </c>
      <c r="D61" s="1515" t="s">
        <v>2911</v>
      </c>
      <c r="E61" s="1493"/>
      <c r="F61" s="1489"/>
      <c r="G61" s="1489"/>
      <c r="H61" s="1489"/>
      <c r="I61" s="1496"/>
    </row>
    <row r="62" spans="1:9" ht="18" hidden="1" customHeight="1">
      <c r="A62" s="1514">
        <v>38169</v>
      </c>
      <c r="B62" s="1475">
        <v>87</v>
      </c>
      <c r="C62" s="1508">
        <v>687</v>
      </c>
      <c r="D62" s="1515" t="s">
        <v>2912</v>
      </c>
      <c r="E62" s="1493"/>
      <c r="F62" s="1489"/>
      <c r="G62" s="1489"/>
      <c r="H62" s="1489"/>
      <c r="I62" s="1496"/>
    </row>
    <row r="63" spans="1:9" ht="18" hidden="1" customHeight="1">
      <c r="A63" s="1514">
        <v>38200</v>
      </c>
      <c r="B63" s="1475">
        <v>120</v>
      </c>
      <c r="C63" s="1508">
        <v>692.9</v>
      </c>
      <c r="D63" s="1515" t="s">
        <v>2913</v>
      </c>
      <c r="E63" s="1493"/>
      <c r="F63" s="1489"/>
      <c r="G63" s="1489"/>
      <c r="H63" s="1489"/>
      <c r="I63" s="1496"/>
    </row>
    <row r="64" spans="1:9" ht="18" hidden="1" customHeight="1">
      <c r="A64" s="1514">
        <v>38231</v>
      </c>
      <c r="B64" s="1475">
        <v>124</v>
      </c>
      <c r="C64" s="1508">
        <v>906</v>
      </c>
      <c r="D64" s="1515" t="s">
        <v>2914</v>
      </c>
      <c r="E64" s="1493"/>
      <c r="F64" s="1489"/>
      <c r="G64" s="1489"/>
      <c r="H64" s="1489"/>
      <c r="I64" s="1496"/>
    </row>
    <row r="65" spans="1:9" ht="18" hidden="1" customHeight="1">
      <c r="A65" s="1514">
        <v>38261</v>
      </c>
      <c r="B65" s="1475">
        <v>78</v>
      </c>
      <c r="C65" s="1508">
        <v>574.5</v>
      </c>
      <c r="D65" s="1515" t="s">
        <v>2915</v>
      </c>
      <c r="E65" s="1493"/>
      <c r="F65" s="1489"/>
      <c r="G65" s="1489"/>
      <c r="H65" s="1489"/>
      <c r="I65" s="1496"/>
    </row>
    <row r="66" spans="1:9" ht="18" hidden="1" customHeight="1">
      <c r="A66" s="1514">
        <v>38292</v>
      </c>
      <c r="B66" s="1475">
        <v>65</v>
      </c>
      <c r="C66" s="1508">
        <v>273.3</v>
      </c>
      <c r="D66" s="1515" t="s">
        <v>2916</v>
      </c>
      <c r="E66" s="1493"/>
      <c r="F66" s="1489"/>
      <c r="G66" s="1489"/>
      <c r="H66" s="1489"/>
      <c r="I66" s="1496"/>
    </row>
    <row r="67" spans="1:9" ht="18" hidden="1" customHeight="1">
      <c r="A67" s="1514">
        <v>38322</v>
      </c>
      <c r="B67" s="1475">
        <v>87</v>
      </c>
      <c r="C67" s="1508">
        <v>968.8</v>
      </c>
      <c r="D67" s="1515" t="s">
        <v>2917</v>
      </c>
      <c r="E67" s="1493"/>
      <c r="F67" s="1489"/>
      <c r="G67" s="1489"/>
      <c r="H67" s="1489"/>
      <c r="I67" s="1496"/>
    </row>
    <row r="68" spans="1:9" ht="18" hidden="1" customHeight="1">
      <c r="A68" s="1514">
        <v>38353</v>
      </c>
      <c r="B68" s="1475">
        <v>108</v>
      </c>
      <c r="C68" s="1508">
        <v>636.9</v>
      </c>
      <c r="D68" s="1515" t="s">
        <v>2918</v>
      </c>
      <c r="E68" s="1493"/>
      <c r="F68" s="1489"/>
      <c r="G68" s="1489"/>
      <c r="H68" s="1489"/>
      <c r="I68" s="1496"/>
    </row>
    <row r="69" spans="1:9" ht="18" hidden="1" customHeight="1">
      <c r="A69" s="1514">
        <v>38384</v>
      </c>
      <c r="B69" s="1475">
        <v>75</v>
      </c>
      <c r="C69" s="1508">
        <v>309.5</v>
      </c>
      <c r="D69" s="1515" t="s">
        <v>2919</v>
      </c>
      <c r="E69" s="1493"/>
      <c r="F69" s="1489"/>
      <c r="G69" s="1489"/>
      <c r="H69" s="1489"/>
      <c r="I69" s="1496"/>
    </row>
    <row r="70" spans="1:9" ht="18" hidden="1" customHeight="1">
      <c r="A70" s="1514">
        <v>38412</v>
      </c>
      <c r="B70" s="1475">
        <v>104</v>
      </c>
      <c r="C70" s="1508">
        <v>1111.2</v>
      </c>
      <c r="D70" s="1515" t="s">
        <v>2920</v>
      </c>
      <c r="E70" s="1493"/>
      <c r="F70" s="1489"/>
      <c r="G70" s="1489"/>
      <c r="H70" s="1489"/>
      <c r="I70" s="1496"/>
    </row>
    <row r="71" spans="1:9" ht="18" hidden="1" customHeight="1">
      <c r="A71" s="1514">
        <v>38443</v>
      </c>
      <c r="B71" s="1475">
        <v>139</v>
      </c>
      <c r="C71" s="1508">
        <v>1118.2</v>
      </c>
      <c r="D71" s="1515" t="s">
        <v>2921</v>
      </c>
      <c r="E71" s="1493"/>
      <c r="F71" s="1489"/>
      <c r="G71" s="1489"/>
      <c r="H71" s="1489"/>
      <c r="I71" s="1496"/>
    </row>
    <row r="72" spans="1:9" ht="18" hidden="1" customHeight="1">
      <c r="A72" s="1514">
        <v>38473</v>
      </c>
      <c r="B72" s="1475">
        <v>93</v>
      </c>
      <c r="C72" s="1508">
        <v>595.6</v>
      </c>
      <c r="D72" s="1515" t="s">
        <v>2922</v>
      </c>
      <c r="E72" s="1493"/>
      <c r="F72" s="1489"/>
      <c r="G72" s="1489"/>
      <c r="H72" s="1489"/>
      <c r="I72" s="1496"/>
    </row>
    <row r="73" spans="1:9" ht="18" hidden="1" customHeight="1">
      <c r="A73" s="1514">
        <v>38504</v>
      </c>
      <c r="B73" s="1475">
        <v>90</v>
      </c>
      <c r="C73" s="1508">
        <v>939.6</v>
      </c>
      <c r="D73" s="1515" t="s">
        <v>2923</v>
      </c>
      <c r="E73" s="1493"/>
      <c r="F73" s="1489"/>
      <c r="G73" s="1489"/>
      <c r="H73" s="1489"/>
      <c r="I73" s="1496"/>
    </row>
    <row r="74" spans="1:9" ht="18" hidden="1" customHeight="1">
      <c r="A74" s="1514">
        <v>38534</v>
      </c>
      <c r="B74" s="1475">
        <v>59</v>
      </c>
      <c r="C74" s="1508">
        <v>360</v>
      </c>
      <c r="D74" s="1515" t="s">
        <v>2924</v>
      </c>
      <c r="E74" s="1493"/>
      <c r="F74" s="1489"/>
      <c r="G74" s="1489"/>
      <c r="H74" s="1489"/>
      <c r="I74" s="1496"/>
    </row>
    <row r="75" spans="1:9" ht="18" hidden="1" customHeight="1">
      <c r="A75" s="1514">
        <v>38565</v>
      </c>
      <c r="B75" s="1475">
        <v>80</v>
      </c>
      <c r="C75" s="1508">
        <v>682.7</v>
      </c>
      <c r="D75" s="1515" t="s">
        <v>2925</v>
      </c>
      <c r="E75" s="1493"/>
      <c r="F75" s="1489"/>
      <c r="G75" s="1489"/>
      <c r="H75" s="1489"/>
      <c r="I75" s="1496"/>
    </row>
    <row r="76" spans="1:9" ht="18" hidden="1" customHeight="1">
      <c r="A76" s="1514">
        <v>38626</v>
      </c>
      <c r="B76" s="1475">
        <v>73</v>
      </c>
      <c r="C76" s="1508">
        <v>354.3</v>
      </c>
      <c r="D76" s="1515" t="s">
        <v>2926</v>
      </c>
      <c r="E76" s="1493"/>
      <c r="F76" s="1489"/>
      <c r="G76" s="1489"/>
      <c r="H76" s="1489"/>
      <c r="I76" s="1496"/>
    </row>
    <row r="77" spans="1:9" ht="18" hidden="1" customHeight="1">
      <c r="A77" s="1514">
        <v>38657</v>
      </c>
      <c r="B77" s="1475">
        <v>57</v>
      </c>
      <c r="C77" s="1508">
        <v>444.8</v>
      </c>
      <c r="D77" s="1515" t="s">
        <v>2927</v>
      </c>
      <c r="E77" s="1493"/>
      <c r="F77" s="1489"/>
      <c r="G77" s="1489"/>
      <c r="H77" s="1489"/>
      <c r="I77" s="1496"/>
    </row>
    <row r="78" spans="1:9" ht="18" hidden="1" customHeight="1">
      <c r="A78" s="1514">
        <v>38687</v>
      </c>
      <c r="B78" s="1475">
        <v>97</v>
      </c>
      <c r="C78" s="1508">
        <v>1001.7</v>
      </c>
      <c r="D78" s="1515" t="s">
        <v>2928</v>
      </c>
      <c r="E78" s="1493"/>
      <c r="F78" s="1489"/>
      <c r="G78" s="1489"/>
      <c r="H78" s="1489"/>
      <c r="I78" s="1496"/>
    </row>
    <row r="79" spans="1:9" ht="18" hidden="1" customHeight="1">
      <c r="A79" s="1514">
        <v>38718</v>
      </c>
      <c r="B79" s="1475">
        <v>115</v>
      </c>
      <c r="C79" s="1508">
        <v>1182.5</v>
      </c>
      <c r="D79" s="1515" t="s">
        <v>2929</v>
      </c>
      <c r="E79" s="1493"/>
      <c r="F79" s="1489"/>
      <c r="G79" s="1489"/>
      <c r="H79" s="1489"/>
      <c r="I79" s="1496"/>
    </row>
    <row r="80" spans="1:9" ht="18" hidden="1" customHeight="1">
      <c r="A80" s="1514">
        <v>38749</v>
      </c>
      <c r="B80" s="1475">
        <v>84</v>
      </c>
      <c r="C80" s="1508">
        <v>658.4</v>
      </c>
      <c r="D80" s="1515" t="s">
        <v>2930</v>
      </c>
      <c r="E80" s="1493"/>
      <c r="F80" s="1489"/>
      <c r="G80" s="1489"/>
      <c r="H80" s="1489"/>
      <c r="I80" s="1496"/>
    </row>
    <row r="81" spans="1:9" ht="16.5" hidden="1" thickTop="1">
      <c r="A81" s="1514">
        <v>38777</v>
      </c>
      <c r="B81" s="1475">
        <v>98</v>
      </c>
      <c r="C81" s="1508">
        <v>724.6</v>
      </c>
      <c r="D81" s="1515" t="s">
        <v>2931</v>
      </c>
      <c r="E81" s="1493"/>
      <c r="F81" s="1489"/>
      <c r="G81" s="1489"/>
      <c r="H81" s="1489"/>
      <c r="I81" s="1496"/>
    </row>
    <row r="82" spans="1:9" ht="16.5" hidden="1" thickTop="1">
      <c r="A82" s="1514">
        <v>38808</v>
      </c>
      <c r="B82" s="1475">
        <v>70</v>
      </c>
      <c r="C82" s="1508">
        <v>417.4</v>
      </c>
      <c r="D82" s="1515" t="s">
        <v>2932</v>
      </c>
      <c r="E82" s="1493"/>
      <c r="F82" s="1489"/>
      <c r="G82" s="1489"/>
      <c r="H82" s="1489"/>
      <c r="I82" s="1496"/>
    </row>
    <row r="83" spans="1:9" ht="16.5" hidden="1" thickTop="1">
      <c r="A83" s="1514">
        <v>38838</v>
      </c>
      <c r="B83" s="1475">
        <v>53</v>
      </c>
      <c r="C83" s="1508">
        <v>558.20000000000005</v>
      </c>
      <c r="D83" s="1515" t="s">
        <v>2933</v>
      </c>
      <c r="E83" s="1493"/>
      <c r="F83" s="1489"/>
      <c r="G83" s="1489"/>
      <c r="H83" s="1489"/>
      <c r="I83" s="1496"/>
    </row>
    <row r="84" spans="1:9" ht="16.5" hidden="1" thickTop="1">
      <c r="A84" s="1514">
        <v>38869</v>
      </c>
      <c r="B84" s="1475">
        <v>45</v>
      </c>
      <c r="C84" s="1508">
        <v>510.8</v>
      </c>
      <c r="D84" s="1515" t="s">
        <v>2934</v>
      </c>
      <c r="E84" s="1493"/>
      <c r="F84" s="1489"/>
      <c r="G84" s="1489"/>
      <c r="H84" s="1489"/>
      <c r="I84" s="1496"/>
    </row>
    <row r="85" spans="1:9" ht="16.5" hidden="1" thickTop="1">
      <c r="A85" s="1514">
        <v>38899</v>
      </c>
      <c r="B85" s="1475">
        <v>47</v>
      </c>
      <c r="C85" s="1508">
        <v>575.79999999999995</v>
      </c>
      <c r="D85" s="1515" t="s">
        <v>2935</v>
      </c>
      <c r="E85" s="1493"/>
      <c r="F85" s="1489"/>
      <c r="G85" s="1489"/>
      <c r="H85" s="1489"/>
      <c r="I85" s="1496"/>
    </row>
    <row r="86" spans="1:9" ht="16.5" hidden="1" thickTop="1">
      <c r="A86" s="1514">
        <v>38930</v>
      </c>
      <c r="B86" s="1475">
        <v>26</v>
      </c>
      <c r="C86" s="1508">
        <v>228.7</v>
      </c>
      <c r="D86" s="1515" t="s">
        <v>2936</v>
      </c>
      <c r="E86" s="1493"/>
      <c r="F86" s="1489"/>
      <c r="G86" s="1489"/>
      <c r="H86" s="1489"/>
      <c r="I86" s="1496"/>
    </row>
    <row r="87" spans="1:9" ht="16.5" hidden="1" thickTop="1">
      <c r="A87" s="1514">
        <v>38961</v>
      </c>
      <c r="B87" s="1475">
        <v>84</v>
      </c>
      <c r="C87" s="1508">
        <v>853.5</v>
      </c>
      <c r="D87" s="1515" t="s">
        <v>2937</v>
      </c>
      <c r="E87" s="1493"/>
      <c r="F87" s="1489"/>
      <c r="G87" s="1489"/>
      <c r="H87" s="1489"/>
      <c r="I87" s="1496"/>
    </row>
    <row r="88" spans="1:9" ht="16.5" hidden="1" thickTop="1">
      <c r="A88" s="1514">
        <v>38991</v>
      </c>
      <c r="B88" s="1475">
        <v>93</v>
      </c>
      <c r="C88" s="1508">
        <v>835.6</v>
      </c>
      <c r="D88" s="1515" t="s">
        <v>2938</v>
      </c>
      <c r="E88" s="1493"/>
      <c r="F88" s="1489"/>
      <c r="G88" s="1489"/>
      <c r="H88" s="1489"/>
      <c r="I88" s="1496"/>
    </row>
    <row r="89" spans="1:9" ht="16.5" hidden="1" thickTop="1">
      <c r="A89" s="1514">
        <v>39022</v>
      </c>
      <c r="B89" s="1475">
        <v>58</v>
      </c>
      <c r="C89" s="1508">
        <v>1222.0999999999999</v>
      </c>
      <c r="D89" s="1515" t="s">
        <v>2939</v>
      </c>
      <c r="E89" s="1493"/>
      <c r="F89" s="1489"/>
      <c r="G89" s="1489"/>
      <c r="H89" s="1489"/>
      <c r="I89" s="1496"/>
    </row>
    <row r="90" spans="1:9" ht="16.5" hidden="1" thickTop="1">
      <c r="A90" s="1514">
        <v>39052</v>
      </c>
      <c r="B90" s="1475">
        <v>153</v>
      </c>
      <c r="C90" s="1508">
        <v>1513.7</v>
      </c>
      <c r="D90" s="1515" t="s">
        <v>2940</v>
      </c>
      <c r="E90" s="1493"/>
      <c r="F90" s="1489"/>
      <c r="G90" s="1489"/>
      <c r="H90" s="1489"/>
      <c r="I90" s="1496"/>
    </row>
    <row r="91" spans="1:9" ht="16.5" hidden="1" thickTop="1">
      <c r="A91" s="1514">
        <v>39083</v>
      </c>
      <c r="B91" s="1475">
        <v>151</v>
      </c>
      <c r="C91" s="1508">
        <v>1325.1</v>
      </c>
      <c r="D91" s="1515" t="s">
        <v>2941</v>
      </c>
      <c r="E91" s="1493"/>
      <c r="F91" s="1489"/>
      <c r="G91" s="1489"/>
      <c r="H91" s="1489"/>
      <c r="I91" s="1496"/>
    </row>
    <row r="92" spans="1:9" ht="16.5" hidden="1" thickTop="1">
      <c r="A92" s="1514">
        <v>39114</v>
      </c>
      <c r="B92" s="1475">
        <v>141</v>
      </c>
      <c r="C92" s="1508">
        <v>844.4</v>
      </c>
      <c r="D92" s="1515" t="s">
        <v>2942</v>
      </c>
      <c r="E92" s="1493"/>
      <c r="F92" s="1489"/>
      <c r="G92" s="1489"/>
      <c r="H92" s="1489"/>
      <c r="I92" s="1496"/>
    </row>
    <row r="93" spans="1:9" ht="16.5" hidden="1" thickTop="1">
      <c r="A93" s="1514">
        <v>39142</v>
      </c>
      <c r="B93" s="1475">
        <v>195</v>
      </c>
      <c r="C93" s="1508">
        <v>1708</v>
      </c>
      <c r="D93" s="1515" t="s">
        <v>2943</v>
      </c>
      <c r="E93" s="1493"/>
      <c r="F93" s="1489"/>
      <c r="G93" s="1489"/>
      <c r="H93" s="1489"/>
      <c r="I93" s="1496"/>
    </row>
    <row r="94" spans="1:9" ht="16.5" hidden="1" thickTop="1">
      <c r="A94" s="1514">
        <v>39173</v>
      </c>
      <c r="B94" s="1475">
        <v>159</v>
      </c>
      <c r="C94" s="1508">
        <v>1569.5</v>
      </c>
      <c r="D94" s="1515" t="s">
        <v>2944</v>
      </c>
      <c r="E94" s="1493"/>
      <c r="F94" s="1489"/>
      <c r="G94" s="1489"/>
      <c r="H94" s="1489"/>
      <c r="I94" s="1496"/>
    </row>
    <row r="95" spans="1:9" ht="16.5" hidden="1" thickTop="1">
      <c r="A95" s="1514">
        <v>39203</v>
      </c>
      <c r="B95" s="1475">
        <v>95</v>
      </c>
      <c r="C95" s="1508">
        <v>990.2</v>
      </c>
      <c r="D95" s="1515" t="s">
        <v>2945</v>
      </c>
      <c r="E95" s="1493"/>
      <c r="F95" s="1489"/>
      <c r="G95" s="1489"/>
      <c r="H95" s="1489"/>
      <c r="I95" s="1496"/>
    </row>
    <row r="96" spans="1:9" ht="16.5" hidden="1" thickTop="1">
      <c r="A96" s="1514">
        <v>39234</v>
      </c>
      <c r="B96" s="1475">
        <v>133</v>
      </c>
      <c r="C96" s="1508">
        <v>1782.3</v>
      </c>
      <c r="D96" s="1515" t="s">
        <v>2946</v>
      </c>
      <c r="E96" s="1493"/>
      <c r="F96" s="1489"/>
      <c r="G96" s="1489"/>
      <c r="H96" s="1489"/>
      <c r="I96" s="1496"/>
    </row>
    <row r="97" spans="1:9" ht="16.5" hidden="1" thickTop="1">
      <c r="A97" s="1514">
        <v>39264</v>
      </c>
      <c r="B97" s="1475">
        <v>110</v>
      </c>
      <c r="C97" s="1508">
        <v>3606.2</v>
      </c>
      <c r="D97" s="1515" t="s">
        <v>2947</v>
      </c>
      <c r="E97" s="1493"/>
      <c r="F97" s="1489"/>
      <c r="G97" s="1489"/>
      <c r="H97" s="1489"/>
      <c r="I97" s="1496"/>
    </row>
    <row r="98" spans="1:9" ht="16.5" hidden="1" thickTop="1">
      <c r="A98" s="1514">
        <v>39295</v>
      </c>
      <c r="B98" s="1475">
        <v>66</v>
      </c>
      <c r="C98" s="1508">
        <v>1370.5</v>
      </c>
      <c r="D98" s="1515" t="s">
        <v>2948</v>
      </c>
      <c r="E98" s="1493"/>
      <c r="F98" s="1489"/>
      <c r="G98" s="1489"/>
      <c r="H98" s="1489"/>
      <c r="I98" s="1496"/>
    </row>
    <row r="99" spans="1:9" ht="16.5" hidden="1" thickTop="1">
      <c r="A99" s="1514">
        <v>39326</v>
      </c>
      <c r="B99" s="1475">
        <v>55</v>
      </c>
      <c r="C99" s="1508">
        <v>999.5</v>
      </c>
      <c r="D99" s="1515" t="s">
        <v>2949</v>
      </c>
      <c r="E99" s="1493"/>
      <c r="F99" s="1489"/>
      <c r="G99" s="1489"/>
      <c r="H99" s="1489"/>
      <c r="I99" s="1496"/>
    </row>
    <row r="100" spans="1:9" ht="16.5" hidden="1" thickTop="1">
      <c r="A100" s="1514">
        <v>39356</v>
      </c>
      <c r="B100" s="1475">
        <v>26</v>
      </c>
      <c r="C100" s="1508">
        <v>92.6</v>
      </c>
      <c r="D100" s="1515" t="s">
        <v>2950</v>
      </c>
      <c r="E100" s="1493"/>
      <c r="F100" s="1489"/>
      <c r="G100" s="1489"/>
      <c r="H100" s="1489"/>
      <c r="I100" s="1496"/>
    </row>
    <row r="101" spans="1:9" ht="16.5" hidden="1" thickTop="1">
      <c r="A101" s="1514">
        <v>39387</v>
      </c>
      <c r="B101" s="1475">
        <v>20</v>
      </c>
      <c r="C101" s="1508">
        <v>91.8</v>
      </c>
      <c r="D101" s="1515" t="s">
        <v>2951</v>
      </c>
      <c r="E101" s="1493"/>
      <c r="F101" s="1489"/>
      <c r="G101" s="1489"/>
      <c r="H101" s="1489"/>
      <c r="I101" s="1496"/>
    </row>
    <row r="102" spans="1:9" ht="16.5" hidden="1" thickTop="1">
      <c r="A102" s="1514">
        <v>39417</v>
      </c>
      <c r="B102" s="1475">
        <v>37</v>
      </c>
      <c r="C102" s="1508">
        <v>299.39999999999998</v>
      </c>
      <c r="D102" s="1477" t="s">
        <v>2952</v>
      </c>
      <c r="E102" s="1493"/>
      <c r="F102" s="1489" t="s">
        <v>42</v>
      </c>
      <c r="G102" s="1489"/>
      <c r="H102" s="1489"/>
      <c r="I102" s="1496"/>
    </row>
    <row r="103" spans="1:9" ht="16.5" hidden="1" thickTop="1">
      <c r="A103" s="1514">
        <v>39448</v>
      </c>
      <c r="B103" s="1475">
        <v>34</v>
      </c>
      <c r="C103" s="1508">
        <v>223.6</v>
      </c>
      <c r="D103" s="1477" t="s">
        <v>2953</v>
      </c>
      <c r="E103" s="1493"/>
      <c r="F103" s="1489"/>
      <c r="G103" s="1489"/>
      <c r="H103" s="1489"/>
      <c r="I103" s="1496"/>
    </row>
    <row r="104" spans="1:9" ht="16.5" hidden="1" thickTop="1">
      <c r="A104" s="1514">
        <v>39479</v>
      </c>
      <c r="B104" s="1475">
        <v>27</v>
      </c>
      <c r="C104" s="1508">
        <v>149.30000000000001</v>
      </c>
      <c r="D104" s="1477" t="s">
        <v>2954</v>
      </c>
      <c r="E104" s="1493"/>
      <c r="F104" s="1489"/>
      <c r="G104" s="1489"/>
      <c r="H104" s="1489"/>
      <c r="I104" s="1496"/>
    </row>
    <row r="105" spans="1:9" ht="16.5" hidden="1" thickTop="1">
      <c r="A105" s="1514">
        <v>39508</v>
      </c>
      <c r="B105" s="1475">
        <v>8</v>
      </c>
      <c r="C105" s="1508">
        <v>23.3</v>
      </c>
      <c r="D105" s="1477" t="s">
        <v>2955</v>
      </c>
      <c r="E105" s="1493"/>
      <c r="F105" s="1489"/>
      <c r="G105" s="1489"/>
      <c r="H105" s="1489"/>
      <c r="I105" s="1496"/>
    </row>
    <row r="106" spans="1:9" ht="16.5" hidden="1" thickTop="1">
      <c r="A106" s="1514">
        <v>39539</v>
      </c>
      <c r="B106" s="1475">
        <v>15</v>
      </c>
      <c r="C106" s="1508">
        <v>185.8</v>
      </c>
      <c r="D106" s="1477" t="s">
        <v>2956</v>
      </c>
      <c r="E106" s="1493"/>
      <c r="F106" s="1489"/>
      <c r="G106" s="1489"/>
      <c r="H106" s="1489"/>
      <c r="I106" s="1496"/>
    </row>
    <row r="107" spans="1:9" ht="16.5" hidden="1" thickTop="1">
      <c r="A107" s="1514">
        <v>39569</v>
      </c>
      <c r="B107" s="1475">
        <v>27</v>
      </c>
      <c r="C107" s="1508">
        <v>402.1</v>
      </c>
      <c r="D107" s="1477" t="s">
        <v>2957</v>
      </c>
      <c r="E107" s="1493"/>
      <c r="F107" s="1489"/>
      <c r="G107" s="1489"/>
      <c r="H107" s="1489"/>
      <c r="I107" s="1496"/>
    </row>
    <row r="108" spans="1:9" ht="16.5" hidden="1" thickTop="1">
      <c r="A108" s="1514">
        <v>39600</v>
      </c>
      <c r="B108" s="1516">
        <v>11</v>
      </c>
      <c r="C108" s="1517">
        <v>187.5</v>
      </c>
      <c r="D108" s="1477" t="s">
        <v>2958</v>
      </c>
      <c r="E108" s="1493"/>
      <c r="F108" s="1489"/>
      <c r="G108" s="1489"/>
      <c r="H108" s="1489"/>
      <c r="I108" s="1496"/>
    </row>
    <row r="109" spans="1:9" ht="16.5" hidden="1" thickTop="1">
      <c r="A109" s="1514">
        <v>39630</v>
      </c>
      <c r="B109" s="1516">
        <v>17</v>
      </c>
      <c r="C109" s="1517">
        <v>169</v>
      </c>
      <c r="D109" s="1477" t="s">
        <v>2959</v>
      </c>
      <c r="E109" s="1493"/>
      <c r="F109" s="1489"/>
      <c r="G109" s="1489"/>
      <c r="H109" s="1489"/>
      <c r="I109" s="1496"/>
    </row>
    <row r="110" spans="1:9" ht="16.5" hidden="1" thickTop="1">
      <c r="A110" s="1514">
        <v>39661</v>
      </c>
      <c r="B110" s="1516">
        <v>16</v>
      </c>
      <c r="C110" s="1517">
        <v>410.2</v>
      </c>
      <c r="D110" s="1477" t="s">
        <v>2960</v>
      </c>
      <c r="E110" s="1493"/>
      <c r="F110" s="1489"/>
      <c r="G110" s="1489"/>
      <c r="H110" s="1489"/>
      <c r="I110" s="1496"/>
    </row>
    <row r="111" spans="1:9" ht="16.5" hidden="1" thickTop="1">
      <c r="A111" s="1514">
        <v>39692</v>
      </c>
      <c r="B111" s="1516">
        <v>73</v>
      </c>
      <c r="C111" s="1517">
        <v>674.3</v>
      </c>
      <c r="D111" s="1477" t="s">
        <v>2961</v>
      </c>
      <c r="E111" s="1493"/>
      <c r="F111" s="1489"/>
      <c r="G111" s="1489"/>
      <c r="H111" s="1489"/>
      <c r="I111" s="1496"/>
    </row>
    <row r="112" spans="1:9" ht="16.5" hidden="1" thickTop="1">
      <c r="A112" s="1514">
        <v>39722</v>
      </c>
      <c r="B112" s="1516">
        <v>67</v>
      </c>
      <c r="C112" s="1517">
        <v>728.8</v>
      </c>
      <c r="D112" s="1477" t="s">
        <v>2962</v>
      </c>
      <c r="E112" s="1493"/>
      <c r="F112" s="1489"/>
      <c r="G112" s="1489"/>
      <c r="H112" s="1489"/>
      <c r="I112" s="1496"/>
    </row>
    <row r="113" spans="1:9" ht="16.5" hidden="1" thickTop="1">
      <c r="A113" s="1514">
        <v>39753</v>
      </c>
      <c r="B113" s="1516">
        <v>65</v>
      </c>
      <c r="C113" s="1517">
        <v>519</v>
      </c>
      <c r="D113" s="1477" t="s">
        <v>2963</v>
      </c>
      <c r="E113" s="1493"/>
      <c r="F113" s="1489"/>
      <c r="G113" s="1489"/>
      <c r="H113" s="1489"/>
      <c r="I113" s="1496"/>
    </row>
    <row r="114" spans="1:9" ht="16.5" hidden="1" thickTop="1">
      <c r="A114" s="1514">
        <v>39783</v>
      </c>
      <c r="B114" s="1516">
        <v>60</v>
      </c>
      <c r="C114" s="1517">
        <v>342.3</v>
      </c>
      <c r="D114" s="1477" t="s">
        <v>2964</v>
      </c>
      <c r="E114" s="1493"/>
      <c r="F114" s="1489"/>
      <c r="G114" s="1489"/>
      <c r="H114" s="1489"/>
      <c r="I114" s="1496"/>
    </row>
    <row r="115" spans="1:9" ht="16.5" hidden="1" thickTop="1">
      <c r="A115" s="1514">
        <v>39814</v>
      </c>
      <c r="B115" s="1516">
        <v>76</v>
      </c>
      <c r="C115" s="1517">
        <v>562.9</v>
      </c>
      <c r="D115" s="1477" t="s">
        <v>2965</v>
      </c>
      <c r="E115" s="1493"/>
      <c r="F115" s="1489"/>
      <c r="G115" s="1489"/>
      <c r="H115" s="1489"/>
      <c r="I115" s="1496"/>
    </row>
    <row r="116" spans="1:9" ht="16.5" hidden="1" thickTop="1">
      <c r="A116" s="1514">
        <v>39845</v>
      </c>
      <c r="B116" s="1516">
        <v>26</v>
      </c>
      <c r="C116" s="1517">
        <v>334</v>
      </c>
      <c r="D116" s="1477" t="s">
        <v>2966</v>
      </c>
      <c r="E116" s="1493"/>
      <c r="F116" s="1489"/>
      <c r="G116" s="1489"/>
      <c r="H116" s="1489"/>
      <c r="I116" s="1496"/>
    </row>
    <row r="117" spans="1:9" ht="16.5" hidden="1" thickTop="1">
      <c r="A117" s="1514">
        <v>39873</v>
      </c>
      <c r="B117" s="1516">
        <v>12</v>
      </c>
      <c r="C117" s="1517">
        <v>87.1</v>
      </c>
      <c r="D117" s="1477" t="s">
        <v>2967</v>
      </c>
      <c r="E117" s="1493"/>
      <c r="F117" s="1489"/>
      <c r="G117" s="1489"/>
      <c r="H117" s="1489"/>
      <c r="I117" s="1496"/>
    </row>
    <row r="118" spans="1:9" ht="16.5" hidden="1" thickTop="1">
      <c r="A118" s="1514">
        <v>39904</v>
      </c>
      <c r="B118" s="1516">
        <v>12</v>
      </c>
      <c r="C118" s="1517">
        <v>79.2</v>
      </c>
      <c r="D118" s="1477" t="s">
        <v>1393</v>
      </c>
      <c r="E118" s="1493"/>
      <c r="F118" s="1489"/>
      <c r="G118" s="1489"/>
      <c r="H118" s="1489"/>
      <c r="I118" s="1496"/>
    </row>
    <row r="119" spans="1:9" ht="16.5" hidden="1" thickTop="1">
      <c r="A119" s="1514">
        <v>39934</v>
      </c>
      <c r="B119" s="1516">
        <v>7</v>
      </c>
      <c r="C119" s="1517">
        <v>10.3</v>
      </c>
      <c r="D119" s="1477" t="s">
        <v>2968</v>
      </c>
      <c r="E119" s="1493"/>
      <c r="F119" s="1489"/>
      <c r="G119" s="1489"/>
      <c r="H119" s="1489"/>
      <c r="I119" s="1496"/>
    </row>
    <row r="120" spans="1:9" ht="16.5" hidden="1" thickTop="1">
      <c r="A120" s="1514">
        <v>39965</v>
      </c>
      <c r="B120" s="1516">
        <v>3</v>
      </c>
      <c r="C120" s="1517">
        <v>42.5</v>
      </c>
      <c r="D120" s="1477" t="s">
        <v>2969</v>
      </c>
      <c r="E120" s="1493"/>
      <c r="F120" s="1489"/>
      <c r="G120" s="1489"/>
      <c r="H120" s="1489"/>
      <c r="I120" s="1496"/>
    </row>
    <row r="121" spans="1:9" ht="16.5" hidden="1" thickTop="1">
      <c r="A121" s="1514">
        <v>39995</v>
      </c>
      <c r="B121" s="1516">
        <v>13</v>
      </c>
      <c r="C121" s="1517">
        <v>208.6</v>
      </c>
      <c r="D121" s="1477" t="s">
        <v>2970</v>
      </c>
      <c r="E121" s="1493"/>
      <c r="F121" s="1489"/>
      <c r="G121" s="1489"/>
      <c r="H121" s="1489"/>
      <c r="I121" s="1496"/>
    </row>
    <row r="122" spans="1:9" ht="16.5" hidden="1" thickTop="1">
      <c r="A122" s="1514">
        <v>40026</v>
      </c>
      <c r="B122" s="1516">
        <v>12</v>
      </c>
      <c r="C122" s="1517">
        <v>333.9</v>
      </c>
      <c r="D122" s="1477" t="s">
        <v>2971</v>
      </c>
      <c r="E122" s="1493"/>
      <c r="F122" s="1489"/>
      <c r="G122" s="1489"/>
      <c r="H122" s="1489"/>
      <c r="I122" s="1496"/>
    </row>
    <row r="123" spans="1:9" ht="16.5" hidden="1" thickTop="1">
      <c r="A123" s="1514">
        <v>40057</v>
      </c>
      <c r="B123" s="1516">
        <v>14</v>
      </c>
      <c r="C123" s="1517">
        <v>120.8</v>
      </c>
      <c r="D123" s="1477" t="s">
        <v>2972</v>
      </c>
      <c r="E123" s="1493"/>
      <c r="F123" s="1489"/>
      <c r="G123" s="1489"/>
      <c r="H123" s="1489"/>
      <c r="I123" s="1496"/>
    </row>
    <row r="124" spans="1:9" ht="16.5" hidden="1" thickTop="1">
      <c r="A124" s="1514">
        <v>40087</v>
      </c>
      <c r="B124" s="1516">
        <v>18</v>
      </c>
      <c r="C124" s="1517">
        <v>91.7</v>
      </c>
      <c r="D124" s="1477" t="s">
        <v>2973</v>
      </c>
      <c r="E124" s="1493"/>
      <c r="F124" s="1489"/>
      <c r="G124" s="1489"/>
      <c r="H124" s="1489"/>
      <c r="I124" s="1496"/>
    </row>
    <row r="125" spans="1:9" ht="16.5" hidden="1" thickTop="1">
      <c r="A125" s="1514">
        <v>40118</v>
      </c>
      <c r="B125" s="1516">
        <v>16</v>
      </c>
      <c r="C125" s="1517">
        <v>256.5</v>
      </c>
      <c r="D125" s="1477" t="s">
        <v>2974</v>
      </c>
      <c r="E125" s="1493"/>
      <c r="F125" s="1489"/>
      <c r="G125" s="1489"/>
      <c r="H125" s="1489"/>
      <c r="I125" s="1496"/>
    </row>
    <row r="126" spans="1:9" ht="16.5" hidden="1" thickTop="1">
      <c r="A126" s="1514">
        <v>40148</v>
      </c>
      <c r="B126" s="1516">
        <v>23</v>
      </c>
      <c r="C126" s="1517">
        <v>117.8</v>
      </c>
      <c r="D126" s="1477" t="s">
        <v>2975</v>
      </c>
      <c r="E126" s="1493"/>
      <c r="F126" s="1489"/>
      <c r="G126" s="1489"/>
      <c r="H126" s="1489"/>
      <c r="I126" s="1496"/>
    </row>
    <row r="127" spans="1:9" ht="16.5" hidden="1" thickTop="1">
      <c r="A127" s="1514">
        <v>40179</v>
      </c>
      <c r="B127" s="1516">
        <v>16</v>
      </c>
      <c r="C127" s="1517">
        <v>69.900000000000006</v>
      </c>
      <c r="D127" s="1477" t="s">
        <v>2976</v>
      </c>
      <c r="E127" s="1493"/>
      <c r="F127" s="1489"/>
      <c r="G127" s="1489"/>
      <c r="H127" s="1489"/>
      <c r="I127" s="1496"/>
    </row>
    <row r="128" spans="1:9" ht="16.5" hidden="1" thickTop="1">
      <c r="A128" s="1514">
        <v>40210</v>
      </c>
      <c r="B128" s="1516">
        <v>9</v>
      </c>
      <c r="C128" s="1517">
        <v>171.9</v>
      </c>
      <c r="D128" s="1477" t="s">
        <v>2977</v>
      </c>
      <c r="E128" s="1493"/>
      <c r="F128" s="1489"/>
      <c r="G128" s="1489"/>
      <c r="H128" s="1489"/>
      <c r="I128" s="1496"/>
    </row>
    <row r="129" spans="1:9" ht="16.5" hidden="1" thickTop="1">
      <c r="A129" s="1514">
        <v>40238</v>
      </c>
      <c r="B129" s="1516">
        <v>10</v>
      </c>
      <c r="C129" s="1517">
        <v>142.6</v>
      </c>
      <c r="D129" s="1477" t="s">
        <v>2978</v>
      </c>
      <c r="E129" s="1493"/>
      <c r="F129" s="1489"/>
      <c r="G129" s="1489"/>
      <c r="H129" s="1489"/>
      <c r="I129" s="1496"/>
    </row>
    <row r="130" spans="1:9" ht="16.5" hidden="1" thickTop="1">
      <c r="A130" s="1514">
        <v>40269</v>
      </c>
      <c r="B130" s="1516">
        <v>8</v>
      </c>
      <c r="C130" s="1518">
        <v>721</v>
      </c>
      <c r="D130" s="1477" t="s">
        <v>2979</v>
      </c>
      <c r="E130" s="1493"/>
      <c r="F130" s="1489"/>
      <c r="G130" s="1489"/>
      <c r="H130" s="1489"/>
      <c r="I130" s="1496"/>
    </row>
    <row r="131" spans="1:9" ht="16.5" hidden="1" thickTop="1">
      <c r="A131" s="1514">
        <v>40299</v>
      </c>
      <c r="B131" s="1516">
        <v>6</v>
      </c>
      <c r="C131" s="1518">
        <v>356.9</v>
      </c>
      <c r="D131" s="1477" t="s">
        <v>2980</v>
      </c>
      <c r="E131" s="1493"/>
      <c r="F131" s="1489"/>
      <c r="G131" s="1489"/>
      <c r="H131" s="1489"/>
      <c r="I131" s="1496"/>
    </row>
    <row r="132" spans="1:9" ht="16.5" hidden="1" thickTop="1">
      <c r="A132" s="1514">
        <v>40330</v>
      </c>
      <c r="B132" s="1516">
        <v>13</v>
      </c>
      <c r="C132" s="1518">
        <v>277.5</v>
      </c>
      <c r="D132" s="1477" t="s">
        <v>2981</v>
      </c>
      <c r="E132" s="1493"/>
      <c r="F132" s="1489"/>
      <c r="G132" s="1489"/>
      <c r="H132" s="1489"/>
      <c r="I132" s="1496"/>
    </row>
    <row r="133" spans="1:9" ht="16.5" hidden="1" thickTop="1">
      <c r="A133" s="1514">
        <v>40360</v>
      </c>
      <c r="B133" s="1516">
        <v>11</v>
      </c>
      <c r="C133" s="1518">
        <v>199.6</v>
      </c>
      <c r="D133" s="1477" t="s">
        <v>2982</v>
      </c>
      <c r="E133" s="1493"/>
      <c r="F133" s="1489"/>
      <c r="G133" s="1489"/>
      <c r="H133" s="1489"/>
      <c r="I133" s="1496"/>
    </row>
    <row r="134" spans="1:9" ht="16.5" hidden="1" thickTop="1">
      <c r="A134" s="1514">
        <v>40391</v>
      </c>
      <c r="B134" s="1516">
        <v>4</v>
      </c>
      <c r="C134" s="1518">
        <v>2.2000000000000002</v>
      </c>
      <c r="D134" s="1477" t="s">
        <v>1397</v>
      </c>
      <c r="E134" s="1493"/>
      <c r="F134" s="1489"/>
      <c r="G134" s="1489"/>
      <c r="H134" s="1489"/>
      <c r="I134" s="1496"/>
    </row>
    <row r="135" spans="1:9" ht="16.5" hidden="1" thickTop="1">
      <c r="A135" s="1514">
        <v>40422</v>
      </c>
      <c r="B135" s="1516">
        <v>6</v>
      </c>
      <c r="C135" s="1518">
        <v>174</v>
      </c>
      <c r="D135" s="1477" t="s">
        <v>2983</v>
      </c>
      <c r="E135" s="1493"/>
      <c r="F135" s="1489"/>
      <c r="G135" s="1489"/>
      <c r="H135" s="1489"/>
      <c r="I135" s="1496"/>
    </row>
    <row r="136" spans="1:9" ht="16.5" hidden="1" thickTop="1">
      <c r="A136" s="1514">
        <v>40452</v>
      </c>
      <c r="B136" s="1516">
        <v>16</v>
      </c>
      <c r="C136" s="1518">
        <v>264.60000000000002</v>
      </c>
      <c r="D136" s="1477" t="s">
        <v>2984</v>
      </c>
      <c r="E136" s="1493"/>
      <c r="F136" s="1489"/>
      <c r="G136" s="1489"/>
      <c r="H136" s="1489"/>
      <c r="I136" s="1496"/>
    </row>
    <row r="137" spans="1:9" ht="16.5" hidden="1" thickTop="1">
      <c r="A137" s="1514">
        <v>40483</v>
      </c>
      <c r="B137" s="1516">
        <v>9</v>
      </c>
      <c r="C137" s="1518">
        <v>384.4</v>
      </c>
      <c r="D137" s="1477" t="s">
        <v>2985</v>
      </c>
      <c r="E137" s="1493"/>
      <c r="F137" s="1489"/>
      <c r="G137" s="1489"/>
      <c r="H137" s="1489"/>
      <c r="I137" s="1496"/>
    </row>
    <row r="138" spans="1:9" ht="16.5" hidden="1" thickTop="1">
      <c r="A138" s="1514">
        <v>40513</v>
      </c>
      <c r="B138" s="1516">
        <v>10</v>
      </c>
      <c r="C138" s="1518">
        <v>276.60000000000002</v>
      </c>
      <c r="D138" s="1477" t="s">
        <v>2986</v>
      </c>
      <c r="E138" s="1493"/>
      <c r="F138" s="1489"/>
      <c r="G138" s="1489"/>
      <c r="H138" s="1489"/>
      <c r="I138" s="1496"/>
    </row>
    <row r="139" spans="1:9" ht="16.5" hidden="1" thickTop="1">
      <c r="A139" s="1514">
        <v>40544</v>
      </c>
      <c r="B139" s="1516">
        <v>7</v>
      </c>
      <c r="C139" s="1518">
        <v>299.2</v>
      </c>
      <c r="D139" s="1477" t="s">
        <v>2987</v>
      </c>
      <c r="E139" s="1493"/>
      <c r="F139" s="1489"/>
      <c r="G139" s="1489"/>
      <c r="H139" s="1489"/>
      <c r="I139" s="1496"/>
    </row>
    <row r="140" spans="1:9" ht="16.5" hidden="1" thickTop="1">
      <c r="A140" s="1514">
        <v>40575</v>
      </c>
      <c r="B140" s="1516">
        <v>4</v>
      </c>
      <c r="C140" s="1518">
        <v>148</v>
      </c>
      <c r="D140" s="1477" t="s">
        <v>2988</v>
      </c>
      <c r="E140" s="1493"/>
      <c r="F140" s="1489"/>
      <c r="G140" s="1489"/>
      <c r="H140" s="1489"/>
      <c r="I140" s="1496"/>
    </row>
    <row r="141" spans="1:9" ht="16.5" hidden="1" thickTop="1">
      <c r="A141" s="1514">
        <v>40603</v>
      </c>
      <c r="B141" s="1516" t="s">
        <v>60</v>
      </c>
      <c r="C141" s="1518" t="s">
        <v>60</v>
      </c>
      <c r="D141" s="1477" t="s">
        <v>60</v>
      </c>
      <c r="E141" s="1493"/>
      <c r="F141" s="1489"/>
      <c r="G141" s="1489"/>
      <c r="H141" s="1489"/>
      <c r="I141" s="1496"/>
    </row>
    <row r="142" spans="1:9" ht="16.5" hidden="1" thickTop="1">
      <c r="A142" s="1514">
        <v>40634</v>
      </c>
      <c r="B142" s="1516">
        <v>5</v>
      </c>
      <c r="C142" s="1518">
        <v>75.5</v>
      </c>
      <c r="D142" s="1477" t="s">
        <v>2989</v>
      </c>
      <c r="E142" s="1493"/>
      <c r="F142" s="1489"/>
      <c r="G142" s="1489"/>
      <c r="H142" s="1489"/>
      <c r="I142" s="1496"/>
    </row>
    <row r="143" spans="1:9" ht="16.5" hidden="1" thickTop="1">
      <c r="A143" s="1514">
        <v>40664</v>
      </c>
      <c r="B143" s="1516">
        <v>6</v>
      </c>
      <c r="C143" s="1518">
        <v>331.6</v>
      </c>
      <c r="D143" s="1477" t="s">
        <v>2990</v>
      </c>
      <c r="E143" s="1493"/>
      <c r="F143" s="1489"/>
      <c r="G143" s="1489"/>
      <c r="H143" s="1489"/>
      <c r="I143" s="1496"/>
    </row>
    <row r="144" spans="1:9" ht="16.5" hidden="1" thickTop="1">
      <c r="A144" s="1514">
        <v>40695</v>
      </c>
      <c r="B144" s="1516">
        <v>21</v>
      </c>
      <c r="C144" s="1518">
        <v>160.9</v>
      </c>
      <c r="D144" s="1477" t="s">
        <v>2991</v>
      </c>
      <c r="E144" s="1493"/>
      <c r="F144" s="1489"/>
      <c r="G144" s="1489"/>
      <c r="H144" s="1489"/>
      <c r="I144" s="1496"/>
    </row>
    <row r="145" spans="1:9" ht="16.5" hidden="1" thickTop="1">
      <c r="A145" s="1514">
        <v>40725</v>
      </c>
      <c r="B145" s="1516">
        <v>18</v>
      </c>
      <c r="C145" s="1518">
        <v>464.1</v>
      </c>
      <c r="D145" s="1477" t="s">
        <v>2992</v>
      </c>
      <c r="E145" s="1493"/>
      <c r="F145" s="1489"/>
      <c r="G145" s="1489"/>
      <c r="H145" s="1489"/>
      <c r="I145" s="1496"/>
    </row>
    <row r="146" spans="1:9" ht="16.5" hidden="1" thickTop="1">
      <c r="A146" s="1514">
        <v>40756</v>
      </c>
      <c r="B146" s="1516">
        <v>6</v>
      </c>
      <c r="C146" s="1518">
        <v>102.4</v>
      </c>
      <c r="D146" s="1477" t="s">
        <v>2993</v>
      </c>
      <c r="E146" s="1493"/>
      <c r="F146" s="1489"/>
      <c r="G146" s="1489"/>
      <c r="H146" s="1489"/>
      <c r="I146" s="1496"/>
    </row>
    <row r="147" spans="1:9" ht="16.5" hidden="1" thickTop="1">
      <c r="A147" s="1514">
        <v>40787</v>
      </c>
      <c r="B147" s="1516">
        <v>10</v>
      </c>
      <c r="C147" s="1518">
        <v>175.9</v>
      </c>
      <c r="D147" s="1477" t="s">
        <v>2994</v>
      </c>
      <c r="E147" s="1493"/>
      <c r="F147" s="1489"/>
      <c r="G147" s="1489"/>
      <c r="H147" s="1489"/>
      <c r="I147" s="1496"/>
    </row>
    <row r="148" spans="1:9" ht="16.5" hidden="1" thickTop="1">
      <c r="A148" s="1514">
        <v>40817</v>
      </c>
      <c r="B148" s="1516">
        <v>20</v>
      </c>
      <c r="C148" s="1518">
        <v>407.8</v>
      </c>
      <c r="D148" s="1477" t="s">
        <v>2995</v>
      </c>
      <c r="E148" s="1493"/>
      <c r="F148" s="1489"/>
      <c r="G148" s="1489"/>
      <c r="H148" s="1489"/>
      <c r="I148" s="1496"/>
    </row>
    <row r="149" spans="1:9" ht="16.5" hidden="1" thickTop="1">
      <c r="A149" s="1514">
        <v>40848</v>
      </c>
      <c r="B149" s="1516">
        <v>17</v>
      </c>
      <c r="C149" s="1518">
        <v>126.3</v>
      </c>
      <c r="D149" s="1477" t="s">
        <v>2996</v>
      </c>
      <c r="E149" s="1493"/>
      <c r="F149" s="1489"/>
      <c r="G149" s="1489"/>
      <c r="H149" s="1489"/>
      <c r="I149" s="1496"/>
    </row>
    <row r="150" spans="1:9" ht="16.5" hidden="1" thickTop="1">
      <c r="A150" s="1514">
        <v>40878</v>
      </c>
      <c r="B150" s="1516">
        <v>11</v>
      </c>
      <c r="C150" s="1518">
        <v>228.6</v>
      </c>
      <c r="D150" s="1477" t="s">
        <v>2997</v>
      </c>
      <c r="E150" s="1493"/>
      <c r="F150" s="1489"/>
      <c r="G150" s="1489"/>
      <c r="H150" s="1489"/>
      <c r="I150" s="1496"/>
    </row>
    <row r="151" spans="1:9" ht="16.5" hidden="1" thickTop="1">
      <c r="A151" s="1514">
        <v>40909</v>
      </c>
      <c r="B151" s="1516">
        <v>10</v>
      </c>
      <c r="C151" s="1518">
        <v>163</v>
      </c>
      <c r="D151" s="1477" t="s">
        <v>2998</v>
      </c>
      <c r="E151" s="1493"/>
      <c r="F151" s="1489"/>
      <c r="G151" s="1489"/>
      <c r="H151" s="1489"/>
      <c r="I151" s="1496"/>
    </row>
    <row r="152" spans="1:9" ht="16.5" hidden="1" thickTop="1">
      <c r="A152" s="1514">
        <v>40940</v>
      </c>
      <c r="B152" s="1516">
        <v>7</v>
      </c>
      <c r="C152" s="1518">
        <v>84.4</v>
      </c>
      <c r="D152" s="1477" t="s">
        <v>2999</v>
      </c>
      <c r="E152" s="1493"/>
      <c r="F152" s="1489"/>
      <c r="G152" s="1489"/>
      <c r="H152" s="1489"/>
      <c r="I152" s="1496"/>
    </row>
    <row r="153" spans="1:9" ht="16.5" hidden="1" thickTop="1">
      <c r="A153" s="1514">
        <v>40969</v>
      </c>
      <c r="B153" s="1516">
        <v>25</v>
      </c>
      <c r="C153" s="1518">
        <v>318.39999999999998</v>
      </c>
      <c r="D153" s="1477" t="s">
        <v>3000</v>
      </c>
      <c r="E153" s="1493"/>
      <c r="F153" s="1489"/>
      <c r="G153" s="1489"/>
      <c r="H153" s="1489"/>
      <c r="I153" s="1496"/>
    </row>
    <row r="154" spans="1:9" ht="16.5" hidden="1" thickTop="1">
      <c r="A154" s="1514">
        <v>41000</v>
      </c>
      <c r="B154" s="1516">
        <v>31</v>
      </c>
      <c r="C154" s="1508">
        <v>1063.3</v>
      </c>
      <c r="D154" s="1477" t="s">
        <v>3001</v>
      </c>
      <c r="E154" s="1493"/>
      <c r="F154" s="1489"/>
      <c r="G154" s="1489"/>
      <c r="H154" s="1489"/>
      <c r="I154" s="1496"/>
    </row>
    <row r="155" spans="1:9" ht="16.5" hidden="1" thickTop="1">
      <c r="A155" s="1514">
        <v>41030</v>
      </c>
      <c r="B155" s="1516">
        <v>13</v>
      </c>
      <c r="C155" s="1508">
        <v>394.8</v>
      </c>
      <c r="D155" s="1477" t="s">
        <v>3002</v>
      </c>
      <c r="E155" s="1493"/>
      <c r="F155" s="1489"/>
      <c r="G155" s="1489"/>
      <c r="H155" s="1489"/>
      <c r="I155" s="1496"/>
    </row>
    <row r="156" spans="1:9" ht="16.5" hidden="1" thickTop="1">
      <c r="A156" s="1514">
        <v>41061</v>
      </c>
      <c r="B156" s="1516">
        <v>25</v>
      </c>
      <c r="C156" s="1508">
        <v>891.5</v>
      </c>
      <c r="D156" s="1477" t="s">
        <v>3003</v>
      </c>
      <c r="E156" s="1493"/>
      <c r="F156" s="1489"/>
      <c r="G156" s="1489"/>
      <c r="H156" s="1489"/>
      <c r="I156" s="1496"/>
    </row>
    <row r="157" spans="1:9" ht="16.5" hidden="1" thickTop="1">
      <c r="A157" s="1514">
        <v>41091</v>
      </c>
      <c r="B157" s="1516">
        <v>30</v>
      </c>
      <c r="C157" s="1508">
        <v>424.3</v>
      </c>
      <c r="D157" s="1477" t="s">
        <v>3004</v>
      </c>
      <c r="E157" s="1493"/>
      <c r="F157" s="1489"/>
      <c r="G157" s="1489"/>
      <c r="H157" s="1489"/>
      <c r="I157" s="1496"/>
    </row>
    <row r="158" spans="1:9" ht="16.5" hidden="1" thickTop="1">
      <c r="A158" s="1514">
        <v>41122</v>
      </c>
      <c r="B158" s="1516">
        <v>6</v>
      </c>
      <c r="C158" s="1508">
        <v>103.2</v>
      </c>
      <c r="D158" s="1477" t="s">
        <v>3005</v>
      </c>
      <c r="E158" s="1493"/>
      <c r="F158" s="1489"/>
      <c r="G158" s="1489"/>
      <c r="H158" s="1489"/>
      <c r="I158" s="1496"/>
    </row>
    <row r="159" spans="1:9" ht="16.5" hidden="1" thickTop="1">
      <c r="A159" s="1514">
        <v>41153</v>
      </c>
      <c r="B159" s="1516">
        <v>20</v>
      </c>
      <c r="C159" s="1508">
        <v>184.6</v>
      </c>
      <c r="D159" s="1477" t="s">
        <v>3006</v>
      </c>
      <c r="E159" s="1493"/>
      <c r="F159" s="1489"/>
      <c r="G159" s="1489"/>
      <c r="H159" s="1489"/>
      <c r="I159" s="1496"/>
    </row>
    <row r="160" spans="1:9" ht="16.5" hidden="1" thickTop="1">
      <c r="A160" s="1514">
        <v>41183</v>
      </c>
      <c r="B160" s="1516">
        <v>15</v>
      </c>
      <c r="C160" s="1508">
        <v>217.4</v>
      </c>
      <c r="D160" s="1477" t="s">
        <v>3007</v>
      </c>
      <c r="E160" s="1493"/>
      <c r="F160" s="1489"/>
      <c r="G160" s="1489"/>
      <c r="H160" s="1489"/>
      <c r="I160" s="1496"/>
    </row>
    <row r="161" spans="1:9" ht="16.5" hidden="1" thickTop="1">
      <c r="A161" s="1514">
        <v>41214</v>
      </c>
      <c r="B161" s="1516">
        <v>11</v>
      </c>
      <c r="C161" s="1508">
        <v>62.4</v>
      </c>
      <c r="D161" s="1477" t="s">
        <v>3008</v>
      </c>
      <c r="E161" s="1493"/>
      <c r="F161" s="1489"/>
      <c r="G161" s="1489"/>
      <c r="H161" s="1489"/>
      <c r="I161" s="1496"/>
    </row>
    <row r="162" spans="1:9" ht="16.5" hidden="1" thickTop="1">
      <c r="A162" s="1514">
        <v>41244</v>
      </c>
      <c r="B162" s="1516">
        <v>22</v>
      </c>
      <c r="C162" s="1508">
        <v>406.7</v>
      </c>
      <c r="D162" s="1477" t="s">
        <v>3009</v>
      </c>
      <c r="E162" s="1493"/>
      <c r="F162" s="1489"/>
      <c r="G162" s="1489"/>
      <c r="H162" s="1489"/>
      <c r="I162" s="1496"/>
    </row>
    <row r="163" spans="1:9" ht="16.5" hidden="1" thickTop="1">
      <c r="A163" s="1514">
        <v>41275</v>
      </c>
      <c r="B163" s="1516">
        <v>40</v>
      </c>
      <c r="C163" s="1508">
        <v>1828.7</v>
      </c>
      <c r="D163" s="1477" t="s">
        <v>3010</v>
      </c>
      <c r="E163" s="1493"/>
      <c r="F163" s="1489"/>
      <c r="G163" s="1489"/>
      <c r="H163" s="1489"/>
      <c r="I163" s="1496"/>
    </row>
    <row r="164" spans="1:9" ht="16.5" hidden="1" thickTop="1">
      <c r="A164" s="1514">
        <v>41306</v>
      </c>
      <c r="B164" s="1516">
        <v>22</v>
      </c>
      <c r="C164" s="1508">
        <v>915</v>
      </c>
      <c r="D164" s="1477" t="s">
        <v>3011</v>
      </c>
      <c r="E164" s="1493"/>
      <c r="F164" s="1489"/>
      <c r="G164" s="1489"/>
      <c r="H164" s="1489"/>
      <c r="I164" s="1496"/>
    </row>
    <row r="165" spans="1:9" ht="16.5" hidden="1" thickTop="1">
      <c r="A165" s="1514">
        <v>41334</v>
      </c>
      <c r="B165" s="1516">
        <v>22</v>
      </c>
      <c r="C165" s="1508">
        <v>1904.6</v>
      </c>
      <c r="D165" s="1477" t="s">
        <v>3012</v>
      </c>
      <c r="E165" s="1493"/>
      <c r="F165" s="1489"/>
      <c r="G165" s="1489"/>
      <c r="H165" s="1489"/>
      <c r="I165" s="1496"/>
    </row>
    <row r="166" spans="1:9" ht="16.5" hidden="1" thickTop="1">
      <c r="A166" s="1514">
        <v>41365</v>
      </c>
      <c r="B166" s="1516">
        <v>29</v>
      </c>
      <c r="C166" s="1508">
        <v>800.6</v>
      </c>
      <c r="D166" s="1477" t="s">
        <v>3013</v>
      </c>
      <c r="E166" s="1493"/>
      <c r="F166" s="1489"/>
      <c r="G166" s="1489"/>
      <c r="H166" s="1489"/>
      <c r="I166" s="1496"/>
    </row>
    <row r="167" spans="1:9" ht="16.5" hidden="1" thickTop="1">
      <c r="A167" s="1514">
        <v>41395</v>
      </c>
      <c r="B167" s="1516">
        <v>9</v>
      </c>
      <c r="C167" s="1508">
        <v>387.8</v>
      </c>
      <c r="D167" s="1477" t="s">
        <v>3014</v>
      </c>
      <c r="E167" s="1493"/>
      <c r="F167" s="1489"/>
      <c r="G167" s="1489"/>
      <c r="H167" s="1489"/>
      <c r="I167" s="1496"/>
    </row>
    <row r="168" spans="1:9" ht="15.75" hidden="1" customHeight="1" thickTop="1">
      <c r="A168" s="1514">
        <v>41426</v>
      </c>
      <c r="B168" s="1516">
        <v>25</v>
      </c>
      <c r="C168" s="1508">
        <v>1318.7</v>
      </c>
      <c r="D168" s="1477" t="s">
        <v>3015</v>
      </c>
      <c r="E168" s="1493"/>
      <c r="F168" s="1489"/>
      <c r="G168" s="1489"/>
      <c r="H168" s="1489"/>
      <c r="I168" s="1496"/>
    </row>
    <row r="169" spans="1:9" ht="15" hidden="1" customHeight="1">
      <c r="A169" s="1514">
        <v>41456</v>
      </c>
      <c r="B169" s="1519"/>
      <c r="C169" s="1520"/>
      <c r="D169" s="1519"/>
      <c r="E169" s="1493"/>
      <c r="F169" s="1494"/>
      <c r="G169" s="1489"/>
      <c r="H169" s="1489"/>
    </row>
    <row r="170" spans="1:9" ht="15" hidden="1" customHeight="1">
      <c r="A170" s="1514">
        <v>41487</v>
      </c>
      <c r="B170" s="1519"/>
      <c r="C170" s="1520"/>
      <c r="D170" s="1519"/>
      <c r="E170" s="1493"/>
      <c r="F170" s="1494"/>
      <c r="G170" s="1489"/>
      <c r="H170" s="1489"/>
    </row>
    <row r="171" spans="1:9" ht="15" hidden="1" customHeight="1">
      <c r="A171" s="1514">
        <v>41518</v>
      </c>
      <c r="B171" s="1519"/>
      <c r="C171" s="1520"/>
      <c r="D171" s="1519"/>
      <c r="E171" s="1493"/>
      <c r="F171" s="1494"/>
      <c r="G171" s="1489"/>
      <c r="H171" s="1489"/>
    </row>
    <row r="172" spans="1:9" ht="20.25" hidden="1" customHeight="1" thickTop="1">
      <c r="A172" s="1514">
        <v>41456</v>
      </c>
      <c r="B172" s="1516">
        <v>11</v>
      </c>
      <c r="C172" s="1517">
        <v>44.7</v>
      </c>
      <c r="D172" s="1516" t="s">
        <v>3016</v>
      </c>
      <c r="E172" s="1493"/>
      <c r="F172" s="1494"/>
      <c r="G172" s="1489"/>
      <c r="H172" s="1489"/>
    </row>
    <row r="173" spans="1:9" ht="20.25" hidden="1" customHeight="1" thickTop="1">
      <c r="A173" s="1514">
        <v>41487</v>
      </c>
      <c r="B173" s="1516">
        <v>4</v>
      </c>
      <c r="C173" s="1517">
        <v>17.2</v>
      </c>
      <c r="D173" s="1516" t="s">
        <v>3017</v>
      </c>
      <c r="E173" s="1493"/>
      <c r="F173" s="1494"/>
      <c r="G173" s="1489"/>
      <c r="H173" s="1489"/>
    </row>
    <row r="174" spans="1:9" ht="20.25" hidden="1" customHeight="1" thickTop="1">
      <c r="A174" s="1514">
        <v>41518</v>
      </c>
      <c r="B174" s="1516">
        <v>16</v>
      </c>
      <c r="C174" s="1517">
        <v>595.20000000000005</v>
      </c>
      <c r="D174" s="1516" t="s">
        <v>3018</v>
      </c>
      <c r="E174" s="1493"/>
      <c r="F174" s="1494"/>
      <c r="G174" s="1489"/>
      <c r="H174" s="1489"/>
    </row>
    <row r="175" spans="1:9" ht="20.25" hidden="1" customHeight="1" thickTop="1">
      <c r="A175" s="1514">
        <v>41548</v>
      </c>
      <c r="B175" s="1516">
        <v>1</v>
      </c>
      <c r="C175" s="1517">
        <v>1.1000000000000001</v>
      </c>
      <c r="D175" s="1521">
        <v>2.4</v>
      </c>
      <c r="E175" s="1493"/>
      <c r="F175" s="1494"/>
      <c r="G175" s="1489"/>
      <c r="H175" s="1489"/>
    </row>
    <row r="176" spans="1:9" ht="20.25" hidden="1" customHeight="1" thickTop="1">
      <c r="A176" s="1514">
        <v>41579</v>
      </c>
      <c r="B176" s="1516">
        <v>9</v>
      </c>
      <c r="C176" s="1517">
        <v>339.8</v>
      </c>
      <c r="D176" s="1521" t="s">
        <v>3019</v>
      </c>
      <c r="E176" s="1493"/>
      <c r="F176" s="1494"/>
      <c r="G176" s="1489"/>
      <c r="H176" s="1489"/>
    </row>
    <row r="177" spans="1:8" ht="20.25" hidden="1" customHeight="1" thickTop="1">
      <c r="A177" s="1514">
        <v>41609</v>
      </c>
      <c r="B177" s="1516">
        <v>16</v>
      </c>
      <c r="C177" s="1517">
        <v>110.7</v>
      </c>
      <c r="D177" s="1521" t="s">
        <v>3020</v>
      </c>
      <c r="E177" s="1493"/>
      <c r="F177" s="1494"/>
      <c r="G177" s="1489"/>
      <c r="H177" s="1489"/>
    </row>
    <row r="178" spans="1:8" ht="20.25" hidden="1" customHeight="1" thickTop="1">
      <c r="A178" s="1514">
        <v>41640</v>
      </c>
      <c r="B178" s="1516">
        <v>11</v>
      </c>
      <c r="C178" s="1517">
        <v>430.6</v>
      </c>
      <c r="D178" s="1521" t="s">
        <v>3021</v>
      </c>
      <c r="E178" s="1493"/>
      <c r="F178" s="1494"/>
      <c r="G178" s="1489"/>
      <c r="H178" s="1489"/>
    </row>
    <row r="179" spans="1:8" ht="20.25" hidden="1" customHeight="1" thickTop="1">
      <c r="A179" s="1514">
        <v>41671</v>
      </c>
      <c r="B179" s="1516">
        <v>17</v>
      </c>
      <c r="C179" s="1517">
        <v>527.20000000000005</v>
      </c>
      <c r="D179" s="1521" t="s">
        <v>3022</v>
      </c>
      <c r="E179" s="1493"/>
      <c r="F179" s="1494"/>
      <c r="G179" s="1489"/>
      <c r="H179" s="1489"/>
    </row>
    <row r="180" spans="1:8" ht="20.25" hidden="1" customHeight="1" thickTop="1">
      <c r="A180" s="1514">
        <v>41699</v>
      </c>
      <c r="B180" s="1516">
        <v>8</v>
      </c>
      <c r="C180" s="1517">
        <v>830</v>
      </c>
      <c r="D180" s="1521" t="s">
        <v>3023</v>
      </c>
      <c r="E180" s="1493"/>
      <c r="F180" s="1494"/>
      <c r="G180" s="1489"/>
      <c r="H180" s="1489"/>
    </row>
    <row r="181" spans="1:8" ht="20.25" hidden="1" customHeight="1" thickTop="1">
      <c r="A181" s="1514">
        <v>41730</v>
      </c>
      <c r="B181" s="1516">
        <v>30</v>
      </c>
      <c r="C181" s="1522">
        <v>1546.4</v>
      </c>
      <c r="D181" s="1521" t="s">
        <v>3024</v>
      </c>
      <c r="E181" s="1493"/>
      <c r="F181" s="1494"/>
      <c r="G181" s="1489"/>
      <c r="H181" s="1489"/>
    </row>
    <row r="182" spans="1:8" ht="20.25" hidden="1" customHeight="1" thickTop="1">
      <c r="A182" s="1514">
        <v>41760</v>
      </c>
      <c r="B182" s="1516">
        <v>15</v>
      </c>
      <c r="C182" s="1522">
        <v>1237.7</v>
      </c>
      <c r="D182" s="1521" t="s">
        <v>3025</v>
      </c>
      <c r="E182" s="1493"/>
      <c r="F182" s="1494"/>
      <c r="G182" s="1489"/>
      <c r="H182" s="1489"/>
    </row>
    <row r="183" spans="1:8" ht="20.25" hidden="1" customHeight="1" thickTop="1">
      <c r="A183" s="1514">
        <v>41791</v>
      </c>
      <c r="B183" s="1516">
        <v>20</v>
      </c>
      <c r="C183" s="1522">
        <f>1556.3+8.1</f>
        <v>1564.3999999999999</v>
      </c>
      <c r="D183" s="1521" t="s">
        <v>3026</v>
      </c>
      <c r="E183" s="1493"/>
      <c r="F183" s="1494"/>
      <c r="G183" s="1489"/>
      <c r="H183" s="1489"/>
    </row>
    <row r="184" spans="1:8" ht="20.25" customHeight="1" thickTop="1">
      <c r="A184" s="1514">
        <v>41821</v>
      </c>
      <c r="B184" s="1516">
        <v>30</v>
      </c>
      <c r="C184" s="1522">
        <v>1580.2</v>
      </c>
      <c r="D184" s="1521" t="s">
        <v>3027</v>
      </c>
      <c r="E184" s="1493"/>
      <c r="F184" s="1494"/>
      <c r="G184" s="1489"/>
      <c r="H184" s="1489"/>
    </row>
    <row r="185" spans="1:8" ht="20.25" customHeight="1">
      <c r="A185" s="1514">
        <v>41852</v>
      </c>
      <c r="B185" s="1516">
        <v>19</v>
      </c>
      <c r="C185" s="1522">
        <v>1068.5999999999999</v>
      </c>
      <c r="D185" s="1521" t="s">
        <v>3028</v>
      </c>
      <c r="E185" s="1493"/>
      <c r="F185" s="1494"/>
      <c r="G185" s="1489"/>
      <c r="H185" s="1489"/>
    </row>
    <row r="186" spans="1:8" ht="20.25" customHeight="1">
      <c r="A186" s="1514">
        <v>41883</v>
      </c>
      <c r="B186" s="1516">
        <v>5</v>
      </c>
      <c r="C186" s="1522">
        <v>223.1</v>
      </c>
      <c r="D186" s="1521" t="s">
        <v>3029</v>
      </c>
      <c r="E186" s="1493"/>
      <c r="F186" s="1494"/>
      <c r="G186" s="1489"/>
      <c r="H186" s="1489"/>
    </row>
    <row r="187" spans="1:8" ht="20.25" customHeight="1">
      <c r="A187" s="1514">
        <v>41913</v>
      </c>
      <c r="B187" s="1516">
        <v>14</v>
      </c>
      <c r="C187" s="1522">
        <v>999.6</v>
      </c>
      <c r="D187" s="1521" t="s">
        <v>3030</v>
      </c>
      <c r="E187" s="1493"/>
      <c r="F187" s="1494"/>
      <c r="G187" s="1489"/>
      <c r="H187" s="1489"/>
    </row>
    <row r="188" spans="1:8" ht="20.25" customHeight="1">
      <c r="A188" s="1514">
        <v>41944</v>
      </c>
      <c r="B188" s="1516">
        <v>16</v>
      </c>
      <c r="C188" s="1522">
        <v>1149.8</v>
      </c>
      <c r="D188" s="1521" t="s">
        <v>3031</v>
      </c>
      <c r="E188" s="1493"/>
      <c r="F188" s="1494"/>
      <c r="G188" s="1489"/>
      <c r="H188" s="1489"/>
    </row>
    <row r="189" spans="1:8" ht="20.25" customHeight="1">
      <c r="A189" s="1514">
        <v>41974</v>
      </c>
      <c r="B189" s="1516">
        <v>12</v>
      </c>
      <c r="C189" s="1522">
        <v>516.20000000000005</v>
      </c>
      <c r="D189" s="1521" t="s">
        <v>3032</v>
      </c>
      <c r="E189" s="1493"/>
      <c r="F189" s="1494"/>
      <c r="G189" s="1489"/>
      <c r="H189" s="1489"/>
    </row>
    <row r="190" spans="1:8" ht="20.25" customHeight="1">
      <c r="A190" s="1514">
        <v>42005</v>
      </c>
      <c r="B190" s="1516">
        <v>3</v>
      </c>
      <c r="C190" s="1522">
        <v>210</v>
      </c>
      <c r="D190" s="1521" t="s">
        <v>3033</v>
      </c>
      <c r="E190" s="1493"/>
      <c r="F190" s="1494"/>
      <c r="G190" s="1489"/>
      <c r="H190" s="1489"/>
    </row>
    <row r="191" spans="1:8" ht="20.25" customHeight="1">
      <c r="A191" s="1514">
        <v>42036</v>
      </c>
      <c r="B191" s="1516">
        <v>33</v>
      </c>
      <c r="C191" s="1522">
        <v>1374.8</v>
      </c>
      <c r="D191" s="1521" t="s">
        <v>3034</v>
      </c>
      <c r="E191" s="1493"/>
      <c r="F191" s="1494"/>
      <c r="G191" s="1489"/>
      <c r="H191" s="1489"/>
    </row>
    <row r="192" spans="1:8" ht="20.25" customHeight="1">
      <c r="A192" s="1514">
        <v>42064</v>
      </c>
      <c r="B192" s="1516">
        <v>19</v>
      </c>
      <c r="C192" s="1522">
        <v>894.1</v>
      </c>
      <c r="D192" s="1521" t="s">
        <v>3035</v>
      </c>
      <c r="E192" s="1493"/>
      <c r="F192" s="1494"/>
      <c r="G192" s="1489"/>
      <c r="H192" s="1489"/>
    </row>
    <row r="193" spans="1:8" ht="20.25" customHeight="1">
      <c r="A193" s="1514">
        <v>42095</v>
      </c>
      <c r="B193" s="1516">
        <v>26</v>
      </c>
      <c r="C193" s="1522">
        <v>1924.9</v>
      </c>
      <c r="D193" s="1521" t="s">
        <v>3036</v>
      </c>
      <c r="E193" s="1493"/>
      <c r="F193" s="1494"/>
      <c r="G193" s="1489"/>
      <c r="H193" s="1489"/>
    </row>
    <row r="194" spans="1:8" ht="20.25" customHeight="1">
      <c r="A194" s="1514">
        <v>42125</v>
      </c>
      <c r="B194" s="1516">
        <v>7</v>
      </c>
      <c r="C194" s="1522">
        <v>433.8</v>
      </c>
      <c r="D194" s="1521" t="s">
        <v>3037</v>
      </c>
      <c r="E194" s="1493"/>
      <c r="F194" s="1494"/>
      <c r="G194" s="1489"/>
      <c r="H194" s="1489"/>
    </row>
    <row r="195" spans="1:8" ht="20.25" customHeight="1">
      <c r="A195" s="1514">
        <v>42156</v>
      </c>
      <c r="B195" s="1516">
        <v>29</v>
      </c>
      <c r="C195" s="1522">
        <v>1436.1</v>
      </c>
      <c r="D195" s="1521" t="s">
        <v>3038</v>
      </c>
      <c r="E195" s="1493"/>
      <c r="F195" s="1494"/>
      <c r="G195" s="1489"/>
      <c r="H195" s="1489"/>
    </row>
    <row r="196" spans="1:8" ht="20.25" customHeight="1" thickBot="1">
      <c r="A196" s="1523">
        <v>42186</v>
      </c>
      <c r="B196" s="1483">
        <v>48</v>
      </c>
      <c r="C196" s="1524">
        <v>2472.6</v>
      </c>
      <c r="D196" s="1525" t="s">
        <v>2879</v>
      </c>
      <c r="E196" s="1493"/>
      <c r="F196" s="1494"/>
      <c r="G196" s="1489"/>
      <c r="H196" s="1489"/>
    </row>
    <row r="197" spans="1:8" ht="13.5" customHeight="1">
      <c r="A197" s="1526"/>
      <c r="B197" s="1526"/>
      <c r="C197" s="1526"/>
      <c r="D197" s="1527"/>
      <c r="E197" s="1493"/>
      <c r="F197" s="1494"/>
      <c r="G197" s="1489"/>
      <c r="H197" s="1489"/>
    </row>
    <row r="198" spans="1:8" ht="13.5" customHeight="1">
      <c r="A198" s="1528" t="s">
        <v>3039</v>
      </c>
      <c r="B198" s="1526"/>
      <c r="C198" s="1526"/>
      <c r="D198" s="1527"/>
      <c r="E198" s="1493"/>
      <c r="F198" s="1494"/>
      <c r="G198" s="1489"/>
      <c r="H198" s="1489"/>
    </row>
    <row r="199" spans="1:8" ht="15" customHeight="1">
      <c r="A199" s="1490" t="s">
        <v>2681</v>
      </c>
      <c r="B199" s="1491"/>
      <c r="C199" s="1491"/>
      <c r="D199" s="1492"/>
      <c r="E199" s="1493"/>
      <c r="F199" s="1494"/>
      <c r="G199" s="1489"/>
      <c r="H199" s="1489"/>
    </row>
  </sheetData>
  <mergeCells count="1">
    <mergeCell ref="A17:B17"/>
  </mergeCells>
  <printOptions horizontalCentered="1"/>
  <pageMargins left="0.27559055118110237" right="0" top="0.55118110236220474" bottom="0" header="0.15748031496062992" footer="0"/>
  <pageSetup paperSize="9" scale="82"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N31" sqref="N31"/>
    </sheetView>
  </sheetViews>
  <sheetFormatPr defaultColWidth="11.42578125" defaultRowHeight="12.75"/>
  <cols>
    <col min="1" max="1" width="14.85546875" style="80" customWidth="1"/>
    <col min="2" max="3" width="12.5703125" style="80" customWidth="1"/>
    <col min="4" max="4" width="12.140625" style="80" customWidth="1"/>
    <col min="5" max="5" width="14" style="80" bestFit="1" customWidth="1"/>
    <col min="6" max="6" width="13.5703125" style="80" bestFit="1" customWidth="1"/>
    <col min="7" max="7" width="10.5703125" style="80" bestFit="1" customWidth="1"/>
    <col min="8" max="8" width="11.85546875" style="80" bestFit="1" customWidth="1"/>
    <col min="9" max="9" width="5.7109375" style="80" customWidth="1"/>
    <col min="10" max="10" width="11.42578125" style="80" customWidth="1"/>
    <col min="11" max="20" width="11.42578125" style="75" customWidth="1"/>
    <col min="21" max="256" width="11.42578125" style="80"/>
    <col min="257" max="257" width="14.85546875" style="80" customWidth="1"/>
    <col min="258" max="259" width="12.5703125" style="80" customWidth="1"/>
    <col min="260" max="260" width="12.140625" style="80" customWidth="1"/>
    <col min="261" max="261" width="14" style="80" bestFit="1" customWidth="1"/>
    <col min="262" max="262" width="13.5703125" style="80" bestFit="1" customWidth="1"/>
    <col min="263" max="263" width="10.5703125" style="80" bestFit="1" customWidth="1"/>
    <col min="264" max="264" width="11.85546875" style="80" bestFit="1" customWidth="1"/>
    <col min="265" max="265" width="5.7109375" style="80" customWidth="1"/>
    <col min="266" max="276" width="11.42578125" style="80" customWidth="1"/>
    <col min="277" max="512" width="11.42578125" style="80"/>
    <col min="513" max="513" width="14.85546875" style="80" customWidth="1"/>
    <col min="514" max="515" width="12.5703125" style="80" customWidth="1"/>
    <col min="516" max="516" width="12.140625" style="80" customWidth="1"/>
    <col min="517" max="517" width="14" style="80" bestFit="1" customWidth="1"/>
    <col min="518" max="518" width="13.5703125" style="80" bestFit="1" customWidth="1"/>
    <col min="519" max="519" width="10.5703125" style="80" bestFit="1" customWidth="1"/>
    <col min="520" max="520" width="11.85546875" style="80" bestFit="1" customWidth="1"/>
    <col min="521" max="521" width="5.7109375" style="80" customWidth="1"/>
    <col min="522" max="532" width="11.42578125" style="80" customWidth="1"/>
    <col min="533" max="768" width="11.42578125" style="80"/>
    <col min="769" max="769" width="14.85546875" style="80" customWidth="1"/>
    <col min="770" max="771" width="12.5703125" style="80" customWidth="1"/>
    <col min="772" max="772" width="12.140625" style="80" customWidth="1"/>
    <col min="773" max="773" width="14" style="80" bestFit="1" customWidth="1"/>
    <col min="774" max="774" width="13.5703125" style="80" bestFit="1" customWidth="1"/>
    <col min="775" max="775" width="10.5703125" style="80" bestFit="1" customWidth="1"/>
    <col min="776" max="776" width="11.85546875" style="80" bestFit="1" customWidth="1"/>
    <col min="777" max="777" width="5.7109375" style="80" customWidth="1"/>
    <col min="778" max="788" width="11.42578125" style="80" customWidth="1"/>
    <col min="789" max="1024" width="11.42578125" style="80"/>
    <col min="1025" max="1025" width="14.85546875" style="80" customWidth="1"/>
    <col min="1026" max="1027" width="12.5703125" style="80" customWidth="1"/>
    <col min="1028" max="1028" width="12.140625" style="80" customWidth="1"/>
    <col min="1029" max="1029" width="14" style="80" bestFit="1" customWidth="1"/>
    <col min="1030" max="1030" width="13.5703125" style="80" bestFit="1" customWidth="1"/>
    <col min="1031" max="1031" width="10.5703125" style="80" bestFit="1" customWidth="1"/>
    <col min="1032" max="1032" width="11.85546875" style="80" bestFit="1" customWidth="1"/>
    <col min="1033" max="1033" width="5.7109375" style="80" customWidth="1"/>
    <col min="1034" max="1044" width="11.42578125" style="80" customWidth="1"/>
    <col min="1045" max="1280" width="11.42578125" style="80"/>
    <col min="1281" max="1281" width="14.85546875" style="80" customWidth="1"/>
    <col min="1282" max="1283" width="12.5703125" style="80" customWidth="1"/>
    <col min="1284" max="1284" width="12.140625" style="80" customWidth="1"/>
    <col min="1285" max="1285" width="14" style="80" bestFit="1" customWidth="1"/>
    <col min="1286" max="1286" width="13.5703125" style="80" bestFit="1" customWidth="1"/>
    <col min="1287" max="1287" width="10.5703125" style="80" bestFit="1" customWidth="1"/>
    <col min="1288" max="1288" width="11.85546875" style="80" bestFit="1" customWidth="1"/>
    <col min="1289" max="1289" width="5.7109375" style="80" customWidth="1"/>
    <col min="1290" max="1300" width="11.42578125" style="80" customWidth="1"/>
    <col min="1301" max="1536" width="11.42578125" style="80"/>
    <col min="1537" max="1537" width="14.85546875" style="80" customWidth="1"/>
    <col min="1538" max="1539" width="12.5703125" style="80" customWidth="1"/>
    <col min="1540" max="1540" width="12.140625" style="80" customWidth="1"/>
    <col min="1541" max="1541" width="14" style="80" bestFit="1" customWidth="1"/>
    <col min="1542" max="1542" width="13.5703125" style="80" bestFit="1" customWidth="1"/>
    <col min="1543" max="1543" width="10.5703125" style="80" bestFit="1" customWidth="1"/>
    <col min="1544" max="1544" width="11.85546875" style="80" bestFit="1" customWidth="1"/>
    <col min="1545" max="1545" width="5.7109375" style="80" customWidth="1"/>
    <col min="1546" max="1556" width="11.42578125" style="80" customWidth="1"/>
    <col min="1557" max="1792" width="11.42578125" style="80"/>
    <col min="1793" max="1793" width="14.85546875" style="80" customWidth="1"/>
    <col min="1794" max="1795" width="12.5703125" style="80" customWidth="1"/>
    <col min="1796" max="1796" width="12.140625" style="80" customWidth="1"/>
    <col min="1797" max="1797" width="14" style="80" bestFit="1" customWidth="1"/>
    <col min="1798" max="1798" width="13.5703125" style="80" bestFit="1" customWidth="1"/>
    <col min="1799" max="1799" width="10.5703125" style="80" bestFit="1" customWidth="1"/>
    <col min="1800" max="1800" width="11.85546875" style="80" bestFit="1" customWidth="1"/>
    <col min="1801" max="1801" width="5.7109375" style="80" customWidth="1"/>
    <col min="1802" max="1812" width="11.42578125" style="80" customWidth="1"/>
    <col min="1813" max="2048" width="11.42578125" style="80"/>
    <col min="2049" max="2049" width="14.85546875" style="80" customWidth="1"/>
    <col min="2050" max="2051" width="12.5703125" style="80" customWidth="1"/>
    <col min="2052" max="2052" width="12.140625" style="80" customWidth="1"/>
    <col min="2053" max="2053" width="14" style="80" bestFit="1" customWidth="1"/>
    <col min="2054" max="2054" width="13.5703125" style="80" bestFit="1" customWidth="1"/>
    <col min="2055" max="2055" width="10.5703125" style="80" bestFit="1" customWidth="1"/>
    <col min="2056" max="2056" width="11.85546875" style="80" bestFit="1" customWidth="1"/>
    <col min="2057" max="2057" width="5.7109375" style="80" customWidth="1"/>
    <col min="2058" max="2068" width="11.42578125" style="80" customWidth="1"/>
    <col min="2069" max="2304" width="11.42578125" style="80"/>
    <col min="2305" max="2305" width="14.85546875" style="80" customWidth="1"/>
    <col min="2306" max="2307" width="12.5703125" style="80" customWidth="1"/>
    <col min="2308" max="2308" width="12.140625" style="80" customWidth="1"/>
    <col min="2309" max="2309" width="14" style="80" bestFit="1" customWidth="1"/>
    <col min="2310" max="2310" width="13.5703125" style="80" bestFit="1" customWidth="1"/>
    <col min="2311" max="2311" width="10.5703125" style="80" bestFit="1" customWidth="1"/>
    <col min="2312" max="2312" width="11.85546875" style="80" bestFit="1" customWidth="1"/>
    <col min="2313" max="2313" width="5.7109375" style="80" customWidth="1"/>
    <col min="2314" max="2324" width="11.42578125" style="80" customWidth="1"/>
    <col min="2325" max="2560" width="11.42578125" style="80"/>
    <col min="2561" max="2561" width="14.85546875" style="80" customWidth="1"/>
    <col min="2562" max="2563" width="12.5703125" style="80" customWidth="1"/>
    <col min="2564" max="2564" width="12.140625" style="80" customWidth="1"/>
    <col min="2565" max="2565" width="14" style="80" bestFit="1" customWidth="1"/>
    <col min="2566" max="2566" width="13.5703125" style="80" bestFit="1" customWidth="1"/>
    <col min="2567" max="2567" width="10.5703125" style="80" bestFit="1" customWidth="1"/>
    <col min="2568" max="2568" width="11.85546875" style="80" bestFit="1" customWidth="1"/>
    <col min="2569" max="2569" width="5.7109375" style="80" customWidth="1"/>
    <col min="2570" max="2580" width="11.42578125" style="80" customWidth="1"/>
    <col min="2581" max="2816" width="11.42578125" style="80"/>
    <col min="2817" max="2817" width="14.85546875" style="80" customWidth="1"/>
    <col min="2818" max="2819" width="12.5703125" style="80" customWidth="1"/>
    <col min="2820" max="2820" width="12.140625" style="80" customWidth="1"/>
    <col min="2821" max="2821" width="14" style="80" bestFit="1" customWidth="1"/>
    <col min="2822" max="2822" width="13.5703125" style="80" bestFit="1" customWidth="1"/>
    <col min="2823" max="2823" width="10.5703125" style="80" bestFit="1" customWidth="1"/>
    <col min="2824" max="2824" width="11.85546875" style="80" bestFit="1" customWidth="1"/>
    <col min="2825" max="2825" width="5.7109375" style="80" customWidth="1"/>
    <col min="2826" max="2836" width="11.42578125" style="80" customWidth="1"/>
    <col min="2837" max="3072" width="11.42578125" style="80"/>
    <col min="3073" max="3073" width="14.85546875" style="80" customWidth="1"/>
    <col min="3074" max="3075" width="12.5703125" style="80" customWidth="1"/>
    <col min="3076" max="3076" width="12.140625" style="80" customWidth="1"/>
    <col min="3077" max="3077" width="14" style="80" bestFit="1" customWidth="1"/>
    <col min="3078" max="3078" width="13.5703125" style="80" bestFit="1" customWidth="1"/>
    <col min="3079" max="3079" width="10.5703125" style="80" bestFit="1" customWidth="1"/>
    <col min="3080" max="3080" width="11.85546875" style="80" bestFit="1" customWidth="1"/>
    <col min="3081" max="3081" width="5.7109375" style="80" customWidth="1"/>
    <col min="3082" max="3092" width="11.42578125" style="80" customWidth="1"/>
    <col min="3093" max="3328" width="11.42578125" style="80"/>
    <col min="3329" max="3329" width="14.85546875" style="80" customWidth="1"/>
    <col min="3330" max="3331" width="12.5703125" style="80" customWidth="1"/>
    <col min="3332" max="3332" width="12.140625" style="80" customWidth="1"/>
    <col min="3333" max="3333" width="14" style="80" bestFit="1" customWidth="1"/>
    <col min="3334" max="3334" width="13.5703125" style="80" bestFit="1" customWidth="1"/>
    <col min="3335" max="3335" width="10.5703125" style="80" bestFit="1" customWidth="1"/>
    <col min="3336" max="3336" width="11.85546875" style="80" bestFit="1" customWidth="1"/>
    <col min="3337" max="3337" width="5.7109375" style="80" customWidth="1"/>
    <col min="3338" max="3348" width="11.42578125" style="80" customWidth="1"/>
    <col min="3349" max="3584" width="11.42578125" style="80"/>
    <col min="3585" max="3585" width="14.85546875" style="80" customWidth="1"/>
    <col min="3586" max="3587" width="12.5703125" style="80" customWidth="1"/>
    <col min="3588" max="3588" width="12.140625" style="80" customWidth="1"/>
    <col min="3589" max="3589" width="14" style="80" bestFit="1" customWidth="1"/>
    <col min="3590" max="3590" width="13.5703125" style="80" bestFit="1" customWidth="1"/>
    <col min="3591" max="3591" width="10.5703125" style="80" bestFit="1" customWidth="1"/>
    <col min="3592" max="3592" width="11.85546875" style="80" bestFit="1" customWidth="1"/>
    <col min="3593" max="3593" width="5.7109375" style="80" customWidth="1"/>
    <col min="3594" max="3604" width="11.42578125" style="80" customWidth="1"/>
    <col min="3605" max="3840" width="11.42578125" style="80"/>
    <col min="3841" max="3841" width="14.85546875" style="80" customWidth="1"/>
    <col min="3842" max="3843" width="12.5703125" style="80" customWidth="1"/>
    <col min="3844" max="3844" width="12.140625" style="80" customWidth="1"/>
    <col min="3845" max="3845" width="14" style="80" bestFit="1" customWidth="1"/>
    <col min="3846" max="3846" width="13.5703125" style="80" bestFit="1" customWidth="1"/>
    <col min="3847" max="3847" width="10.5703125" style="80" bestFit="1" customWidth="1"/>
    <col min="3848" max="3848" width="11.85546875" style="80" bestFit="1" customWidth="1"/>
    <col min="3849" max="3849" width="5.7109375" style="80" customWidth="1"/>
    <col min="3850" max="3860" width="11.42578125" style="80" customWidth="1"/>
    <col min="3861" max="4096" width="11.42578125" style="80"/>
    <col min="4097" max="4097" width="14.85546875" style="80" customWidth="1"/>
    <col min="4098" max="4099" width="12.5703125" style="80" customWidth="1"/>
    <col min="4100" max="4100" width="12.140625" style="80" customWidth="1"/>
    <col min="4101" max="4101" width="14" style="80" bestFit="1" customWidth="1"/>
    <col min="4102" max="4102" width="13.5703125" style="80" bestFit="1" customWidth="1"/>
    <col min="4103" max="4103" width="10.5703125" style="80" bestFit="1" customWidth="1"/>
    <col min="4104" max="4104" width="11.85546875" style="80" bestFit="1" customWidth="1"/>
    <col min="4105" max="4105" width="5.7109375" style="80" customWidth="1"/>
    <col min="4106" max="4116" width="11.42578125" style="80" customWidth="1"/>
    <col min="4117" max="4352" width="11.42578125" style="80"/>
    <col min="4353" max="4353" width="14.85546875" style="80" customWidth="1"/>
    <col min="4354" max="4355" width="12.5703125" style="80" customWidth="1"/>
    <col min="4356" max="4356" width="12.140625" style="80" customWidth="1"/>
    <col min="4357" max="4357" width="14" style="80" bestFit="1" customWidth="1"/>
    <col min="4358" max="4358" width="13.5703125" style="80" bestFit="1" customWidth="1"/>
    <col min="4359" max="4359" width="10.5703125" style="80" bestFit="1" customWidth="1"/>
    <col min="4360" max="4360" width="11.85546875" style="80" bestFit="1" customWidth="1"/>
    <col min="4361" max="4361" width="5.7109375" style="80" customWidth="1"/>
    <col min="4362" max="4372" width="11.42578125" style="80" customWidth="1"/>
    <col min="4373" max="4608" width="11.42578125" style="80"/>
    <col min="4609" max="4609" width="14.85546875" style="80" customWidth="1"/>
    <col min="4610" max="4611" width="12.5703125" style="80" customWidth="1"/>
    <col min="4612" max="4612" width="12.140625" style="80" customWidth="1"/>
    <col min="4613" max="4613" width="14" style="80" bestFit="1" customWidth="1"/>
    <col min="4614" max="4614" width="13.5703125" style="80" bestFit="1" customWidth="1"/>
    <col min="4615" max="4615" width="10.5703125" style="80" bestFit="1" customWidth="1"/>
    <col min="4616" max="4616" width="11.85546875" style="80" bestFit="1" customWidth="1"/>
    <col min="4617" max="4617" width="5.7109375" style="80" customWidth="1"/>
    <col min="4618" max="4628" width="11.42578125" style="80" customWidth="1"/>
    <col min="4629" max="4864" width="11.42578125" style="80"/>
    <col min="4865" max="4865" width="14.85546875" style="80" customWidth="1"/>
    <col min="4866" max="4867" width="12.5703125" style="80" customWidth="1"/>
    <col min="4868" max="4868" width="12.140625" style="80" customWidth="1"/>
    <col min="4869" max="4869" width="14" style="80" bestFit="1" customWidth="1"/>
    <col min="4870" max="4870" width="13.5703125" style="80" bestFit="1" customWidth="1"/>
    <col min="4871" max="4871" width="10.5703125" style="80" bestFit="1" customWidth="1"/>
    <col min="4872" max="4872" width="11.85546875" style="80" bestFit="1" customWidth="1"/>
    <col min="4873" max="4873" width="5.7109375" style="80" customWidth="1"/>
    <col min="4874" max="4884" width="11.42578125" style="80" customWidth="1"/>
    <col min="4885" max="5120" width="11.42578125" style="80"/>
    <col min="5121" max="5121" width="14.85546875" style="80" customWidth="1"/>
    <col min="5122" max="5123" width="12.5703125" style="80" customWidth="1"/>
    <col min="5124" max="5124" width="12.140625" style="80" customWidth="1"/>
    <col min="5125" max="5125" width="14" style="80" bestFit="1" customWidth="1"/>
    <col min="5126" max="5126" width="13.5703125" style="80" bestFit="1" customWidth="1"/>
    <col min="5127" max="5127" width="10.5703125" style="80" bestFit="1" customWidth="1"/>
    <col min="5128" max="5128" width="11.85546875" style="80" bestFit="1" customWidth="1"/>
    <col min="5129" max="5129" width="5.7109375" style="80" customWidth="1"/>
    <col min="5130" max="5140" width="11.42578125" style="80" customWidth="1"/>
    <col min="5141" max="5376" width="11.42578125" style="80"/>
    <col min="5377" max="5377" width="14.85546875" style="80" customWidth="1"/>
    <col min="5378" max="5379" width="12.5703125" style="80" customWidth="1"/>
    <col min="5380" max="5380" width="12.140625" style="80" customWidth="1"/>
    <col min="5381" max="5381" width="14" style="80" bestFit="1" customWidth="1"/>
    <col min="5382" max="5382" width="13.5703125" style="80" bestFit="1" customWidth="1"/>
    <col min="5383" max="5383" width="10.5703125" style="80" bestFit="1" customWidth="1"/>
    <col min="5384" max="5384" width="11.85546875" style="80" bestFit="1" customWidth="1"/>
    <col min="5385" max="5385" width="5.7109375" style="80" customWidth="1"/>
    <col min="5386" max="5396" width="11.42578125" style="80" customWidth="1"/>
    <col min="5397" max="5632" width="11.42578125" style="80"/>
    <col min="5633" max="5633" width="14.85546875" style="80" customWidth="1"/>
    <col min="5634" max="5635" width="12.5703125" style="80" customWidth="1"/>
    <col min="5636" max="5636" width="12.140625" style="80" customWidth="1"/>
    <col min="5637" max="5637" width="14" style="80" bestFit="1" customWidth="1"/>
    <col min="5638" max="5638" width="13.5703125" style="80" bestFit="1" customWidth="1"/>
    <col min="5639" max="5639" width="10.5703125" style="80" bestFit="1" customWidth="1"/>
    <col min="5640" max="5640" width="11.85546875" style="80" bestFit="1" customWidth="1"/>
    <col min="5641" max="5641" width="5.7109375" style="80" customWidth="1"/>
    <col min="5642" max="5652" width="11.42578125" style="80" customWidth="1"/>
    <col min="5653" max="5888" width="11.42578125" style="80"/>
    <col min="5889" max="5889" width="14.85546875" style="80" customWidth="1"/>
    <col min="5890" max="5891" width="12.5703125" style="80" customWidth="1"/>
    <col min="5892" max="5892" width="12.140625" style="80" customWidth="1"/>
    <col min="5893" max="5893" width="14" style="80" bestFit="1" customWidth="1"/>
    <col min="5894" max="5894" width="13.5703125" style="80" bestFit="1" customWidth="1"/>
    <col min="5895" max="5895" width="10.5703125" style="80" bestFit="1" customWidth="1"/>
    <col min="5896" max="5896" width="11.85546875" style="80" bestFit="1" customWidth="1"/>
    <col min="5897" max="5897" width="5.7109375" style="80" customWidth="1"/>
    <col min="5898" max="5908" width="11.42578125" style="80" customWidth="1"/>
    <col min="5909" max="6144" width="11.42578125" style="80"/>
    <col min="6145" max="6145" width="14.85546875" style="80" customWidth="1"/>
    <col min="6146" max="6147" width="12.5703125" style="80" customWidth="1"/>
    <col min="6148" max="6148" width="12.140625" style="80" customWidth="1"/>
    <col min="6149" max="6149" width="14" style="80" bestFit="1" customWidth="1"/>
    <col min="6150" max="6150" width="13.5703125" style="80" bestFit="1" customWidth="1"/>
    <col min="6151" max="6151" width="10.5703125" style="80" bestFit="1" customWidth="1"/>
    <col min="6152" max="6152" width="11.85546875" style="80" bestFit="1" customWidth="1"/>
    <col min="6153" max="6153" width="5.7109375" style="80" customWidth="1"/>
    <col min="6154" max="6164" width="11.42578125" style="80" customWidth="1"/>
    <col min="6165" max="6400" width="11.42578125" style="80"/>
    <col min="6401" max="6401" width="14.85546875" style="80" customWidth="1"/>
    <col min="6402" max="6403" width="12.5703125" style="80" customWidth="1"/>
    <col min="6404" max="6404" width="12.140625" style="80" customWidth="1"/>
    <col min="6405" max="6405" width="14" style="80" bestFit="1" customWidth="1"/>
    <col min="6406" max="6406" width="13.5703125" style="80" bestFit="1" customWidth="1"/>
    <col min="6407" max="6407" width="10.5703125" style="80" bestFit="1" customWidth="1"/>
    <col min="6408" max="6408" width="11.85546875" style="80" bestFit="1" customWidth="1"/>
    <col min="6409" max="6409" width="5.7109375" style="80" customWidth="1"/>
    <col min="6410" max="6420" width="11.42578125" style="80" customWidth="1"/>
    <col min="6421" max="6656" width="11.42578125" style="80"/>
    <col min="6657" max="6657" width="14.85546875" style="80" customWidth="1"/>
    <col min="6658" max="6659" width="12.5703125" style="80" customWidth="1"/>
    <col min="6660" max="6660" width="12.140625" style="80" customWidth="1"/>
    <col min="6661" max="6661" width="14" style="80" bestFit="1" customWidth="1"/>
    <col min="6662" max="6662" width="13.5703125" style="80" bestFit="1" customWidth="1"/>
    <col min="6663" max="6663" width="10.5703125" style="80" bestFit="1" customWidth="1"/>
    <col min="6664" max="6664" width="11.85546875" style="80" bestFit="1" customWidth="1"/>
    <col min="6665" max="6665" width="5.7109375" style="80" customWidth="1"/>
    <col min="6666" max="6676" width="11.42578125" style="80" customWidth="1"/>
    <col min="6677" max="6912" width="11.42578125" style="80"/>
    <col min="6913" max="6913" width="14.85546875" style="80" customWidth="1"/>
    <col min="6914" max="6915" width="12.5703125" style="80" customWidth="1"/>
    <col min="6916" max="6916" width="12.140625" style="80" customWidth="1"/>
    <col min="6917" max="6917" width="14" style="80" bestFit="1" customWidth="1"/>
    <col min="6918" max="6918" width="13.5703125" style="80" bestFit="1" customWidth="1"/>
    <col min="6919" max="6919" width="10.5703125" style="80" bestFit="1" customWidth="1"/>
    <col min="6920" max="6920" width="11.85546875" style="80" bestFit="1" customWidth="1"/>
    <col min="6921" max="6921" width="5.7109375" style="80" customWidth="1"/>
    <col min="6922" max="6932" width="11.42578125" style="80" customWidth="1"/>
    <col min="6933" max="7168" width="11.42578125" style="80"/>
    <col min="7169" max="7169" width="14.85546875" style="80" customWidth="1"/>
    <col min="7170" max="7171" width="12.5703125" style="80" customWidth="1"/>
    <col min="7172" max="7172" width="12.140625" style="80" customWidth="1"/>
    <col min="7173" max="7173" width="14" style="80" bestFit="1" customWidth="1"/>
    <col min="7174" max="7174" width="13.5703125" style="80" bestFit="1" customWidth="1"/>
    <col min="7175" max="7175" width="10.5703125" style="80" bestFit="1" customWidth="1"/>
    <col min="7176" max="7176" width="11.85546875" style="80" bestFit="1" customWidth="1"/>
    <col min="7177" max="7177" width="5.7109375" style="80" customWidth="1"/>
    <col min="7178" max="7188" width="11.42578125" style="80" customWidth="1"/>
    <col min="7189" max="7424" width="11.42578125" style="80"/>
    <col min="7425" max="7425" width="14.85546875" style="80" customWidth="1"/>
    <col min="7426" max="7427" width="12.5703125" style="80" customWidth="1"/>
    <col min="7428" max="7428" width="12.140625" style="80" customWidth="1"/>
    <col min="7429" max="7429" width="14" style="80" bestFit="1" customWidth="1"/>
    <col min="7430" max="7430" width="13.5703125" style="80" bestFit="1" customWidth="1"/>
    <col min="7431" max="7431" width="10.5703125" style="80" bestFit="1" customWidth="1"/>
    <col min="7432" max="7432" width="11.85546875" style="80" bestFit="1" customWidth="1"/>
    <col min="7433" max="7433" width="5.7109375" style="80" customWidth="1"/>
    <col min="7434" max="7444" width="11.42578125" style="80" customWidth="1"/>
    <col min="7445" max="7680" width="11.42578125" style="80"/>
    <col min="7681" max="7681" width="14.85546875" style="80" customWidth="1"/>
    <col min="7682" max="7683" width="12.5703125" style="80" customWidth="1"/>
    <col min="7684" max="7684" width="12.140625" style="80" customWidth="1"/>
    <col min="7685" max="7685" width="14" style="80" bestFit="1" customWidth="1"/>
    <col min="7686" max="7686" width="13.5703125" style="80" bestFit="1" customWidth="1"/>
    <col min="7687" max="7687" width="10.5703125" style="80" bestFit="1" customWidth="1"/>
    <col min="7688" max="7688" width="11.85546875" style="80" bestFit="1" customWidth="1"/>
    <col min="7689" max="7689" width="5.7109375" style="80" customWidth="1"/>
    <col min="7690" max="7700" width="11.42578125" style="80" customWidth="1"/>
    <col min="7701" max="7936" width="11.42578125" style="80"/>
    <col min="7937" max="7937" width="14.85546875" style="80" customWidth="1"/>
    <col min="7938" max="7939" width="12.5703125" style="80" customWidth="1"/>
    <col min="7940" max="7940" width="12.140625" style="80" customWidth="1"/>
    <col min="7941" max="7941" width="14" style="80" bestFit="1" customWidth="1"/>
    <col min="7942" max="7942" width="13.5703125" style="80" bestFit="1" customWidth="1"/>
    <col min="7943" max="7943" width="10.5703125" style="80" bestFit="1" customWidth="1"/>
    <col min="7944" max="7944" width="11.85546875" style="80" bestFit="1" customWidth="1"/>
    <col min="7945" max="7945" width="5.7109375" style="80" customWidth="1"/>
    <col min="7946" max="7956" width="11.42578125" style="80" customWidth="1"/>
    <col min="7957" max="8192" width="11.42578125" style="80"/>
    <col min="8193" max="8193" width="14.85546875" style="80" customWidth="1"/>
    <col min="8194" max="8195" width="12.5703125" style="80" customWidth="1"/>
    <col min="8196" max="8196" width="12.140625" style="80" customWidth="1"/>
    <col min="8197" max="8197" width="14" style="80" bestFit="1" customWidth="1"/>
    <col min="8198" max="8198" width="13.5703125" style="80" bestFit="1" customWidth="1"/>
    <col min="8199" max="8199" width="10.5703125" style="80" bestFit="1" customWidth="1"/>
    <col min="8200" max="8200" width="11.85546875" style="80" bestFit="1" customWidth="1"/>
    <col min="8201" max="8201" width="5.7109375" style="80" customWidth="1"/>
    <col min="8202" max="8212" width="11.42578125" style="80" customWidth="1"/>
    <col min="8213" max="8448" width="11.42578125" style="80"/>
    <col min="8449" max="8449" width="14.85546875" style="80" customWidth="1"/>
    <col min="8450" max="8451" width="12.5703125" style="80" customWidth="1"/>
    <col min="8452" max="8452" width="12.140625" style="80" customWidth="1"/>
    <col min="8453" max="8453" width="14" style="80" bestFit="1" customWidth="1"/>
    <col min="8454" max="8454" width="13.5703125" style="80" bestFit="1" customWidth="1"/>
    <col min="8455" max="8455" width="10.5703125" style="80" bestFit="1" customWidth="1"/>
    <col min="8456" max="8456" width="11.85546875" style="80" bestFit="1" customWidth="1"/>
    <col min="8457" max="8457" width="5.7109375" style="80" customWidth="1"/>
    <col min="8458" max="8468" width="11.42578125" style="80" customWidth="1"/>
    <col min="8469" max="8704" width="11.42578125" style="80"/>
    <col min="8705" max="8705" width="14.85546875" style="80" customWidth="1"/>
    <col min="8706" max="8707" width="12.5703125" style="80" customWidth="1"/>
    <col min="8708" max="8708" width="12.140625" style="80" customWidth="1"/>
    <col min="8709" max="8709" width="14" style="80" bestFit="1" customWidth="1"/>
    <col min="8710" max="8710" width="13.5703125" style="80" bestFit="1" customWidth="1"/>
    <col min="8711" max="8711" width="10.5703125" style="80" bestFit="1" customWidth="1"/>
    <col min="8712" max="8712" width="11.85546875" style="80" bestFit="1" customWidth="1"/>
    <col min="8713" max="8713" width="5.7109375" style="80" customWidth="1"/>
    <col min="8714" max="8724" width="11.42578125" style="80" customWidth="1"/>
    <col min="8725" max="8960" width="11.42578125" style="80"/>
    <col min="8961" max="8961" width="14.85546875" style="80" customWidth="1"/>
    <col min="8962" max="8963" width="12.5703125" style="80" customWidth="1"/>
    <col min="8964" max="8964" width="12.140625" style="80" customWidth="1"/>
    <col min="8965" max="8965" width="14" style="80" bestFit="1" customWidth="1"/>
    <col min="8966" max="8966" width="13.5703125" style="80" bestFit="1" customWidth="1"/>
    <col min="8967" max="8967" width="10.5703125" style="80" bestFit="1" customWidth="1"/>
    <col min="8968" max="8968" width="11.85546875" style="80" bestFit="1" customWidth="1"/>
    <col min="8969" max="8969" width="5.7109375" style="80" customWidth="1"/>
    <col min="8970" max="8980" width="11.42578125" style="80" customWidth="1"/>
    <col min="8981" max="9216" width="11.42578125" style="80"/>
    <col min="9217" max="9217" width="14.85546875" style="80" customWidth="1"/>
    <col min="9218" max="9219" width="12.5703125" style="80" customWidth="1"/>
    <col min="9220" max="9220" width="12.140625" style="80" customWidth="1"/>
    <col min="9221" max="9221" width="14" style="80" bestFit="1" customWidth="1"/>
    <col min="9222" max="9222" width="13.5703125" style="80" bestFit="1" customWidth="1"/>
    <col min="9223" max="9223" width="10.5703125" style="80" bestFit="1" customWidth="1"/>
    <col min="9224" max="9224" width="11.85546875" style="80" bestFit="1" customWidth="1"/>
    <col min="9225" max="9225" width="5.7109375" style="80" customWidth="1"/>
    <col min="9226" max="9236" width="11.42578125" style="80" customWidth="1"/>
    <col min="9237" max="9472" width="11.42578125" style="80"/>
    <col min="9473" max="9473" width="14.85546875" style="80" customWidth="1"/>
    <col min="9474" max="9475" width="12.5703125" style="80" customWidth="1"/>
    <col min="9476" max="9476" width="12.140625" style="80" customWidth="1"/>
    <col min="9477" max="9477" width="14" style="80" bestFit="1" customWidth="1"/>
    <col min="9478" max="9478" width="13.5703125" style="80" bestFit="1" customWidth="1"/>
    <col min="9479" max="9479" width="10.5703125" style="80" bestFit="1" customWidth="1"/>
    <col min="9480" max="9480" width="11.85546875" style="80" bestFit="1" customWidth="1"/>
    <col min="9481" max="9481" width="5.7109375" style="80" customWidth="1"/>
    <col min="9482" max="9492" width="11.42578125" style="80" customWidth="1"/>
    <col min="9493" max="9728" width="11.42578125" style="80"/>
    <col min="9729" max="9729" width="14.85546875" style="80" customWidth="1"/>
    <col min="9730" max="9731" width="12.5703125" style="80" customWidth="1"/>
    <col min="9732" max="9732" width="12.140625" style="80" customWidth="1"/>
    <col min="9733" max="9733" width="14" style="80" bestFit="1" customWidth="1"/>
    <col min="9734" max="9734" width="13.5703125" style="80" bestFit="1" customWidth="1"/>
    <col min="9735" max="9735" width="10.5703125" style="80" bestFit="1" customWidth="1"/>
    <col min="9736" max="9736" width="11.85546875" style="80" bestFit="1" customWidth="1"/>
    <col min="9737" max="9737" width="5.7109375" style="80" customWidth="1"/>
    <col min="9738" max="9748" width="11.42578125" style="80" customWidth="1"/>
    <col min="9749" max="9984" width="11.42578125" style="80"/>
    <col min="9985" max="9985" width="14.85546875" style="80" customWidth="1"/>
    <col min="9986" max="9987" width="12.5703125" style="80" customWidth="1"/>
    <col min="9988" max="9988" width="12.140625" style="80" customWidth="1"/>
    <col min="9989" max="9989" width="14" style="80" bestFit="1" customWidth="1"/>
    <col min="9990" max="9990" width="13.5703125" style="80" bestFit="1" customWidth="1"/>
    <col min="9991" max="9991" width="10.5703125" style="80" bestFit="1" customWidth="1"/>
    <col min="9992" max="9992" width="11.85546875" style="80" bestFit="1" customWidth="1"/>
    <col min="9993" max="9993" width="5.7109375" style="80" customWidth="1"/>
    <col min="9994" max="10004" width="11.42578125" style="80" customWidth="1"/>
    <col min="10005" max="10240" width="11.42578125" style="80"/>
    <col min="10241" max="10241" width="14.85546875" style="80" customWidth="1"/>
    <col min="10242" max="10243" width="12.5703125" style="80" customWidth="1"/>
    <col min="10244" max="10244" width="12.140625" style="80" customWidth="1"/>
    <col min="10245" max="10245" width="14" style="80" bestFit="1" customWidth="1"/>
    <col min="10246" max="10246" width="13.5703125" style="80" bestFit="1" customWidth="1"/>
    <col min="10247" max="10247" width="10.5703125" style="80" bestFit="1" customWidth="1"/>
    <col min="10248" max="10248" width="11.85546875" style="80" bestFit="1" customWidth="1"/>
    <col min="10249" max="10249" width="5.7109375" style="80" customWidth="1"/>
    <col min="10250" max="10260" width="11.42578125" style="80" customWidth="1"/>
    <col min="10261" max="10496" width="11.42578125" style="80"/>
    <col min="10497" max="10497" width="14.85546875" style="80" customWidth="1"/>
    <col min="10498" max="10499" width="12.5703125" style="80" customWidth="1"/>
    <col min="10500" max="10500" width="12.140625" style="80" customWidth="1"/>
    <col min="10501" max="10501" width="14" style="80" bestFit="1" customWidth="1"/>
    <col min="10502" max="10502" width="13.5703125" style="80" bestFit="1" customWidth="1"/>
    <col min="10503" max="10503" width="10.5703125" style="80" bestFit="1" customWidth="1"/>
    <col min="10504" max="10504" width="11.85546875" style="80" bestFit="1" customWidth="1"/>
    <col min="10505" max="10505" width="5.7109375" style="80" customWidth="1"/>
    <col min="10506" max="10516" width="11.42578125" style="80" customWidth="1"/>
    <col min="10517" max="10752" width="11.42578125" style="80"/>
    <col min="10753" max="10753" width="14.85546875" style="80" customWidth="1"/>
    <col min="10754" max="10755" width="12.5703125" style="80" customWidth="1"/>
    <col min="10756" max="10756" width="12.140625" style="80" customWidth="1"/>
    <col min="10757" max="10757" width="14" style="80" bestFit="1" customWidth="1"/>
    <col min="10758" max="10758" width="13.5703125" style="80" bestFit="1" customWidth="1"/>
    <col min="10759" max="10759" width="10.5703125" style="80" bestFit="1" customWidth="1"/>
    <col min="10760" max="10760" width="11.85546875" style="80" bestFit="1" customWidth="1"/>
    <col min="10761" max="10761" width="5.7109375" style="80" customWidth="1"/>
    <col min="10762" max="10772" width="11.42578125" style="80" customWidth="1"/>
    <col min="10773" max="11008" width="11.42578125" style="80"/>
    <col min="11009" max="11009" width="14.85546875" style="80" customWidth="1"/>
    <col min="11010" max="11011" width="12.5703125" style="80" customWidth="1"/>
    <col min="11012" max="11012" width="12.140625" style="80" customWidth="1"/>
    <col min="11013" max="11013" width="14" style="80" bestFit="1" customWidth="1"/>
    <col min="11014" max="11014" width="13.5703125" style="80" bestFit="1" customWidth="1"/>
    <col min="11015" max="11015" width="10.5703125" style="80" bestFit="1" customWidth="1"/>
    <col min="11016" max="11016" width="11.85546875" style="80" bestFit="1" customWidth="1"/>
    <col min="11017" max="11017" width="5.7109375" style="80" customWidth="1"/>
    <col min="11018" max="11028" width="11.42578125" style="80" customWidth="1"/>
    <col min="11029" max="11264" width="11.42578125" style="80"/>
    <col min="11265" max="11265" width="14.85546875" style="80" customWidth="1"/>
    <col min="11266" max="11267" width="12.5703125" style="80" customWidth="1"/>
    <col min="11268" max="11268" width="12.140625" style="80" customWidth="1"/>
    <col min="11269" max="11269" width="14" style="80" bestFit="1" customWidth="1"/>
    <col min="11270" max="11270" width="13.5703125" style="80" bestFit="1" customWidth="1"/>
    <col min="11271" max="11271" width="10.5703125" style="80" bestFit="1" customWidth="1"/>
    <col min="11272" max="11272" width="11.85546875" style="80" bestFit="1" customWidth="1"/>
    <col min="11273" max="11273" width="5.7109375" style="80" customWidth="1"/>
    <col min="11274" max="11284" width="11.42578125" style="80" customWidth="1"/>
    <col min="11285" max="11520" width="11.42578125" style="80"/>
    <col min="11521" max="11521" width="14.85546875" style="80" customWidth="1"/>
    <col min="11522" max="11523" width="12.5703125" style="80" customWidth="1"/>
    <col min="11524" max="11524" width="12.140625" style="80" customWidth="1"/>
    <col min="11525" max="11525" width="14" style="80" bestFit="1" customWidth="1"/>
    <col min="11526" max="11526" width="13.5703125" style="80" bestFit="1" customWidth="1"/>
    <col min="11527" max="11527" width="10.5703125" style="80" bestFit="1" customWidth="1"/>
    <col min="11528" max="11528" width="11.85546875" style="80" bestFit="1" customWidth="1"/>
    <col min="11529" max="11529" width="5.7109375" style="80" customWidth="1"/>
    <col min="11530" max="11540" width="11.42578125" style="80" customWidth="1"/>
    <col min="11541" max="11776" width="11.42578125" style="80"/>
    <col min="11777" max="11777" width="14.85546875" style="80" customWidth="1"/>
    <col min="11778" max="11779" width="12.5703125" style="80" customWidth="1"/>
    <col min="11780" max="11780" width="12.140625" style="80" customWidth="1"/>
    <col min="11781" max="11781" width="14" style="80" bestFit="1" customWidth="1"/>
    <col min="11782" max="11782" width="13.5703125" style="80" bestFit="1" customWidth="1"/>
    <col min="11783" max="11783" width="10.5703125" style="80" bestFit="1" customWidth="1"/>
    <col min="11784" max="11784" width="11.85546875" style="80" bestFit="1" customWidth="1"/>
    <col min="11785" max="11785" width="5.7109375" style="80" customWidth="1"/>
    <col min="11786" max="11796" width="11.42578125" style="80" customWidth="1"/>
    <col min="11797" max="12032" width="11.42578125" style="80"/>
    <col min="12033" max="12033" width="14.85546875" style="80" customWidth="1"/>
    <col min="12034" max="12035" width="12.5703125" style="80" customWidth="1"/>
    <col min="12036" max="12036" width="12.140625" style="80" customWidth="1"/>
    <col min="12037" max="12037" width="14" style="80" bestFit="1" customWidth="1"/>
    <col min="12038" max="12038" width="13.5703125" style="80" bestFit="1" customWidth="1"/>
    <col min="12039" max="12039" width="10.5703125" style="80" bestFit="1" customWidth="1"/>
    <col min="12040" max="12040" width="11.85546875" style="80" bestFit="1" customWidth="1"/>
    <col min="12041" max="12041" width="5.7109375" style="80" customWidth="1"/>
    <col min="12042" max="12052" width="11.42578125" style="80" customWidth="1"/>
    <col min="12053" max="12288" width="11.42578125" style="80"/>
    <col min="12289" max="12289" width="14.85546875" style="80" customWidth="1"/>
    <col min="12290" max="12291" width="12.5703125" style="80" customWidth="1"/>
    <col min="12292" max="12292" width="12.140625" style="80" customWidth="1"/>
    <col min="12293" max="12293" width="14" style="80" bestFit="1" customWidth="1"/>
    <col min="12294" max="12294" width="13.5703125" style="80" bestFit="1" customWidth="1"/>
    <col min="12295" max="12295" width="10.5703125" style="80" bestFit="1" customWidth="1"/>
    <col min="12296" max="12296" width="11.85546875" style="80" bestFit="1" customWidth="1"/>
    <col min="12297" max="12297" width="5.7109375" style="80" customWidth="1"/>
    <col min="12298" max="12308" width="11.42578125" style="80" customWidth="1"/>
    <col min="12309" max="12544" width="11.42578125" style="80"/>
    <col min="12545" max="12545" width="14.85546875" style="80" customWidth="1"/>
    <col min="12546" max="12547" width="12.5703125" style="80" customWidth="1"/>
    <col min="12548" max="12548" width="12.140625" style="80" customWidth="1"/>
    <col min="12549" max="12549" width="14" style="80" bestFit="1" customWidth="1"/>
    <col min="12550" max="12550" width="13.5703125" style="80" bestFit="1" customWidth="1"/>
    <col min="12551" max="12551" width="10.5703125" style="80" bestFit="1" customWidth="1"/>
    <col min="12552" max="12552" width="11.85546875" style="80" bestFit="1" customWidth="1"/>
    <col min="12553" max="12553" width="5.7109375" style="80" customWidth="1"/>
    <col min="12554" max="12564" width="11.42578125" style="80" customWidth="1"/>
    <col min="12565" max="12800" width="11.42578125" style="80"/>
    <col min="12801" max="12801" width="14.85546875" style="80" customWidth="1"/>
    <col min="12802" max="12803" width="12.5703125" style="80" customWidth="1"/>
    <col min="12804" max="12804" width="12.140625" style="80" customWidth="1"/>
    <col min="12805" max="12805" width="14" style="80" bestFit="1" customWidth="1"/>
    <col min="12806" max="12806" width="13.5703125" style="80" bestFit="1" customWidth="1"/>
    <col min="12807" max="12807" width="10.5703125" style="80" bestFit="1" customWidth="1"/>
    <col min="12808" max="12808" width="11.85546875" style="80" bestFit="1" customWidth="1"/>
    <col min="12809" max="12809" width="5.7109375" style="80" customWidth="1"/>
    <col min="12810" max="12820" width="11.42578125" style="80" customWidth="1"/>
    <col min="12821" max="13056" width="11.42578125" style="80"/>
    <col min="13057" max="13057" width="14.85546875" style="80" customWidth="1"/>
    <col min="13058" max="13059" width="12.5703125" style="80" customWidth="1"/>
    <col min="13060" max="13060" width="12.140625" style="80" customWidth="1"/>
    <col min="13061" max="13061" width="14" style="80" bestFit="1" customWidth="1"/>
    <col min="13062" max="13062" width="13.5703125" style="80" bestFit="1" customWidth="1"/>
    <col min="13063" max="13063" width="10.5703125" style="80" bestFit="1" customWidth="1"/>
    <col min="13064" max="13064" width="11.85546875" style="80" bestFit="1" customWidth="1"/>
    <col min="13065" max="13065" width="5.7109375" style="80" customWidth="1"/>
    <col min="13066" max="13076" width="11.42578125" style="80" customWidth="1"/>
    <col min="13077" max="13312" width="11.42578125" style="80"/>
    <col min="13313" max="13313" width="14.85546875" style="80" customWidth="1"/>
    <col min="13314" max="13315" width="12.5703125" style="80" customWidth="1"/>
    <col min="13316" max="13316" width="12.140625" style="80" customWidth="1"/>
    <col min="13317" max="13317" width="14" style="80" bestFit="1" customWidth="1"/>
    <col min="13318" max="13318" width="13.5703125" style="80" bestFit="1" customWidth="1"/>
    <col min="13319" max="13319" width="10.5703125" style="80" bestFit="1" customWidth="1"/>
    <col min="13320" max="13320" width="11.85546875" style="80" bestFit="1" customWidth="1"/>
    <col min="13321" max="13321" width="5.7109375" style="80" customWidth="1"/>
    <col min="13322" max="13332" width="11.42578125" style="80" customWidth="1"/>
    <col min="13333" max="13568" width="11.42578125" style="80"/>
    <col min="13569" max="13569" width="14.85546875" style="80" customWidth="1"/>
    <col min="13570" max="13571" width="12.5703125" style="80" customWidth="1"/>
    <col min="13572" max="13572" width="12.140625" style="80" customWidth="1"/>
    <col min="13573" max="13573" width="14" style="80" bestFit="1" customWidth="1"/>
    <col min="13574" max="13574" width="13.5703125" style="80" bestFit="1" customWidth="1"/>
    <col min="13575" max="13575" width="10.5703125" style="80" bestFit="1" customWidth="1"/>
    <col min="13576" max="13576" width="11.85546875" style="80" bestFit="1" customWidth="1"/>
    <col min="13577" max="13577" width="5.7109375" style="80" customWidth="1"/>
    <col min="13578" max="13588" width="11.42578125" style="80" customWidth="1"/>
    <col min="13589" max="13824" width="11.42578125" style="80"/>
    <col min="13825" max="13825" width="14.85546875" style="80" customWidth="1"/>
    <col min="13826" max="13827" width="12.5703125" style="80" customWidth="1"/>
    <col min="13828" max="13828" width="12.140625" style="80" customWidth="1"/>
    <col min="13829" max="13829" width="14" style="80" bestFit="1" customWidth="1"/>
    <col min="13830" max="13830" width="13.5703125" style="80" bestFit="1" customWidth="1"/>
    <col min="13831" max="13831" width="10.5703125" style="80" bestFit="1" customWidth="1"/>
    <col min="13832" max="13832" width="11.85546875" style="80" bestFit="1" customWidth="1"/>
    <col min="13833" max="13833" width="5.7109375" style="80" customWidth="1"/>
    <col min="13834" max="13844" width="11.42578125" style="80" customWidth="1"/>
    <col min="13845" max="14080" width="11.42578125" style="80"/>
    <col min="14081" max="14081" width="14.85546875" style="80" customWidth="1"/>
    <col min="14082" max="14083" width="12.5703125" style="80" customWidth="1"/>
    <col min="14084" max="14084" width="12.140625" style="80" customWidth="1"/>
    <col min="14085" max="14085" width="14" style="80" bestFit="1" customWidth="1"/>
    <col min="14086" max="14086" width="13.5703125" style="80" bestFit="1" customWidth="1"/>
    <col min="14087" max="14087" width="10.5703125" style="80" bestFit="1" customWidth="1"/>
    <col min="14088" max="14088" width="11.85546875" style="80" bestFit="1" customWidth="1"/>
    <col min="14089" max="14089" width="5.7109375" style="80" customWidth="1"/>
    <col min="14090" max="14100" width="11.42578125" style="80" customWidth="1"/>
    <col min="14101" max="14336" width="11.42578125" style="80"/>
    <col min="14337" max="14337" width="14.85546875" style="80" customWidth="1"/>
    <col min="14338" max="14339" width="12.5703125" style="80" customWidth="1"/>
    <col min="14340" max="14340" width="12.140625" style="80" customWidth="1"/>
    <col min="14341" max="14341" width="14" style="80" bestFit="1" customWidth="1"/>
    <col min="14342" max="14342" width="13.5703125" style="80" bestFit="1" customWidth="1"/>
    <col min="14343" max="14343" width="10.5703125" style="80" bestFit="1" customWidth="1"/>
    <col min="14344" max="14344" width="11.85546875" style="80" bestFit="1" customWidth="1"/>
    <col min="14345" max="14345" width="5.7109375" style="80" customWidth="1"/>
    <col min="14346" max="14356" width="11.42578125" style="80" customWidth="1"/>
    <col min="14357" max="14592" width="11.42578125" style="80"/>
    <col min="14593" max="14593" width="14.85546875" style="80" customWidth="1"/>
    <col min="14594" max="14595" width="12.5703125" style="80" customWidth="1"/>
    <col min="14596" max="14596" width="12.140625" style="80" customWidth="1"/>
    <col min="14597" max="14597" width="14" style="80" bestFit="1" customWidth="1"/>
    <col min="14598" max="14598" width="13.5703125" style="80" bestFit="1" customWidth="1"/>
    <col min="14599" max="14599" width="10.5703125" style="80" bestFit="1" customWidth="1"/>
    <col min="14600" max="14600" width="11.85546875" style="80" bestFit="1" customWidth="1"/>
    <col min="14601" max="14601" width="5.7109375" style="80" customWidth="1"/>
    <col min="14602" max="14612" width="11.42578125" style="80" customWidth="1"/>
    <col min="14613" max="14848" width="11.42578125" style="80"/>
    <col min="14849" max="14849" width="14.85546875" style="80" customWidth="1"/>
    <col min="14850" max="14851" width="12.5703125" style="80" customWidth="1"/>
    <col min="14852" max="14852" width="12.140625" style="80" customWidth="1"/>
    <col min="14853" max="14853" width="14" style="80" bestFit="1" customWidth="1"/>
    <col min="14854" max="14854" width="13.5703125" style="80" bestFit="1" customWidth="1"/>
    <col min="14855" max="14855" width="10.5703125" style="80" bestFit="1" customWidth="1"/>
    <col min="14856" max="14856" width="11.85546875" style="80" bestFit="1" customWidth="1"/>
    <col min="14857" max="14857" width="5.7109375" style="80" customWidth="1"/>
    <col min="14858" max="14868" width="11.42578125" style="80" customWidth="1"/>
    <col min="14869" max="15104" width="11.42578125" style="80"/>
    <col min="15105" max="15105" width="14.85546875" style="80" customWidth="1"/>
    <col min="15106" max="15107" width="12.5703125" style="80" customWidth="1"/>
    <col min="15108" max="15108" width="12.140625" style="80" customWidth="1"/>
    <col min="15109" max="15109" width="14" style="80" bestFit="1" customWidth="1"/>
    <col min="15110" max="15110" width="13.5703125" style="80" bestFit="1" customWidth="1"/>
    <col min="15111" max="15111" width="10.5703125" style="80" bestFit="1" customWidth="1"/>
    <col min="15112" max="15112" width="11.85546875" style="80" bestFit="1" customWidth="1"/>
    <col min="15113" max="15113" width="5.7109375" style="80" customWidth="1"/>
    <col min="15114" max="15124" width="11.42578125" style="80" customWidth="1"/>
    <col min="15125" max="15360" width="11.42578125" style="80"/>
    <col min="15361" max="15361" width="14.85546875" style="80" customWidth="1"/>
    <col min="15362" max="15363" width="12.5703125" style="80" customWidth="1"/>
    <col min="15364" max="15364" width="12.140625" style="80" customWidth="1"/>
    <col min="15365" max="15365" width="14" style="80" bestFit="1" customWidth="1"/>
    <col min="15366" max="15366" width="13.5703125" style="80" bestFit="1" customWidth="1"/>
    <col min="15367" max="15367" width="10.5703125" style="80" bestFit="1" customWidth="1"/>
    <col min="15368" max="15368" width="11.85546875" style="80" bestFit="1" customWidth="1"/>
    <col min="15369" max="15369" width="5.7109375" style="80" customWidth="1"/>
    <col min="15370" max="15380" width="11.42578125" style="80" customWidth="1"/>
    <col min="15381" max="15616" width="11.42578125" style="80"/>
    <col min="15617" max="15617" width="14.85546875" style="80" customWidth="1"/>
    <col min="15618" max="15619" width="12.5703125" style="80" customWidth="1"/>
    <col min="15620" max="15620" width="12.140625" style="80" customWidth="1"/>
    <col min="15621" max="15621" width="14" style="80" bestFit="1" customWidth="1"/>
    <col min="15622" max="15622" width="13.5703125" style="80" bestFit="1" customWidth="1"/>
    <col min="15623" max="15623" width="10.5703125" style="80" bestFit="1" customWidth="1"/>
    <col min="15624" max="15624" width="11.85546875" style="80" bestFit="1" customWidth="1"/>
    <col min="15625" max="15625" width="5.7109375" style="80" customWidth="1"/>
    <col min="15626" max="15636" width="11.42578125" style="80" customWidth="1"/>
    <col min="15637" max="15872" width="11.42578125" style="80"/>
    <col min="15873" max="15873" width="14.85546875" style="80" customWidth="1"/>
    <col min="15874" max="15875" width="12.5703125" style="80" customWidth="1"/>
    <col min="15876" max="15876" width="12.140625" style="80" customWidth="1"/>
    <col min="15877" max="15877" width="14" style="80" bestFit="1" customWidth="1"/>
    <col min="15878" max="15878" width="13.5703125" style="80" bestFit="1" customWidth="1"/>
    <col min="15879" max="15879" width="10.5703125" style="80" bestFit="1" customWidth="1"/>
    <col min="15880" max="15880" width="11.85546875" style="80" bestFit="1" customWidth="1"/>
    <col min="15881" max="15881" width="5.7109375" style="80" customWidth="1"/>
    <col min="15882" max="15892" width="11.42578125" style="80" customWidth="1"/>
    <col min="15893" max="16128" width="11.42578125" style="80"/>
    <col min="16129" max="16129" width="14.85546875" style="80" customWidth="1"/>
    <col min="16130" max="16131" width="12.5703125" style="80" customWidth="1"/>
    <col min="16132" max="16132" width="12.140625" style="80" customWidth="1"/>
    <col min="16133" max="16133" width="14" style="80" bestFit="1" customWidth="1"/>
    <col min="16134" max="16134" width="13.5703125" style="80" bestFit="1" customWidth="1"/>
    <col min="16135" max="16135" width="10.5703125" style="80" bestFit="1" customWidth="1"/>
    <col min="16136" max="16136" width="11.85546875" style="80" bestFit="1" customWidth="1"/>
    <col min="16137" max="16137" width="5.7109375" style="80" customWidth="1"/>
    <col min="16138" max="16148" width="11.42578125" style="80" customWidth="1"/>
    <col min="16149" max="16384" width="11.42578125" style="80"/>
  </cols>
  <sheetData>
    <row r="1" spans="1:20" s="75" customFormat="1" ht="24" customHeight="1">
      <c r="A1" s="71" t="s">
        <v>77</v>
      </c>
      <c r="B1" s="71"/>
      <c r="C1" s="72"/>
      <c r="D1" s="72"/>
      <c r="E1" s="72"/>
      <c r="F1" s="73"/>
      <c r="G1" s="74"/>
      <c r="H1" s="74"/>
      <c r="I1" s="74"/>
      <c r="J1" s="74"/>
    </row>
    <row r="2" spans="1:20" s="75" customFormat="1" ht="14.25" customHeight="1" thickBot="1">
      <c r="F2" s="76"/>
      <c r="G2" s="76"/>
      <c r="H2" s="76"/>
      <c r="I2" s="76"/>
      <c r="J2" s="76"/>
    </row>
    <row r="3" spans="1:20">
      <c r="A3" s="77" t="s">
        <v>78</v>
      </c>
      <c r="B3" s="78" t="s">
        <v>79</v>
      </c>
      <c r="C3" s="78" t="s">
        <v>80</v>
      </c>
      <c r="D3" s="78" t="s">
        <v>80</v>
      </c>
      <c r="E3" s="78" t="s">
        <v>80</v>
      </c>
      <c r="F3" s="78" t="s">
        <v>81</v>
      </c>
      <c r="G3" s="78" t="s">
        <v>82</v>
      </c>
      <c r="H3" s="79" t="s">
        <v>82</v>
      </c>
    </row>
    <row r="4" spans="1:20">
      <c r="A4" s="81"/>
      <c r="B4" s="82" t="s">
        <v>83</v>
      </c>
      <c r="C4" s="82" t="s">
        <v>84</v>
      </c>
      <c r="D4" s="82" t="s">
        <v>84</v>
      </c>
      <c r="E4" s="82" t="s">
        <v>84</v>
      </c>
      <c r="F4" s="82" t="s">
        <v>85</v>
      </c>
      <c r="G4" s="82" t="s">
        <v>86</v>
      </c>
      <c r="H4" s="83" t="s">
        <v>86</v>
      </c>
    </row>
    <row r="5" spans="1:20">
      <c r="A5" s="81"/>
      <c r="B5" s="82" t="s">
        <v>87</v>
      </c>
      <c r="C5" s="82" t="s">
        <v>88</v>
      </c>
      <c r="D5" s="82" t="s">
        <v>89</v>
      </c>
      <c r="E5" s="82" t="s">
        <v>90</v>
      </c>
      <c r="F5" s="82" t="s">
        <v>91</v>
      </c>
      <c r="G5" s="82" t="s">
        <v>92</v>
      </c>
      <c r="H5" s="83" t="s">
        <v>92</v>
      </c>
    </row>
    <row r="6" spans="1:20" ht="14.25">
      <c r="A6" s="81"/>
      <c r="B6" s="82" t="s">
        <v>93</v>
      </c>
      <c r="C6" s="82" t="s">
        <v>94</v>
      </c>
      <c r="D6" s="82" t="s">
        <v>95</v>
      </c>
      <c r="E6" s="82" t="s">
        <v>96</v>
      </c>
      <c r="F6" s="82" t="s">
        <v>97</v>
      </c>
      <c r="G6" s="82" t="s">
        <v>98</v>
      </c>
      <c r="H6" s="83" t="s">
        <v>99</v>
      </c>
    </row>
    <row r="7" spans="1:20" ht="14.25">
      <c r="A7" s="81"/>
      <c r="B7" s="82"/>
      <c r="C7" s="82" t="s">
        <v>100</v>
      </c>
      <c r="D7" s="82" t="s">
        <v>101</v>
      </c>
      <c r="E7" s="82"/>
      <c r="F7" s="82" t="s">
        <v>102</v>
      </c>
      <c r="G7" s="82" t="s">
        <v>103</v>
      </c>
      <c r="H7" s="83" t="s">
        <v>103</v>
      </c>
    </row>
    <row r="8" spans="1:20">
      <c r="A8" s="81"/>
      <c r="B8" s="84"/>
      <c r="C8" s="84"/>
      <c r="D8" s="84"/>
      <c r="E8" s="84"/>
      <c r="F8" s="84"/>
      <c r="G8" s="84"/>
      <c r="H8" s="85"/>
      <c r="I8" s="75"/>
    </row>
    <row r="9" spans="1:20" s="93" customFormat="1" ht="15">
      <c r="A9" s="86"/>
      <c r="B9" s="87"/>
      <c r="C9" s="88"/>
      <c r="D9" s="89" t="s">
        <v>49</v>
      </c>
      <c r="E9" s="89"/>
      <c r="F9" s="90"/>
      <c r="G9" s="91" t="s">
        <v>104</v>
      </c>
      <c r="H9" s="92" t="s">
        <v>104</v>
      </c>
      <c r="K9" s="94"/>
      <c r="L9" s="94"/>
      <c r="M9" s="94"/>
      <c r="N9" s="94"/>
      <c r="O9" s="94"/>
      <c r="P9" s="94"/>
      <c r="Q9" s="94"/>
      <c r="R9" s="94"/>
      <c r="S9" s="94"/>
      <c r="T9" s="94"/>
    </row>
    <row r="10" spans="1:20" s="93" customFormat="1" ht="18.75" customHeight="1">
      <c r="A10" s="95">
        <v>42216</v>
      </c>
      <c r="B10" s="96"/>
      <c r="C10" s="97"/>
      <c r="D10" s="97"/>
      <c r="E10" s="98"/>
      <c r="F10" s="98"/>
      <c r="G10" s="98"/>
      <c r="H10" s="99"/>
      <c r="K10" s="94"/>
      <c r="L10" s="94"/>
      <c r="M10" s="94"/>
      <c r="N10" s="94"/>
      <c r="O10" s="94"/>
      <c r="P10" s="94"/>
      <c r="Q10" s="94"/>
      <c r="R10" s="94"/>
      <c r="S10" s="94"/>
      <c r="T10" s="94"/>
    </row>
    <row r="11" spans="1:20" s="93" customFormat="1" ht="18" customHeight="1">
      <c r="A11" s="100" t="s">
        <v>105</v>
      </c>
      <c r="B11" s="101">
        <v>3367.85</v>
      </c>
      <c r="C11" s="102">
        <v>276</v>
      </c>
      <c r="D11" s="102" t="s">
        <v>60</v>
      </c>
      <c r="E11" s="102" t="s">
        <v>60</v>
      </c>
      <c r="F11" s="102">
        <f>SUM(C11:E11)</f>
        <v>276</v>
      </c>
      <c r="G11" s="102" t="s">
        <v>60</v>
      </c>
      <c r="H11" s="103" t="s">
        <v>60</v>
      </c>
      <c r="I11" s="3312"/>
      <c r="J11" s="3313"/>
      <c r="K11" s="94"/>
      <c r="L11" s="94"/>
      <c r="M11" s="94"/>
      <c r="N11" s="94"/>
      <c r="O11" s="94"/>
      <c r="P11" s="94"/>
      <c r="Q11" s="94"/>
      <c r="R11" s="94"/>
      <c r="S11" s="94"/>
      <c r="T11" s="94"/>
    </row>
    <row r="12" spans="1:20" s="93" customFormat="1" ht="18" customHeight="1">
      <c r="A12" s="100" t="s">
        <v>106</v>
      </c>
      <c r="B12" s="101">
        <v>3367.85</v>
      </c>
      <c r="C12" s="101">
        <v>10</v>
      </c>
      <c r="D12" s="102" t="s">
        <v>60</v>
      </c>
      <c r="E12" s="102" t="s">
        <v>60</v>
      </c>
      <c r="F12" s="101">
        <f>SUM(C12:E12)</f>
        <v>10</v>
      </c>
      <c r="G12" s="102" t="s">
        <v>60</v>
      </c>
      <c r="H12" s="103" t="s">
        <v>60</v>
      </c>
      <c r="I12" s="3312"/>
      <c r="J12" s="3313"/>
      <c r="K12" s="104"/>
      <c r="L12" s="94"/>
      <c r="M12" s="94"/>
      <c r="N12" s="94"/>
      <c r="O12" s="94"/>
      <c r="P12" s="94"/>
      <c r="Q12" s="94"/>
      <c r="R12" s="94"/>
      <c r="S12" s="94"/>
      <c r="T12" s="94"/>
    </row>
    <row r="13" spans="1:20" s="93" customFormat="1" ht="18" customHeight="1">
      <c r="A13" s="100" t="s">
        <v>107</v>
      </c>
      <c r="B13" s="101">
        <v>3317.85</v>
      </c>
      <c r="C13" s="102">
        <f>171.1+15</f>
        <v>186.1</v>
      </c>
      <c r="D13" s="102" t="s">
        <v>60</v>
      </c>
      <c r="E13" s="102" t="s">
        <v>60</v>
      </c>
      <c r="F13" s="101">
        <f>SUM(C13:E13)</f>
        <v>186.1</v>
      </c>
      <c r="G13" s="102" t="s">
        <v>60</v>
      </c>
      <c r="H13" s="103" t="s">
        <v>60</v>
      </c>
      <c r="I13" s="3312"/>
      <c r="J13" s="3313"/>
      <c r="K13" s="104"/>
      <c r="L13" s="94"/>
      <c r="M13" s="94"/>
      <c r="N13" s="94"/>
      <c r="O13" s="94"/>
      <c r="P13" s="94"/>
      <c r="Q13" s="94"/>
      <c r="R13" s="94"/>
      <c r="S13" s="94"/>
      <c r="T13" s="94"/>
    </row>
    <row r="14" spans="1:20" s="93" customFormat="1" ht="18" customHeight="1">
      <c r="A14" s="100" t="s">
        <v>108</v>
      </c>
      <c r="B14" s="101">
        <v>3317.85</v>
      </c>
      <c r="C14" s="105">
        <f>1015.8-15</f>
        <v>1000.8</v>
      </c>
      <c r="D14" s="102" t="s">
        <v>60</v>
      </c>
      <c r="E14" s="102" t="s">
        <v>60</v>
      </c>
      <c r="F14" s="101">
        <f t="shared" ref="F14:F15" si="0">SUM(C14:E14)</f>
        <v>1000.8</v>
      </c>
      <c r="G14" s="102" t="s">
        <v>60</v>
      </c>
      <c r="H14" s="102" t="s">
        <v>60</v>
      </c>
      <c r="I14" s="3312"/>
      <c r="J14" s="3313"/>
      <c r="K14" s="104"/>
      <c r="L14" s="94"/>
      <c r="M14" s="94"/>
      <c r="N14" s="94"/>
      <c r="O14" s="94"/>
      <c r="P14" s="94"/>
      <c r="Q14" s="94"/>
      <c r="R14" s="94"/>
      <c r="S14" s="94"/>
      <c r="T14" s="94"/>
    </row>
    <row r="15" spans="1:20" s="93" customFormat="1" ht="18" customHeight="1">
      <c r="A15" s="100" t="s">
        <v>109</v>
      </c>
      <c r="B15" s="106">
        <v>3317.85</v>
      </c>
      <c r="C15" s="107">
        <v>805.5</v>
      </c>
      <c r="D15" s="107" t="s">
        <v>60</v>
      </c>
      <c r="E15" s="107" t="s">
        <v>60</v>
      </c>
      <c r="F15" s="106">
        <f t="shared" si="0"/>
        <v>805.5</v>
      </c>
      <c r="G15" s="107" t="s">
        <v>60</v>
      </c>
      <c r="H15" s="108" t="s">
        <v>60</v>
      </c>
      <c r="I15" s="109"/>
      <c r="J15" s="109"/>
      <c r="K15" s="104"/>
      <c r="L15" s="94"/>
      <c r="M15" s="94"/>
      <c r="N15" s="94"/>
      <c r="O15" s="94"/>
      <c r="P15" s="94"/>
      <c r="Q15" s="94"/>
      <c r="R15" s="94"/>
      <c r="S15" s="94"/>
      <c r="T15" s="94"/>
    </row>
    <row r="16" spans="1:20" s="115" customFormat="1" ht="18" customHeight="1">
      <c r="A16" s="110">
        <v>41821</v>
      </c>
      <c r="B16" s="111">
        <v>6032.2</v>
      </c>
      <c r="C16" s="112">
        <v>1578.7</v>
      </c>
      <c r="D16" s="112">
        <v>200</v>
      </c>
      <c r="E16" s="112">
        <v>6.3</v>
      </c>
      <c r="F16" s="112">
        <v>1785</v>
      </c>
      <c r="G16" s="113">
        <v>3.27</v>
      </c>
      <c r="H16" s="114">
        <v>3.75</v>
      </c>
      <c r="J16" s="116"/>
      <c r="K16" s="117"/>
      <c r="L16" s="117"/>
      <c r="M16" s="117"/>
      <c r="N16" s="117"/>
      <c r="O16" s="117"/>
      <c r="P16" s="117"/>
      <c r="Q16" s="117"/>
      <c r="R16" s="117"/>
      <c r="S16" s="117"/>
      <c r="T16" s="117"/>
    </row>
    <row r="17" spans="1:20" s="115" customFormat="1" ht="18" customHeight="1">
      <c r="A17" s="110">
        <v>41852</v>
      </c>
      <c r="B17" s="111">
        <v>5805.4</v>
      </c>
      <c r="C17" s="112">
        <v>978.59999999999991</v>
      </c>
      <c r="D17" s="112">
        <v>50</v>
      </c>
      <c r="E17" s="112">
        <v>1.9</v>
      </c>
      <c r="F17" s="112">
        <v>1030.5</v>
      </c>
      <c r="G17" s="113">
        <v>3.3</v>
      </c>
      <c r="H17" s="114" t="s">
        <v>60</v>
      </c>
      <c r="J17" s="118"/>
      <c r="K17" s="117"/>
      <c r="L17" s="117"/>
      <c r="M17" s="117"/>
      <c r="N17" s="117"/>
      <c r="O17" s="117"/>
      <c r="P17" s="117"/>
      <c r="Q17" s="117"/>
      <c r="R17" s="117"/>
      <c r="S17" s="117"/>
      <c r="T17" s="117"/>
    </row>
    <row r="18" spans="1:20" s="115" customFormat="1" ht="18" customHeight="1">
      <c r="A18" s="110">
        <v>41883</v>
      </c>
      <c r="B18" s="111">
        <v>5563.35</v>
      </c>
      <c r="C18" s="112">
        <v>313.10000000000002</v>
      </c>
      <c r="D18" s="112" t="s">
        <v>60</v>
      </c>
      <c r="E18" s="112">
        <v>2</v>
      </c>
      <c r="F18" s="112">
        <v>315.10000000000002</v>
      </c>
      <c r="G18" s="113" t="s">
        <v>60</v>
      </c>
      <c r="H18" s="114">
        <v>3.7</v>
      </c>
      <c r="J18" s="118"/>
      <c r="K18" s="117"/>
      <c r="L18" s="117"/>
      <c r="M18" s="117"/>
      <c r="N18" s="117"/>
      <c r="O18" s="117"/>
      <c r="P18" s="117"/>
      <c r="Q18" s="117"/>
      <c r="R18" s="117"/>
      <c r="S18" s="117"/>
      <c r="T18" s="117"/>
    </row>
    <row r="19" spans="1:20" s="115" customFormat="1" ht="18" customHeight="1">
      <c r="A19" s="110">
        <v>41913</v>
      </c>
      <c r="B19" s="111">
        <v>5000.7</v>
      </c>
      <c r="C19" s="112">
        <v>774.6</v>
      </c>
      <c r="D19" s="112" t="s">
        <v>60</v>
      </c>
      <c r="E19" s="112" t="s">
        <v>60</v>
      </c>
      <c r="F19" s="112">
        <v>774.85</v>
      </c>
      <c r="G19" s="113">
        <v>3.1</v>
      </c>
      <c r="H19" s="114" t="s">
        <v>60</v>
      </c>
      <c r="J19" s="118"/>
      <c r="K19" s="117"/>
      <c r="L19" s="117"/>
      <c r="M19" s="117"/>
      <c r="N19" s="117"/>
      <c r="O19" s="117"/>
      <c r="P19" s="117"/>
      <c r="Q19" s="117"/>
      <c r="R19" s="117"/>
      <c r="S19" s="117"/>
      <c r="T19" s="117"/>
    </row>
    <row r="20" spans="1:20" s="115" customFormat="1" ht="18" customHeight="1">
      <c r="A20" s="110">
        <v>41944</v>
      </c>
      <c r="B20" s="111">
        <v>4558.8500000000004</v>
      </c>
      <c r="C20" s="112">
        <v>1065.9000000000001</v>
      </c>
      <c r="D20" s="112" t="s">
        <v>60</v>
      </c>
      <c r="E20" s="112" t="s">
        <v>60</v>
      </c>
      <c r="F20" s="112">
        <v>1065.9000000000001</v>
      </c>
      <c r="G20" s="113" t="s">
        <v>60</v>
      </c>
      <c r="H20" s="114" t="s">
        <v>60</v>
      </c>
      <c r="J20" s="118"/>
      <c r="K20" s="117"/>
      <c r="L20" s="117"/>
      <c r="M20" s="117"/>
      <c r="N20" s="117"/>
      <c r="O20" s="117"/>
      <c r="P20" s="117"/>
      <c r="Q20" s="117"/>
      <c r="R20" s="117"/>
      <c r="S20" s="117"/>
      <c r="T20" s="117"/>
    </row>
    <row r="21" spans="1:20" s="115" customFormat="1" ht="18" customHeight="1">
      <c r="A21" s="110">
        <v>41974</v>
      </c>
      <c r="B21" s="111">
        <v>4120.6499999999996</v>
      </c>
      <c r="C21" s="112">
        <v>825.09999999999991</v>
      </c>
      <c r="D21" s="112" t="s">
        <v>60</v>
      </c>
      <c r="E21" s="112" t="s">
        <v>60</v>
      </c>
      <c r="F21" s="112">
        <v>825.09999999999991</v>
      </c>
      <c r="G21" s="113" t="s">
        <v>60</v>
      </c>
      <c r="H21" s="114" t="s">
        <v>60</v>
      </c>
      <c r="J21" s="118"/>
      <c r="K21" s="117"/>
      <c r="L21" s="117"/>
      <c r="M21" s="117"/>
      <c r="N21" s="117"/>
      <c r="O21" s="117"/>
      <c r="P21" s="117"/>
      <c r="Q21" s="117"/>
      <c r="R21" s="117"/>
      <c r="S21" s="117"/>
      <c r="T21" s="117"/>
    </row>
    <row r="22" spans="1:20" s="115" customFormat="1" ht="18" customHeight="1">
      <c r="A22" s="110">
        <v>42005</v>
      </c>
      <c r="B22" s="111">
        <v>3951</v>
      </c>
      <c r="C22" s="112">
        <v>210</v>
      </c>
      <c r="D22" s="112" t="s">
        <v>60</v>
      </c>
      <c r="E22" s="112" t="s">
        <v>60</v>
      </c>
      <c r="F22" s="112">
        <v>210</v>
      </c>
      <c r="G22" s="113" t="s">
        <v>60</v>
      </c>
      <c r="H22" s="114" t="s">
        <v>60</v>
      </c>
      <c r="J22" s="118"/>
      <c r="K22" s="117"/>
      <c r="L22" s="117"/>
      <c r="M22" s="117"/>
      <c r="N22" s="117"/>
      <c r="O22" s="117"/>
      <c r="P22" s="117"/>
      <c r="Q22" s="117"/>
      <c r="R22" s="117"/>
      <c r="S22" s="117"/>
      <c r="T22" s="117"/>
    </row>
    <row r="23" spans="1:20" s="115" customFormat="1" ht="18" customHeight="1">
      <c r="A23" s="110">
        <v>42062</v>
      </c>
      <c r="B23" s="111">
        <v>3841</v>
      </c>
      <c r="C23" s="112">
        <v>1325</v>
      </c>
      <c r="D23" s="112"/>
      <c r="E23" s="112"/>
      <c r="F23" s="112">
        <v>1325</v>
      </c>
      <c r="G23" s="113"/>
      <c r="H23" s="114"/>
      <c r="J23" s="118"/>
      <c r="K23" s="117"/>
      <c r="L23" s="117"/>
      <c r="M23" s="117"/>
      <c r="N23" s="117"/>
      <c r="O23" s="117"/>
      <c r="P23" s="117"/>
      <c r="Q23" s="117"/>
      <c r="R23" s="117"/>
      <c r="S23" s="117"/>
      <c r="T23" s="117"/>
    </row>
    <row r="24" spans="1:20" s="115" customFormat="1" ht="18" customHeight="1">
      <c r="A24" s="110">
        <v>42094</v>
      </c>
      <c r="B24" s="119">
        <v>3738</v>
      </c>
      <c r="C24" s="112">
        <v>944</v>
      </c>
      <c r="D24" s="112" t="s">
        <v>60</v>
      </c>
      <c r="E24" s="120" t="s">
        <v>60</v>
      </c>
      <c r="F24" s="112">
        <v>944</v>
      </c>
      <c r="G24" s="105" t="s">
        <v>60</v>
      </c>
      <c r="H24" s="121" t="s">
        <v>60</v>
      </c>
      <c r="J24" s="118"/>
      <c r="K24" s="117"/>
      <c r="L24" s="117"/>
      <c r="M24" s="117"/>
      <c r="N24" s="117"/>
      <c r="O24" s="117"/>
      <c r="P24" s="117"/>
      <c r="Q24" s="117"/>
      <c r="R24" s="117"/>
      <c r="S24" s="117"/>
      <c r="T24" s="117"/>
    </row>
    <row r="25" spans="1:20" s="115" customFormat="1" ht="18" customHeight="1">
      <c r="A25" s="110">
        <v>42124</v>
      </c>
      <c r="B25" s="119">
        <v>3567.85</v>
      </c>
      <c r="C25" s="112">
        <v>1744.9</v>
      </c>
      <c r="D25" s="112" t="s">
        <v>60</v>
      </c>
      <c r="E25" s="120" t="s">
        <v>60</v>
      </c>
      <c r="F25" s="112">
        <v>1744.9</v>
      </c>
      <c r="G25" s="105" t="s">
        <v>60</v>
      </c>
      <c r="H25" s="121" t="s">
        <v>60</v>
      </c>
      <c r="J25" s="118"/>
      <c r="K25" s="117"/>
      <c r="L25" s="117"/>
      <c r="M25" s="117"/>
      <c r="N25" s="117"/>
      <c r="O25" s="117"/>
      <c r="P25" s="117"/>
      <c r="Q25" s="117"/>
      <c r="R25" s="117"/>
      <c r="S25" s="117"/>
      <c r="T25" s="117"/>
    </row>
    <row r="26" spans="1:20" s="115" customFormat="1" ht="18" customHeight="1">
      <c r="A26" s="110">
        <v>42155</v>
      </c>
      <c r="B26" s="119">
        <v>3467.85</v>
      </c>
      <c r="C26" s="112">
        <v>613.79999999999995</v>
      </c>
      <c r="D26" s="112" t="s">
        <v>60</v>
      </c>
      <c r="E26" s="120" t="s">
        <v>60</v>
      </c>
      <c r="F26" s="112">
        <v>613.79999999999995</v>
      </c>
      <c r="G26" s="105" t="s">
        <v>60</v>
      </c>
      <c r="H26" s="121" t="s">
        <v>60</v>
      </c>
      <c r="J26" s="118"/>
      <c r="K26" s="117"/>
      <c r="L26" s="117"/>
      <c r="M26" s="117"/>
      <c r="N26" s="117"/>
      <c r="O26" s="117"/>
      <c r="P26" s="117"/>
      <c r="Q26" s="117"/>
      <c r="R26" s="117"/>
      <c r="S26" s="117"/>
      <c r="T26" s="117"/>
    </row>
    <row r="27" spans="1:20" s="115" customFormat="1" ht="18" customHeight="1">
      <c r="A27" s="110">
        <v>42185</v>
      </c>
      <c r="B27" s="119">
        <v>3417.85</v>
      </c>
      <c r="C27" s="112">
        <v>1436.1</v>
      </c>
      <c r="D27" s="112" t="s">
        <v>60</v>
      </c>
      <c r="E27" s="120" t="s">
        <v>60</v>
      </c>
      <c r="F27" s="112">
        <v>1436.1</v>
      </c>
      <c r="G27" s="105" t="s">
        <v>60</v>
      </c>
      <c r="H27" s="121" t="s">
        <v>60</v>
      </c>
      <c r="J27" s="118"/>
      <c r="K27" s="117"/>
      <c r="L27" s="117"/>
      <c r="M27" s="117"/>
      <c r="N27" s="117"/>
      <c r="O27" s="117"/>
      <c r="P27" s="117"/>
      <c r="Q27" s="117"/>
      <c r="R27" s="117"/>
      <c r="S27" s="117"/>
      <c r="T27" s="117"/>
    </row>
    <row r="28" spans="1:20" s="115" customFormat="1" ht="18" customHeight="1" thickBot="1">
      <c r="A28" s="122">
        <v>42216</v>
      </c>
      <c r="B28" s="123">
        <f>B14</f>
        <v>3317.85</v>
      </c>
      <c r="C28" s="124">
        <f>SUM(C11:C15)</f>
        <v>2278.4</v>
      </c>
      <c r="D28" s="125" t="s">
        <v>60</v>
      </c>
      <c r="E28" s="126" t="s">
        <v>60</v>
      </c>
      <c r="F28" s="124">
        <f>SUM(F11:F15)</f>
        <v>2278.4</v>
      </c>
      <c r="G28" s="125" t="s">
        <v>60</v>
      </c>
      <c r="H28" s="127" t="s">
        <v>60</v>
      </c>
      <c r="J28" s="118"/>
      <c r="K28" s="117"/>
      <c r="L28" s="117"/>
      <c r="M28" s="117"/>
      <c r="N28" s="117"/>
      <c r="O28" s="117"/>
      <c r="P28" s="117"/>
      <c r="Q28" s="117"/>
      <c r="R28" s="117"/>
      <c r="S28" s="117"/>
      <c r="T28" s="117"/>
    </row>
    <row r="29" spans="1:20" s="115" customFormat="1" ht="19.5" customHeight="1">
      <c r="A29" s="128" t="s">
        <v>110</v>
      </c>
      <c r="B29" s="129"/>
      <c r="D29" s="130"/>
      <c r="E29" s="130"/>
      <c r="F29" s="130"/>
      <c r="G29" s="130"/>
      <c r="H29" s="130"/>
      <c r="K29" s="131"/>
      <c r="L29" s="117"/>
      <c r="M29" s="117"/>
      <c r="N29" s="117"/>
      <c r="O29" s="117"/>
      <c r="P29" s="117"/>
      <c r="Q29" s="117"/>
      <c r="R29" s="117"/>
      <c r="S29" s="117"/>
      <c r="T29" s="117"/>
    </row>
    <row r="30" spans="1:20" s="115" customFormat="1" ht="17.25" customHeight="1">
      <c r="A30" s="3314" t="s">
        <v>111</v>
      </c>
      <c r="B30" s="3314"/>
      <c r="C30" s="3314"/>
      <c r="D30" s="3314"/>
      <c r="E30" s="3314"/>
      <c r="F30" s="3314"/>
      <c r="G30" s="3314"/>
      <c r="H30" s="3314"/>
      <c r="K30" s="117"/>
      <c r="L30" s="117"/>
      <c r="M30" s="117"/>
      <c r="N30" s="117"/>
      <c r="O30" s="117"/>
      <c r="P30" s="117"/>
      <c r="Q30" s="117"/>
      <c r="R30" s="117"/>
      <c r="S30" s="117"/>
      <c r="T30" s="117"/>
    </row>
    <row r="31" spans="1:20" s="115" customFormat="1" ht="18" customHeight="1">
      <c r="A31" s="3311" t="s">
        <v>112</v>
      </c>
      <c r="B31" s="3311"/>
      <c r="C31" s="3311"/>
      <c r="D31" s="3311"/>
      <c r="E31" s="3311" t="s">
        <v>113</v>
      </c>
      <c r="F31" s="3311"/>
      <c r="G31" s="3311"/>
      <c r="H31" s="3311"/>
      <c r="K31" s="117"/>
      <c r="L31" s="117"/>
      <c r="M31" s="117"/>
      <c r="N31" s="117"/>
      <c r="O31" s="117"/>
      <c r="P31" s="117"/>
      <c r="Q31" s="117"/>
      <c r="R31" s="117"/>
      <c r="S31" s="117"/>
      <c r="T31" s="117"/>
    </row>
    <row r="32" spans="1:20" s="132" customFormat="1" ht="18" customHeight="1">
      <c r="A32" s="132" t="s">
        <v>114</v>
      </c>
      <c r="K32" s="133"/>
      <c r="L32" s="133"/>
      <c r="M32" s="133"/>
      <c r="N32" s="133"/>
      <c r="O32" s="133"/>
      <c r="P32" s="133"/>
      <c r="Q32" s="133"/>
      <c r="R32" s="133"/>
      <c r="S32" s="133"/>
      <c r="T32" s="133"/>
    </row>
    <row r="33" spans="1:20" s="135" customFormat="1">
      <c r="A33" s="132"/>
      <c r="B33" s="132"/>
      <c r="C33" s="132"/>
      <c r="D33" s="132"/>
      <c r="E33" s="132"/>
      <c r="F33" s="134"/>
      <c r="G33" s="132"/>
      <c r="H33" s="132"/>
      <c r="I33" s="132"/>
      <c r="J33" s="132"/>
    </row>
    <row r="34" spans="1:20" s="135" customFormat="1">
      <c r="A34" s="132"/>
      <c r="B34" s="132"/>
      <c r="C34" s="132"/>
      <c r="D34" s="132"/>
      <c r="E34" s="132"/>
      <c r="F34" s="132"/>
      <c r="G34" s="132"/>
      <c r="H34" s="132"/>
    </row>
    <row r="35" spans="1:20" s="132" customFormat="1" ht="18" customHeight="1">
      <c r="A35" s="80"/>
      <c r="B35" s="80"/>
      <c r="C35" s="80"/>
      <c r="D35" s="80"/>
      <c r="E35" s="80"/>
      <c r="F35" s="80"/>
      <c r="G35" s="80"/>
      <c r="H35" s="80"/>
      <c r="K35" s="133"/>
      <c r="L35" s="133"/>
      <c r="M35" s="133"/>
      <c r="N35" s="133"/>
      <c r="O35" s="133"/>
      <c r="P35" s="133"/>
      <c r="Q35" s="133"/>
      <c r="R35" s="133"/>
      <c r="S35" s="133"/>
      <c r="T35" s="133"/>
    </row>
  </sheetData>
  <mergeCells count="7">
    <mergeCell ref="A31:D31"/>
    <mergeCell ref="E31:H31"/>
    <mergeCell ref="I11:J11"/>
    <mergeCell ref="I12:J12"/>
    <mergeCell ref="I13:J13"/>
    <mergeCell ref="I14:J14"/>
    <mergeCell ref="A30:H30"/>
  </mergeCells>
  <printOptions horizontalCentered="1"/>
  <pageMargins left="0.74803149606299213" right="0.23622047244094491" top="0.59055118110236227" bottom="0.59055118110236227" header="0.86614173228346458" footer="0"/>
  <pageSetup paperSize="9" scale="8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3"/>
  <sheetViews>
    <sheetView zoomScaleNormal="100" workbookViewId="0">
      <selection activeCell="S368" sqref="S368"/>
    </sheetView>
  </sheetViews>
  <sheetFormatPr defaultRowHeight="15"/>
  <cols>
    <col min="1" max="1" width="9.140625" style="2573"/>
    <col min="2" max="2" width="15.7109375" style="2573" customWidth="1"/>
    <col min="3" max="3" width="9.140625" style="2573"/>
    <col min="4" max="4" width="9.5703125" style="2573" customWidth="1"/>
    <col min="5" max="5" width="10.5703125" style="2573" customWidth="1"/>
    <col min="6" max="6" width="10.42578125" style="2573" customWidth="1"/>
    <col min="7" max="7" width="14.42578125" style="2573" customWidth="1"/>
    <col min="8" max="8" width="13.85546875" style="2573" customWidth="1"/>
    <col min="9" max="9" width="10.140625" style="2573" hidden="1" customWidth="1"/>
    <col min="10" max="10" width="4.5703125" style="2573" customWidth="1"/>
    <col min="11" max="16384" width="9.140625" style="2573"/>
  </cols>
  <sheetData>
    <row r="1" spans="2:15" ht="18.75" customHeight="1">
      <c r="B1" s="44" t="s">
        <v>3916</v>
      </c>
      <c r="C1" s="44"/>
      <c r="D1" s="44"/>
      <c r="E1" s="44"/>
      <c r="F1" s="44"/>
      <c r="G1" s="44"/>
      <c r="H1" s="44"/>
    </row>
    <row r="2" spans="2:15" ht="9" customHeight="1" thickBot="1">
      <c r="B2" s="2575"/>
      <c r="J2" s="2573" t="s">
        <v>42</v>
      </c>
    </row>
    <row r="3" spans="2:15" ht="15" customHeight="1" thickTop="1">
      <c r="B3" s="2665" t="s">
        <v>78</v>
      </c>
      <c r="C3" s="2666" t="s">
        <v>3917</v>
      </c>
      <c r="D3" s="2667"/>
      <c r="E3" s="2667"/>
      <c r="F3" s="2668" t="s">
        <v>3918</v>
      </c>
      <c r="G3" s="2668" t="s">
        <v>3186</v>
      </c>
      <c r="H3" s="2668" t="s">
        <v>2069</v>
      </c>
      <c r="I3" s="2669" t="s">
        <v>3919</v>
      </c>
      <c r="J3" s="2573" t="s">
        <v>42</v>
      </c>
    </row>
    <row r="4" spans="2:15" ht="17.25" customHeight="1" thickBot="1">
      <c r="B4" s="2670"/>
      <c r="C4" s="2671"/>
      <c r="D4" s="2672"/>
      <c r="E4" s="2673"/>
      <c r="F4" s="2674" t="s">
        <v>3920</v>
      </c>
      <c r="G4" s="2674" t="s">
        <v>2350</v>
      </c>
      <c r="H4" s="2674" t="s">
        <v>3921</v>
      </c>
      <c r="I4" s="2675" t="s">
        <v>3922</v>
      </c>
    </row>
    <row r="5" spans="2:15" ht="17.25" customHeight="1" thickBot="1">
      <c r="B5" s="2670"/>
      <c r="C5" s="2676" t="s">
        <v>2802</v>
      </c>
      <c r="D5" s="2677" t="s">
        <v>2803</v>
      </c>
      <c r="E5" s="2678" t="s">
        <v>81</v>
      </c>
      <c r="F5" s="2679"/>
      <c r="G5" s="2679" t="s">
        <v>3923</v>
      </c>
      <c r="H5" s="2679" t="s">
        <v>3924</v>
      </c>
      <c r="I5" s="2680"/>
    </row>
    <row r="6" spans="2:15" ht="14.1" customHeight="1" thickBot="1">
      <c r="B6" s="2681"/>
      <c r="C6" s="3315" t="s">
        <v>49</v>
      </c>
      <c r="D6" s="3316"/>
      <c r="E6" s="3316"/>
      <c r="F6" s="3317"/>
      <c r="G6" s="3318" t="s">
        <v>2055</v>
      </c>
      <c r="H6" s="3317"/>
      <c r="I6" s="2682"/>
    </row>
    <row r="7" spans="2:15" ht="15" customHeight="1" thickTop="1">
      <c r="B7" s="2683">
        <v>42186</v>
      </c>
      <c r="C7" s="2684"/>
      <c r="D7" s="2685"/>
      <c r="E7" s="2686"/>
      <c r="F7" s="54"/>
      <c r="G7" s="2687"/>
      <c r="H7" s="2687"/>
      <c r="I7" s="2688"/>
    </row>
    <row r="8" spans="2:15" ht="15" customHeight="1">
      <c r="B8" s="2689" t="s">
        <v>3925</v>
      </c>
      <c r="C8" s="2690">
        <v>100</v>
      </c>
      <c r="D8" s="54">
        <v>100</v>
      </c>
      <c r="E8" s="2691">
        <v>100</v>
      </c>
      <c r="F8" s="54">
        <v>100</v>
      </c>
      <c r="G8" s="2692">
        <v>1</v>
      </c>
      <c r="H8" s="2692">
        <v>1</v>
      </c>
      <c r="I8" s="2693"/>
      <c r="J8" s="2694"/>
      <c r="K8" s="2695"/>
      <c r="L8" s="2696"/>
      <c r="M8" s="2697"/>
      <c r="N8" s="2698"/>
      <c r="O8" s="2699"/>
    </row>
    <row r="9" spans="2:15" ht="15" customHeight="1">
      <c r="B9" s="2689" t="s">
        <v>3926</v>
      </c>
      <c r="C9" s="2690">
        <v>25</v>
      </c>
      <c r="D9" s="54">
        <v>60</v>
      </c>
      <c r="E9" s="2691">
        <v>295</v>
      </c>
      <c r="F9" s="54">
        <v>49.17</v>
      </c>
      <c r="G9" s="2692">
        <v>1</v>
      </c>
      <c r="H9" s="2692">
        <v>1</v>
      </c>
      <c r="I9" s="2693"/>
      <c r="J9" s="2694"/>
      <c r="K9" s="2695"/>
      <c r="L9" s="2696"/>
      <c r="M9" s="2697"/>
      <c r="N9" s="2698"/>
      <c r="O9" s="2699"/>
    </row>
    <row r="10" spans="2:15" ht="15" customHeight="1">
      <c r="B10" s="2689" t="s">
        <v>3927</v>
      </c>
      <c r="C10" s="2690" t="s">
        <v>60</v>
      </c>
      <c r="D10" s="54" t="s">
        <v>60</v>
      </c>
      <c r="E10" s="2691" t="s">
        <v>60</v>
      </c>
      <c r="F10" s="54" t="s">
        <v>60</v>
      </c>
      <c r="G10" s="2692" t="s">
        <v>60</v>
      </c>
      <c r="H10" s="2692" t="s">
        <v>60</v>
      </c>
      <c r="I10" s="2693"/>
      <c r="J10" s="2694"/>
      <c r="K10" s="2695"/>
      <c r="L10" s="2696"/>
      <c r="M10" s="2697"/>
      <c r="N10" s="2698"/>
      <c r="O10" s="2699"/>
    </row>
    <row r="11" spans="2:15" ht="15" customHeight="1">
      <c r="B11" s="2689" t="s">
        <v>3928</v>
      </c>
      <c r="C11" s="2690" t="s">
        <v>60</v>
      </c>
      <c r="D11" s="54" t="s">
        <v>60</v>
      </c>
      <c r="E11" s="2691" t="s">
        <v>60</v>
      </c>
      <c r="F11" s="54" t="s">
        <v>60</v>
      </c>
      <c r="G11" s="2692" t="s">
        <v>60</v>
      </c>
      <c r="H11" s="2692" t="s">
        <v>60</v>
      </c>
      <c r="I11" s="2693"/>
      <c r="J11" s="2694"/>
      <c r="K11" s="2695"/>
      <c r="L11" s="2697"/>
      <c r="M11" s="2697"/>
      <c r="N11" s="2698"/>
      <c r="O11" s="2699"/>
    </row>
    <row r="12" spans="2:15" ht="15" customHeight="1">
      <c r="B12" s="2689" t="s">
        <v>3929</v>
      </c>
      <c r="C12" s="2690">
        <v>50</v>
      </c>
      <c r="D12" s="54">
        <v>50</v>
      </c>
      <c r="E12" s="2691">
        <v>50</v>
      </c>
      <c r="F12" s="54">
        <v>50</v>
      </c>
      <c r="G12" s="2692">
        <v>0.9</v>
      </c>
      <c r="H12" s="2692">
        <v>0.9</v>
      </c>
      <c r="I12" s="2693"/>
      <c r="J12" s="2694"/>
      <c r="K12" s="2695"/>
      <c r="L12" s="2697"/>
      <c r="M12" s="2697"/>
      <c r="N12" s="2698"/>
      <c r="O12" s="2699"/>
    </row>
    <row r="13" spans="2:15" ht="15" customHeight="1">
      <c r="B13" s="2689">
        <v>42216</v>
      </c>
      <c r="C13" s="2690" t="s">
        <v>60</v>
      </c>
      <c r="D13" s="54" t="s">
        <v>60</v>
      </c>
      <c r="E13" s="2691" t="s">
        <v>60</v>
      </c>
      <c r="F13" s="54" t="s">
        <v>60</v>
      </c>
      <c r="G13" s="2692" t="s">
        <v>60</v>
      </c>
      <c r="H13" s="2692" t="s">
        <v>60</v>
      </c>
      <c r="I13" s="2693"/>
      <c r="J13" s="2694"/>
      <c r="K13" s="2695"/>
      <c r="L13" s="2697"/>
      <c r="M13" s="2697"/>
      <c r="N13" s="2698"/>
      <c r="O13" s="2699"/>
    </row>
    <row r="14" spans="2:15" ht="9.75" customHeight="1">
      <c r="B14" s="2700"/>
      <c r="C14" s="2701"/>
      <c r="D14" s="2702"/>
      <c r="E14" s="2703"/>
      <c r="F14" s="2702"/>
      <c r="G14" s="2704"/>
      <c r="H14" s="2704"/>
      <c r="I14" s="2705"/>
      <c r="J14" s="2694"/>
      <c r="K14" s="2697"/>
      <c r="L14" s="2697"/>
      <c r="M14" s="2706"/>
      <c r="N14" s="2698"/>
      <c r="O14" s="2699"/>
    </row>
    <row r="15" spans="2:15" ht="15" hidden="1" customHeight="1">
      <c r="B15" s="2707"/>
      <c r="C15" s="2708"/>
      <c r="D15" s="54"/>
      <c r="E15" s="2686"/>
      <c r="F15" s="54"/>
      <c r="G15" s="2687"/>
      <c r="H15" s="2687"/>
      <c r="I15" s="2693"/>
      <c r="J15" s="2709"/>
      <c r="K15" s="2698"/>
      <c r="L15" s="2710">
        <f>SUM(L8:L14)</f>
        <v>0</v>
      </c>
      <c r="M15" s="2698"/>
      <c r="N15" s="2710">
        <f>SUM(N8:N14)</f>
        <v>0</v>
      </c>
      <c r="O15" s="2699" t="e">
        <f>N15/L15</f>
        <v>#DIV/0!</v>
      </c>
    </row>
    <row r="16" spans="2:15" ht="15" hidden="1" customHeight="1">
      <c r="B16" s="2711">
        <v>36312</v>
      </c>
      <c r="C16" s="2708">
        <v>10</v>
      </c>
      <c r="D16" s="54">
        <v>230</v>
      </c>
      <c r="E16" s="2686">
        <v>2385</v>
      </c>
      <c r="F16" s="54">
        <v>80</v>
      </c>
      <c r="G16" s="2687" t="s">
        <v>3930</v>
      </c>
      <c r="H16" s="2687">
        <v>9.9600000000000009</v>
      </c>
      <c r="I16" s="2693">
        <v>12.61</v>
      </c>
      <c r="J16" s="2709"/>
    </row>
    <row r="17" spans="2:10" ht="15" hidden="1" customHeight="1">
      <c r="B17" s="2711">
        <v>36404</v>
      </c>
      <c r="C17" s="2708">
        <v>10</v>
      </c>
      <c r="D17" s="54">
        <v>120</v>
      </c>
      <c r="E17" s="2686">
        <v>1223</v>
      </c>
      <c r="F17" s="54">
        <v>52.96</v>
      </c>
      <c r="G17" s="2687" t="s">
        <v>3931</v>
      </c>
      <c r="H17" s="2687">
        <v>9.5630000000000006</v>
      </c>
      <c r="I17" s="2693">
        <v>12.72</v>
      </c>
      <c r="J17" s="2709"/>
    </row>
    <row r="18" spans="2:10" ht="15" hidden="1" customHeight="1">
      <c r="B18" s="2711">
        <v>36495</v>
      </c>
      <c r="C18" s="2708">
        <v>85</v>
      </c>
      <c r="D18" s="54">
        <v>500</v>
      </c>
      <c r="E18" s="2686">
        <v>6285</v>
      </c>
      <c r="F18" s="54">
        <v>273</v>
      </c>
      <c r="G18" s="2687" t="s">
        <v>3932</v>
      </c>
      <c r="H18" s="2687">
        <v>9.67</v>
      </c>
      <c r="I18" s="2693">
        <v>12.36</v>
      </c>
      <c r="J18" s="2709"/>
    </row>
    <row r="19" spans="2:10" ht="15" hidden="1" customHeight="1">
      <c r="B19" s="2712">
        <v>36586</v>
      </c>
      <c r="C19" s="2708">
        <v>10</v>
      </c>
      <c r="D19" s="54">
        <v>255</v>
      </c>
      <c r="E19" s="2686">
        <v>3163.2</v>
      </c>
      <c r="F19" s="54">
        <v>102</v>
      </c>
      <c r="G19" s="2687" t="s">
        <v>1458</v>
      </c>
      <c r="H19" s="2687">
        <v>9.1199999999999992</v>
      </c>
      <c r="I19" s="2693">
        <v>11.71</v>
      </c>
      <c r="J19" s="2709"/>
    </row>
    <row r="20" spans="2:10" ht="15" hidden="1" customHeight="1">
      <c r="B20" s="2711">
        <v>36678</v>
      </c>
      <c r="C20" s="2708">
        <v>20</v>
      </c>
      <c r="D20" s="54">
        <v>600</v>
      </c>
      <c r="E20" s="54">
        <v>3421</v>
      </c>
      <c r="F20" s="54">
        <v>118</v>
      </c>
      <c r="G20" s="2687" t="s">
        <v>1594</v>
      </c>
      <c r="H20" s="2687">
        <v>7.27</v>
      </c>
      <c r="I20" s="2693">
        <v>10.039999999999999</v>
      </c>
      <c r="J20" s="2709"/>
    </row>
    <row r="21" spans="2:10" ht="15" hidden="1" customHeight="1">
      <c r="B21" s="2711">
        <v>36708</v>
      </c>
      <c r="C21" s="2708">
        <v>10</v>
      </c>
      <c r="D21" s="54">
        <v>830</v>
      </c>
      <c r="E21" s="54">
        <v>6813</v>
      </c>
      <c r="F21" s="54">
        <v>243</v>
      </c>
      <c r="G21" s="2687" t="s">
        <v>3933</v>
      </c>
      <c r="H21" s="2687">
        <v>7.46</v>
      </c>
      <c r="I21" s="2713">
        <v>10.08</v>
      </c>
      <c r="J21" s="2709"/>
    </row>
    <row r="22" spans="2:10" ht="15" hidden="1" customHeight="1">
      <c r="B22" s="2711">
        <v>36739</v>
      </c>
      <c r="C22" s="2708">
        <v>25</v>
      </c>
      <c r="D22" s="54">
        <v>460</v>
      </c>
      <c r="E22" s="54">
        <v>6528</v>
      </c>
      <c r="F22" s="54">
        <v>211</v>
      </c>
      <c r="G22" s="2687" t="s">
        <v>1389</v>
      </c>
      <c r="H22" s="2687">
        <v>7.03</v>
      </c>
      <c r="I22" s="2713">
        <v>10.32</v>
      </c>
      <c r="J22" s="2709"/>
    </row>
    <row r="23" spans="2:10" ht="15" hidden="1" customHeight="1">
      <c r="B23" s="2711">
        <v>36770</v>
      </c>
      <c r="C23" s="2708">
        <v>30</v>
      </c>
      <c r="D23" s="54">
        <v>168</v>
      </c>
      <c r="E23" s="54">
        <v>2859</v>
      </c>
      <c r="F23" s="54">
        <v>95</v>
      </c>
      <c r="G23" s="2687" t="s">
        <v>3934</v>
      </c>
      <c r="H23" s="2687">
        <v>7.13</v>
      </c>
      <c r="I23" s="2713">
        <v>9.9550000000000001</v>
      </c>
      <c r="J23" s="2709"/>
    </row>
    <row r="24" spans="2:10" ht="15" hidden="1" customHeight="1">
      <c r="B24" s="2711">
        <v>36800</v>
      </c>
      <c r="C24" s="2708">
        <v>30</v>
      </c>
      <c r="D24" s="54">
        <v>270</v>
      </c>
      <c r="E24" s="54">
        <v>3581</v>
      </c>
      <c r="F24" s="54">
        <v>138</v>
      </c>
      <c r="G24" s="2687" t="s">
        <v>1516</v>
      </c>
      <c r="H24" s="2687">
        <v>7.48</v>
      </c>
      <c r="I24" s="2713">
        <v>10.16</v>
      </c>
      <c r="J24" s="2709"/>
    </row>
    <row r="25" spans="2:10" ht="15" hidden="1" customHeight="1">
      <c r="B25" s="2711">
        <v>36831</v>
      </c>
      <c r="C25" s="2708">
        <v>40</v>
      </c>
      <c r="D25" s="54">
        <v>201</v>
      </c>
      <c r="E25" s="54">
        <v>2859</v>
      </c>
      <c r="F25" s="54">
        <v>95</v>
      </c>
      <c r="G25" s="2687" t="s">
        <v>228</v>
      </c>
      <c r="H25" s="2687">
        <v>7.98</v>
      </c>
      <c r="I25" s="2713">
        <v>10.77</v>
      </c>
      <c r="J25" s="2709"/>
    </row>
    <row r="26" spans="2:10" ht="15" hidden="1" customHeight="1">
      <c r="B26" s="2711">
        <v>36861</v>
      </c>
      <c r="C26" s="2708">
        <v>16</v>
      </c>
      <c r="D26" s="54">
        <v>398</v>
      </c>
      <c r="E26" s="54">
        <v>5734</v>
      </c>
      <c r="F26" s="54">
        <v>185</v>
      </c>
      <c r="G26" s="2687" t="s">
        <v>1419</v>
      </c>
      <c r="H26" s="2687">
        <v>7.96</v>
      </c>
      <c r="I26" s="2713">
        <v>11.29</v>
      </c>
      <c r="J26" s="2709"/>
    </row>
    <row r="27" spans="2:10" ht="15" hidden="1" customHeight="1">
      <c r="B27" s="2711">
        <v>36892</v>
      </c>
      <c r="C27" s="2708">
        <v>10</v>
      </c>
      <c r="D27" s="54">
        <v>590</v>
      </c>
      <c r="E27" s="54">
        <v>4252</v>
      </c>
      <c r="F27" s="54">
        <v>185</v>
      </c>
      <c r="G27" s="2687" t="s">
        <v>1467</v>
      </c>
      <c r="H27" s="2687">
        <v>6.8</v>
      </c>
      <c r="I27" s="2713">
        <v>11.05</v>
      </c>
      <c r="J27" s="2709"/>
    </row>
    <row r="28" spans="2:10" ht="15" hidden="1" customHeight="1">
      <c r="B28" s="2711">
        <v>36923</v>
      </c>
      <c r="C28" s="2708">
        <v>30</v>
      </c>
      <c r="D28" s="54">
        <v>594</v>
      </c>
      <c r="E28" s="54">
        <v>4815</v>
      </c>
      <c r="F28" s="54">
        <v>172</v>
      </c>
      <c r="G28" s="2687" t="s">
        <v>3935</v>
      </c>
      <c r="H28" s="2687">
        <v>7.2584999999999997</v>
      </c>
      <c r="I28" s="2713">
        <v>11.2</v>
      </c>
      <c r="J28" s="2709"/>
    </row>
    <row r="29" spans="2:10" ht="15" hidden="1" customHeight="1">
      <c r="B29" s="2711">
        <v>36951</v>
      </c>
      <c r="C29" s="2708">
        <v>40</v>
      </c>
      <c r="D29" s="54">
        <v>410</v>
      </c>
      <c r="E29" s="54">
        <v>4583</v>
      </c>
      <c r="F29" s="54">
        <v>148</v>
      </c>
      <c r="G29" s="2687" t="s">
        <v>3936</v>
      </c>
      <c r="H29" s="2687">
        <v>7.5</v>
      </c>
      <c r="I29" s="2713">
        <v>10.67</v>
      </c>
      <c r="J29" s="2709"/>
    </row>
    <row r="30" spans="2:10" ht="15" hidden="1" customHeight="1">
      <c r="B30" s="2711">
        <v>36982</v>
      </c>
      <c r="C30" s="2708">
        <v>50</v>
      </c>
      <c r="D30" s="54">
        <v>560</v>
      </c>
      <c r="E30" s="54">
        <v>8724</v>
      </c>
      <c r="F30" s="54">
        <v>291</v>
      </c>
      <c r="G30" s="2687" t="s">
        <v>3937</v>
      </c>
      <c r="H30" s="2687">
        <v>7.8</v>
      </c>
      <c r="I30" s="2713">
        <v>11.01</v>
      </c>
      <c r="J30" s="2709"/>
    </row>
    <row r="31" spans="2:10" ht="15" hidden="1" customHeight="1">
      <c r="B31" s="2711">
        <v>37012</v>
      </c>
      <c r="C31" s="2708">
        <v>80</v>
      </c>
      <c r="D31" s="54">
        <v>435</v>
      </c>
      <c r="E31" s="54">
        <v>5942</v>
      </c>
      <c r="F31" s="54">
        <v>192</v>
      </c>
      <c r="G31" s="2687" t="s">
        <v>3938</v>
      </c>
      <c r="H31" s="2687">
        <v>8.43</v>
      </c>
      <c r="I31" s="2713">
        <v>11.53</v>
      </c>
      <c r="J31" s="2709"/>
    </row>
    <row r="32" spans="2:10" ht="15" hidden="1" customHeight="1">
      <c r="B32" s="2711">
        <v>37043</v>
      </c>
      <c r="C32" s="2708">
        <v>10</v>
      </c>
      <c r="D32" s="54">
        <v>570</v>
      </c>
      <c r="E32" s="54">
        <v>5355</v>
      </c>
      <c r="F32" s="54">
        <v>178.5</v>
      </c>
      <c r="G32" s="2687" t="s">
        <v>3939</v>
      </c>
      <c r="H32" s="2687">
        <v>7.29</v>
      </c>
      <c r="I32" s="2693">
        <v>11.12</v>
      </c>
      <c r="J32" s="2709"/>
    </row>
    <row r="33" spans="2:10" ht="15" hidden="1" customHeight="1">
      <c r="B33" s="2711">
        <v>37073</v>
      </c>
      <c r="C33" s="2708">
        <v>50</v>
      </c>
      <c r="D33" s="54">
        <v>570</v>
      </c>
      <c r="E33" s="54">
        <v>6170</v>
      </c>
      <c r="F33" s="54">
        <v>199</v>
      </c>
      <c r="G33" s="2687" t="s">
        <v>3934</v>
      </c>
      <c r="H33" s="2687">
        <v>7.18</v>
      </c>
      <c r="I33" s="2713">
        <v>11.03</v>
      </c>
      <c r="J33" s="2709"/>
    </row>
    <row r="34" spans="2:10" ht="15" hidden="1" customHeight="1">
      <c r="B34" s="2711">
        <v>37104</v>
      </c>
      <c r="C34" s="2708">
        <v>35</v>
      </c>
      <c r="D34" s="54">
        <v>482</v>
      </c>
      <c r="E34" s="54">
        <v>4954</v>
      </c>
      <c r="F34" s="54">
        <v>160</v>
      </c>
      <c r="G34" s="2687" t="s">
        <v>3940</v>
      </c>
      <c r="H34" s="2687">
        <v>7.28</v>
      </c>
      <c r="I34" s="2713">
        <v>10.51</v>
      </c>
      <c r="J34" s="2709"/>
    </row>
    <row r="35" spans="2:10" ht="15" hidden="1" customHeight="1">
      <c r="B35" s="2711">
        <v>37135</v>
      </c>
      <c r="C35" s="2708">
        <v>3</v>
      </c>
      <c r="D35" s="54">
        <v>333</v>
      </c>
      <c r="E35" s="54">
        <v>4828</v>
      </c>
      <c r="F35" s="54">
        <v>161</v>
      </c>
      <c r="G35" s="2687" t="s">
        <v>3941</v>
      </c>
      <c r="H35" s="2687">
        <v>7.13</v>
      </c>
      <c r="I35" s="2693">
        <v>10.14</v>
      </c>
      <c r="J35" s="2709"/>
    </row>
    <row r="36" spans="2:10" ht="15" hidden="1" customHeight="1">
      <c r="B36" s="2711">
        <v>37165</v>
      </c>
      <c r="C36" s="2708">
        <v>115</v>
      </c>
      <c r="D36" s="54">
        <v>615</v>
      </c>
      <c r="E36" s="54">
        <v>9010</v>
      </c>
      <c r="F36" s="54">
        <v>291</v>
      </c>
      <c r="G36" s="2687" t="s">
        <v>3942</v>
      </c>
      <c r="H36" s="2687">
        <v>7.12</v>
      </c>
      <c r="I36" s="2713">
        <v>10.36</v>
      </c>
      <c r="J36" s="2709"/>
    </row>
    <row r="37" spans="2:10" ht="15" hidden="1" customHeight="1">
      <c r="B37" s="2711">
        <v>37196</v>
      </c>
      <c r="C37" s="2708">
        <v>50</v>
      </c>
      <c r="D37" s="54">
        <v>720</v>
      </c>
      <c r="E37" s="54">
        <v>7487</v>
      </c>
      <c r="F37" s="54">
        <v>267</v>
      </c>
      <c r="G37" s="2687" t="s">
        <v>1763</v>
      </c>
      <c r="H37" s="2687">
        <v>6.86</v>
      </c>
      <c r="I37" s="2713">
        <v>9.89</v>
      </c>
      <c r="J37" s="2709"/>
    </row>
    <row r="38" spans="2:10" ht="15" hidden="1" customHeight="1">
      <c r="B38" s="2711">
        <v>37226</v>
      </c>
      <c r="C38" s="2708">
        <v>30</v>
      </c>
      <c r="D38" s="54">
        <v>895</v>
      </c>
      <c r="E38" s="54">
        <v>9060</v>
      </c>
      <c r="F38" s="54">
        <v>292</v>
      </c>
      <c r="G38" s="2687" t="s">
        <v>1390</v>
      </c>
      <c r="H38" s="2687">
        <v>6.95</v>
      </c>
      <c r="I38" s="2713">
        <v>10.27</v>
      </c>
      <c r="J38" s="2709"/>
    </row>
    <row r="39" spans="2:10" ht="15" hidden="1" customHeight="1">
      <c r="B39" s="2711">
        <v>37257</v>
      </c>
      <c r="C39" s="2708">
        <v>5</v>
      </c>
      <c r="D39" s="54">
        <v>310</v>
      </c>
      <c r="E39" s="2686">
        <v>3355</v>
      </c>
      <c r="F39" s="54">
        <v>116</v>
      </c>
      <c r="G39" s="2687" t="s">
        <v>3943</v>
      </c>
      <c r="H39" s="2687">
        <v>6.69</v>
      </c>
      <c r="I39" s="2693">
        <v>10.039999999999999</v>
      </c>
      <c r="J39" s="2709"/>
    </row>
    <row r="40" spans="2:10" ht="15" hidden="1" customHeight="1">
      <c r="B40" s="2711">
        <v>37316</v>
      </c>
      <c r="C40" s="2708">
        <v>5</v>
      </c>
      <c r="D40" s="54">
        <v>418</v>
      </c>
      <c r="E40" s="2686">
        <v>7338</v>
      </c>
      <c r="F40" s="54">
        <v>237</v>
      </c>
      <c r="G40" s="2687" t="s">
        <v>2033</v>
      </c>
      <c r="H40" s="2687">
        <v>6.63</v>
      </c>
      <c r="I40" s="2693">
        <v>9.9</v>
      </c>
      <c r="J40" s="2709"/>
    </row>
    <row r="41" spans="2:10" ht="15" hidden="1" customHeight="1">
      <c r="B41" s="2711">
        <v>37347</v>
      </c>
      <c r="C41" s="2708">
        <v>70</v>
      </c>
      <c r="D41" s="54">
        <v>310</v>
      </c>
      <c r="E41" s="2686">
        <v>5516</v>
      </c>
      <c r="F41" s="54">
        <v>184</v>
      </c>
      <c r="G41" s="2687" t="s">
        <v>3944</v>
      </c>
      <c r="H41" s="2687">
        <v>6.74</v>
      </c>
      <c r="I41" s="2693">
        <v>10.09</v>
      </c>
      <c r="J41" s="2709"/>
    </row>
    <row r="42" spans="2:10" ht="15" hidden="1" customHeight="1">
      <c r="B42" s="2711">
        <v>37377</v>
      </c>
      <c r="C42" s="2708">
        <v>30</v>
      </c>
      <c r="D42" s="54">
        <v>330</v>
      </c>
      <c r="E42" s="2686">
        <v>4300</v>
      </c>
      <c r="F42" s="54">
        <v>143</v>
      </c>
      <c r="G42" s="2687" t="s">
        <v>3945</v>
      </c>
      <c r="H42" s="2687">
        <v>6.43</v>
      </c>
      <c r="I42" s="2693">
        <v>10.02</v>
      </c>
      <c r="J42" s="2709"/>
    </row>
    <row r="43" spans="2:10" ht="15" hidden="1" customHeight="1">
      <c r="B43" s="2711">
        <v>37408</v>
      </c>
      <c r="C43" s="2708">
        <v>10</v>
      </c>
      <c r="D43" s="54">
        <v>390</v>
      </c>
      <c r="E43" s="2686">
        <v>2970</v>
      </c>
      <c r="F43" s="54">
        <v>149</v>
      </c>
      <c r="G43" s="2687" t="s">
        <v>3946</v>
      </c>
      <c r="H43" s="2687">
        <v>6.5</v>
      </c>
      <c r="I43" s="2693">
        <v>9.92</v>
      </c>
      <c r="J43" s="2709"/>
    </row>
    <row r="44" spans="2:10" ht="15" hidden="1" customHeight="1">
      <c r="B44" s="2711">
        <v>37438</v>
      </c>
      <c r="C44" s="2708">
        <v>10</v>
      </c>
      <c r="D44" s="54">
        <v>735</v>
      </c>
      <c r="E44" s="2686">
        <v>7661</v>
      </c>
      <c r="F44" s="54">
        <v>255</v>
      </c>
      <c r="G44" s="2687" t="s">
        <v>3947</v>
      </c>
      <c r="H44" s="2687">
        <v>5.73</v>
      </c>
      <c r="I44" s="2693">
        <v>9.89</v>
      </c>
      <c r="J44" s="2709"/>
    </row>
    <row r="45" spans="2:10" ht="15" hidden="1" customHeight="1">
      <c r="B45" s="2711">
        <v>37469</v>
      </c>
      <c r="C45" s="2708">
        <v>10</v>
      </c>
      <c r="D45" s="54">
        <v>455</v>
      </c>
      <c r="E45" s="2686">
        <v>8185</v>
      </c>
      <c r="F45" s="54">
        <v>264</v>
      </c>
      <c r="G45" s="2687" t="s">
        <v>3948</v>
      </c>
      <c r="H45" s="2687">
        <v>7.37</v>
      </c>
      <c r="I45" s="2693">
        <v>9.73</v>
      </c>
    </row>
    <row r="46" spans="2:10" ht="15" hidden="1" customHeight="1">
      <c r="B46" s="2711">
        <v>37500</v>
      </c>
      <c r="C46" s="2708">
        <v>205</v>
      </c>
      <c r="D46" s="54">
        <v>627</v>
      </c>
      <c r="E46" s="2686">
        <v>9421</v>
      </c>
      <c r="F46" s="54">
        <v>314</v>
      </c>
      <c r="G46" s="2687" t="s">
        <v>3949</v>
      </c>
      <c r="H46" s="2687">
        <v>7.74</v>
      </c>
      <c r="I46" s="2693">
        <v>9.65</v>
      </c>
    </row>
    <row r="47" spans="2:10" ht="15" hidden="1" customHeight="1">
      <c r="B47" s="2711">
        <v>37530</v>
      </c>
      <c r="C47" s="2708">
        <v>250</v>
      </c>
      <c r="D47" s="54">
        <v>812</v>
      </c>
      <c r="E47" s="2686">
        <v>17979</v>
      </c>
      <c r="F47" s="54">
        <v>580</v>
      </c>
      <c r="G47" s="2687" t="s">
        <v>3948</v>
      </c>
      <c r="H47" s="2687">
        <v>7.67</v>
      </c>
      <c r="I47" s="2693">
        <v>10.07</v>
      </c>
    </row>
    <row r="48" spans="2:10" ht="15" hidden="1" customHeight="1">
      <c r="B48" s="2711">
        <v>37561</v>
      </c>
      <c r="C48" s="2708">
        <v>20</v>
      </c>
      <c r="D48" s="54">
        <v>695</v>
      </c>
      <c r="E48" s="2686">
        <v>6205</v>
      </c>
      <c r="F48" s="54">
        <v>270</v>
      </c>
      <c r="G48" s="2687" t="s">
        <v>3949</v>
      </c>
      <c r="H48" s="2687">
        <v>7.42</v>
      </c>
      <c r="I48" s="2693">
        <v>9.59</v>
      </c>
    </row>
    <row r="49" spans="2:9" ht="15" hidden="1" customHeight="1">
      <c r="B49" s="2711">
        <v>37591</v>
      </c>
      <c r="C49" s="2708">
        <v>10</v>
      </c>
      <c r="D49" s="54">
        <v>235</v>
      </c>
      <c r="E49" s="2686">
        <v>2869</v>
      </c>
      <c r="F49" s="54">
        <v>125</v>
      </c>
      <c r="G49" s="2687" t="s">
        <v>3950</v>
      </c>
      <c r="H49" s="2687">
        <v>4.92</v>
      </c>
      <c r="I49" s="2693">
        <v>9.17</v>
      </c>
    </row>
    <row r="50" spans="2:9" ht="15" hidden="1" customHeight="1">
      <c r="B50" s="2711">
        <v>37622</v>
      </c>
      <c r="C50" s="2708">
        <v>90</v>
      </c>
      <c r="D50" s="54">
        <v>425</v>
      </c>
      <c r="E50" s="2686">
        <v>4318</v>
      </c>
      <c r="F50" s="54">
        <v>254</v>
      </c>
      <c r="G50" s="2687" t="s">
        <v>3951</v>
      </c>
      <c r="H50" s="2687">
        <v>3.72</v>
      </c>
      <c r="I50" s="2693">
        <v>9.0399999999999991</v>
      </c>
    </row>
    <row r="51" spans="2:9" ht="15" hidden="1" customHeight="1">
      <c r="B51" s="2711">
        <v>37653</v>
      </c>
      <c r="C51" s="2708">
        <v>15</v>
      </c>
      <c r="D51" s="54">
        <v>545</v>
      </c>
      <c r="E51" s="2686">
        <v>6869</v>
      </c>
      <c r="F51" s="54">
        <v>275</v>
      </c>
      <c r="G51" s="2687" t="s">
        <v>3952</v>
      </c>
      <c r="H51" s="2687">
        <v>4.75</v>
      </c>
      <c r="I51" s="2693">
        <v>8.59</v>
      </c>
    </row>
    <row r="52" spans="2:9" ht="15" hidden="1" customHeight="1">
      <c r="B52" s="2711">
        <v>37681</v>
      </c>
      <c r="C52" s="2708">
        <v>30</v>
      </c>
      <c r="D52" s="54">
        <v>200</v>
      </c>
      <c r="E52" s="2686">
        <v>2485</v>
      </c>
      <c r="F52" s="54">
        <v>124</v>
      </c>
      <c r="G52" s="2687" t="s">
        <v>3953</v>
      </c>
      <c r="H52" s="2687">
        <v>3.64</v>
      </c>
      <c r="I52" s="2693">
        <v>8.5500000000000007</v>
      </c>
    </row>
    <row r="53" spans="2:9" ht="15" hidden="1" customHeight="1">
      <c r="B53" s="2711">
        <v>37712</v>
      </c>
      <c r="C53" s="2708">
        <v>5</v>
      </c>
      <c r="D53" s="54">
        <v>530</v>
      </c>
      <c r="E53" s="2686">
        <v>4181</v>
      </c>
      <c r="F53" s="54">
        <v>144</v>
      </c>
      <c r="G53" s="2687" t="s">
        <v>3954</v>
      </c>
      <c r="H53" s="2687">
        <v>3.66</v>
      </c>
      <c r="I53" s="2693">
        <v>8.5073333333333316</v>
      </c>
    </row>
    <row r="54" spans="2:9" ht="15" hidden="1" customHeight="1">
      <c r="B54" s="2711">
        <v>37742</v>
      </c>
      <c r="C54" s="2708">
        <v>10</v>
      </c>
      <c r="D54" s="54">
        <v>565</v>
      </c>
      <c r="E54" s="2686">
        <v>6318</v>
      </c>
      <c r="F54" s="54">
        <v>218</v>
      </c>
      <c r="G54" s="2687" t="s">
        <v>3955</v>
      </c>
      <c r="H54" s="2687">
        <v>4.12</v>
      </c>
      <c r="I54" s="2693">
        <v>8.3699999999999992</v>
      </c>
    </row>
    <row r="55" spans="2:9" ht="15" hidden="1" customHeight="1">
      <c r="B55" s="2711">
        <v>37773</v>
      </c>
      <c r="C55" s="2708">
        <v>28</v>
      </c>
      <c r="D55" s="54">
        <v>275</v>
      </c>
      <c r="E55" s="2686">
        <v>2768</v>
      </c>
      <c r="F55" s="54">
        <v>115</v>
      </c>
      <c r="G55" s="2687" t="s">
        <v>3952</v>
      </c>
      <c r="H55" s="2687">
        <v>4.45</v>
      </c>
      <c r="I55" s="2693">
        <v>8.3699999999999992</v>
      </c>
    </row>
    <row r="56" spans="2:9" ht="15" hidden="1" customHeight="1">
      <c r="B56" s="2711">
        <v>37803</v>
      </c>
      <c r="C56" s="2708">
        <v>20</v>
      </c>
      <c r="D56" s="54">
        <v>975</v>
      </c>
      <c r="E56" s="2686">
        <v>12795</v>
      </c>
      <c r="F56" s="54">
        <v>413</v>
      </c>
      <c r="G56" s="2687" t="s">
        <v>1740</v>
      </c>
      <c r="H56" s="2687">
        <v>4.08</v>
      </c>
      <c r="I56" s="2693">
        <v>8.33</v>
      </c>
    </row>
    <row r="57" spans="2:9" ht="15" hidden="1" customHeight="1">
      <c r="B57" s="2711">
        <v>37834</v>
      </c>
      <c r="C57" s="2708">
        <v>110</v>
      </c>
      <c r="D57" s="54">
        <v>595</v>
      </c>
      <c r="E57" s="2686">
        <v>5646</v>
      </c>
      <c r="F57" s="54">
        <v>268.85000000000002</v>
      </c>
      <c r="G57" s="2687" t="s">
        <v>3956</v>
      </c>
      <c r="H57" s="2687">
        <v>3.89</v>
      </c>
      <c r="I57" s="2693">
        <v>8.42</v>
      </c>
    </row>
    <row r="58" spans="2:9" ht="15.75" hidden="1" customHeight="1">
      <c r="B58" s="2711">
        <v>37865</v>
      </c>
      <c r="C58" s="2708">
        <v>20</v>
      </c>
      <c r="D58" s="54">
        <v>130</v>
      </c>
      <c r="E58" s="2686">
        <v>668</v>
      </c>
      <c r="F58" s="54">
        <v>67</v>
      </c>
      <c r="G58" s="2687" t="s">
        <v>1406</v>
      </c>
      <c r="H58" s="2687">
        <v>2.78</v>
      </c>
      <c r="I58" s="2693">
        <v>8.2799999999999994</v>
      </c>
    </row>
    <row r="59" spans="2:9" ht="15" hidden="1" customHeight="1">
      <c r="B59" s="2711">
        <v>37895</v>
      </c>
      <c r="C59" s="2708">
        <v>10</v>
      </c>
      <c r="D59" s="54">
        <v>552</v>
      </c>
      <c r="E59" s="2686">
        <v>3155</v>
      </c>
      <c r="F59" s="54">
        <v>186</v>
      </c>
      <c r="G59" s="2687" t="s">
        <v>3957</v>
      </c>
      <c r="H59" s="2687">
        <v>1.96</v>
      </c>
      <c r="I59" s="2693">
        <v>7.83</v>
      </c>
    </row>
    <row r="60" spans="2:9" ht="15" hidden="1" customHeight="1">
      <c r="B60" s="2711">
        <v>37926</v>
      </c>
      <c r="C60" s="2708">
        <v>10</v>
      </c>
      <c r="D60" s="54">
        <v>431</v>
      </c>
      <c r="E60" s="2686">
        <v>2211</v>
      </c>
      <c r="F60" s="54">
        <v>130</v>
      </c>
      <c r="G60" s="2687" t="s">
        <v>3958</v>
      </c>
      <c r="H60" s="2687">
        <v>1.26</v>
      </c>
      <c r="I60" s="2693">
        <v>7.806</v>
      </c>
    </row>
    <row r="61" spans="2:9" ht="15" hidden="1" customHeight="1">
      <c r="B61" s="2711">
        <v>37956</v>
      </c>
      <c r="C61" s="2708">
        <v>50</v>
      </c>
      <c r="D61" s="54">
        <v>695</v>
      </c>
      <c r="E61" s="2686">
        <v>5392</v>
      </c>
      <c r="F61" s="54">
        <v>174</v>
      </c>
      <c r="G61" s="2687" t="s">
        <v>3959</v>
      </c>
      <c r="H61" s="2687">
        <v>1.4</v>
      </c>
      <c r="I61" s="2693">
        <v>7.35</v>
      </c>
    </row>
    <row r="62" spans="2:9" ht="15" hidden="1" customHeight="1">
      <c r="B62" s="2711">
        <v>37987</v>
      </c>
      <c r="C62" s="2708">
        <v>1</v>
      </c>
      <c r="D62" s="54">
        <v>695</v>
      </c>
      <c r="E62" s="2686">
        <v>5670</v>
      </c>
      <c r="F62" s="54">
        <v>247</v>
      </c>
      <c r="G62" s="2687" t="s">
        <v>3959</v>
      </c>
      <c r="H62" s="2687">
        <v>1.27</v>
      </c>
      <c r="I62" s="2693">
        <v>7.1</v>
      </c>
    </row>
    <row r="63" spans="2:9" ht="15" hidden="1" customHeight="1">
      <c r="B63" s="2711">
        <v>38018</v>
      </c>
      <c r="C63" s="2708">
        <v>15</v>
      </c>
      <c r="D63" s="54">
        <v>875</v>
      </c>
      <c r="E63" s="2686">
        <v>6570</v>
      </c>
      <c r="F63" s="54">
        <v>365</v>
      </c>
      <c r="G63" s="2687" t="s">
        <v>3960</v>
      </c>
      <c r="H63" s="2687">
        <v>1.45</v>
      </c>
      <c r="I63" s="2693">
        <v>6.3</v>
      </c>
    </row>
    <row r="64" spans="2:9" ht="15" hidden="1" customHeight="1">
      <c r="B64" s="2711">
        <v>38047</v>
      </c>
      <c r="C64" s="2708">
        <v>25</v>
      </c>
      <c r="D64" s="54">
        <v>190</v>
      </c>
      <c r="E64" s="2686">
        <v>2405</v>
      </c>
      <c r="F64" s="54">
        <v>93</v>
      </c>
      <c r="G64" s="2687" t="s">
        <v>3961</v>
      </c>
      <c r="H64" s="2687">
        <v>1</v>
      </c>
      <c r="I64" s="2693">
        <v>5.31</v>
      </c>
    </row>
    <row r="65" spans="2:9" ht="15" hidden="1" customHeight="1">
      <c r="B65" s="2711">
        <v>38078</v>
      </c>
      <c r="C65" s="2708">
        <v>10</v>
      </c>
      <c r="D65" s="54">
        <v>695</v>
      </c>
      <c r="E65" s="2686">
        <v>4911</v>
      </c>
      <c r="F65" s="54">
        <v>163.69999999999999</v>
      </c>
      <c r="G65" s="2687" t="s">
        <v>3962</v>
      </c>
      <c r="H65" s="2687">
        <v>1.0026999999999999</v>
      </c>
      <c r="I65" s="2693">
        <v>4.25</v>
      </c>
    </row>
    <row r="66" spans="2:9" ht="15" hidden="1" customHeight="1">
      <c r="B66" s="2711">
        <v>38108</v>
      </c>
      <c r="C66" s="2708">
        <v>10</v>
      </c>
      <c r="D66" s="54">
        <v>350</v>
      </c>
      <c r="E66" s="2686">
        <v>2915</v>
      </c>
      <c r="F66" s="54">
        <v>101</v>
      </c>
      <c r="G66" s="2687">
        <v>1</v>
      </c>
      <c r="H66" s="2687">
        <v>1</v>
      </c>
      <c r="I66" s="2693">
        <v>3.43</v>
      </c>
    </row>
    <row r="67" spans="2:9" ht="15" hidden="1" customHeight="1">
      <c r="B67" s="2711">
        <v>38139</v>
      </c>
      <c r="C67" s="2708">
        <v>40</v>
      </c>
      <c r="D67" s="54">
        <v>1100</v>
      </c>
      <c r="E67" s="2686">
        <v>7232</v>
      </c>
      <c r="F67" s="54">
        <v>241.1</v>
      </c>
      <c r="G67" s="2687" t="s">
        <v>3963</v>
      </c>
      <c r="H67" s="2687">
        <v>1.02</v>
      </c>
      <c r="I67" s="2693">
        <v>4.55</v>
      </c>
    </row>
    <row r="68" spans="2:9" ht="15" hidden="1" customHeight="1">
      <c r="B68" s="2711">
        <v>38169</v>
      </c>
      <c r="C68" s="2708">
        <v>40</v>
      </c>
      <c r="D68" s="54">
        <v>375</v>
      </c>
      <c r="E68" s="2686">
        <v>5978</v>
      </c>
      <c r="F68" s="54">
        <v>193</v>
      </c>
      <c r="G68" s="2687" t="s">
        <v>3964</v>
      </c>
      <c r="H68" s="2687">
        <v>1.07</v>
      </c>
      <c r="I68" s="2693">
        <v>5.03</v>
      </c>
    </row>
    <row r="69" spans="2:9" ht="15" hidden="1" customHeight="1">
      <c r="B69" s="2711">
        <v>38200</v>
      </c>
      <c r="C69" s="2708">
        <v>20</v>
      </c>
      <c r="D69" s="54">
        <v>870</v>
      </c>
      <c r="E69" s="2686">
        <v>11835</v>
      </c>
      <c r="F69" s="54">
        <v>438.3</v>
      </c>
      <c r="G69" s="2687" t="s">
        <v>3965</v>
      </c>
      <c r="H69" s="2687">
        <v>1</v>
      </c>
      <c r="I69" s="2693">
        <v>5.26</v>
      </c>
    </row>
    <row r="70" spans="2:9" ht="15" hidden="1" customHeight="1">
      <c r="B70" s="2711">
        <v>38231</v>
      </c>
      <c r="C70" s="2708">
        <v>200</v>
      </c>
      <c r="D70" s="54">
        <v>1170</v>
      </c>
      <c r="E70" s="2686">
        <v>11979</v>
      </c>
      <c r="F70" s="54">
        <v>444</v>
      </c>
      <c r="G70" s="2687" t="s">
        <v>3966</v>
      </c>
      <c r="H70" s="2687">
        <v>1</v>
      </c>
      <c r="I70" s="2693">
        <v>5.38</v>
      </c>
    </row>
    <row r="71" spans="2:9" ht="15" hidden="1" customHeight="1">
      <c r="B71" s="2711">
        <v>38261</v>
      </c>
      <c r="C71" s="2708">
        <v>220</v>
      </c>
      <c r="D71" s="54">
        <v>1090</v>
      </c>
      <c r="E71" s="2686">
        <v>19154</v>
      </c>
      <c r="F71" s="54">
        <v>617.87</v>
      </c>
      <c r="G71" s="2687" t="s">
        <v>3959</v>
      </c>
      <c r="H71" s="2687">
        <v>1.35</v>
      </c>
      <c r="I71" s="2693">
        <v>5.3606451612903223</v>
      </c>
    </row>
    <row r="72" spans="2:9" ht="15" hidden="1" customHeight="1">
      <c r="B72" s="2711">
        <v>38292</v>
      </c>
      <c r="C72" s="2708">
        <v>8</v>
      </c>
      <c r="D72" s="54">
        <v>715</v>
      </c>
      <c r="E72" s="2686">
        <v>4458</v>
      </c>
      <c r="F72" s="54">
        <v>186</v>
      </c>
      <c r="G72" s="2687" t="s">
        <v>3967</v>
      </c>
      <c r="H72" s="2687">
        <v>3.51</v>
      </c>
      <c r="I72" s="2693">
        <v>5.64</v>
      </c>
    </row>
    <row r="73" spans="2:9" ht="15" hidden="1" customHeight="1">
      <c r="B73" s="2711">
        <v>38322</v>
      </c>
      <c r="C73" s="2708">
        <v>30</v>
      </c>
      <c r="D73" s="54">
        <v>860</v>
      </c>
      <c r="E73" s="2686">
        <v>10355</v>
      </c>
      <c r="F73" s="54">
        <v>334.03</v>
      </c>
      <c r="G73" s="2687" t="s">
        <v>3967</v>
      </c>
      <c r="H73" s="2687">
        <v>1.69</v>
      </c>
      <c r="I73" s="2693">
        <v>5.6</v>
      </c>
    </row>
    <row r="74" spans="2:9" ht="15" hidden="1" customHeight="1">
      <c r="B74" s="2711">
        <v>38353</v>
      </c>
      <c r="C74" s="2708">
        <v>15</v>
      </c>
      <c r="D74" s="54">
        <v>553</v>
      </c>
      <c r="E74" s="2686">
        <v>7391</v>
      </c>
      <c r="F74" s="54">
        <v>238.4</v>
      </c>
      <c r="G74" s="2687" t="s">
        <v>3968</v>
      </c>
      <c r="H74" s="2687">
        <v>1.67</v>
      </c>
      <c r="I74" s="2693">
        <v>5.5</v>
      </c>
    </row>
    <row r="75" spans="2:9" ht="15" hidden="1" customHeight="1">
      <c r="B75" s="2711">
        <v>38384</v>
      </c>
      <c r="C75" s="2708">
        <v>135</v>
      </c>
      <c r="D75" s="54">
        <v>915</v>
      </c>
      <c r="E75" s="2686">
        <v>11798.5</v>
      </c>
      <c r="F75" s="54">
        <v>437</v>
      </c>
      <c r="G75" s="2687" t="s">
        <v>3969</v>
      </c>
      <c r="H75" s="2687">
        <v>2.08</v>
      </c>
      <c r="I75" s="2693">
        <v>5.7</v>
      </c>
    </row>
    <row r="76" spans="2:9" ht="15" hidden="1" customHeight="1">
      <c r="B76" s="2711">
        <v>38412</v>
      </c>
      <c r="C76" s="2708">
        <v>93</v>
      </c>
      <c r="D76" s="54">
        <v>468</v>
      </c>
      <c r="E76" s="2686">
        <v>7692</v>
      </c>
      <c r="F76" s="54">
        <v>248</v>
      </c>
      <c r="G76" s="2714" t="s">
        <v>3970</v>
      </c>
      <c r="H76" s="2687">
        <v>1.89</v>
      </c>
      <c r="I76" s="2693">
        <v>6.14</v>
      </c>
    </row>
    <row r="77" spans="2:9" ht="15" hidden="1" customHeight="1">
      <c r="B77" s="2711">
        <v>38443</v>
      </c>
      <c r="C77" s="2708">
        <v>5</v>
      </c>
      <c r="D77" s="54">
        <v>665</v>
      </c>
      <c r="E77" s="2686">
        <v>6352</v>
      </c>
      <c r="F77" s="54">
        <v>244.3</v>
      </c>
      <c r="G77" s="2714" t="s">
        <v>3971</v>
      </c>
      <c r="H77" s="2687">
        <v>1.49</v>
      </c>
      <c r="I77" s="2693">
        <v>6.01</v>
      </c>
    </row>
    <row r="78" spans="2:9" ht="15" hidden="1" customHeight="1">
      <c r="B78" s="2711">
        <v>38473</v>
      </c>
      <c r="C78" s="2708">
        <v>80</v>
      </c>
      <c r="D78" s="54">
        <v>545</v>
      </c>
      <c r="E78" s="2686">
        <v>6923</v>
      </c>
      <c r="F78" s="54">
        <v>223.3</v>
      </c>
      <c r="G78" s="2687" t="s">
        <v>3958</v>
      </c>
      <c r="H78" s="2687">
        <v>1.43</v>
      </c>
      <c r="I78" s="2693">
        <v>6.01</v>
      </c>
    </row>
    <row r="79" spans="2:9" ht="15" hidden="1" customHeight="1">
      <c r="B79" s="2711">
        <v>38504</v>
      </c>
      <c r="C79" s="2708">
        <v>10</v>
      </c>
      <c r="D79" s="54">
        <v>465</v>
      </c>
      <c r="E79" s="2686">
        <v>5208</v>
      </c>
      <c r="F79" s="54">
        <v>179.6</v>
      </c>
      <c r="G79" s="2687" t="s">
        <v>3972</v>
      </c>
      <c r="H79" s="2687">
        <v>1.62</v>
      </c>
      <c r="I79" s="2693">
        <v>5.98</v>
      </c>
    </row>
    <row r="80" spans="2:9" ht="15" hidden="1" customHeight="1">
      <c r="B80" s="2711">
        <v>38534</v>
      </c>
      <c r="C80" s="2708">
        <v>35</v>
      </c>
      <c r="D80" s="54">
        <v>1080</v>
      </c>
      <c r="E80" s="2686">
        <v>9733</v>
      </c>
      <c r="F80" s="54">
        <v>361</v>
      </c>
      <c r="G80" s="2687" t="s">
        <v>3973</v>
      </c>
      <c r="H80" s="2687">
        <v>1.74</v>
      </c>
      <c r="I80" s="2693">
        <v>5.94</v>
      </c>
    </row>
    <row r="81" spans="2:16" ht="15" hidden="1" customHeight="1">
      <c r="B81" s="2711">
        <v>38565</v>
      </c>
      <c r="C81" s="2708">
        <v>45</v>
      </c>
      <c r="D81" s="54">
        <v>635</v>
      </c>
      <c r="E81" s="2686">
        <v>8734</v>
      </c>
      <c r="F81" s="54">
        <v>281.7</v>
      </c>
      <c r="G81" s="2687" t="s">
        <v>3974</v>
      </c>
      <c r="H81" s="2687">
        <v>4.9000000000000004</v>
      </c>
      <c r="I81" s="2693">
        <v>6.22</v>
      </c>
    </row>
    <row r="82" spans="2:16" ht="15" hidden="1" customHeight="1">
      <c r="B82" s="2711">
        <v>38596</v>
      </c>
      <c r="C82" s="2708">
        <v>20</v>
      </c>
      <c r="D82" s="54">
        <v>525</v>
      </c>
      <c r="E82" s="2686">
        <v>5817</v>
      </c>
      <c r="F82" s="54">
        <v>232.7</v>
      </c>
      <c r="G82" s="2687" t="s">
        <v>3975</v>
      </c>
      <c r="H82" s="2687">
        <v>2.98</v>
      </c>
      <c r="I82" s="2693">
        <v>6.4</v>
      </c>
    </row>
    <row r="83" spans="2:16" ht="15" hidden="1" customHeight="1">
      <c r="B83" s="2711">
        <v>38626</v>
      </c>
      <c r="C83" s="2708">
        <v>140</v>
      </c>
      <c r="D83" s="54">
        <v>965</v>
      </c>
      <c r="E83" s="2686">
        <v>14032</v>
      </c>
      <c r="F83" s="54">
        <v>452.6</v>
      </c>
      <c r="G83" s="2687" t="s">
        <v>1426</v>
      </c>
      <c r="H83" s="2687">
        <v>2.82</v>
      </c>
      <c r="I83" s="2693">
        <v>6.38</v>
      </c>
      <c r="L83" s="2715"/>
      <c r="M83" s="2698"/>
      <c r="N83" s="2698"/>
      <c r="O83" s="2698"/>
      <c r="P83" s="2698"/>
    </row>
    <row r="84" spans="2:16" ht="15" hidden="1" customHeight="1">
      <c r="B84" s="2711">
        <v>38657</v>
      </c>
      <c r="C84" s="2708">
        <v>100</v>
      </c>
      <c r="D84" s="54">
        <v>690</v>
      </c>
      <c r="E84" s="2686">
        <v>6927</v>
      </c>
      <c r="F84" s="54">
        <v>238.9</v>
      </c>
      <c r="G84" s="2687" t="s">
        <v>1426</v>
      </c>
      <c r="H84" s="2687">
        <v>2.89</v>
      </c>
      <c r="I84" s="2693">
        <v>6.42</v>
      </c>
      <c r="L84" s="2698"/>
      <c r="M84" s="2698"/>
      <c r="N84" s="2698"/>
      <c r="O84" s="2698"/>
      <c r="P84" s="2698"/>
    </row>
    <row r="85" spans="2:16" ht="15" hidden="1" customHeight="1">
      <c r="B85" s="2711">
        <v>38687</v>
      </c>
      <c r="C85" s="2708">
        <v>40</v>
      </c>
      <c r="D85" s="54">
        <v>1175</v>
      </c>
      <c r="E85" s="2686">
        <v>10982</v>
      </c>
      <c r="F85" s="54">
        <v>366.1</v>
      </c>
      <c r="G85" s="2687" t="s">
        <v>3976</v>
      </c>
      <c r="H85" s="2687">
        <v>3.87</v>
      </c>
      <c r="I85" s="2693">
        <v>7.16</v>
      </c>
      <c r="L85" s="2698"/>
      <c r="M85" s="2698"/>
      <c r="N85" s="2698"/>
      <c r="O85" s="2698"/>
      <c r="P85" s="2698"/>
    </row>
    <row r="86" spans="2:16" ht="15" hidden="1" customHeight="1">
      <c r="B86" s="2711">
        <v>38718</v>
      </c>
      <c r="C86" s="2708">
        <v>40</v>
      </c>
      <c r="D86" s="54">
        <v>1175</v>
      </c>
      <c r="E86" s="2686">
        <v>11848</v>
      </c>
      <c r="F86" s="54">
        <v>382.19</v>
      </c>
      <c r="G86" s="2687" t="s">
        <v>3977</v>
      </c>
      <c r="H86" s="2687">
        <v>5.68</v>
      </c>
      <c r="I86" s="2693">
        <v>7.53</v>
      </c>
      <c r="L86" s="2698"/>
      <c r="M86" s="2698"/>
      <c r="N86" s="2698"/>
      <c r="O86" s="2698"/>
      <c r="P86" s="2698"/>
    </row>
    <row r="87" spans="2:16" ht="15" hidden="1" customHeight="1">
      <c r="B87" s="2711">
        <v>38749</v>
      </c>
      <c r="C87" s="2708">
        <v>30</v>
      </c>
      <c r="D87" s="54">
        <v>725</v>
      </c>
      <c r="E87" s="2686">
        <v>5512</v>
      </c>
      <c r="F87" s="54">
        <v>220</v>
      </c>
      <c r="G87" s="2687" t="s">
        <v>1528</v>
      </c>
      <c r="H87" s="2687">
        <v>3.87</v>
      </c>
      <c r="I87" s="2693">
        <v>7.44</v>
      </c>
      <c r="L87" s="2698"/>
      <c r="M87" s="2698"/>
      <c r="N87" s="2698"/>
      <c r="O87" s="2698"/>
      <c r="P87" s="2698"/>
    </row>
    <row r="88" spans="2:16" ht="15" hidden="1" customHeight="1">
      <c r="B88" s="2711">
        <v>38777</v>
      </c>
      <c r="C88" s="2708">
        <v>19</v>
      </c>
      <c r="D88" s="54">
        <v>280</v>
      </c>
      <c r="E88" s="2686">
        <v>2453</v>
      </c>
      <c r="F88" s="54">
        <v>82</v>
      </c>
      <c r="G88" s="2687" t="s">
        <v>1528</v>
      </c>
      <c r="H88" s="2687">
        <v>3.83</v>
      </c>
      <c r="I88" s="2693">
        <v>7.52</v>
      </c>
      <c r="L88" s="2698"/>
      <c r="M88" s="2698"/>
      <c r="N88" s="2698"/>
      <c r="O88" s="2698"/>
      <c r="P88" s="2698"/>
    </row>
    <row r="89" spans="2:16" ht="15" hidden="1" customHeight="1">
      <c r="B89" s="2711">
        <v>38808</v>
      </c>
      <c r="C89" s="2708">
        <v>44</v>
      </c>
      <c r="D89" s="54">
        <v>630</v>
      </c>
      <c r="E89" s="2686">
        <v>10167</v>
      </c>
      <c r="F89" s="54">
        <v>363.1</v>
      </c>
      <c r="G89" s="2687" t="s">
        <v>3978</v>
      </c>
      <c r="H89" s="2687">
        <v>3.88</v>
      </c>
      <c r="I89" s="2693">
        <v>7.51</v>
      </c>
      <c r="L89" s="2698"/>
      <c r="M89" s="2710"/>
      <c r="N89" s="2698"/>
      <c r="O89" s="2710"/>
      <c r="P89" s="2699"/>
    </row>
    <row r="90" spans="2:16" ht="15" hidden="1" customHeight="1">
      <c r="B90" s="2711">
        <v>38838</v>
      </c>
      <c r="C90" s="2708">
        <v>15</v>
      </c>
      <c r="D90" s="54">
        <v>1050</v>
      </c>
      <c r="E90" s="2686">
        <v>10439</v>
      </c>
      <c r="F90" s="54">
        <v>336.7</v>
      </c>
      <c r="G90" s="2687" t="s">
        <v>2997</v>
      </c>
      <c r="H90" s="2687">
        <v>3.52</v>
      </c>
      <c r="I90" s="2693">
        <v>7.47</v>
      </c>
    </row>
    <row r="91" spans="2:16" ht="15" hidden="1" customHeight="1">
      <c r="B91" s="2711">
        <v>38869</v>
      </c>
      <c r="C91" s="2708">
        <v>6</v>
      </c>
      <c r="D91" s="54">
        <v>625</v>
      </c>
      <c r="E91" s="2686">
        <v>4852</v>
      </c>
      <c r="F91" s="54">
        <v>194.08</v>
      </c>
      <c r="G91" s="2687" t="s">
        <v>1602</v>
      </c>
      <c r="H91" s="2687">
        <v>3.54</v>
      </c>
      <c r="I91" s="2693">
        <v>7.34</v>
      </c>
    </row>
    <row r="92" spans="2:16" ht="15" hidden="1" customHeight="1">
      <c r="B92" s="2711">
        <v>38899</v>
      </c>
      <c r="C92" s="2708">
        <v>25</v>
      </c>
      <c r="D92" s="54">
        <v>718.5</v>
      </c>
      <c r="E92" s="2686">
        <v>6063.5</v>
      </c>
      <c r="F92" s="54">
        <v>209.09</v>
      </c>
      <c r="G92" s="2687" t="s">
        <v>1602</v>
      </c>
      <c r="H92" s="2687">
        <v>3.65</v>
      </c>
      <c r="I92" s="2693">
        <v>7.34</v>
      </c>
    </row>
    <row r="93" spans="2:16" ht="15" hidden="1" customHeight="1">
      <c r="B93" s="2711">
        <v>38930</v>
      </c>
      <c r="C93" s="2708">
        <v>205</v>
      </c>
      <c r="D93" s="54">
        <v>1651</v>
      </c>
      <c r="E93" s="2686">
        <v>15286</v>
      </c>
      <c r="F93" s="54">
        <v>493.09699999999998</v>
      </c>
      <c r="G93" s="2687" t="s">
        <v>3979</v>
      </c>
      <c r="H93" s="2687">
        <v>5.15</v>
      </c>
      <c r="I93" s="2693">
        <v>7.26</v>
      </c>
    </row>
    <row r="94" spans="2:16" ht="15" hidden="1" customHeight="1">
      <c r="B94" s="2711">
        <v>38961</v>
      </c>
      <c r="C94" s="2708">
        <v>40</v>
      </c>
      <c r="D94" s="54">
        <v>1075</v>
      </c>
      <c r="E94" s="2686">
        <v>14115</v>
      </c>
      <c r="F94" s="54">
        <v>470</v>
      </c>
      <c r="G94" s="2687" t="s">
        <v>3980</v>
      </c>
      <c r="H94" s="2687">
        <v>8.0399999999999991</v>
      </c>
      <c r="I94" s="2693">
        <v>8.7899999999999991</v>
      </c>
    </row>
    <row r="95" spans="2:16" ht="15" hidden="1" customHeight="1">
      <c r="B95" s="2711">
        <v>38991</v>
      </c>
      <c r="C95" s="2716">
        <v>450</v>
      </c>
      <c r="D95" s="54">
        <v>1290</v>
      </c>
      <c r="E95" s="54">
        <v>24863</v>
      </c>
      <c r="F95" s="66">
        <v>802</v>
      </c>
      <c r="G95" s="66" t="s">
        <v>3981</v>
      </c>
      <c r="H95" s="66">
        <v>10.83</v>
      </c>
      <c r="I95" s="2717">
        <v>10.17</v>
      </c>
    </row>
    <row r="96" spans="2:16" ht="15" hidden="1" customHeight="1">
      <c r="B96" s="2711">
        <v>39022</v>
      </c>
      <c r="C96" s="2708">
        <v>197</v>
      </c>
      <c r="D96" s="54">
        <v>1005</v>
      </c>
      <c r="E96" s="2686">
        <v>17569.5</v>
      </c>
      <c r="F96" s="54">
        <v>585.65</v>
      </c>
      <c r="G96" s="2687" t="s">
        <v>1913</v>
      </c>
      <c r="H96" s="2687">
        <v>8.98</v>
      </c>
      <c r="I96" s="2693">
        <v>10.66</v>
      </c>
    </row>
    <row r="97" spans="2:12" ht="15" hidden="1" customHeight="1">
      <c r="B97" s="2711">
        <v>39052</v>
      </c>
      <c r="C97" s="2708">
        <v>10</v>
      </c>
      <c r="D97" s="54">
        <v>595</v>
      </c>
      <c r="E97" s="2686">
        <v>6183.5</v>
      </c>
      <c r="F97" s="54">
        <v>237.8</v>
      </c>
      <c r="G97" s="2687" t="s">
        <v>3982</v>
      </c>
      <c r="H97" s="2687">
        <v>8.86</v>
      </c>
      <c r="I97" s="2693">
        <v>11.84</v>
      </c>
    </row>
    <row r="98" spans="2:12" ht="15" hidden="1" customHeight="1">
      <c r="B98" s="2711">
        <v>39083</v>
      </c>
      <c r="C98" s="2708">
        <v>100</v>
      </c>
      <c r="D98" s="54">
        <v>918</v>
      </c>
      <c r="E98" s="2686">
        <v>13445</v>
      </c>
      <c r="F98" s="54">
        <v>433.7</v>
      </c>
      <c r="G98" s="2687" t="s">
        <v>1512</v>
      </c>
      <c r="H98" s="2687">
        <v>8.5500000000000007</v>
      </c>
      <c r="I98" s="2693">
        <v>12.99</v>
      </c>
    </row>
    <row r="99" spans="2:12" ht="15" hidden="1" customHeight="1">
      <c r="B99" s="2711">
        <v>39114</v>
      </c>
      <c r="C99" s="2708">
        <v>113.5</v>
      </c>
      <c r="D99" s="54">
        <v>730</v>
      </c>
      <c r="E99" s="2686">
        <v>8733</v>
      </c>
      <c r="F99" s="54">
        <v>311.89999999999998</v>
      </c>
      <c r="G99" s="2687" t="s">
        <v>3983</v>
      </c>
      <c r="H99" s="2687">
        <v>9.0399999999999991</v>
      </c>
      <c r="I99" s="2693">
        <v>13.25</v>
      </c>
    </row>
    <row r="100" spans="2:12" ht="15" hidden="1" customHeight="1">
      <c r="B100" s="2711">
        <v>39142</v>
      </c>
      <c r="C100" s="2716">
        <v>26</v>
      </c>
      <c r="D100" s="54">
        <v>1094</v>
      </c>
      <c r="E100" s="54">
        <v>8516</v>
      </c>
      <c r="F100" s="66">
        <v>284</v>
      </c>
      <c r="G100" s="66" t="s">
        <v>3984</v>
      </c>
      <c r="H100" s="66">
        <v>8.31</v>
      </c>
      <c r="I100" s="2717">
        <v>12.11</v>
      </c>
      <c r="K100" s="2718"/>
      <c r="L100" s="2696"/>
    </row>
    <row r="101" spans="2:12" ht="15" hidden="1" customHeight="1">
      <c r="B101" s="2711">
        <v>39173</v>
      </c>
      <c r="C101" s="2708">
        <v>18</v>
      </c>
      <c r="D101" s="54">
        <v>730</v>
      </c>
      <c r="E101" s="2686">
        <v>6819.5</v>
      </c>
      <c r="F101" s="54">
        <v>227.3</v>
      </c>
      <c r="G101" s="2687" t="s">
        <v>3985</v>
      </c>
      <c r="H101" s="2687">
        <v>8.1</v>
      </c>
      <c r="I101" s="2693">
        <v>11.47</v>
      </c>
      <c r="K101" s="2718"/>
      <c r="L101" s="2696"/>
    </row>
    <row r="102" spans="2:12" ht="15" hidden="1" customHeight="1">
      <c r="B102" s="2711">
        <v>39203</v>
      </c>
      <c r="C102" s="2708">
        <v>30</v>
      </c>
      <c r="D102" s="54">
        <v>1095</v>
      </c>
      <c r="E102" s="2686">
        <v>11416.5</v>
      </c>
      <c r="F102" s="54">
        <v>368</v>
      </c>
      <c r="G102" s="2687" t="s">
        <v>3984</v>
      </c>
      <c r="H102" s="2687">
        <v>8.3699999999999992</v>
      </c>
      <c r="I102" s="2693">
        <v>11.67</v>
      </c>
      <c r="K102" s="2718"/>
      <c r="L102" s="2696"/>
    </row>
    <row r="103" spans="2:12" ht="15" hidden="1" customHeight="1">
      <c r="B103" s="2711">
        <v>39240</v>
      </c>
      <c r="C103" s="2708">
        <v>35</v>
      </c>
      <c r="D103" s="54">
        <v>520</v>
      </c>
      <c r="E103" s="2686">
        <v>7316</v>
      </c>
      <c r="F103" s="54">
        <v>252.3</v>
      </c>
      <c r="G103" s="2687" t="s">
        <v>3986</v>
      </c>
      <c r="H103" s="2687">
        <v>8.31</v>
      </c>
      <c r="I103" s="2693">
        <v>11.08</v>
      </c>
      <c r="K103" s="2718"/>
      <c r="L103" s="2696"/>
    </row>
    <row r="104" spans="2:12" ht="15" hidden="1" customHeight="1">
      <c r="B104" s="2711">
        <v>39270</v>
      </c>
      <c r="C104" s="2708">
        <v>35</v>
      </c>
      <c r="D104" s="54">
        <v>1300</v>
      </c>
      <c r="E104" s="2686">
        <v>11424</v>
      </c>
      <c r="F104" s="54">
        <v>369</v>
      </c>
      <c r="G104" s="2687" t="s">
        <v>3987</v>
      </c>
      <c r="H104" s="2687">
        <v>8.77</v>
      </c>
      <c r="I104" s="2693">
        <v>11.23</v>
      </c>
      <c r="K104" s="2718"/>
      <c r="L104" s="2696"/>
    </row>
    <row r="105" spans="2:12" ht="15" hidden="1" customHeight="1">
      <c r="B105" s="2711">
        <v>39301</v>
      </c>
      <c r="C105" s="2708">
        <v>102</v>
      </c>
      <c r="D105" s="54">
        <v>1355</v>
      </c>
      <c r="E105" s="2686">
        <v>14748</v>
      </c>
      <c r="F105" s="54">
        <v>508.6</v>
      </c>
      <c r="G105" s="2687" t="s">
        <v>3988</v>
      </c>
      <c r="H105" s="2687">
        <v>8.77</v>
      </c>
      <c r="I105" s="2693">
        <v>10.199999999999999</v>
      </c>
    </row>
    <row r="106" spans="2:12" ht="15" hidden="1" customHeight="1">
      <c r="B106" s="2711">
        <v>39332</v>
      </c>
      <c r="C106" s="2708">
        <v>180</v>
      </c>
      <c r="D106" s="54">
        <v>1355</v>
      </c>
      <c r="E106" s="2686">
        <v>19377</v>
      </c>
      <c r="F106" s="54">
        <v>645.9</v>
      </c>
      <c r="G106" s="2687" t="s">
        <v>3989</v>
      </c>
      <c r="H106" s="2687">
        <v>8.94</v>
      </c>
      <c r="I106" s="2693">
        <v>9.49</v>
      </c>
    </row>
    <row r="107" spans="2:12" ht="15" hidden="1" customHeight="1">
      <c r="B107" s="2711">
        <v>39362</v>
      </c>
      <c r="C107" s="2708">
        <v>20</v>
      </c>
      <c r="D107" s="54">
        <v>580</v>
      </c>
      <c r="E107" s="2686">
        <v>5229</v>
      </c>
      <c r="F107" s="54">
        <v>169</v>
      </c>
      <c r="G107" s="2687" t="s">
        <v>3989</v>
      </c>
      <c r="H107" s="2687">
        <v>9.2200000000000006</v>
      </c>
      <c r="I107" s="2693">
        <v>9.24</v>
      </c>
    </row>
    <row r="108" spans="2:12" ht="15" hidden="1" customHeight="1">
      <c r="B108" s="2711">
        <v>39393</v>
      </c>
      <c r="C108" s="2708">
        <v>15</v>
      </c>
      <c r="D108" s="54">
        <v>765</v>
      </c>
      <c r="E108" s="2686">
        <v>7274</v>
      </c>
      <c r="F108" s="54">
        <v>291</v>
      </c>
      <c r="G108" s="2687" t="s">
        <v>3990</v>
      </c>
      <c r="H108" s="2687">
        <v>8.6</v>
      </c>
      <c r="I108" s="2693">
        <v>9.07</v>
      </c>
    </row>
    <row r="109" spans="2:12" ht="15" hidden="1" customHeight="1">
      <c r="B109" s="2711">
        <v>39423</v>
      </c>
      <c r="C109" s="2708">
        <v>50</v>
      </c>
      <c r="D109" s="54">
        <v>570</v>
      </c>
      <c r="E109" s="2686">
        <v>8113</v>
      </c>
      <c r="F109" s="54">
        <v>262</v>
      </c>
      <c r="G109" s="2687" t="s">
        <v>3991</v>
      </c>
      <c r="H109" s="2687">
        <v>8.75</v>
      </c>
      <c r="I109" s="2693">
        <v>9.93</v>
      </c>
    </row>
    <row r="110" spans="2:12" ht="15" hidden="1" customHeight="1">
      <c r="B110" s="2711">
        <v>39454</v>
      </c>
      <c r="C110" s="2708">
        <v>100</v>
      </c>
      <c r="D110" s="54">
        <v>494</v>
      </c>
      <c r="E110" s="2686">
        <v>9109</v>
      </c>
      <c r="F110" s="54">
        <v>293.8</v>
      </c>
      <c r="G110" s="2687" t="s">
        <v>3984</v>
      </c>
      <c r="H110" s="2687">
        <v>8.67</v>
      </c>
      <c r="I110" s="2693">
        <v>9.82</v>
      </c>
    </row>
    <row r="111" spans="2:12" ht="15" hidden="1" customHeight="1">
      <c r="B111" s="2711">
        <v>39485</v>
      </c>
      <c r="C111" s="2708">
        <v>210</v>
      </c>
      <c r="D111" s="54">
        <v>985</v>
      </c>
      <c r="E111" s="2686">
        <v>19697</v>
      </c>
      <c r="F111" s="54">
        <v>679.2</v>
      </c>
      <c r="G111" s="2687" t="s">
        <v>3992</v>
      </c>
      <c r="H111" s="2687">
        <v>8.0500000000000007</v>
      </c>
      <c r="I111" s="2693">
        <v>8.6300000000000008</v>
      </c>
    </row>
    <row r="112" spans="2:12" ht="15" hidden="1" customHeight="1">
      <c r="B112" s="2711">
        <v>39514</v>
      </c>
      <c r="C112" s="2708">
        <v>40</v>
      </c>
      <c r="D112" s="54">
        <v>1270</v>
      </c>
      <c r="E112" s="2686">
        <v>16270</v>
      </c>
      <c r="F112" s="54">
        <v>524.79999999999995</v>
      </c>
      <c r="G112" s="2687" t="s">
        <v>3993</v>
      </c>
      <c r="H112" s="2687">
        <v>7.48</v>
      </c>
      <c r="I112" s="2693">
        <v>7.6</v>
      </c>
    </row>
    <row r="113" spans="2:9" ht="15" hidden="1" customHeight="1">
      <c r="B113" s="2711">
        <v>39545</v>
      </c>
      <c r="C113" s="2708">
        <v>23</v>
      </c>
      <c r="D113" s="54">
        <v>673</v>
      </c>
      <c r="E113" s="2686">
        <v>3832</v>
      </c>
      <c r="F113" s="54">
        <v>128</v>
      </c>
      <c r="G113" s="2687" t="s">
        <v>3994</v>
      </c>
      <c r="H113" s="2687">
        <v>6.84</v>
      </c>
      <c r="I113" s="2693">
        <v>7.49</v>
      </c>
    </row>
    <row r="114" spans="2:9" ht="15" hidden="1" customHeight="1">
      <c r="B114" s="2711">
        <v>39575</v>
      </c>
      <c r="C114" s="2708">
        <v>35</v>
      </c>
      <c r="D114" s="54">
        <v>750</v>
      </c>
      <c r="E114" s="2686">
        <v>11303</v>
      </c>
      <c r="F114" s="54">
        <v>364.61</v>
      </c>
      <c r="G114" s="2687" t="s">
        <v>3995</v>
      </c>
      <c r="H114" s="2687">
        <v>6.67</v>
      </c>
      <c r="I114" s="2693">
        <v>7.34</v>
      </c>
    </row>
    <row r="115" spans="2:9" ht="15" hidden="1" customHeight="1">
      <c r="B115" s="2711">
        <v>39606</v>
      </c>
      <c r="C115" s="2708">
        <v>79</v>
      </c>
      <c r="D115" s="54">
        <v>1014</v>
      </c>
      <c r="E115" s="2686">
        <v>9849</v>
      </c>
      <c r="F115" s="54">
        <v>328.3</v>
      </c>
      <c r="G115" s="2687" t="s">
        <v>3996</v>
      </c>
      <c r="H115" s="2687">
        <v>6.54</v>
      </c>
      <c r="I115" s="2693">
        <v>7.35</v>
      </c>
    </row>
    <row r="116" spans="2:9" ht="15" hidden="1" customHeight="1">
      <c r="B116" s="2711">
        <v>39636</v>
      </c>
      <c r="C116" s="2708">
        <v>120</v>
      </c>
      <c r="D116" s="54">
        <v>2085</v>
      </c>
      <c r="E116" s="2686">
        <v>23482</v>
      </c>
      <c r="F116" s="54">
        <v>757.5</v>
      </c>
      <c r="G116" s="2687" t="s">
        <v>3997</v>
      </c>
      <c r="H116" s="2687">
        <v>6.82</v>
      </c>
      <c r="I116" s="2693">
        <v>7.37</v>
      </c>
    </row>
    <row r="117" spans="2:9" ht="15" hidden="1" customHeight="1">
      <c r="B117" s="2711">
        <v>39667</v>
      </c>
      <c r="C117" s="2708">
        <v>15</v>
      </c>
      <c r="D117" s="54">
        <v>975</v>
      </c>
      <c r="E117" s="2686">
        <v>10122</v>
      </c>
      <c r="F117" s="54">
        <v>326.52</v>
      </c>
      <c r="G117" s="2687" t="s">
        <v>1390</v>
      </c>
      <c r="H117" s="2687">
        <v>6.78</v>
      </c>
      <c r="I117" s="2693">
        <v>7.83</v>
      </c>
    </row>
    <row r="118" spans="2:9" ht="15" hidden="1" customHeight="1">
      <c r="B118" s="2711">
        <v>39698</v>
      </c>
      <c r="C118" s="2708">
        <v>650</v>
      </c>
      <c r="D118" s="54">
        <v>2070</v>
      </c>
      <c r="E118" s="2686">
        <v>39405</v>
      </c>
      <c r="F118" s="54">
        <v>1313.5</v>
      </c>
      <c r="G118" s="2687" t="s">
        <v>3998</v>
      </c>
      <c r="H118" s="2687">
        <v>8.9700000000000006</v>
      </c>
      <c r="I118" s="2693">
        <v>8.6999999999999993</v>
      </c>
    </row>
    <row r="119" spans="2:9" ht="15" hidden="1" customHeight="1">
      <c r="B119" s="2711">
        <v>39728</v>
      </c>
      <c r="C119" s="2708">
        <v>125</v>
      </c>
      <c r="D119" s="54">
        <v>2310</v>
      </c>
      <c r="E119" s="2686">
        <v>25466</v>
      </c>
      <c r="F119" s="54">
        <v>821</v>
      </c>
      <c r="G119" s="2687" t="s">
        <v>3999</v>
      </c>
      <c r="H119" s="2687">
        <v>8.94</v>
      </c>
      <c r="I119" s="2693">
        <v>9.39</v>
      </c>
    </row>
    <row r="120" spans="2:9" ht="15" hidden="1" customHeight="1">
      <c r="B120" s="2711">
        <v>39759</v>
      </c>
      <c r="C120" s="2708">
        <v>59</v>
      </c>
      <c r="D120" s="54">
        <v>1324</v>
      </c>
      <c r="E120" s="2686">
        <v>14905</v>
      </c>
      <c r="F120" s="54">
        <v>496.84</v>
      </c>
      <c r="G120" s="2687" t="s">
        <v>3998</v>
      </c>
      <c r="H120" s="2687">
        <v>8.89</v>
      </c>
      <c r="I120" s="2693">
        <v>9.2799999999999994</v>
      </c>
    </row>
    <row r="121" spans="2:9" ht="15" hidden="1" customHeight="1">
      <c r="B121" s="2711">
        <v>39789</v>
      </c>
      <c r="C121" s="2708">
        <v>19.34</v>
      </c>
      <c r="D121" s="54">
        <v>1549.34</v>
      </c>
      <c r="E121" s="2686">
        <v>12040.54</v>
      </c>
      <c r="F121" s="54">
        <v>388.4</v>
      </c>
      <c r="G121" s="2687" t="s">
        <v>4000</v>
      </c>
      <c r="H121" s="2687">
        <v>7.24</v>
      </c>
      <c r="I121" s="2693">
        <v>9.06</v>
      </c>
    </row>
    <row r="122" spans="2:9" ht="15" hidden="1" customHeight="1">
      <c r="B122" s="2711">
        <v>39820</v>
      </c>
      <c r="C122" s="2708">
        <v>14.5</v>
      </c>
      <c r="D122" s="54">
        <v>1504.34</v>
      </c>
      <c r="E122" s="2686">
        <v>19368.099999999999</v>
      </c>
      <c r="F122" s="54">
        <v>624.78</v>
      </c>
      <c r="G122" s="2687" t="s">
        <v>4001</v>
      </c>
      <c r="H122" s="2687">
        <v>6.96</v>
      </c>
      <c r="I122" s="2693">
        <v>8.2100000000000009</v>
      </c>
    </row>
    <row r="123" spans="2:9" ht="15" hidden="1" customHeight="1">
      <c r="B123" s="2711">
        <v>39851</v>
      </c>
      <c r="C123" s="2708">
        <v>4.5</v>
      </c>
      <c r="D123" s="54">
        <v>1229.5</v>
      </c>
      <c r="E123" s="2686">
        <v>11511</v>
      </c>
      <c r="F123" s="54">
        <v>411</v>
      </c>
      <c r="G123" s="2687" t="s">
        <v>1421</v>
      </c>
      <c r="H123" s="2687">
        <v>6.53</v>
      </c>
      <c r="I123" s="2693">
        <v>7.17</v>
      </c>
    </row>
    <row r="124" spans="2:9" ht="15" hidden="1" customHeight="1">
      <c r="B124" s="2711">
        <v>39879</v>
      </c>
      <c r="C124" s="2708">
        <v>5</v>
      </c>
      <c r="D124" s="54">
        <v>1020</v>
      </c>
      <c r="E124" s="2686">
        <v>12544.5</v>
      </c>
      <c r="F124" s="54">
        <v>404.7</v>
      </c>
      <c r="G124" s="2687" t="s">
        <v>4002</v>
      </c>
      <c r="H124" s="2687">
        <v>5.77</v>
      </c>
      <c r="I124" s="2693">
        <v>6.31</v>
      </c>
    </row>
    <row r="125" spans="2:9" ht="15" hidden="1" customHeight="1">
      <c r="B125" s="2711">
        <v>39910</v>
      </c>
      <c r="C125" s="2708">
        <v>44.5</v>
      </c>
      <c r="D125" s="54">
        <v>619.5</v>
      </c>
      <c r="E125" s="2686">
        <v>9119.5</v>
      </c>
      <c r="F125" s="54">
        <v>303.98</v>
      </c>
      <c r="G125" s="2687" t="s">
        <v>4003</v>
      </c>
      <c r="H125" s="2687">
        <v>4.8099999999999996</v>
      </c>
      <c r="I125" s="2693">
        <v>5.0999999999999996</v>
      </c>
    </row>
    <row r="126" spans="2:9" ht="15" hidden="1" customHeight="1">
      <c r="B126" s="2711">
        <v>39940</v>
      </c>
      <c r="C126" s="2708">
        <v>144.5</v>
      </c>
      <c r="D126" s="54">
        <v>839.5</v>
      </c>
      <c r="E126" s="2686">
        <v>10281.5</v>
      </c>
      <c r="F126" s="54">
        <v>331.66</v>
      </c>
      <c r="G126" s="2687" t="s">
        <v>1699</v>
      </c>
      <c r="H126" s="2687">
        <v>4.7</v>
      </c>
      <c r="I126" s="2693">
        <v>4.8099999999999996</v>
      </c>
    </row>
    <row r="127" spans="2:9" ht="15" hidden="1" customHeight="1">
      <c r="B127" s="2711">
        <v>39971</v>
      </c>
      <c r="C127" s="2708">
        <v>104.5</v>
      </c>
      <c r="D127" s="54">
        <v>1119.5</v>
      </c>
      <c r="E127" s="2686">
        <v>11690</v>
      </c>
      <c r="F127" s="54">
        <v>389.67</v>
      </c>
      <c r="G127" s="2687" t="s">
        <v>1468</v>
      </c>
      <c r="H127" s="2687">
        <v>4.28</v>
      </c>
      <c r="I127" s="2693">
        <v>4.75</v>
      </c>
    </row>
    <row r="128" spans="2:9" ht="15" hidden="1" customHeight="1">
      <c r="B128" s="2711">
        <v>40001</v>
      </c>
      <c r="C128" s="2708">
        <v>4.66</v>
      </c>
      <c r="D128" s="54">
        <v>864.5</v>
      </c>
      <c r="E128" s="2686">
        <v>10376.1</v>
      </c>
      <c r="F128" s="54">
        <v>334.71</v>
      </c>
      <c r="G128" s="2687" t="s">
        <v>1468</v>
      </c>
      <c r="H128" s="2687">
        <v>4.05</v>
      </c>
      <c r="I128" s="2693">
        <v>4.6900000000000004</v>
      </c>
    </row>
    <row r="129" spans="2:9" ht="15" hidden="1" customHeight="1">
      <c r="B129" s="2711">
        <v>40032</v>
      </c>
      <c r="C129" s="2708">
        <v>70</v>
      </c>
      <c r="D129" s="54">
        <v>1444.6</v>
      </c>
      <c r="E129" s="2686">
        <v>16163.6</v>
      </c>
      <c r="F129" s="54">
        <v>577.27</v>
      </c>
      <c r="G129" s="2687" t="s">
        <v>4004</v>
      </c>
      <c r="H129" s="2687">
        <v>4.0199999999999996</v>
      </c>
      <c r="I129" s="2693">
        <v>4.51</v>
      </c>
    </row>
    <row r="130" spans="2:9" ht="15" hidden="1" customHeight="1">
      <c r="B130" s="2711">
        <v>40063</v>
      </c>
      <c r="C130" s="2708">
        <v>100</v>
      </c>
      <c r="D130" s="54">
        <v>1090</v>
      </c>
      <c r="E130" s="2686">
        <v>16460</v>
      </c>
      <c r="F130" s="54">
        <v>549</v>
      </c>
      <c r="G130" s="2687" t="s">
        <v>2999</v>
      </c>
      <c r="H130" s="2687">
        <v>4.0599999999999996</v>
      </c>
      <c r="I130" s="2693">
        <v>4.4400000000000004</v>
      </c>
    </row>
    <row r="131" spans="2:9" ht="15" hidden="1" customHeight="1">
      <c r="B131" s="2711">
        <v>40093</v>
      </c>
      <c r="C131" s="2708">
        <v>175</v>
      </c>
      <c r="D131" s="54">
        <v>1255</v>
      </c>
      <c r="E131" s="2686">
        <v>14700</v>
      </c>
      <c r="F131" s="54">
        <v>474.19</v>
      </c>
      <c r="G131" s="2687" t="s">
        <v>2999</v>
      </c>
      <c r="H131" s="2687">
        <v>4.04</v>
      </c>
      <c r="I131" s="2693">
        <v>4.7300000000000004</v>
      </c>
    </row>
    <row r="132" spans="2:9" ht="15" hidden="1" customHeight="1">
      <c r="B132" s="2711">
        <v>40124</v>
      </c>
      <c r="C132" s="2708">
        <v>55</v>
      </c>
      <c r="D132" s="54">
        <v>895</v>
      </c>
      <c r="E132" s="2686">
        <v>13796</v>
      </c>
      <c r="F132" s="54">
        <v>459.87</v>
      </c>
      <c r="G132" s="2687" t="s">
        <v>4005</v>
      </c>
      <c r="H132" s="2687">
        <v>4.0199999999999996</v>
      </c>
      <c r="I132" s="2693">
        <v>4.53</v>
      </c>
    </row>
    <row r="133" spans="2:9" ht="15" hidden="1" customHeight="1">
      <c r="B133" s="2711">
        <v>40148</v>
      </c>
      <c r="C133" s="2708">
        <v>75</v>
      </c>
      <c r="D133" s="54">
        <v>1932.5</v>
      </c>
      <c r="E133" s="2686">
        <v>23618.5</v>
      </c>
      <c r="F133" s="54">
        <v>761.89</v>
      </c>
      <c r="G133" s="2687" t="s">
        <v>4006</v>
      </c>
      <c r="H133" s="2687">
        <v>4.26</v>
      </c>
      <c r="I133" s="2693">
        <v>4.4000000000000004</v>
      </c>
    </row>
    <row r="134" spans="2:9" ht="15" hidden="1" customHeight="1">
      <c r="B134" s="2711">
        <v>40179</v>
      </c>
      <c r="C134" s="2708">
        <v>70.400000000000006</v>
      </c>
      <c r="D134" s="54">
        <v>1245.4000000000001</v>
      </c>
      <c r="E134" s="2686">
        <v>16488.2</v>
      </c>
      <c r="F134" s="54">
        <v>531.88</v>
      </c>
      <c r="G134" s="2687" t="s">
        <v>4006</v>
      </c>
      <c r="H134" s="2687">
        <v>4.26</v>
      </c>
      <c r="I134" s="2693">
        <v>4.51</v>
      </c>
    </row>
    <row r="135" spans="2:9" ht="15" hidden="1" customHeight="1">
      <c r="B135" s="2711">
        <v>40210</v>
      </c>
      <c r="C135" s="2708">
        <v>70.400000000000006</v>
      </c>
      <c r="D135" s="54">
        <v>1245</v>
      </c>
      <c r="E135" s="2686">
        <v>16179.2</v>
      </c>
      <c r="F135" s="54">
        <v>577.83000000000004</v>
      </c>
      <c r="G135" s="2687" t="s">
        <v>4007</v>
      </c>
      <c r="H135" s="2687">
        <v>3.91</v>
      </c>
      <c r="I135" s="2693">
        <v>4.5</v>
      </c>
    </row>
    <row r="136" spans="2:9" ht="15" hidden="1" customHeight="1">
      <c r="B136" s="2711">
        <v>40238</v>
      </c>
      <c r="C136" s="2708">
        <v>20.399999999999999</v>
      </c>
      <c r="D136" s="54">
        <v>800.4</v>
      </c>
      <c r="E136" s="2686">
        <v>4135.3999999999996</v>
      </c>
      <c r="F136" s="54">
        <v>133.4</v>
      </c>
      <c r="G136" s="2687" t="s">
        <v>4008</v>
      </c>
      <c r="H136" s="2687">
        <v>3.88</v>
      </c>
      <c r="I136" s="2693">
        <v>4.3099999999999996</v>
      </c>
    </row>
    <row r="137" spans="2:9" ht="15" hidden="1" customHeight="1">
      <c r="B137" s="2711">
        <v>40269</v>
      </c>
      <c r="C137" s="2708">
        <v>20.399999999999999</v>
      </c>
      <c r="D137" s="54">
        <v>655.4</v>
      </c>
      <c r="E137" s="2686">
        <v>7522</v>
      </c>
      <c r="F137" s="54">
        <v>250.73</v>
      </c>
      <c r="G137" s="2687" t="s">
        <v>4009</v>
      </c>
      <c r="H137" s="2687">
        <v>3.94</v>
      </c>
      <c r="I137" s="2693">
        <v>4.51</v>
      </c>
    </row>
    <row r="138" spans="2:9" ht="15" hidden="1" customHeight="1">
      <c r="B138" s="2711">
        <v>40299</v>
      </c>
      <c r="C138" s="2708">
        <v>20.399999999999999</v>
      </c>
      <c r="D138" s="54">
        <v>915.4</v>
      </c>
      <c r="E138" s="2686">
        <v>9407.4</v>
      </c>
      <c r="F138" s="54">
        <v>303.45999999999998</v>
      </c>
      <c r="G138" s="2687" t="s">
        <v>4008</v>
      </c>
      <c r="H138" s="2687">
        <v>3.74</v>
      </c>
      <c r="I138" s="2693">
        <v>4.04</v>
      </c>
    </row>
    <row r="139" spans="2:9" ht="15" hidden="1" customHeight="1">
      <c r="B139" s="2711">
        <v>40330</v>
      </c>
      <c r="C139" s="2708">
        <v>20.399999999999999</v>
      </c>
      <c r="D139" s="54">
        <v>1515.4</v>
      </c>
      <c r="E139" s="2686">
        <v>10598</v>
      </c>
      <c r="F139" s="54">
        <v>353.3</v>
      </c>
      <c r="G139" s="2687" t="s">
        <v>4010</v>
      </c>
      <c r="H139" s="2687">
        <v>3.36</v>
      </c>
      <c r="I139" s="2693">
        <v>3.47</v>
      </c>
    </row>
    <row r="140" spans="2:9" ht="15" hidden="1" customHeight="1">
      <c r="B140" s="2711">
        <v>40360</v>
      </c>
      <c r="C140" s="2708">
        <v>5</v>
      </c>
      <c r="D140" s="54">
        <v>1150</v>
      </c>
      <c r="E140" s="2686">
        <v>7431</v>
      </c>
      <c r="F140" s="54">
        <v>239.71</v>
      </c>
      <c r="G140" s="2687" t="s">
        <v>4011</v>
      </c>
      <c r="H140" s="2687">
        <v>3.45</v>
      </c>
      <c r="I140" s="2693">
        <v>3.87</v>
      </c>
    </row>
    <row r="141" spans="2:9" ht="15" hidden="1" customHeight="1">
      <c r="B141" s="2711">
        <v>40391</v>
      </c>
      <c r="C141" s="2708">
        <v>15</v>
      </c>
      <c r="D141" s="54">
        <v>360</v>
      </c>
      <c r="E141" s="2686">
        <v>2422</v>
      </c>
      <c r="F141" s="54">
        <v>100.92</v>
      </c>
      <c r="G141" s="2687" t="s">
        <v>4012</v>
      </c>
      <c r="H141" s="2687">
        <v>2.52</v>
      </c>
      <c r="I141" s="2693">
        <v>3.02</v>
      </c>
    </row>
    <row r="142" spans="2:9" ht="15" hidden="1" customHeight="1">
      <c r="B142" s="2711">
        <v>40422</v>
      </c>
      <c r="C142" s="2708">
        <v>60</v>
      </c>
      <c r="D142" s="54">
        <v>490</v>
      </c>
      <c r="E142" s="2686">
        <v>7090</v>
      </c>
      <c r="F142" s="54">
        <v>253</v>
      </c>
      <c r="G142" s="2687" t="s">
        <v>4013</v>
      </c>
      <c r="H142" s="2687">
        <v>2.0699999999999998</v>
      </c>
      <c r="I142" s="2693">
        <v>2.73</v>
      </c>
    </row>
    <row r="143" spans="2:9" ht="15" hidden="1" customHeight="1">
      <c r="B143" s="2711">
        <v>40452</v>
      </c>
      <c r="C143" s="2708">
        <v>95</v>
      </c>
      <c r="D143" s="54">
        <v>670</v>
      </c>
      <c r="E143" s="2686">
        <v>11070</v>
      </c>
      <c r="F143" s="54">
        <v>357.1</v>
      </c>
      <c r="G143" s="2687" t="s">
        <v>4014</v>
      </c>
      <c r="H143" s="2687">
        <v>2.27</v>
      </c>
      <c r="I143" s="2693">
        <v>4.3099999999999996</v>
      </c>
    </row>
    <row r="144" spans="2:9" ht="15" hidden="1" customHeight="1">
      <c r="B144" s="2711">
        <v>40483</v>
      </c>
      <c r="C144" s="2708">
        <v>157</v>
      </c>
      <c r="D144" s="54">
        <v>730</v>
      </c>
      <c r="E144" s="2686">
        <v>9951</v>
      </c>
      <c r="F144" s="54">
        <v>331.7</v>
      </c>
      <c r="G144" s="2687" t="s">
        <v>4013</v>
      </c>
      <c r="H144" s="2687">
        <v>2.17</v>
      </c>
      <c r="I144" s="2693">
        <v>3.95</v>
      </c>
    </row>
    <row r="145" spans="2:9" ht="15" hidden="1" customHeight="1">
      <c r="B145" s="2711">
        <v>40513</v>
      </c>
      <c r="C145" s="2708">
        <v>235</v>
      </c>
      <c r="D145" s="54">
        <v>772</v>
      </c>
      <c r="E145" s="2686">
        <v>15575</v>
      </c>
      <c r="F145" s="54">
        <v>502.4</v>
      </c>
      <c r="G145" s="2687" t="s">
        <v>4015</v>
      </c>
      <c r="H145" s="2687">
        <v>2.04</v>
      </c>
      <c r="I145" s="2693">
        <v>3.11</v>
      </c>
    </row>
    <row r="146" spans="2:9" ht="15" hidden="1" customHeight="1">
      <c r="B146" s="2711">
        <v>40544</v>
      </c>
      <c r="C146" s="2708">
        <v>220</v>
      </c>
      <c r="D146" s="54">
        <v>985</v>
      </c>
      <c r="E146" s="2686">
        <v>14845</v>
      </c>
      <c r="F146" s="54">
        <v>478.87</v>
      </c>
      <c r="G146" s="2687" t="s">
        <v>4016</v>
      </c>
      <c r="H146" s="2687">
        <v>2.0099999999999998</v>
      </c>
      <c r="I146" s="2693">
        <v>3.02</v>
      </c>
    </row>
    <row r="147" spans="2:9" ht="15" hidden="1" customHeight="1">
      <c r="B147" s="2711">
        <v>40575</v>
      </c>
      <c r="C147" s="2708">
        <v>335</v>
      </c>
      <c r="D147" s="54">
        <v>2350</v>
      </c>
      <c r="E147" s="2686">
        <v>25115</v>
      </c>
      <c r="F147" s="54">
        <v>896.96</v>
      </c>
      <c r="G147" s="2687" t="s">
        <v>4017</v>
      </c>
      <c r="H147" s="2687">
        <v>1.86</v>
      </c>
      <c r="I147" s="2693">
        <v>2.83</v>
      </c>
    </row>
    <row r="148" spans="2:9" ht="15" hidden="1" customHeight="1">
      <c r="B148" s="2711">
        <v>40603</v>
      </c>
      <c r="C148" s="2708">
        <v>20</v>
      </c>
      <c r="D148" s="54">
        <v>2420</v>
      </c>
      <c r="E148" s="2686">
        <v>16505</v>
      </c>
      <c r="F148" s="54">
        <v>611</v>
      </c>
      <c r="G148" s="2687" t="s">
        <v>4018</v>
      </c>
      <c r="H148" s="2687">
        <v>1.64</v>
      </c>
      <c r="I148" s="2693">
        <v>2.41</v>
      </c>
    </row>
    <row r="149" spans="2:9" ht="15" hidden="1" customHeight="1">
      <c r="B149" s="2711">
        <v>40634</v>
      </c>
      <c r="C149" s="2708">
        <v>630</v>
      </c>
      <c r="D149" s="54">
        <v>2200</v>
      </c>
      <c r="E149" s="2686">
        <v>40323</v>
      </c>
      <c r="F149" s="54">
        <v>1344</v>
      </c>
      <c r="G149" s="2687" t="s">
        <v>4019</v>
      </c>
      <c r="H149" s="2687">
        <v>1.51</v>
      </c>
      <c r="I149" s="2693">
        <v>4.12</v>
      </c>
    </row>
    <row r="150" spans="2:9" ht="15" hidden="1" customHeight="1">
      <c r="B150" s="2711">
        <v>40664</v>
      </c>
      <c r="C150" s="2708">
        <v>100</v>
      </c>
      <c r="D150" s="54">
        <v>1975</v>
      </c>
      <c r="E150" s="2686">
        <v>25594</v>
      </c>
      <c r="F150" s="54">
        <v>947.93</v>
      </c>
      <c r="G150" s="2687" t="s">
        <v>4020</v>
      </c>
      <c r="H150" s="2687">
        <v>1.4</v>
      </c>
      <c r="I150" s="2693">
        <v>4.0599999999999996</v>
      </c>
    </row>
    <row r="151" spans="2:9" ht="15" hidden="1" customHeight="1">
      <c r="B151" s="2711">
        <v>40695</v>
      </c>
      <c r="C151" s="2708">
        <v>100</v>
      </c>
      <c r="D151" s="54">
        <v>1595</v>
      </c>
      <c r="E151" s="2686">
        <v>15057</v>
      </c>
      <c r="F151" s="54">
        <v>501.9</v>
      </c>
      <c r="G151" s="2687" t="s">
        <v>4021</v>
      </c>
      <c r="H151" s="2687">
        <v>2.63</v>
      </c>
      <c r="I151" s="2693">
        <v>4.29</v>
      </c>
    </row>
    <row r="152" spans="2:9" ht="15" hidden="1" customHeight="1">
      <c r="B152" s="2711">
        <v>40725</v>
      </c>
      <c r="C152" s="2708">
        <v>425</v>
      </c>
      <c r="D152" s="54">
        <v>1525</v>
      </c>
      <c r="E152" s="2686">
        <v>34075</v>
      </c>
      <c r="F152" s="54">
        <v>1099.19</v>
      </c>
      <c r="G152" s="2687" t="s">
        <v>4022</v>
      </c>
      <c r="H152" s="2687">
        <v>1.95</v>
      </c>
      <c r="I152" s="2693">
        <v>4.41</v>
      </c>
    </row>
    <row r="153" spans="2:9" ht="15" hidden="1" customHeight="1">
      <c r="B153" s="2711">
        <v>40756</v>
      </c>
      <c r="C153" s="2708">
        <v>25</v>
      </c>
      <c r="D153" s="54">
        <v>1895</v>
      </c>
      <c r="E153" s="2686">
        <v>34690</v>
      </c>
      <c r="F153" s="54">
        <v>1156.33</v>
      </c>
      <c r="G153" s="2687" t="s">
        <v>4023</v>
      </c>
      <c r="H153" s="2687">
        <v>3.58</v>
      </c>
      <c r="I153" s="2693">
        <v>4.3899999999999997</v>
      </c>
    </row>
    <row r="154" spans="2:9" ht="15" hidden="1" customHeight="1">
      <c r="B154" s="2711">
        <v>40787</v>
      </c>
      <c r="C154" s="2708">
        <v>40</v>
      </c>
      <c r="D154" s="54">
        <v>2025</v>
      </c>
      <c r="E154" s="2686">
        <v>15795</v>
      </c>
      <c r="F154" s="54">
        <v>658.13</v>
      </c>
      <c r="G154" s="2687" t="s">
        <v>4024</v>
      </c>
      <c r="H154" s="2687">
        <v>3.27</v>
      </c>
      <c r="I154" s="2693">
        <v>4.46</v>
      </c>
    </row>
    <row r="155" spans="2:9" ht="15" hidden="1" customHeight="1">
      <c r="B155" s="2711">
        <v>40817</v>
      </c>
      <c r="C155" s="2708">
        <v>100</v>
      </c>
      <c r="D155" s="54">
        <v>2105</v>
      </c>
      <c r="E155" s="2686">
        <v>31715</v>
      </c>
      <c r="F155" s="54">
        <v>1023.06</v>
      </c>
      <c r="G155" s="2687" t="s">
        <v>4025</v>
      </c>
      <c r="H155" s="2687">
        <v>2.61</v>
      </c>
      <c r="I155" s="2693">
        <v>4.43</v>
      </c>
    </row>
    <row r="156" spans="2:9" ht="15" hidden="1" customHeight="1">
      <c r="B156" s="2711">
        <v>40848</v>
      </c>
      <c r="C156" s="2708">
        <v>50</v>
      </c>
      <c r="D156" s="54">
        <v>2480</v>
      </c>
      <c r="E156" s="2686">
        <v>40844</v>
      </c>
      <c r="F156" s="54">
        <v>1361</v>
      </c>
      <c r="G156" s="2687" t="s">
        <v>1426</v>
      </c>
      <c r="H156" s="2687">
        <v>2.96</v>
      </c>
      <c r="I156" s="2693">
        <v>4.42</v>
      </c>
    </row>
    <row r="157" spans="2:9" ht="15" hidden="1" customHeight="1">
      <c r="B157" s="2711">
        <v>40878</v>
      </c>
      <c r="C157" s="2708">
        <v>30</v>
      </c>
      <c r="D157" s="54">
        <v>2125</v>
      </c>
      <c r="E157" s="2686">
        <v>30845</v>
      </c>
      <c r="F157" s="54">
        <v>1186.3499999999999</v>
      </c>
      <c r="G157" s="2687" t="s">
        <v>4026</v>
      </c>
      <c r="H157" s="2687">
        <v>3.32</v>
      </c>
      <c r="I157" s="2693">
        <v>4.5199999999999996</v>
      </c>
    </row>
    <row r="158" spans="2:9" ht="15" hidden="1" customHeight="1">
      <c r="B158" s="2711">
        <v>40909</v>
      </c>
      <c r="C158" s="2708">
        <v>110</v>
      </c>
      <c r="D158" s="54">
        <v>1065</v>
      </c>
      <c r="E158" s="2686">
        <v>10195</v>
      </c>
      <c r="F158" s="54">
        <v>407.8</v>
      </c>
      <c r="G158" s="2687" t="s">
        <v>4027</v>
      </c>
      <c r="H158" s="2687">
        <v>2.4</v>
      </c>
      <c r="I158" s="2693">
        <v>4.33</v>
      </c>
    </row>
    <row r="159" spans="2:9" ht="15" hidden="1" customHeight="1">
      <c r="B159" s="2711">
        <v>40940</v>
      </c>
      <c r="C159" s="2708">
        <v>45</v>
      </c>
      <c r="D159" s="54">
        <v>1485</v>
      </c>
      <c r="E159" s="2686">
        <v>17085</v>
      </c>
      <c r="F159" s="54">
        <v>589.14</v>
      </c>
      <c r="G159" s="2687" t="s">
        <v>4028</v>
      </c>
      <c r="H159" s="2687">
        <v>2.34</v>
      </c>
      <c r="I159" s="2693">
        <v>4.22</v>
      </c>
    </row>
    <row r="160" spans="2:9" ht="15" hidden="1" customHeight="1">
      <c r="B160" s="2711">
        <v>40969</v>
      </c>
      <c r="C160" s="2708">
        <v>40</v>
      </c>
      <c r="D160" s="54">
        <v>1155</v>
      </c>
      <c r="E160" s="2686">
        <v>9890</v>
      </c>
      <c r="F160" s="54">
        <v>353.21</v>
      </c>
      <c r="G160" s="2687" t="s">
        <v>4029</v>
      </c>
      <c r="H160" s="2687">
        <v>1.97</v>
      </c>
      <c r="I160" s="2693">
        <v>4.0999999999999996</v>
      </c>
    </row>
    <row r="161" spans="2:9" ht="15" hidden="1" customHeight="1">
      <c r="B161" s="2711">
        <v>41000</v>
      </c>
      <c r="C161" s="2708">
        <v>170</v>
      </c>
      <c r="D161" s="54">
        <v>1685</v>
      </c>
      <c r="E161" s="2686">
        <v>22085</v>
      </c>
      <c r="F161" s="54">
        <v>736.17</v>
      </c>
      <c r="G161" s="2687" t="s">
        <v>4030</v>
      </c>
      <c r="H161" s="2687">
        <v>1.87</v>
      </c>
      <c r="I161" s="2693">
        <v>3.7</v>
      </c>
    </row>
    <row r="162" spans="2:9" ht="15" hidden="1" customHeight="1">
      <c r="B162" s="2711">
        <v>41030</v>
      </c>
      <c r="C162" s="2708">
        <v>50</v>
      </c>
      <c r="D162" s="54">
        <v>1680</v>
      </c>
      <c r="E162" s="2686">
        <v>15635</v>
      </c>
      <c r="F162" s="54">
        <v>504.35</v>
      </c>
      <c r="G162" s="2687" t="s">
        <v>4031</v>
      </c>
      <c r="H162" s="2687">
        <v>1.59</v>
      </c>
      <c r="I162" s="2693">
        <v>3.64</v>
      </c>
    </row>
    <row r="163" spans="2:9" ht="15" hidden="1" customHeight="1">
      <c r="B163" s="2711">
        <v>41061</v>
      </c>
      <c r="C163" s="2708">
        <v>140</v>
      </c>
      <c r="D163" s="54">
        <v>2230</v>
      </c>
      <c r="E163" s="2686">
        <v>27510</v>
      </c>
      <c r="F163" s="54">
        <v>917</v>
      </c>
      <c r="G163" s="2687" t="s">
        <v>4032</v>
      </c>
      <c r="H163" s="2687">
        <v>1.75</v>
      </c>
      <c r="I163" s="2693">
        <v>3.51</v>
      </c>
    </row>
    <row r="164" spans="2:9" ht="15" hidden="1" customHeight="1">
      <c r="B164" s="2711">
        <v>41122</v>
      </c>
      <c r="C164" s="2708">
        <v>65</v>
      </c>
      <c r="D164" s="54">
        <v>1630</v>
      </c>
      <c r="E164" s="2686">
        <v>22930</v>
      </c>
      <c r="F164" s="54">
        <v>739.68</v>
      </c>
      <c r="G164" s="2687" t="s">
        <v>4033</v>
      </c>
      <c r="H164" s="2687">
        <v>1.85</v>
      </c>
      <c r="I164" s="2693">
        <v>3.43</v>
      </c>
    </row>
    <row r="165" spans="2:9" ht="15" hidden="1" customHeight="1">
      <c r="B165" s="2711">
        <v>41153</v>
      </c>
      <c r="C165" s="2708">
        <v>15</v>
      </c>
      <c r="D165" s="54">
        <v>575</v>
      </c>
      <c r="E165" s="2686">
        <v>6885</v>
      </c>
      <c r="F165" s="54">
        <v>286.88</v>
      </c>
      <c r="G165" s="2687" t="s">
        <v>4034</v>
      </c>
      <c r="H165" s="2687">
        <v>1.67</v>
      </c>
      <c r="I165" s="2693">
        <v>3.47</v>
      </c>
    </row>
    <row r="166" spans="2:9" ht="15" hidden="1" customHeight="1">
      <c r="B166" s="2711">
        <v>41183</v>
      </c>
      <c r="C166" s="2708">
        <v>60</v>
      </c>
      <c r="D166" s="54">
        <v>980</v>
      </c>
      <c r="E166" s="2686">
        <v>12570</v>
      </c>
      <c r="F166" s="54">
        <v>433.45</v>
      </c>
      <c r="G166" s="2687" t="s">
        <v>4035</v>
      </c>
      <c r="H166" s="2687">
        <v>1.57</v>
      </c>
      <c r="I166" s="2693">
        <v>3.26</v>
      </c>
    </row>
    <row r="167" spans="2:9" ht="15" hidden="1" customHeight="1">
      <c r="B167" s="2711">
        <v>41214</v>
      </c>
      <c r="C167" s="2708">
        <v>415</v>
      </c>
      <c r="D167" s="54">
        <v>2180</v>
      </c>
      <c r="E167" s="2686">
        <v>37795</v>
      </c>
      <c r="F167" s="54">
        <v>1259.83</v>
      </c>
      <c r="G167" s="2687" t="s">
        <v>4036</v>
      </c>
      <c r="H167" s="2687">
        <v>1.53</v>
      </c>
      <c r="I167" s="2693">
        <v>3.08</v>
      </c>
    </row>
    <row r="168" spans="2:9" ht="15" hidden="1" customHeight="1">
      <c r="B168" s="2711">
        <v>41244</v>
      </c>
      <c r="C168" s="2708">
        <v>160</v>
      </c>
      <c r="D168" s="54">
        <v>1650</v>
      </c>
      <c r="E168" s="2686">
        <v>26110</v>
      </c>
      <c r="F168" s="54">
        <v>842.26</v>
      </c>
      <c r="G168" s="2687" t="s">
        <v>4037</v>
      </c>
      <c r="H168" s="2687">
        <v>1.61</v>
      </c>
      <c r="I168" s="2693">
        <v>2.95</v>
      </c>
    </row>
    <row r="169" spans="2:9" ht="15" hidden="1" customHeight="1">
      <c r="B169" s="2711">
        <v>41275</v>
      </c>
      <c r="C169" s="2708">
        <v>75</v>
      </c>
      <c r="D169" s="54">
        <v>1210</v>
      </c>
      <c r="E169" s="2686">
        <v>9470</v>
      </c>
      <c r="F169" s="54">
        <v>305.48</v>
      </c>
      <c r="G169" s="2687" t="s">
        <v>4038</v>
      </c>
      <c r="H169" s="2687">
        <v>1.49</v>
      </c>
      <c r="I169" s="2693">
        <v>2.84</v>
      </c>
    </row>
    <row r="170" spans="2:9" ht="15" hidden="1" customHeight="1">
      <c r="B170" s="2711">
        <v>41306</v>
      </c>
      <c r="C170" s="2708">
        <v>50</v>
      </c>
      <c r="D170" s="54">
        <v>1655</v>
      </c>
      <c r="E170" s="2686">
        <v>22350</v>
      </c>
      <c r="F170" s="54">
        <v>798.21</v>
      </c>
      <c r="G170" s="2687" t="s">
        <v>3968</v>
      </c>
      <c r="H170" s="2687">
        <v>1.42</v>
      </c>
      <c r="I170" s="2693">
        <v>2.74</v>
      </c>
    </row>
    <row r="171" spans="2:9" ht="15" hidden="1" customHeight="1">
      <c r="B171" s="2711">
        <v>41334</v>
      </c>
      <c r="C171" s="2708">
        <v>30</v>
      </c>
      <c r="D171" s="54">
        <v>2200</v>
      </c>
      <c r="E171" s="2686">
        <v>27940</v>
      </c>
      <c r="F171" s="54">
        <v>901.29</v>
      </c>
      <c r="G171" s="2687" t="s">
        <v>4039</v>
      </c>
      <c r="H171" s="2687">
        <v>1.36</v>
      </c>
      <c r="I171" s="2693">
        <v>2.46</v>
      </c>
    </row>
    <row r="172" spans="2:9" ht="15" hidden="1" customHeight="1">
      <c r="B172" s="2711">
        <v>41365</v>
      </c>
      <c r="C172" s="2708">
        <v>265</v>
      </c>
      <c r="D172" s="54">
        <v>1855</v>
      </c>
      <c r="E172" s="2686">
        <v>28346</v>
      </c>
      <c r="F172" s="54">
        <v>944.87</v>
      </c>
      <c r="G172" s="2687" t="s">
        <v>4040</v>
      </c>
      <c r="H172" s="2687">
        <v>1.36</v>
      </c>
      <c r="I172" s="2693">
        <v>2.33</v>
      </c>
    </row>
    <row r="173" spans="2:9" ht="15" hidden="1" customHeight="1">
      <c r="B173" s="2711">
        <v>41395</v>
      </c>
      <c r="C173" s="2708">
        <v>70</v>
      </c>
      <c r="D173" s="54">
        <v>1735</v>
      </c>
      <c r="E173" s="2686">
        <v>24695</v>
      </c>
      <c r="F173" s="54">
        <v>796.61</v>
      </c>
      <c r="G173" s="2687" t="s">
        <v>4040</v>
      </c>
      <c r="H173" s="2687">
        <v>1.36</v>
      </c>
      <c r="I173" s="2693">
        <v>2.29</v>
      </c>
    </row>
    <row r="174" spans="2:9" ht="15" hidden="1" customHeight="1">
      <c r="B174" s="2711">
        <v>41426</v>
      </c>
      <c r="C174" s="2708">
        <v>405</v>
      </c>
      <c r="D174" s="54">
        <v>1325</v>
      </c>
      <c r="E174" s="2686">
        <v>21281.5</v>
      </c>
      <c r="F174" s="54">
        <v>709.38</v>
      </c>
      <c r="G174" s="2687" t="s">
        <v>4041</v>
      </c>
      <c r="H174" s="2687">
        <v>1.99</v>
      </c>
      <c r="I174" s="2693">
        <v>2.52</v>
      </c>
    </row>
    <row r="175" spans="2:9" ht="15" hidden="1" customHeight="1">
      <c r="B175" s="2711">
        <v>41456</v>
      </c>
      <c r="C175" s="2708">
        <v>125</v>
      </c>
      <c r="D175" s="54">
        <v>1910</v>
      </c>
      <c r="E175" s="2686">
        <v>31140</v>
      </c>
      <c r="F175" s="54">
        <v>1004.52</v>
      </c>
      <c r="G175" s="2687" t="s">
        <v>4042</v>
      </c>
      <c r="H175" s="2687">
        <v>2.0099999999999998</v>
      </c>
      <c r="I175" s="2693">
        <v>2.77</v>
      </c>
    </row>
    <row r="176" spans="2:9" ht="15" hidden="1" customHeight="1">
      <c r="B176" s="2711">
        <v>41487</v>
      </c>
      <c r="C176" s="2708">
        <v>140</v>
      </c>
      <c r="D176" s="54">
        <v>920</v>
      </c>
      <c r="E176" s="2686">
        <v>17510</v>
      </c>
      <c r="F176" s="54">
        <v>564.84</v>
      </c>
      <c r="G176" s="2687" t="s">
        <v>4043</v>
      </c>
      <c r="H176" s="2687">
        <v>1.68</v>
      </c>
      <c r="I176" s="2693">
        <v>2.8</v>
      </c>
    </row>
    <row r="177" spans="2:9" ht="15" hidden="1" customHeight="1">
      <c r="B177" s="2711">
        <v>41518</v>
      </c>
      <c r="C177" s="2708">
        <v>60</v>
      </c>
      <c r="D177" s="54">
        <v>1625</v>
      </c>
      <c r="E177" s="2686">
        <v>23310</v>
      </c>
      <c r="F177" s="54">
        <v>777</v>
      </c>
      <c r="G177" s="2687" t="s">
        <v>4043</v>
      </c>
      <c r="H177" s="2687">
        <v>1.64</v>
      </c>
      <c r="I177" s="2693">
        <v>2.75</v>
      </c>
    </row>
    <row r="178" spans="2:9" ht="15" hidden="1" customHeight="1">
      <c r="B178" s="2711">
        <v>41548</v>
      </c>
      <c r="C178" s="2708">
        <v>990</v>
      </c>
      <c r="D178" s="54">
        <v>2560</v>
      </c>
      <c r="E178" s="2686">
        <v>56785</v>
      </c>
      <c r="F178" s="54">
        <v>1831.77</v>
      </c>
      <c r="G178" s="2687" t="s">
        <v>4044</v>
      </c>
      <c r="H178" s="2687">
        <v>2.5299999999999998</v>
      </c>
      <c r="I178" s="2693">
        <v>2.87</v>
      </c>
    </row>
    <row r="179" spans="2:9" ht="15" hidden="1" customHeight="1">
      <c r="B179" s="2711">
        <v>41579</v>
      </c>
      <c r="C179" s="2708">
        <v>225</v>
      </c>
      <c r="D179" s="54">
        <v>2780</v>
      </c>
      <c r="E179" s="2686">
        <v>48017</v>
      </c>
      <c r="F179" s="54">
        <v>1600.57</v>
      </c>
      <c r="G179" s="2687" t="s">
        <v>4045</v>
      </c>
      <c r="H179" s="2687">
        <v>3.58</v>
      </c>
      <c r="I179" s="2693">
        <v>3.35</v>
      </c>
    </row>
    <row r="180" spans="2:9" ht="15" hidden="1" customHeight="1">
      <c r="B180" s="2711">
        <v>41609</v>
      </c>
      <c r="C180" s="2708">
        <v>310</v>
      </c>
      <c r="D180" s="54">
        <v>2825</v>
      </c>
      <c r="E180" s="2686">
        <v>47480</v>
      </c>
      <c r="F180" s="54">
        <v>1531.61</v>
      </c>
      <c r="G180" s="2687" t="s">
        <v>4046</v>
      </c>
      <c r="H180" s="2687">
        <v>3.52</v>
      </c>
      <c r="I180" s="2693">
        <v>3.54</v>
      </c>
    </row>
    <row r="181" spans="2:9" ht="15" hidden="1" customHeight="1">
      <c r="B181" s="2711">
        <v>41640</v>
      </c>
      <c r="C181" s="2708">
        <v>5</v>
      </c>
      <c r="D181" s="54">
        <v>2000</v>
      </c>
      <c r="E181" s="2686">
        <v>12670</v>
      </c>
      <c r="F181" s="54">
        <v>436.9</v>
      </c>
      <c r="G181" s="2687" t="s">
        <v>4047</v>
      </c>
      <c r="H181" s="2687">
        <v>3.63</v>
      </c>
      <c r="I181" s="2693">
        <v>3.54</v>
      </c>
    </row>
    <row r="182" spans="2:9" ht="15" hidden="1" customHeight="1">
      <c r="B182" s="2711">
        <v>41671</v>
      </c>
      <c r="C182" s="2708">
        <v>30</v>
      </c>
      <c r="D182" s="54">
        <v>520</v>
      </c>
      <c r="E182" s="2686">
        <v>6385</v>
      </c>
      <c r="F182" s="54">
        <v>228.04</v>
      </c>
      <c r="G182" s="2687" t="s">
        <v>4048</v>
      </c>
      <c r="H182" s="2687">
        <v>2.6</v>
      </c>
      <c r="I182" s="2693">
        <v>3.36</v>
      </c>
    </row>
    <row r="183" spans="2:9" ht="15" hidden="1" customHeight="1">
      <c r="B183" s="2711">
        <v>41699</v>
      </c>
      <c r="C183" s="2708">
        <v>10</v>
      </c>
      <c r="D183" s="54">
        <v>260</v>
      </c>
      <c r="E183" s="2686">
        <v>1660</v>
      </c>
      <c r="F183" s="54">
        <v>111</v>
      </c>
      <c r="G183" s="2687" t="s">
        <v>4049</v>
      </c>
      <c r="H183" s="2687">
        <v>2.35</v>
      </c>
      <c r="I183" s="2693">
        <v>3.16</v>
      </c>
    </row>
    <row r="184" spans="2:9" ht="15" hidden="1" customHeight="1">
      <c r="B184" s="2711">
        <v>41730</v>
      </c>
      <c r="C184" s="2708">
        <v>25</v>
      </c>
      <c r="D184" s="54">
        <v>550</v>
      </c>
      <c r="E184" s="2686">
        <v>2815</v>
      </c>
      <c r="F184" s="54">
        <v>112.6</v>
      </c>
      <c r="G184" s="2687" t="s">
        <v>4050</v>
      </c>
      <c r="H184" s="2687">
        <v>2.0299999999999998</v>
      </c>
      <c r="I184" s="2693">
        <v>2.95</v>
      </c>
    </row>
    <row r="185" spans="2:9" ht="15" hidden="1" customHeight="1">
      <c r="B185" s="2711">
        <v>41760</v>
      </c>
      <c r="C185" s="2708">
        <v>105</v>
      </c>
      <c r="D185" s="54">
        <v>1100</v>
      </c>
      <c r="E185" s="2686">
        <v>9525</v>
      </c>
      <c r="F185" s="54">
        <v>340.18</v>
      </c>
      <c r="G185" s="2687" t="s">
        <v>4051</v>
      </c>
      <c r="H185" s="2687">
        <v>1.77</v>
      </c>
      <c r="I185" s="2693">
        <v>2.83</v>
      </c>
    </row>
    <row r="186" spans="2:9" ht="15" hidden="1" customHeight="1">
      <c r="B186" s="2711">
        <v>41791</v>
      </c>
      <c r="C186" s="2708">
        <v>100</v>
      </c>
      <c r="D186" s="54">
        <v>1195</v>
      </c>
      <c r="E186" s="2686">
        <v>8640</v>
      </c>
      <c r="F186" s="54">
        <v>360</v>
      </c>
      <c r="G186" s="2687" t="s">
        <v>4052</v>
      </c>
      <c r="H186" s="2687">
        <v>1.49</v>
      </c>
      <c r="I186" s="2693">
        <v>2.61</v>
      </c>
    </row>
    <row r="187" spans="2:9" ht="15" customHeight="1">
      <c r="B187" s="2711">
        <v>41821</v>
      </c>
      <c r="C187" s="2708">
        <v>20</v>
      </c>
      <c r="D187" s="54">
        <v>2385</v>
      </c>
      <c r="E187" s="2686">
        <v>20495</v>
      </c>
      <c r="F187" s="54">
        <v>683.17</v>
      </c>
      <c r="G187" s="2687" t="s">
        <v>4053</v>
      </c>
      <c r="H187" s="2687">
        <v>1.2</v>
      </c>
      <c r="I187" s="2693"/>
    </row>
    <row r="188" spans="2:9" ht="15" customHeight="1">
      <c r="B188" s="2711">
        <v>41852</v>
      </c>
      <c r="C188" s="2708">
        <v>200</v>
      </c>
      <c r="D188" s="54">
        <v>2475</v>
      </c>
      <c r="E188" s="2686">
        <v>47715</v>
      </c>
      <c r="F188" s="54">
        <v>1539.19</v>
      </c>
      <c r="G188" s="2687" t="s">
        <v>4054</v>
      </c>
      <c r="H188" s="2687">
        <v>0.98</v>
      </c>
      <c r="I188" s="2693"/>
    </row>
    <row r="189" spans="2:9" ht="15" customHeight="1">
      <c r="B189" s="2711">
        <v>41883</v>
      </c>
      <c r="C189" s="2708">
        <v>1070</v>
      </c>
      <c r="D189" s="54">
        <v>2840</v>
      </c>
      <c r="E189" s="2686">
        <v>57825</v>
      </c>
      <c r="F189" s="54">
        <v>1927.5</v>
      </c>
      <c r="G189" s="2687" t="s">
        <v>4055</v>
      </c>
      <c r="H189" s="2687">
        <v>0.75</v>
      </c>
      <c r="I189" s="2693"/>
    </row>
    <row r="190" spans="2:9" ht="15" customHeight="1">
      <c r="B190" s="2711">
        <v>41913</v>
      </c>
      <c r="C190" s="2708">
        <v>290</v>
      </c>
      <c r="D190" s="54">
        <v>2710</v>
      </c>
      <c r="E190" s="2686">
        <v>53324</v>
      </c>
      <c r="F190" s="54">
        <v>1720.13</v>
      </c>
      <c r="G190" s="2687" t="s">
        <v>4056</v>
      </c>
      <c r="H190" s="2687">
        <v>0.72</v>
      </c>
      <c r="I190" s="2693"/>
    </row>
    <row r="191" spans="2:9" ht="15" customHeight="1">
      <c r="B191" s="2711">
        <v>41944</v>
      </c>
      <c r="C191" s="2708">
        <v>125</v>
      </c>
      <c r="D191" s="54">
        <v>1800</v>
      </c>
      <c r="E191" s="2686">
        <v>30475</v>
      </c>
      <c r="F191" s="54">
        <v>1015.83</v>
      </c>
      <c r="G191" s="2687" t="s">
        <v>4057</v>
      </c>
      <c r="H191" s="2687">
        <v>0.63</v>
      </c>
      <c r="I191" s="2693"/>
    </row>
    <row r="192" spans="2:9" ht="15" customHeight="1">
      <c r="B192" s="2711">
        <v>41974</v>
      </c>
      <c r="C192" s="2708">
        <v>1105</v>
      </c>
      <c r="D192" s="54">
        <v>2880</v>
      </c>
      <c r="E192" s="2686">
        <v>62445</v>
      </c>
      <c r="F192" s="54">
        <v>2014.35</v>
      </c>
      <c r="G192" s="2687" t="s">
        <v>4058</v>
      </c>
      <c r="H192" s="2687">
        <v>2.2999999999999998</v>
      </c>
      <c r="I192" s="2693"/>
    </row>
    <row r="193" spans="2:9" ht="15" customHeight="1">
      <c r="B193" s="2711">
        <v>42005</v>
      </c>
      <c r="C193" s="2708">
        <v>175</v>
      </c>
      <c r="D193" s="54">
        <v>1150</v>
      </c>
      <c r="E193" s="2686">
        <v>18123</v>
      </c>
      <c r="F193" s="54">
        <v>584.61</v>
      </c>
      <c r="G193" s="2687" t="s">
        <v>4059</v>
      </c>
      <c r="H193" s="2687">
        <v>2.5299999999999998</v>
      </c>
      <c r="I193" s="2693"/>
    </row>
    <row r="194" spans="2:9" ht="15" customHeight="1">
      <c r="B194" s="2711">
        <v>42036</v>
      </c>
      <c r="C194" s="2708">
        <v>95</v>
      </c>
      <c r="D194" s="54">
        <v>1460</v>
      </c>
      <c r="E194" s="2686">
        <v>20972</v>
      </c>
      <c r="F194" s="54">
        <v>749</v>
      </c>
      <c r="G194" s="2687" t="s">
        <v>4060</v>
      </c>
      <c r="H194" s="2687">
        <v>2.0299999999999998</v>
      </c>
      <c r="I194" s="2693"/>
    </row>
    <row r="195" spans="2:9" ht="15" customHeight="1">
      <c r="B195" s="2711">
        <v>42064</v>
      </c>
      <c r="C195" s="2708">
        <v>50</v>
      </c>
      <c r="D195" s="54">
        <v>1175</v>
      </c>
      <c r="E195" s="2686">
        <v>10260</v>
      </c>
      <c r="F195" s="54">
        <v>330.97</v>
      </c>
      <c r="G195" s="2687" t="s">
        <v>4061</v>
      </c>
      <c r="H195" s="2687">
        <v>1.91</v>
      </c>
      <c r="I195" s="2693"/>
    </row>
    <row r="196" spans="2:9" ht="15" customHeight="1">
      <c r="B196" s="2711">
        <v>42095</v>
      </c>
      <c r="C196" s="2708">
        <v>100</v>
      </c>
      <c r="D196" s="54">
        <v>800</v>
      </c>
      <c r="E196" s="2686">
        <v>9785</v>
      </c>
      <c r="F196" s="54">
        <v>349.46</v>
      </c>
      <c r="G196" s="2687" t="s">
        <v>4062</v>
      </c>
      <c r="H196" s="2687">
        <v>1.68</v>
      </c>
      <c r="I196" s="2693"/>
    </row>
    <row r="197" spans="2:9" ht="15" customHeight="1">
      <c r="B197" s="2711">
        <v>42125</v>
      </c>
      <c r="C197" s="2708">
        <v>40</v>
      </c>
      <c r="D197" s="54">
        <v>165</v>
      </c>
      <c r="E197" s="2686">
        <v>960</v>
      </c>
      <c r="F197" s="54">
        <v>120</v>
      </c>
      <c r="G197" s="2687" t="s">
        <v>4063</v>
      </c>
      <c r="H197" s="2687">
        <v>1.47</v>
      </c>
      <c r="I197" s="2693"/>
    </row>
    <row r="198" spans="2:9" ht="15" customHeight="1">
      <c r="B198" s="2711">
        <v>42156</v>
      </c>
      <c r="C198" s="2708">
        <v>25</v>
      </c>
      <c r="D198" s="54">
        <v>425</v>
      </c>
      <c r="E198" s="2686">
        <v>2335</v>
      </c>
      <c r="F198" s="54">
        <v>194.58</v>
      </c>
      <c r="G198" s="2687" t="s">
        <v>3965</v>
      </c>
      <c r="H198" s="2687">
        <v>1.06</v>
      </c>
      <c r="I198" s="2693"/>
    </row>
    <row r="199" spans="2:9" ht="15" customHeight="1">
      <c r="B199" s="2711">
        <v>42186</v>
      </c>
      <c r="C199" s="2708">
        <v>25</v>
      </c>
      <c r="D199" s="54">
        <v>100</v>
      </c>
      <c r="E199" s="2686">
        <v>445</v>
      </c>
      <c r="F199" s="54">
        <v>55.63</v>
      </c>
      <c r="G199" s="2687" t="s">
        <v>3961</v>
      </c>
      <c r="H199" s="2687">
        <v>0.99</v>
      </c>
      <c r="I199" s="2693"/>
    </row>
    <row r="200" spans="2:9" ht="15" customHeight="1" thickBot="1">
      <c r="B200" s="2719"/>
      <c r="C200" s="2720"/>
      <c r="D200" s="2721"/>
      <c r="E200" s="2722"/>
      <c r="F200" s="2721"/>
      <c r="G200" s="2723"/>
      <c r="H200" s="2724"/>
      <c r="I200" s="2725"/>
    </row>
    <row r="201" spans="2:9" ht="18" customHeight="1" thickTop="1">
      <c r="B201" s="2726" t="s">
        <v>4064</v>
      </c>
      <c r="C201" s="2727"/>
      <c r="D201" s="2727"/>
      <c r="E201" s="2727"/>
      <c r="G201" s="2728" t="s">
        <v>4065</v>
      </c>
      <c r="H201" s="2729"/>
      <c r="I201" s="2729"/>
    </row>
    <row r="202" spans="2:9" ht="18.75" customHeight="1">
      <c r="B202" s="2730" t="s">
        <v>4066</v>
      </c>
      <c r="C202" s="2651"/>
      <c r="D202" s="2651"/>
      <c r="E202" s="2731"/>
      <c r="G202" s="2730"/>
      <c r="H202" s="2729"/>
      <c r="I202" s="2729"/>
    </row>
    <row r="203" spans="2:9" ht="18.75" customHeight="1">
      <c r="B203" s="3319"/>
      <c r="C203" s="3319"/>
      <c r="D203" s="3319"/>
      <c r="E203" s="3319"/>
      <c r="F203" s="3319"/>
      <c r="G203" s="3319"/>
      <c r="H203" s="3319"/>
      <c r="I203" s="3319"/>
    </row>
    <row r="204" spans="2:9" s="2732" customFormat="1">
      <c r="B204" s="2651" t="s">
        <v>2704</v>
      </c>
      <c r="G204" s="2730"/>
      <c r="H204" s="2729"/>
      <c r="I204" s="2729"/>
    </row>
    <row r="205" spans="2:9">
      <c r="B205" s="2651"/>
      <c r="D205" s="2651"/>
    </row>
    <row r="206" spans="2:9" ht="18.75" customHeight="1">
      <c r="B206" s="44" t="s">
        <v>4067</v>
      </c>
    </row>
    <row r="207" spans="2:9" ht="9" customHeight="1" thickBot="1">
      <c r="B207" s="2575"/>
    </row>
    <row r="208" spans="2:9" ht="15" customHeight="1">
      <c r="B208" s="2733" t="s">
        <v>78</v>
      </c>
      <c r="C208" s="2734" t="s">
        <v>3917</v>
      </c>
      <c r="D208" s="2735"/>
      <c r="E208" s="2735"/>
      <c r="F208" s="2736" t="s">
        <v>3918</v>
      </c>
      <c r="G208" s="2736" t="s">
        <v>3186</v>
      </c>
      <c r="H208" s="2736" t="s">
        <v>82</v>
      </c>
      <c r="I208" s="2573" t="s">
        <v>42</v>
      </c>
    </row>
    <row r="209" spans="2:14" ht="17.25" customHeight="1" thickBot="1">
      <c r="B209" s="2675"/>
      <c r="C209" s="2671"/>
      <c r="D209" s="2672"/>
      <c r="E209" s="2673"/>
      <c r="F209" s="2674" t="s">
        <v>3920</v>
      </c>
      <c r="G209" s="2674" t="s">
        <v>2350</v>
      </c>
      <c r="H209" s="2674" t="s">
        <v>2059</v>
      </c>
      <c r="L209" s="2573" t="s">
        <v>42</v>
      </c>
    </row>
    <row r="210" spans="2:14" ht="17.25" customHeight="1" thickBot="1">
      <c r="B210" s="2675"/>
      <c r="C210" s="2676" t="s">
        <v>2802</v>
      </c>
      <c r="D210" s="2677" t="s">
        <v>2803</v>
      </c>
      <c r="E210" s="2678" t="s">
        <v>81</v>
      </c>
      <c r="F210" s="2679"/>
      <c r="G210" s="2679" t="s">
        <v>3923</v>
      </c>
      <c r="H210" s="2679" t="s">
        <v>4068</v>
      </c>
    </row>
    <row r="211" spans="2:14" ht="14.1" customHeight="1" thickBot="1">
      <c r="B211" s="2680"/>
      <c r="C211" s="2737" t="s">
        <v>49</v>
      </c>
      <c r="D211" s="2738"/>
      <c r="E211" s="2739"/>
      <c r="F211" s="2740"/>
      <c r="G211" s="3320" t="s">
        <v>2055</v>
      </c>
      <c r="H211" s="3321"/>
    </row>
    <row r="212" spans="2:14" ht="17.25" customHeight="1">
      <c r="B212" s="2683">
        <v>42186</v>
      </c>
      <c r="C212" s="2708"/>
      <c r="D212" s="54"/>
      <c r="E212" s="2686"/>
      <c r="F212" s="54"/>
      <c r="G212" s="2687"/>
      <c r="H212" s="2687"/>
    </row>
    <row r="213" spans="2:14" ht="15" customHeight="1">
      <c r="B213" s="2689" t="s">
        <v>3925</v>
      </c>
      <c r="C213" s="2690">
        <v>100</v>
      </c>
      <c r="D213" s="54">
        <v>100</v>
      </c>
      <c r="E213" s="2691">
        <v>100</v>
      </c>
      <c r="F213" s="54">
        <v>100</v>
      </c>
      <c r="G213" s="2692">
        <v>1</v>
      </c>
      <c r="H213" s="2692">
        <v>1</v>
      </c>
      <c r="I213" s="2694"/>
      <c r="J213" s="2698"/>
      <c r="K213" s="2698"/>
      <c r="L213" s="2694"/>
      <c r="M213" s="2698"/>
      <c r="N213" s="2699"/>
    </row>
    <row r="214" spans="2:14" ht="15" customHeight="1">
      <c r="B214" s="2689" t="s">
        <v>3926</v>
      </c>
      <c r="C214" s="2690">
        <v>25</v>
      </c>
      <c r="D214" s="54">
        <v>60</v>
      </c>
      <c r="E214" s="2691">
        <v>295</v>
      </c>
      <c r="F214" s="54">
        <v>49.17</v>
      </c>
      <c r="G214" s="2692">
        <v>1</v>
      </c>
      <c r="H214" s="2692">
        <v>1</v>
      </c>
      <c r="I214" s="2694"/>
      <c r="J214" s="2698"/>
      <c r="K214" s="2698"/>
      <c r="L214" s="2694"/>
      <c r="M214" s="2698"/>
      <c r="N214" s="2699"/>
    </row>
    <row r="215" spans="2:14" ht="15" customHeight="1">
      <c r="B215" s="2689" t="s">
        <v>3927</v>
      </c>
      <c r="C215" s="2690" t="s">
        <v>60</v>
      </c>
      <c r="D215" s="54" t="s">
        <v>60</v>
      </c>
      <c r="E215" s="2691" t="s">
        <v>60</v>
      </c>
      <c r="F215" s="54" t="s">
        <v>60</v>
      </c>
      <c r="G215" s="2692" t="s">
        <v>60</v>
      </c>
      <c r="H215" s="2692" t="s">
        <v>60</v>
      </c>
      <c r="I215" s="2694"/>
      <c r="J215" s="2698"/>
      <c r="K215" s="2698"/>
      <c r="L215" s="2694"/>
      <c r="M215" s="2698"/>
      <c r="N215" s="2699"/>
    </row>
    <row r="216" spans="2:14" ht="15" customHeight="1">
      <c r="B216" s="2689" t="s">
        <v>3928</v>
      </c>
      <c r="C216" s="2690" t="s">
        <v>60</v>
      </c>
      <c r="D216" s="54" t="s">
        <v>60</v>
      </c>
      <c r="E216" s="2691" t="s">
        <v>60</v>
      </c>
      <c r="F216" s="54" t="s">
        <v>60</v>
      </c>
      <c r="G216" s="2692" t="s">
        <v>60</v>
      </c>
      <c r="H216" s="2692" t="s">
        <v>60</v>
      </c>
      <c r="I216" s="2694"/>
      <c r="J216" s="2698"/>
      <c r="K216" s="2698"/>
      <c r="L216" s="2694"/>
      <c r="M216" s="2698"/>
      <c r="N216" s="2699"/>
    </row>
    <row r="217" spans="2:14" ht="15" customHeight="1">
      <c r="B217" s="2689" t="s">
        <v>3929</v>
      </c>
      <c r="C217" s="2690">
        <v>50</v>
      </c>
      <c r="D217" s="54">
        <v>50</v>
      </c>
      <c r="E217" s="2691">
        <v>50</v>
      </c>
      <c r="F217" s="54">
        <v>50</v>
      </c>
      <c r="G217" s="2692">
        <v>0.9</v>
      </c>
      <c r="H217" s="2692">
        <v>0.9</v>
      </c>
      <c r="I217" s="2694"/>
      <c r="J217" s="2698"/>
      <c r="K217" s="2698"/>
      <c r="L217" s="2694"/>
      <c r="M217" s="2698"/>
      <c r="N217" s="2699"/>
    </row>
    <row r="218" spans="2:14" ht="15" customHeight="1">
      <c r="B218" s="2689">
        <v>42216</v>
      </c>
      <c r="C218" s="2690" t="s">
        <v>60</v>
      </c>
      <c r="D218" s="54" t="s">
        <v>60</v>
      </c>
      <c r="E218" s="2691" t="s">
        <v>60</v>
      </c>
      <c r="F218" s="54" t="s">
        <v>60</v>
      </c>
      <c r="G218" s="2692" t="s">
        <v>60</v>
      </c>
      <c r="H218" s="2692" t="s">
        <v>60</v>
      </c>
      <c r="I218" s="2694"/>
      <c r="J218" s="2698"/>
      <c r="K218" s="2698"/>
      <c r="L218" s="2694"/>
      <c r="M218" s="2698"/>
      <c r="N218" s="2699"/>
    </row>
    <row r="219" spans="2:14" ht="9" customHeight="1">
      <c r="B219" s="2741"/>
      <c r="C219" s="2701"/>
      <c r="D219" s="2702"/>
      <c r="E219" s="2703"/>
      <c r="F219" s="2702"/>
      <c r="G219" s="2742"/>
      <c r="H219" s="2704"/>
      <c r="I219" s="2694"/>
      <c r="J219" s="2698"/>
      <c r="K219" s="2698"/>
      <c r="L219" s="2694"/>
      <c r="M219" s="2698"/>
      <c r="N219" s="2699"/>
    </row>
    <row r="220" spans="2:14" ht="15" hidden="1" customHeight="1">
      <c r="B220" s="2743"/>
      <c r="C220" s="2744"/>
      <c r="D220" s="2745"/>
      <c r="E220" s="2686"/>
      <c r="F220" s="54"/>
      <c r="G220" s="2687"/>
      <c r="H220" s="2687"/>
      <c r="I220" s="2709"/>
      <c r="J220" s="2698"/>
      <c r="K220" s="2710">
        <f>SUM(K213:K219)</f>
        <v>0</v>
      </c>
      <c r="L220" s="2698"/>
      <c r="M220" s="2710">
        <f>SUM(M213:M219)</f>
        <v>0</v>
      </c>
      <c r="N220" s="2699" t="e">
        <f>M220/K220</f>
        <v>#DIV/0!</v>
      </c>
    </row>
    <row r="221" spans="2:14" ht="15" hidden="1" customHeight="1">
      <c r="B221" s="2746">
        <v>36312</v>
      </c>
      <c r="C221" s="2744">
        <v>10</v>
      </c>
      <c r="D221" s="2745">
        <v>230</v>
      </c>
      <c r="E221" s="2686">
        <v>2385</v>
      </c>
      <c r="F221" s="54">
        <v>80</v>
      </c>
      <c r="G221" s="2687" t="s">
        <v>3930</v>
      </c>
      <c r="H221" s="2687">
        <v>9.9600000000000009</v>
      </c>
      <c r="I221" s="2709"/>
    </row>
    <row r="222" spans="2:14" ht="15" hidden="1" customHeight="1">
      <c r="B222" s="2746">
        <v>36404</v>
      </c>
      <c r="C222" s="2744">
        <v>10</v>
      </c>
      <c r="D222" s="2745">
        <v>120</v>
      </c>
      <c r="E222" s="2686">
        <v>1223</v>
      </c>
      <c r="F222" s="54">
        <v>52.96</v>
      </c>
      <c r="G222" s="2687" t="s">
        <v>3931</v>
      </c>
      <c r="H222" s="2687">
        <v>9.5630000000000006</v>
      </c>
      <c r="I222" s="2709"/>
    </row>
    <row r="223" spans="2:14" ht="15" hidden="1" customHeight="1" thickBot="1">
      <c r="B223" s="2746">
        <v>36495</v>
      </c>
      <c r="C223" s="2744">
        <v>85</v>
      </c>
      <c r="D223" s="2745">
        <v>500</v>
      </c>
      <c r="E223" s="2686">
        <v>6285</v>
      </c>
      <c r="F223" s="54">
        <v>273</v>
      </c>
      <c r="G223" s="2687" t="s">
        <v>3932</v>
      </c>
      <c r="H223" s="2687">
        <v>9.67</v>
      </c>
      <c r="I223" s="2709"/>
    </row>
    <row r="224" spans="2:14" ht="15" hidden="1" customHeight="1" thickTop="1">
      <c r="B224" s="2746">
        <v>36586</v>
      </c>
      <c r="C224" s="2744">
        <v>10</v>
      </c>
      <c r="D224" s="2745">
        <v>255</v>
      </c>
      <c r="E224" s="2686">
        <v>3163.2</v>
      </c>
      <c r="F224" s="54">
        <v>102</v>
      </c>
      <c r="G224" s="2687" t="s">
        <v>1458</v>
      </c>
      <c r="H224" s="2687">
        <v>9.1199999999999992</v>
      </c>
      <c r="I224" s="2709"/>
    </row>
    <row r="225" spans="2:9" ht="15" hidden="1" customHeight="1">
      <c r="B225" s="2746">
        <v>36678</v>
      </c>
      <c r="C225" s="2744">
        <v>20</v>
      </c>
      <c r="D225" s="2745">
        <v>600</v>
      </c>
      <c r="E225" s="54">
        <v>3421</v>
      </c>
      <c r="F225" s="54">
        <v>118</v>
      </c>
      <c r="G225" s="2687" t="s">
        <v>1594</v>
      </c>
      <c r="H225" s="2687">
        <v>7.27</v>
      </c>
      <c r="I225" s="2709"/>
    </row>
    <row r="226" spans="2:9" ht="15" hidden="1" customHeight="1">
      <c r="B226" s="2746">
        <v>36708</v>
      </c>
      <c r="C226" s="2744">
        <v>10</v>
      </c>
      <c r="D226" s="2745">
        <v>830</v>
      </c>
      <c r="E226" s="54">
        <v>6813</v>
      </c>
      <c r="F226" s="54">
        <v>243</v>
      </c>
      <c r="G226" s="2687" t="s">
        <v>3933</v>
      </c>
      <c r="H226" s="2687">
        <v>7.46</v>
      </c>
      <c r="I226" s="2709"/>
    </row>
    <row r="227" spans="2:9" ht="15" hidden="1" customHeight="1">
      <c r="B227" s="2746">
        <v>36739</v>
      </c>
      <c r="C227" s="2744">
        <v>25</v>
      </c>
      <c r="D227" s="2745">
        <v>460</v>
      </c>
      <c r="E227" s="54">
        <v>6528</v>
      </c>
      <c r="F227" s="54">
        <v>211</v>
      </c>
      <c r="G227" s="2687" t="s">
        <v>1389</v>
      </c>
      <c r="H227" s="2687">
        <v>7.03</v>
      </c>
      <c r="I227" s="2709"/>
    </row>
    <row r="228" spans="2:9" ht="15" hidden="1" customHeight="1">
      <c r="B228" s="2746">
        <v>36770</v>
      </c>
      <c r="C228" s="2744">
        <v>30</v>
      </c>
      <c r="D228" s="2745">
        <v>168</v>
      </c>
      <c r="E228" s="54">
        <v>2859</v>
      </c>
      <c r="F228" s="54">
        <v>95</v>
      </c>
      <c r="G228" s="2687" t="s">
        <v>3934</v>
      </c>
      <c r="H228" s="2687">
        <v>7.13</v>
      </c>
      <c r="I228" s="2709"/>
    </row>
    <row r="229" spans="2:9" ht="15" hidden="1" customHeight="1">
      <c r="B229" s="2746">
        <v>36800</v>
      </c>
      <c r="C229" s="2744">
        <v>30</v>
      </c>
      <c r="D229" s="2745">
        <v>270</v>
      </c>
      <c r="E229" s="54">
        <v>3581</v>
      </c>
      <c r="F229" s="54">
        <v>138</v>
      </c>
      <c r="G229" s="2687" t="s">
        <v>1516</v>
      </c>
      <c r="H229" s="2687">
        <v>7.48</v>
      </c>
      <c r="I229" s="2709"/>
    </row>
    <row r="230" spans="2:9" ht="15" hidden="1" customHeight="1">
      <c r="B230" s="2746">
        <v>36831</v>
      </c>
      <c r="C230" s="2744">
        <v>40</v>
      </c>
      <c r="D230" s="2745">
        <v>201</v>
      </c>
      <c r="E230" s="54">
        <v>2859</v>
      </c>
      <c r="F230" s="54">
        <v>95</v>
      </c>
      <c r="G230" s="2687" t="s">
        <v>228</v>
      </c>
      <c r="H230" s="2687">
        <v>7.98</v>
      </c>
      <c r="I230" s="2709"/>
    </row>
    <row r="231" spans="2:9" ht="15" hidden="1" customHeight="1">
      <c r="B231" s="2746">
        <v>36861</v>
      </c>
      <c r="C231" s="2744">
        <v>16</v>
      </c>
      <c r="D231" s="2745">
        <v>398</v>
      </c>
      <c r="E231" s="54">
        <v>5734</v>
      </c>
      <c r="F231" s="54">
        <v>185</v>
      </c>
      <c r="G231" s="2687" t="s">
        <v>1419</v>
      </c>
      <c r="H231" s="2687">
        <v>7.96</v>
      </c>
      <c r="I231" s="2709"/>
    </row>
    <row r="232" spans="2:9" ht="15" hidden="1" customHeight="1">
      <c r="B232" s="2746">
        <v>36892</v>
      </c>
      <c r="C232" s="2744">
        <v>10</v>
      </c>
      <c r="D232" s="2745">
        <v>590</v>
      </c>
      <c r="E232" s="54">
        <v>4252</v>
      </c>
      <c r="F232" s="54">
        <v>185</v>
      </c>
      <c r="G232" s="2687" t="s">
        <v>1467</v>
      </c>
      <c r="H232" s="2687">
        <v>6.8</v>
      </c>
      <c r="I232" s="2709"/>
    </row>
    <row r="233" spans="2:9" ht="15" hidden="1" customHeight="1">
      <c r="B233" s="2746">
        <v>36923</v>
      </c>
      <c r="C233" s="2744">
        <v>30</v>
      </c>
      <c r="D233" s="2745">
        <v>594</v>
      </c>
      <c r="E233" s="54">
        <v>4815</v>
      </c>
      <c r="F233" s="54">
        <v>172</v>
      </c>
      <c r="G233" s="2687" t="s">
        <v>3935</v>
      </c>
      <c r="H233" s="2687">
        <v>7.2584999999999997</v>
      </c>
      <c r="I233" s="2709"/>
    </row>
    <row r="234" spans="2:9" ht="15" hidden="1" customHeight="1">
      <c r="B234" s="2746">
        <v>36951</v>
      </c>
      <c r="C234" s="2744">
        <v>40</v>
      </c>
      <c r="D234" s="2745">
        <v>410</v>
      </c>
      <c r="E234" s="54">
        <v>4583</v>
      </c>
      <c r="F234" s="54">
        <v>148</v>
      </c>
      <c r="G234" s="2687" t="s">
        <v>3936</v>
      </c>
      <c r="H234" s="2687">
        <v>7.5</v>
      </c>
      <c r="I234" s="2709"/>
    </row>
    <row r="235" spans="2:9" ht="15" hidden="1" customHeight="1">
      <c r="B235" s="2746">
        <v>36982</v>
      </c>
      <c r="C235" s="2744">
        <v>50</v>
      </c>
      <c r="D235" s="2745">
        <v>560</v>
      </c>
      <c r="E235" s="54">
        <v>8724</v>
      </c>
      <c r="F235" s="54">
        <v>291</v>
      </c>
      <c r="G235" s="2687" t="s">
        <v>3937</v>
      </c>
      <c r="H235" s="2687">
        <v>7.8</v>
      </c>
      <c r="I235" s="2709"/>
    </row>
    <row r="236" spans="2:9" ht="15" hidden="1" customHeight="1">
      <c r="B236" s="2746">
        <v>37012</v>
      </c>
      <c r="C236" s="2744">
        <v>80</v>
      </c>
      <c r="D236" s="2745">
        <v>435</v>
      </c>
      <c r="E236" s="54">
        <v>5942</v>
      </c>
      <c r="F236" s="54">
        <v>192</v>
      </c>
      <c r="G236" s="2687" t="s">
        <v>3938</v>
      </c>
      <c r="H236" s="2687">
        <v>8.43</v>
      </c>
      <c r="I236" s="2709"/>
    </row>
    <row r="237" spans="2:9" ht="15" hidden="1" customHeight="1">
      <c r="B237" s="2746">
        <v>37043</v>
      </c>
      <c r="C237" s="2744">
        <v>10</v>
      </c>
      <c r="D237" s="2745">
        <v>570</v>
      </c>
      <c r="E237" s="54">
        <v>5355</v>
      </c>
      <c r="F237" s="54">
        <v>178.5</v>
      </c>
      <c r="G237" s="2687" t="s">
        <v>3939</v>
      </c>
      <c r="H237" s="2687">
        <v>7.29</v>
      </c>
      <c r="I237" s="2709"/>
    </row>
    <row r="238" spans="2:9" ht="15" hidden="1" customHeight="1">
      <c r="B238" s="2746">
        <v>37073</v>
      </c>
      <c r="C238" s="2744">
        <v>50</v>
      </c>
      <c r="D238" s="2745">
        <v>570</v>
      </c>
      <c r="E238" s="54">
        <v>6170</v>
      </c>
      <c r="F238" s="54">
        <v>199</v>
      </c>
      <c r="G238" s="2687" t="s">
        <v>3934</v>
      </c>
      <c r="H238" s="2687">
        <v>7.18</v>
      </c>
      <c r="I238" s="2709"/>
    </row>
    <row r="239" spans="2:9" ht="15" hidden="1" customHeight="1">
      <c r="B239" s="2746">
        <v>37104</v>
      </c>
      <c r="C239" s="2744">
        <v>35</v>
      </c>
      <c r="D239" s="2745">
        <v>482</v>
      </c>
      <c r="E239" s="54">
        <v>4954</v>
      </c>
      <c r="F239" s="54">
        <v>160</v>
      </c>
      <c r="G239" s="2687" t="s">
        <v>3940</v>
      </c>
      <c r="H239" s="2687">
        <v>7.28</v>
      </c>
      <c r="I239" s="2709"/>
    </row>
    <row r="240" spans="2:9" ht="15" hidden="1" customHeight="1">
      <c r="B240" s="2746">
        <v>37135</v>
      </c>
      <c r="C240" s="2744">
        <v>3</v>
      </c>
      <c r="D240" s="2745">
        <v>333</v>
      </c>
      <c r="E240" s="54">
        <v>4828</v>
      </c>
      <c r="F240" s="54">
        <v>161</v>
      </c>
      <c r="G240" s="2687" t="s">
        <v>3941</v>
      </c>
      <c r="H240" s="2687">
        <v>7.13</v>
      </c>
      <c r="I240" s="2709"/>
    </row>
    <row r="241" spans="2:9" ht="15" hidden="1" customHeight="1">
      <c r="B241" s="2746">
        <v>37165</v>
      </c>
      <c r="C241" s="2744">
        <v>115</v>
      </c>
      <c r="D241" s="2745">
        <v>615</v>
      </c>
      <c r="E241" s="54">
        <v>9010</v>
      </c>
      <c r="F241" s="54">
        <v>291</v>
      </c>
      <c r="G241" s="2687" t="s">
        <v>3942</v>
      </c>
      <c r="H241" s="2687">
        <v>7.12</v>
      </c>
      <c r="I241" s="2709"/>
    </row>
    <row r="242" spans="2:9" ht="15" hidden="1" customHeight="1">
      <c r="B242" s="2746">
        <v>37196</v>
      </c>
      <c r="C242" s="2744">
        <v>50</v>
      </c>
      <c r="D242" s="2745">
        <v>720</v>
      </c>
      <c r="E242" s="54">
        <v>7487</v>
      </c>
      <c r="F242" s="54">
        <v>267</v>
      </c>
      <c r="G242" s="2687" t="s">
        <v>1763</v>
      </c>
      <c r="H242" s="2687">
        <v>6.86</v>
      </c>
      <c r="I242" s="2709"/>
    </row>
    <row r="243" spans="2:9" ht="15" hidden="1" customHeight="1">
      <c r="B243" s="2746">
        <v>37226</v>
      </c>
      <c r="C243" s="2744">
        <v>30</v>
      </c>
      <c r="D243" s="2745">
        <v>895</v>
      </c>
      <c r="E243" s="54">
        <v>9060</v>
      </c>
      <c r="F243" s="54">
        <v>292</v>
      </c>
      <c r="G243" s="2687" t="s">
        <v>1390</v>
      </c>
      <c r="H243" s="2687">
        <v>6.95</v>
      </c>
      <c r="I243" s="2709"/>
    </row>
    <row r="244" spans="2:9" ht="15" hidden="1" customHeight="1">
      <c r="B244" s="2746">
        <v>37257</v>
      </c>
      <c r="C244" s="2744">
        <v>5</v>
      </c>
      <c r="D244" s="2745">
        <v>310</v>
      </c>
      <c r="E244" s="2686">
        <v>3355</v>
      </c>
      <c r="F244" s="54">
        <v>116</v>
      </c>
      <c r="G244" s="2687" t="s">
        <v>3943</v>
      </c>
      <c r="H244" s="2687">
        <v>6.69</v>
      </c>
      <c r="I244" s="2709"/>
    </row>
    <row r="245" spans="2:9" ht="15" hidden="1" customHeight="1">
      <c r="B245" s="2746">
        <v>37316</v>
      </c>
      <c r="C245" s="2744">
        <v>5</v>
      </c>
      <c r="D245" s="2745">
        <v>418</v>
      </c>
      <c r="E245" s="2686">
        <v>7338</v>
      </c>
      <c r="F245" s="54">
        <v>237</v>
      </c>
      <c r="G245" s="2687" t="s">
        <v>2033</v>
      </c>
      <c r="H245" s="2687">
        <v>6.63</v>
      </c>
      <c r="I245" s="2709"/>
    </row>
    <row r="246" spans="2:9" ht="15" hidden="1" customHeight="1">
      <c r="B246" s="2746">
        <v>37347</v>
      </c>
      <c r="C246" s="2744">
        <v>70</v>
      </c>
      <c r="D246" s="2745">
        <v>310</v>
      </c>
      <c r="E246" s="2686">
        <v>5516</v>
      </c>
      <c r="F246" s="54">
        <v>184</v>
      </c>
      <c r="G246" s="2687" t="s">
        <v>3944</v>
      </c>
      <c r="H246" s="2687">
        <v>6.74</v>
      </c>
      <c r="I246" s="2709"/>
    </row>
    <row r="247" spans="2:9" ht="15" hidden="1" customHeight="1">
      <c r="B247" s="2746">
        <v>37377</v>
      </c>
      <c r="C247" s="2744">
        <v>30</v>
      </c>
      <c r="D247" s="2745">
        <v>330</v>
      </c>
      <c r="E247" s="2686">
        <v>4300</v>
      </c>
      <c r="F247" s="54">
        <v>143</v>
      </c>
      <c r="G247" s="2687" t="s">
        <v>3945</v>
      </c>
      <c r="H247" s="2687">
        <v>6.43</v>
      </c>
      <c r="I247" s="2709"/>
    </row>
    <row r="248" spans="2:9" ht="15" hidden="1" customHeight="1">
      <c r="B248" s="2746">
        <v>37408</v>
      </c>
      <c r="C248" s="2744">
        <v>10</v>
      </c>
      <c r="D248" s="2745">
        <v>390</v>
      </c>
      <c r="E248" s="2686">
        <v>2970</v>
      </c>
      <c r="F248" s="54">
        <v>149</v>
      </c>
      <c r="G248" s="2687" t="s">
        <v>3946</v>
      </c>
      <c r="H248" s="2687">
        <v>6.5</v>
      </c>
      <c r="I248" s="2709"/>
    </row>
    <row r="249" spans="2:9" ht="15" hidden="1" customHeight="1">
      <c r="B249" s="2746">
        <v>37438</v>
      </c>
      <c r="C249" s="2744">
        <v>10</v>
      </c>
      <c r="D249" s="2745">
        <v>735</v>
      </c>
      <c r="E249" s="2686">
        <v>7661</v>
      </c>
      <c r="F249" s="54">
        <v>255</v>
      </c>
      <c r="G249" s="2687" t="s">
        <v>3947</v>
      </c>
      <c r="H249" s="2687">
        <v>5.73</v>
      </c>
      <c r="I249" s="2709"/>
    </row>
    <row r="250" spans="2:9" ht="15" hidden="1" customHeight="1">
      <c r="B250" s="2746">
        <v>37469</v>
      </c>
      <c r="C250" s="2744">
        <v>10</v>
      </c>
      <c r="D250" s="2745">
        <v>455</v>
      </c>
      <c r="E250" s="2686">
        <v>8185</v>
      </c>
      <c r="F250" s="54">
        <v>264</v>
      </c>
      <c r="G250" s="2687" t="s">
        <v>3948</v>
      </c>
      <c r="H250" s="2687">
        <v>7.37</v>
      </c>
    </row>
    <row r="251" spans="2:9" ht="15" hidden="1" customHeight="1">
      <c r="B251" s="2746">
        <v>37500</v>
      </c>
      <c r="C251" s="2744">
        <v>205</v>
      </c>
      <c r="D251" s="2745">
        <v>627</v>
      </c>
      <c r="E251" s="2686">
        <v>9421</v>
      </c>
      <c r="F251" s="54">
        <v>314</v>
      </c>
      <c r="G251" s="2687" t="s">
        <v>3949</v>
      </c>
      <c r="H251" s="2687">
        <v>7.74</v>
      </c>
    </row>
    <row r="252" spans="2:9" ht="15" hidden="1" customHeight="1">
      <c r="B252" s="2746">
        <v>37530</v>
      </c>
      <c r="C252" s="2744">
        <v>250</v>
      </c>
      <c r="D252" s="2745">
        <v>812</v>
      </c>
      <c r="E252" s="2686">
        <v>17979</v>
      </c>
      <c r="F252" s="54">
        <v>580</v>
      </c>
      <c r="G252" s="2687" t="s">
        <v>3948</v>
      </c>
      <c r="H252" s="2687">
        <v>7.67</v>
      </c>
    </row>
    <row r="253" spans="2:9" ht="15" hidden="1" customHeight="1">
      <c r="B253" s="2746">
        <v>37561</v>
      </c>
      <c r="C253" s="2744">
        <v>20</v>
      </c>
      <c r="D253" s="2745">
        <v>695</v>
      </c>
      <c r="E253" s="2686">
        <v>6205</v>
      </c>
      <c r="F253" s="54">
        <v>270</v>
      </c>
      <c r="G253" s="2687" t="s">
        <v>3949</v>
      </c>
      <c r="H253" s="2687">
        <v>7.42</v>
      </c>
    </row>
    <row r="254" spans="2:9" ht="15" hidden="1" customHeight="1">
      <c r="B254" s="2746">
        <v>37591</v>
      </c>
      <c r="C254" s="2744">
        <v>10</v>
      </c>
      <c r="D254" s="2745">
        <v>235</v>
      </c>
      <c r="E254" s="2686">
        <v>2869</v>
      </c>
      <c r="F254" s="54">
        <v>125</v>
      </c>
      <c r="G254" s="2687" t="s">
        <v>3950</v>
      </c>
      <c r="H254" s="2687">
        <v>4.92</v>
      </c>
    </row>
    <row r="255" spans="2:9" ht="15" hidden="1" customHeight="1">
      <c r="B255" s="2746">
        <v>37622</v>
      </c>
      <c r="C255" s="2744">
        <v>90</v>
      </c>
      <c r="D255" s="2745">
        <v>425</v>
      </c>
      <c r="E255" s="2686">
        <v>4318</v>
      </c>
      <c r="F255" s="54">
        <v>254</v>
      </c>
      <c r="G255" s="2687" t="s">
        <v>3951</v>
      </c>
      <c r="H255" s="2687">
        <v>3.72</v>
      </c>
    </row>
    <row r="256" spans="2:9" ht="15" hidden="1" customHeight="1">
      <c r="B256" s="2746">
        <v>37653</v>
      </c>
      <c r="C256" s="2744">
        <v>15</v>
      </c>
      <c r="D256" s="2745">
        <v>545</v>
      </c>
      <c r="E256" s="2686">
        <v>6869</v>
      </c>
      <c r="F256" s="54">
        <v>275</v>
      </c>
      <c r="G256" s="2687" t="s">
        <v>3952</v>
      </c>
      <c r="H256" s="2687">
        <v>4.75</v>
      </c>
    </row>
    <row r="257" spans="2:8" ht="15" hidden="1" customHeight="1">
      <c r="B257" s="2746">
        <v>37681</v>
      </c>
      <c r="C257" s="2744">
        <v>30</v>
      </c>
      <c r="D257" s="2745">
        <v>200</v>
      </c>
      <c r="E257" s="2686">
        <v>2485</v>
      </c>
      <c r="F257" s="54">
        <v>124</v>
      </c>
      <c r="G257" s="2687" t="s">
        <v>3953</v>
      </c>
      <c r="H257" s="2687">
        <v>3.64</v>
      </c>
    </row>
    <row r="258" spans="2:8" ht="15" hidden="1" customHeight="1">
      <c r="B258" s="2746">
        <v>37712</v>
      </c>
      <c r="C258" s="2744">
        <v>5</v>
      </c>
      <c r="D258" s="2745">
        <v>530</v>
      </c>
      <c r="E258" s="2686">
        <v>4181</v>
      </c>
      <c r="F258" s="54">
        <v>144</v>
      </c>
      <c r="G258" s="2687" t="s">
        <v>3954</v>
      </c>
      <c r="H258" s="2687">
        <v>3.66</v>
      </c>
    </row>
    <row r="259" spans="2:8" ht="15" hidden="1" customHeight="1">
      <c r="B259" s="2746">
        <v>37742</v>
      </c>
      <c r="C259" s="2744">
        <v>10</v>
      </c>
      <c r="D259" s="2745">
        <v>565</v>
      </c>
      <c r="E259" s="2686">
        <v>6318</v>
      </c>
      <c r="F259" s="54">
        <v>218</v>
      </c>
      <c r="G259" s="2687" t="s">
        <v>3955</v>
      </c>
      <c r="H259" s="2687">
        <v>4.12</v>
      </c>
    </row>
    <row r="260" spans="2:8" ht="15" hidden="1" customHeight="1">
      <c r="B260" s="2746">
        <v>37773</v>
      </c>
      <c r="C260" s="2744">
        <v>28</v>
      </c>
      <c r="D260" s="2745">
        <v>275</v>
      </c>
      <c r="E260" s="2686">
        <v>2768</v>
      </c>
      <c r="F260" s="54">
        <v>115</v>
      </c>
      <c r="G260" s="2687" t="s">
        <v>3952</v>
      </c>
      <c r="H260" s="2687">
        <v>4.45</v>
      </c>
    </row>
    <row r="261" spans="2:8" ht="15" hidden="1" customHeight="1">
      <c r="B261" s="2746">
        <v>37803</v>
      </c>
      <c r="C261" s="2744">
        <v>20</v>
      </c>
      <c r="D261" s="2745">
        <v>975</v>
      </c>
      <c r="E261" s="2686">
        <v>12795</v>
      </c>
      <c r="F261" s="54">
        <v>413</v>
      </c>
      <c r="G261" s="2687" t="s">
        <v>1740</v>
      </c>
      <c r="H261" s="2687">
        <v>4.08</v>
      </c>
    </row>
    <row r="262" spans="2:8" ht="15" hidden="1" customHeight="1">
      <c r="B262" s="2746">
        <v>37834</v>
      </c>
      <c r="C262" s="2744">
        <v>110</v>
      </c>
      <c r="D262" s="2745">
        <v>595</v>
      </c>
      <c r="E262" s="2686">
        <v>5646</v>
      </c>
      <c r="F262" s="54">
        <v>268.85000000000002</v>
      </c>
      <c r="G262" s="2687" t="s">
        <v>3956</v>
      </c>
      <c r="H262" s="2687">
        <v>3.89</v>
      </c>
    </row>
    <row r="263" spans="2:8" ht="15.75" hidden="1" customHeight="1">
      <c r="B263" s="2746">
        <v>37865</v>
      </c>
      <c r="C263" s="2744">
        <v>20</v>
      </c>
      <c r="D263" s="2745">
        <v>130</v>
      </c>
      <c r="E263" s="2686">
        <v>668</v>
      </c>
      <c r="F263" s="54">
        <v>67</v>
      </c>
      <c r="G263" s="2687" t="s">
        <v>1406</v>
      </c>
      <c r="H263" s="2687">
        <v>2.78</v>
      </c>
    </row>
    <row r="264" spans="2:8" ht="15" hidden="1" customHeight="1">
      <c r="B264" s="2746">
        <v>37895</v>
      </c>
      <c r="C264" s="2744">
        <v>10</v>
      </c>
      <c r="D264" s="2745">
        <v>552</v>
      </c>
      <c r="E264" s="2686">
        <v>3155</v>
      </c>
      <c r="F264" s="54">
        <v>186</v>
      </c>
      <c r="G264" s="2687" t="s">
        <v>3957</v>
      </c>
      <c r="H264" s="2687">
        <v>1.96</v>
      </c>
    </row>
    <row r="265" spans="2:8" ht="15" hidden="1" customHeight="1">
      <c r="B265" s="2746">
        <v>37926</v>
      </c>
      <c r="C265" s="2744">
        <v>10</v>
      </c>
      <c r="D265" s="2745">
        <v>431</v>
      </c>
      <c r="E265" s="2686">
        <v>2211</v>
      </c>
      <c r="F265" s="54">
        <v>130</v>
      </c>
      <c r="G265" s="2687" t="s">
        <v>3958</v>
      </c>
      <c r="H265" s="2687">
        <v>1.26</v>
      </c>
    </row>
    <row r="266" spans="2:8" ht="15" hidden="1" customHeight="1">
      <c r="B266" s="2746">
        <v>37956</v>
      </c>
      <c r="C266" s="2744">
        <v>50</v>
      </c>
      <c r="D266" s="2745">
        <v>695</v>
      </c>
      <c r="E266" s="2686">
        <v>5392</v>
      </c>
      <c r="F266" s="54">
        <v>174</v>
      </c>
      <c r="G266" s="2687" t="s">
        <v>3959</v>
      </c>
      <c r="H266" s="2687">
        <v>1.4</v>
      </c>
    </row>
    <row r="267" spans="2:8" ht="15" hidden="1" customHeight="1">
      <c r="B267" s="2746">
        <v>37987</v>
      </c>
      <c r="C267" s="2744">
        <v>1</v>
      </c>
      <c r="D267" s="2745">
        <v>695</v>
      </c>
      <c r="E267" s="2686">
        <v>5670</v>
      </c>
      <c r="F267" s="54">
        <v>247</v>
      </c>
      <c r="G267" s="2687" t="s">
        <v>3959</v>
      </c>
      <c r="H267" s="2687">
        <v>1.27</v>
      </c>
    </row>
    <row r="268" spans="2:8" ht="15" hidden="1" customHeight="1">
      <c r="B268" s="2746">
        <v>38018</v>
      </c>
      <c r="C268" s="2744">
        <v>15</v>
      </c>
      <c r="D268" s="2745">
        <v>875</v>
      </c>
      <c r="E268" s="2686">
        <v>6570</v>
      </c>
      <c r="F268" s="54">
        <v>365</v>
      </c>
      <c r="G268" s="2687" t="s">
        <v>3960</v>
      </c>
      <c r="H268" s="2687">
        <v>1.45</v>
      </c>
    </row>
    <row r="269" spans="2:8" ht="15" hidden="1" customHeight="1">
      <c r="B269" s="2746">
        <v>38047</v>
      </c>
      <c r="C269" s="2744">
        <v>25</v>
      </c>
      <c r="D269" s="2745">
        <v>190</v>
      </c>
      <c r="E269" s="2686">
        <v>2405</v>
      </c>
      <c r="F269" s="54">
        <v>93</v>
      </c>
      <c r="G269" s="2687" t="s">
        <v>3961</v>
      </c>
      <c r="H269" s="2687">
        <v>1</v>
      </c>
    </row>
    <row r="270" spans="2:8" ht="15" hidden="1" customHeight="1">
      <c r="B270" s="2746">
        <v>38078</v>
      </c>
      <c r="C270" s="2744">
        <v>10</v>
      </c>
      <c r="D270" s="2745">
        <v>695</v>
      </c>
      <c r="E270" s="2686">
        <v>4911</v>
      </c>
      <c r="F270" s="54">
        <v>163.69999999999999</v>
      </c>
      <c r="G270" s="2687" t="s">
        <v>3962</v>
      </c>
      <c r="H270" s="2687">
        <v>1.0026999999999999</v>
      </c>
    </row>
    <row r="271" spans="2:8" ht="15" hidden="1" customHeight="1">
      <c r="B271" s="2746">
        <v>38108</v>
      </c>
      <c r="C271" s="2744">
        <v>10</v>
      </c>
      <c r="D271" s="2745">
        <v>350</v>
      </c>
      <c r="E271" s="2686">
        <v>2915</v>
      </c>
      <c r="F271" s="54">
        <v>101</v>
      </c>
      <c r="G271" s="2687">
        <v>1</v>
      </c>
      <c r="H271" s="2687">
        <v>1</v>
      </c>
    </row>
    <row r="272" spans="2:8" ht="15" hidden="1" customHeight="1">
      <c r="B272" s="2746">
        <v>38139</v>
      </c>
      <c r="C272" s="2744">
        <v>40</v>
      </c>
      <c r="D272" s="2745">
        <v>1100</v>
      </c>
      <c r="E272" s="2686">
        <v>7232</v>
      </c>
      <c r="F272" s="54">
        <v>241.1</v>
      </c>
      <c r="G272" s="2687" t="s">
        <v>3963</v>
      </c>
      <c r="H272" s="2687">
        <v>1.02</v>
      </c>
    </row>
    <row r="273" spans="2:8" ht="15" hidden="1" customHeight="1">
      <c r="B273" s="2746">
        <v>38169</v>
      </c>
      <c r="C273" s="2744">
        <v>40</v>
      </c>
      <c r="D273" s="2745">
        <v>375</v>
      </c>
      <c r="E273" s="2686">
        <v>5978</v>
      </c>
      <c r="F273" s="54">
        <v>193</v>
      </c>
      <c r="G273" s="2687" t="s">
        <v>3964</v>
      </c>
      <c r="H273" s="2687">
        <v>1.07</v>
      </c>
    </row>
    <row r="274" spans="2:8" ht="15" hidden="1" customHeight="1">
      <c r="B274" s="2746">
        <v>38200</v>
      </c>
      <c r="C274" s="2744">
        <v>20</v>
      </c>
      <c r="D274" s="2745">
        <v>870</v>
      </c>
      <c r="E274" s="2686">
        <v>11835</v>
      </c>
      <c r="F274" s="54">
        <v>438.3</v>
      </c>
      <c r="G274" s="2687" t="s">
        <v>3965</v>
      </c>
      <c r="H274" s="2687">
        <v>1</v>
      </c>
    </row>
    <row r="275" spans="2:8" ht="15" hidden="1" customHeight="1">
      <c r="B275" s="2746">
        <v>38231</v>
      </c>
      <c r="C275" s="2744">
        <v>200</v>
      </c>
      <c r="D275" s="2745">
        <v>1170</v>
      </c>
      <c r="E275" s="2686">
        <v>11979</v>
      </c>
      <c r="F275" s="54">
        <v>444</v>
      </c>
      <c r="G275" s="2687" t="s">
        <v>3966</v>
      </c>
      <c r="H275" s="2687">
        <v>1</v>
      </c>
    </row>
    <row r="276" spans="2:8" ht="15" hidden="1" customHeight="1">
      <c r="B276" s="2746">
        <v>38261</v>
      </c>
      <c r="C276" s="2744">
        <v>220</v>
      </c>
      <c r="D276" s="2745">
        <v>1090</v>
      </c>
      <c r="E276" s="2686">
        <v>19154</v>
      </c>
      <c r="F276" s="54">
        <v>617.87</v>
      </c>
      <c r="G276" s="2687" t="s">
        <v>3959</v>
      </c>
      <c r="H276" s="2687">
        <v>1.35</v>
      </c>
    </row>
    <row r="277" spans="2:8" ht="15" hidden="1" customHeight="1">
      <c r="B277" s="2746">
        <v>38292</v>
      </c>
      <c r="C277" s="2744">
        <v>8</v>
      </c>
      <c r="D277" s="2745">
        <v>715</v>
      </c>
      <c r="E277" s="2686">
        <v>4458</v>
      </c>
      <c r="F277" s="54">
        <v>186</v>
      </c>
      <c r="G277" s="2687" t="s">
        <v>3967</v>
      </c>
      <c r="H277" s="2687">
        <v>3.51</v>
      </c>
    </row>
    <row r="278" spans="2:8" ht="15" hidden="1" customHeight="1">
      <c r="B278" s="2746">
        <v>38322</v>
      </c>
      <c r="C278" s="2744">
        <v>30</v>
      </c>
      <c r="D278" s="2745">
        <v>860</v>
      </c>
      <c r="E278" s="2686">
        <v>10355</v>
      </c>
      <c r="F278" s="54">
        <v>334.03</v>
      </c>
      <c r="G278" s="2687" t="s">
        <v>3967</v>
      </c>
      <c r="H278" s="2687">
        <v>1.69</v>
      </c>
    </row>
    <row r="279" spans="2:8" ht="15" hidden="1" customHeight="1">
      <c r="B279" s="2746">
        <v>39083</v>
      </c>
      <c r="C279" s="2744">
        <v>90</v>
      </c>
      <c r="D279" s="2745">
        <v>888</v>
      </c>
      <c r="E279" s="2686">
        <v>12415</v>
      </c>
      <c r="F279" s="54">
        <v>400.48</v>
      </c>
      <c r="G279" s="2714" t="s">
        <v>3984</v>
      </c>
      <c r="H279" s="2687">
        <v>8.41</v>
      </c>
    </row>
    <row r="280" spans="2:8" ht="15" hidden="1" customHeight="1">
      <c r="B280" s="2746">
        <v>39114</v>
      </c>
      <c r="C280" s="2744">
        <v>80</v>
      </c>
      <c r="D280" s="2745">
        <v>680</v>
      </c>
      <c r="E280" s="2686">
        <v>7783</v>
      </c>
      <c r="F280" s="54">
        <v>278</v>
      </c>
      <c r="G280" s="2687" t="s">
        <v>3984</v>
      </c>
      <c r="H280" s="2687">
        <v>8.6999999999999993</v>
      </c>
    </row>
    <row r="281" spans="2:8" ht="15" hidden="1" customHeight="1">
      <c r="B281" s="2746">
        <v>39142</v>
      </c>
      <c r="C281" s="2744">
        <v>1</v>
      </c>
      <c r="D281" s="2745">
        <v>944</v>
      </c>
      <c r="E281" s="2686">
        <v>6495</v>
      </c>
      <c r="F281" s="54">
        <v>231.96</v>
      </c>
      <c r="G281" s="2687" t="s">
        <v>4069</v>
      </c>
      <c r="H281" s="2687">
        <v>8.18</v>
      </c>
    </row>
    <row r="282" spans="2:8" ht="15" hidden="1" customHeight="1">
      <c r="B282" s="2746">
        <v>39173</v>
      </c>
      <c r="C282" s="2747">
        <v>18</v>
      </c>
      <c r="D282" s="2748">
        <v>730</v>
      </c>
      <c r="E282" s="2686">
        <v>6620</v>
      </c>
      <c r="F282" s="2749">
        <v>220.65</v>
      </c>
      <c r="G282" s="66" t="s">
        <v>3985</v>
      </c>
      <c r="H282" s="2687">
        <v>8.1</v>
      </c>
    </row>
    <row r="283" spans="2:8" ht="15" hidden="1" customHeight="1">
      <c r="B283" s="2746">
        <v>39203</v>
      </c>
      <c r="C283" s="2747">
        <v>30</v>
      </c>
      <c r="D283" s="2748">
        <v>895</v>
      </c>
      <c r="E283" s="2686">
        <v>11016.5</v>
      </c>
      <c r="F283" s="2749">
        <v>355.37</v>
      </c>
      <c r="G283" s="66" t="s">
        <v>3984</v>
      </c>
      <c r="H283" s="2687">
        <v>8.3699999999999992</v>
      </c>
    </row>
    <row r="284" spans="2:8" ht="15" hidden="1" customHeight="1">
      <c r="B284" s="2746">
        <v>39240</v>
      </c>
      <c r="C284" s="2747">
        <v>25</v>
      </c>
      <c r="D284" s="2748">
        <v>430</v>
      </c>
      <c r="E284" s="2686">
        <v>5366</v>
      </c>
      <c r="F284" s="2749">
        <v>185</v>
      </c>
      <c r="G284" s="66" t="s">
        <v>4069</v>
      </c>
      <c r="H284" s="2687">
        <v>8.11</v>
      </c>
    </row>
    <row r="285" spans="2:8" ht="15" hidden="1" customHeight="1">
      <c r="B285" s="2746">
        <v>39270</v>
      </c>
      <c r="C285" s="2747">
        <v>35</v>
      </c>
      <c r="D285" s="2748">
        <v>710</v>
      </c>
      <c r="E285" s="2686">
        <v>8364</v>
      </c>
      <c r="F285" s="2749">
        <v>279</v>
      </c>
      <c r="G285" s="66" t="s">
        <v>3984</v>
      </c>
      <c r="H285" s="2687">
        <v>8.7200000000000006</v>
      </c>
    </row>
    <row r="286" spans="2:8" ht="15" hidden="1" customHeight="1">
      <c r="B286" s="2746">
        <v>39301</v>
      </c>
      <c r="C286" s="2747">
        <v>102</v>
      </c>
      <c r="D286" s="2750">
        <v>1210</v>
      </c>
      <c r="E286" s="2686">
        <v>13418</v>
      </c>
      <c r="F286" s="2749">
        <v>462.69</v>
      </c>
      <c r="G286" s="66" t="s">
        <v>4070</v>
      </c>
      <c r="H286" s="2687">
        <v>8.76</v>
      </c>
    </row>
    <row r="287" spans="2:8" ht="15" hidden="1" customHeight="1">
      <c r="B287" s="2746">
        <v>39332</v>
      </c>
      <c r="C287" s="2747">
        <v>80</v>
      </c>
      <c r="D287" s="2748">
        <v>955</v>
      </c>
      <c r="E287" s="2686">
        <v>13447</v>
      </c>
      <c r="F287" s="2749">
        <v>464</v>
      </c>
      <c r="G287" s="66" t="s">
        <v>4071</v>
      </c>
      <c r="H287" s="2687">
        <v>8.8699999999999992</v>
      </c>
    </row>
    <row r="288" spans="2:8" ht="15" hidden="1" customHeight="1">
      <c r="B288" s="2746">
        <v>39362</v>
      </c>
      <c r="C288" s="2744">
        <v>9</v>
      </c>
      <c r="D288" s="2745">
        <v>380</v>
      </c>
      <c r="E288" s="2686">
        <v>3029</v>
      </c>
      <c r="F288" s="54">
        <v>104</v>
      </c>
      <c r="G288" s="66" t="s">
        <v>4072</v>
      </c>
      <c r="H288" s="2687">
        <v>8.84</v>
      </c>
    </row>
    <row r="289" spans="2:8" ht="15" hidden="1" customHeight="1">
      <c r="B289" s="2746">
        <v>39393</v>
      </c>
      <c r="C289" s="2744">
        <v>15</v>
      </c>
      <c r="D289" s="2745">
        <v>765</v>
      </c>
      <c r="E289" s="2686">
        <v>5220</v>
      </c>
      <c r="F289" s="54">
        <v>209</v>
      </c>
      <c r="G289" s="66" t="s">
        <v>4073</v>
      </c>
      <c r="H289" s="2687">
        <v>8.4700000000000006</v>
      </c>
    </row>
    <row r="290" spans="2:8" ht="15" hidden="1" customHeight="1">
      <c r="B290" s="2743">
        <v>39423</v>
      </c>
      <c r="C290" s="2744">
        <v>20</v>
      </c>
      <c r="D290" s="2745">
        <v>500</v>
      </c>
      <c r="E290" s="2686">
        <v>4350</v>
      </c>
      <c r="F290" s="54">
        <v>207</v>
      </c>
      <c r="G290" s="66" t="s">
        <v>4073</v>
      </c>
      <c r="H290" s="2687">
        <v>8.6300000000000008</v>
      </c>
    </row>
    <row r="291" spans="2:8" ht="15" hidden="1" customHeight="1">
      <c r="B291" s="2743">
        <v>39454</v>
      </c>
      <c r="C291" s="2744">
        <v>10</v>
      </c>
      <c r="D291" s="2745">
        <v>494</v>
      </c>
      <c r="E291" s="2686">
        <v>2734</v>
      </c>
      <c r="F291" s="54">
        <v>124.3</v>
      </c>
      <c r="G291" s="66" t="s">
        <v>4069</v>
      </c>
      <c r="H291" s="2687">
        <v>8.2100000000000009</v>
      </c>
    </row>
    <row r="292" spans="2:8" ht="15" hidden="1" customHeight="1">
      <c r="B292" s="2743">
        <v>39485</v>
      </c>
      <c r="C292" s="2744">
        <v>50</v>
      </c>
      <c r="D292" s="2745">
        <v>685</v>
      </c>
      <c r="E292" s="2686">
        <v>11547</v>
      </c>
      <c r="F292" s="54">
        <v>398</v>
      </c>
      <c r="G292" s="66" t="s">
        <v>3992</v>
      </c>
      <c r="H292" s="2687">
        <v>8.0299999999999994</v>
      </c>
    </row>
    <row r="293" spans="2:8" ht="15" hidden="1" customHeight="1">
      <c r="B293" s="2743">
        <v>39514</v>
      </c>
      <c r="C293" s="2744">
        <v>20</v>
      </c>
      <c r="D293" s="2745">
        <v>845</v>
      </c>
      <c r="E293" s="2686">
        <v>7775</v>
      </c>
      <c r="F293" s="54">
        <v>388.75</v>
      </c>
      <c r="G293" s="66" t="s">
        <v>1517</v>
      </c>
      <c r="H293" s="2687">
        <v>7.36</v>
      </c>
    </row>
    <row r="294" spans="2:8" ht="15" hidden="1" customHeight="1">
      <c r="B294" s="2743">
        <v>39545</v>
      </c>
      <c r="C294" s="2744">
        <v>25</v>
      </c>
      <c r="D294" s="2745">
        <v>650</v>
      </c>
      <c r="E294" s="2686">
        <v>2825</v>
      </c>
      <c r="F294" s="54">
        <v>113</v>
      </c>
      <c r="G294" s="66" t="s">
        <v>4074</v>
      </c>
      <c r="H294" s="2687">
        <v>6.79</v>
      </c>
    </row>
    <row r="295" spans="2:8" ht="15" hidden="1" customHeight="1">
      <c r="B295" s="2743">
        <v>39575</v>
      </c>
      <c r="C295" s="2744">
        <v>45</v>
      </c>
      <c r="D295" s="2745">
        <v>650</v>
      </c>
      <c r="E295" s="2686">
        <v>8081</v>
      </c>
      <c r="F295" s="54">
        <v>279</v>
      </c>
      <c r="G295" s="66" t="s">
        <v>4075</v>
      </c>
      <c r="H295" s="2687">
        <v>6.56</v>
      </c>
    </row>
    <row r="296" spans="2:8" ht="15" hidden="1" customHeight="1">
      <c r="B296" s="2743">
        <v>39606</v>
      </c>
      <c r="C296" s="2744">
        <v>27</v>
      </c>
      <c r="D296" s="2745">
        <v>815</v>
      </c>
      <c r="E296" s="2686">
        <v>6878</v>
      </c>
      <c r="F296" s="54">
        <v>229.27</v>
      </c>
      <c r="G296" s="66" t="s">
        <v>4076</v>
      </c>
      <c r="H296" s="2687">
        <v>6.43</v>
      </c>
    </row>
    <row r="297" spans="2:8" ht="15" hidden="1" customHeight="1">
      <c r="B297" s="2743">
        <v>39636</v>
      </c>
      <c r="C297" s="2744">
        <v>50</v>
      </c>
      <c r="D297" s="2745">
        <v>1110</v>
      </c>
      <c r="E297" s="2686">
        <v>7742</v>
      </c>
      <c r="F297" s="54">
        <v>266.97000000000003</v>
      </c>
      <c r="G297" s="66" t="s">
        <v>4077</v>
      </c>
      <c r="H297" s="2687">
        <v>6.48</v>
      </c>
    </row>
    <row r="298" spans="2:8" ht="15" hidden="1" customHeight="1">
      <c r="B298" s="2743">
        <v>39667</v>
      </c>
      <c r="C298" s="2744">
        <v>15</v>
      </c>
      <c r="D298" s="2745">
        <v>960</v>
      </c>
      <c r="E298" s="2686">
        <v>6627</v>
      </c>
      <c r="F298" s="54">
        <v>229</v>
      </c>
      <c r="G298" s="66" t="s">
        <v>1390</v>
      </c>
      <c r="H298" s="2687">
        <v>6.71</v>
      </c>
    </row>
    <row r="299" spans="2:8" ht="15" hidden="1" customHeight="1">
      <c r="B299" s="2743">
        <v>39698</v>
      </c>
      <c r="C299" s="2744">
        <v>70</v>
      </c>
      <c r="D299" s="2745">
        <v>1170</v>
      </c>
      <c r="E299" s="2686">
        <v>16415</v>
      </c>
      <c r="F299" s="54">
        <v>547.20000000000005</v>
      </c>
      <c r="G299" s="66" t="s">
        <v>4078</v>
      </c>
      <c r="H299" s="2687">
        <v>8.7899999999999991</v>
      </c>
    </row>
    <row r="300" spans="2:8" ht="15" hidden="1" customHeight="1">
      <c r="B300" s="2743">
        <v>39728</v>
      </c>
      <c r="C300" s="2744">
        <v>30</v>
      </c>
      <c r="D300" s="2745">
        <v>1130</v>
      </c>
      <c r="E300" s="2686">
        <v>12280</v>
      </c>
      <c r="F300" s="54">
        <v>396.13</v>
      </c>
      <c r="G300" s="66" t="s">
        <v>4079</v>
      </c>
      <c r="H300" s="2687">
        <v>8.76</v>
      </c>
    </row>
    <row r="301" spans="2:8" ht="15" hidden="1" customHeight="1">
      <c r="B301" s="2743">
        <v>39759</v>
      </c>
      <c r="C301" s="2744">
        <v>40</v>
      </c>
      <c r="D301" s="2745">
        <v>425</v>
      </c>
      <c r="E301" s="2686">
        <v>5215</v>
      </c>
      <c r="F301" s="54">
        <v>173.83</v>
      </c>
      <c r="G301" s="66" t="s">
        <v>4080</v>
      </c>
      <c r="H301" s="2687">
        <v>8.8699999999999992</v>
      </c>
    </row>
    <row r="302" spans="2:8" ht="15" hidden="1" customHeight="1">
      <c r="B302" s="2751">
        <v>39789</v>
      </c>
      <c r="C302" s="2752">
        <v>15</v>
      </c>
      <c r="D302" s="2753">
        <v>1545</v>
      </c>
      <c r="E302" s="2686">
        <v>11281</v>
      </c>
      <c r="F302" s="54">
        <v>402.89</v>
      </c>
      <c r="G302" s="66" t="s">
        <v>4000</v>
      </c>
      <c r="H302" s="2687">
        <v>7.23</v>
      </c>
    </row>
    <row r="303" spans="2:8" ht="15" hidden="1" customHeight="1">
      <c r="B303" s="2707">
        <v>39820</v>
      </c>
      <c r="C303" s="2708">
        <v>10</v>
      </c>
      <c r="D303" s="54">
        <v>1325</v>
      </c>
      <c r="E303" s="2686">
        <v>9211</v>
      </c>
      <c r="F303" s="54">
        <v>297.13</v>
      </c>
      <c r="G303" s="66" t="s">
        <v>4081</v>
      </c>
      <c r="H303" s="2687">
        <v>6.53</v>
      </c>
    </row>
    <row r="304" spans="2:8" ht="15" hidden="1" customHeight="1">
      <c r="B304" s="2707">
        <v>39851</v>
      </c>
      <c r="C304" s="2708">
        <v>30</v>
      </c>
      <c r="D304" s="54">
        <v>567</v>
      </c>
      <c r="E304" s="2686">
        <v>5759.5</v>
      </c>
      <c r="F304" s="54">
        <v>221.52</v>
      </c>
      <c r="G304" s="66" t="s">
        <v>4082</v>
      </c>
      <c r="H304" s="2687">
        <v>6.17</v>
      </c>
    </row>
    <row r="305" spans="2:9" ht="15" hidden="1" customHeight="1">
      <c r="B305" s="2707">
        <v>39879</v>
      </c>
      <c r="C305" s="2708">
        <v>15</v>
      </c>
      <c r="D305" s="54">
        <v>500</v>
      </c>
      <c r="E305" s="2686">
        <v>6110</v>
      </c>
      <c r="F305" s="54">
        <v>265.64999999999998</v>
      </c>
      <c r="G305" s="66" t="s">
        <v>4083</v>
      </c>
      <c r="H305" s="2687">
        <v>5.68</v>
      </c>
    </row>
    <row r="306" spans="2:9" ht="15" hidden="1" customHeight="1">
      <c r="B306" s="2707">
        <v>39910</v>
      </c>
      <c r="C306" s="2708">
        <v>10</v>
      </c>
      <c r="D306" s="54">
        <v>600</v>
      </c>
      <c r="E306" s="2686">
        <v>3759.5</v>
      </c>
      <c r="F306" s="54">
        <v>139.24</v>
      </c>
      <c r="G306" s="66" t="s">
        <v>4084</v>
      </c>
      <c r="H306" s="2687">
        <v>4.49</v>
      </c>
    </row>
    <row r="307" spans="2:9" ht="15" hidden="1" customHeight="1">
      <c r="B307" s="2707">
        <v>39940</v>
      </c>
      <c r="C307" s="2708">
        <v>15</v>
      </c>
      <c r="D307" s="54">
        <v>690</v>
      </c>
      <c r="E307" s="2686">
        <v>5517</v>
      </c>
      <c r="F307" s="54">
        <v>197</v>
      </c>
      <c r="G307" s="66" t="s">
        <v>4085</v>
      </c>
      <c r="H307" s="2687">
        <v>4.4400000000000004</v>
      </c>
    </row>
    <row r="308" spans="2:9" ht="15" hidden="1" customHeight="1">
      <c r="B308" s="2707">
        <v>39971</v>
      </c>
      <c r="C308" s="2708">
        <v>40</v>
      </c>
      <c r="D308" s="54">
        <v>965</v>
      </c>
      <c r="E308" s="2686">
        <v>9240</v>
      </c>
      <c r="F308" s="54">
        <v>308</v>
      </c>
      <c r="G308" s="66" t="s">
        <v>4086</v>
      </c>
      <c r="H308" s="2687">
        <v>4.21</v>
      </c>
    </row>
    <row r="309" spans="2:9" ht="15" hidden="1" customHeight="1">
      <c r="B309" s="2707">
        <v>40001</v>
      </c>
      <c r="C309" s="2708">
        <v>10</v>
      </c>
      <c r="D309" s="54">
        <v>840</v>
      </c>
      <c r="E309" s="2686">
        <v>8734</v>
      </c>
      <c r="F309" s="54">
        <v>301.17</v>
      </c>
      <c r="G309" s="66" t="s">
        <v>4087</v>
      </c>
      <c r="H309" s="2687">
        <v>4.01</v>
      </c>
    </row>
    <row r="310" spans="2:9" ht="15" hidden="1" customHeight="1">
      <c r="B310" s="2707">
        <v>40032</v>
      </c>
      <c r="C310" s="2708">
        <v>45</v>
      </c>
      <c r="D310" s="54">
        <v>740</v>
      </c>
      <c r="E310" s="2686">
        <v>7939</v>
      </c>
      <c r="F310" s="54">
        <v>305.35000000000002</v>
      </c>
      <c r="G310" s="66" t="s">
        <v>4088</v>
      </c>
      <c r="H310" s="2687">
        <v>4</v>
      </c>
    </row>
    <row r="311" spans="2:9" ht="15" hidden="1" customHeight="1">
      <c r="B311" s="2707">
        <v>40063</v>
      </c>
      <c r="C311" s="2708">
        <v>30</v>
      </c>
      <c r="D311" s="54">
        <v>685</v>
      </c>
      <c r="E311" s="2686">
        <v>10975</v>
      </c>
      <c r="F311" s="54">
        <v>378</v>
      </c>
      <c r="G311" s="66" t="s">
        <v>4089</v>
      </c>
      <c r="H311" s="2687">
        <v>4.01</v>
      </c>
    </row>
    <row r="312" spans="2:9" ht="15" hidden="1" customHeight="1">
      <c r="B312" s="2707">
        <v>40093</v>
      </c>
      <c r="C312" s="2708">
        <v>50</v>
      </c>
      <c r="D312" s="54">
        <v>1055</v>
      </c>
      <c r="E312" s="2686">
        <v>12300</v>
      </c>
      <c r="F312" s="54">
        <v>396.77</v>
      </c>
      <c r="G312" s="66" t="s">
        <v>4090</v>
      </c>
      <c r="H312" s="2687">
        <v>4</v>
      </c>
    </row>
    <row r="313" spans="2:9" ht="15" hidden="1" customHeight="1">
      <c r="B313" s="2707">
        <v>40124</v>
      </c>
      <c r="C313" s="2708">
        <v>25</v>
      </c>
      <c r="D313" s="54">
        <v>850</v>
      </c>
      <c r="E313" s="2686">
        <v>6765</v>
      </c>
      <c r="F313" s="54">
        <v>241.61</v>
      </c>
      <c r="G313" s="66" t="s">
        <v>4091</v>
      </c>
      <c r="H313" s="2687">
        <v>3.97</v>
      </c>
    </row>
    <row r="314" spans="2:9" ht="15" hidden="1" customHeight="1">
      <c r="B314" s="2707">
        <v>40154</v>
      </c>
      <c r="C314" s="2708">
        <v>25</v>
      </c>
      <c r="D314" s="54">
        <v>1409.5</v>
      </c>
      <c r="E314" s="2686">
        <v>9239.5</v>
      </c>
      <c r="F314" s="54">
        <v>307.98</v>
      </c>
      <c r="G314" s="66" t="s">
        <v>4004</v>
      </c>
      <c r="H314" s="2687">
        <v>4.08</v>
      </c>
    </row>
    <row r="315" spans="2:9" ht="15" hidden="1" customHeight="1">
      <c r="B315" s="2707">
        <v>40185</v>
      </c>
      <c r="C315" s="2708">
        <v>15</v>
      </c>
      <c r="D315" s="54">
        <v>1225</v>
      </c>
      <c r="E315" s="2686">
        <v>8920</v>
      </c>
      <c r="F315" s="54">
        <v>343.08</v>
      </c>
      <c r="G315" s="66" t="s">
        <v>4092</v>
      </c>
      <c r="H315" s="2687">
        <v>3.96</v>
      </c>
    </row>
    <row r="316" spans="2:9" ht="15" hidden="1" customHeight="1">
      <c r="B316" s="2707">
        <v>40216</v>
      </c>
      <c r="C316" s="2708">
        <v>164</v>
      </c>
      <c r="D316" s="54">
        <v>1225</v>
      </c>
      <c r="E316" s="2686">
        <v>12568</v>
      </c>
      <c r="F316" s="54">
        <v>502.72</v>
      </c>
      <c r="G316" s="66" t="s">
        <v>4093</v>
      </c>
      <c r="H316" s="2687">
        <v>3.89</v>
      </c>
    </row>
    <row r="317" spans="2:9" ht="15" hidden="1" customHeight="1">
      <c r="B317" s="2707">
        <v>40244</v>
      </c>
      <c r="C317" s="2708">
        <v>5</v>
      </c>
      <c r="D317" s="54">
        <v>750</v>
      </c>
      <c r="E317" s="2686">
        <v>3153</v>
      </c>
      <c r="F317" s="54">
        <v>210.2</v>
      </c>
      <c r="G317" s="66" t="s">
        <v>4094</v>
      </c>
      <c r="H317" s="2687">
        <v>3.8</v>
      </c>
    </row>
    <row r="318" spans="2:9" ht="15" hidden="1" customHeight="1">
      <c r="B318" s="2707">
        <v>40275</v>
      </c>
      <c r="C318" s="2708">
        <v>45</v>
      </c>
      <c r="D318" s="54">
        <v>580</v>
      </c>
      <c r="E318" s="2686">
        <v>6465</v>
      </c>
      <c r="F318" s="54">
        <v>281.08999999999997</v>
      </c>
      <c r="G318" s="66" t="s">
        <v>4095</v>
      </c>
      <c r="H318" s="2687">
        <v>3.9</v>
      </c>
    </row>
    <row r="319" spans="2:9" ht="15" hidden="1" customHeight="1">
      <c r="B319" s="2707">
        <v>40305</v>
      </c>
      <c r="C319" s="2708">
        <v>50</v>
      </c>
      <c r="D319" s="54">
        <v>895</v>
      </c>
      <c r="E319" s="2686">
        <v>8285</v>
      </c>
      <c r="F319" s="54">
        <v>285.69</v>
      </c>
      <c r="G319" s="2687" t="s">
        <v>4096</v>
      </c>
      <c r="H319" s="2687">
        <v>3.69</v>
      </c>
      <c r="I319" s="2754"/>
    </row>
    <row r="320" spans="2:9" ht="15" hidden="1" customHeight="1">
      <c r="B320" s="2707">
        <v>40336</v>
      </c>
      <c r="C320" s="2708">
        <v>15</v>
      </c>
      <c r="D320" s="54">
        <v>1245</v>
      </c>
      <c r="E320" s="2686">
        <v>6730</v>
      </c>
      <c r="F320" s="54">
        <v>336.5</v>
      </c>
      <c r="G320" s="2687" t="s">
        <v>1397</v>
      </c>
      <c r="H320" s="2687">
        <v>3.26</v>
      </c>
      <c r="I320" s="2755"/>
    </row>
    <row r="321" spans="2:9" ht="15" hidden="1" customHeight="1">
      <c r="B321" s="2707">
        <v>40366</v>
      </c>
      <c r="C321" s="2708">
        <v>5</v>
      </c>
      <c r="D321" s="54">
        <v>1075</v>
      </c>
      <c r="E321" s="2686">
        <v>6536</v>
      </c>
      <c r="F321" s="54">
        <v>217.87</v>
      </c>
      <c r="G321" s="2687" t="s">
        <v>4011</v>
      </c>
      <c r="H321" s="2687">
        <v>3.41</v>
      </c>
      <c r="I321" s="2755"/>
    </row>
    <row r="322" spans="2:9" ht="15" hidden="1" customHeight="1">
      <c r="B322" s="2707">
        <v>40397</v>
      </c>
      <c r="C322" s="2708">
        <v>15</v>
      </c>
      <c r="D322" s="54">
        <v>360</v>
      </c>
      <c r="E322" s="2686">
        <v>2422</v>
      </c>
      <c r="F322" s="54">
        <v>100.92</v>
      </c>
      <c r="G322" s="2687" t="s">
        <v>4012</v>
      </c>
      <c r="H322" s="2687">
        <v>2.52</v>
      </c>
      <c r="I322" s="2755"/>
    </row>
    <row r="323" spans="2:9" ht="15" hidden="1" customHeight="1">
      <c r="B323" s="2707">
        <v>40428</v>
      </c>
      <c r="C323" s="2708">
        <v>50</v>
      </c>
      <c r="D323" s="54">
        <v>385</v>
      </c>
      <c r="E323" s="2686">
        <v>5570</v>
      </c>
      <c r="F323" s="54">
        <v>206</v>
      </c>
      <c r="G323" s="2687" t="s">
        <v>4097</v>
      </c>
      <c r="H323" s="2687">
        <v>2.04</v>
      </c>
      <c r="I323" s="2755"/>
    </row>
    <row r="324" spans="2:9" ht="15" hidden="1" customHeight="1">
      <c r="B324" s="2707">
        <v>40458</v>
      </c>
      <c r="C324" s="2708">
        <v>15</v>
      </c>
      <c r="D324" s="54">
        <v>585</v>
      </c>
      <c r="E324" s="2686">
        <v>9410</v>
      </c>
      <c r="F324" s="54">
        <v>313.67</v>
      </c>
      <c r="G324" s="2687" t="s">
        <v>4098</v>
      </c>
      <c r="H324" s="2687">
        <v>2.23</v>
      </c>
      <c r="I324" s="2755"/>
    </row>
    <row r="325" spans="2:9" ht="15" hidden="1" customHeight="1">
      <c r="B325" s="2707">
        <v>40489</v>
      </c>
      <c r="C325" s="2708">
        <v>157</v>
      </c>
      <c r="D325" s="54">
        <v>730</v>
      </c>
      <c r="E325" s="2686">
        <v>9921</v>
      </c>
      <c r="F325" s="54">
        <v>330.7</v>
      </c>
      <c r="G325" s="2687" t="s">
        <v>4013</v>
      </c>
      <c r="H325" s="2687">
        <v>2.17</v>
      </c>
      <c r="I325" s="2755"/>
    </row>
    <row r="326" spans="2:9" ht="15" hidden="1" customHeight="1">
      <c r="B326" s="2707">
        <v>40519</v>
      </c>
      <c r="C326" s="2708">
        <v>185</v>
      </c>
      <c r="D326" s="54">
        <v>692</v>
      </c>
      <c r="E326" s="2686">
        <v>13025</v>
      </c>
      <c r="F326" s="54">
        <v>420.16</v>
      </c>
      <c r="G326" s="2687" t="s">
        <v>4099</v>
      </c>
      <c r="H326" s="2687">
        <v>1.99</v>
      </c>
      <c r="I326" s="2755"/>
    </row>
    <row r="327" spans="2:9" ht="15" hidden="1" customHeight="1">
      <c r="B327" s="2707">
        <v>40550</v>
      </c>
      <c r="C327" s="2708">
        <v>170</v>
      </c>
      <c r="D327" s="54">
        <v>520</v>
      </c>
      <c r="E327" s="2686">
        <v>9505</v>
      </c>
      <c r="F327" s="54">
        <v>306.61</v>
      </c>
      <c r="G327" s="2687" t="s">
        <v>4100</v>
      </c>
      <c r="H327" s="2687">
        <v>1.93</v>
      </c>
      <c r="I327" s="2755"/>
    </row>
    <row r="328" spans="2:9" ht="15" hidden="1" customHeight="1">
      <c r="B328" s="2707">
        <v>40581</v>
      </c>
      <c r="C328" s="2708">
        <v>30</v>
      </c>
      <c r="D328" s="54">
        <v>325</v>
      </c>
      <c r="E328" s="2686">
        <v>2755</v>
      </c>
      <c r="F328" s="54">
        <v>162.06</v>
      </c>
      <c r="G328" s="2687" t="s">
        <v>4101</v>
      </c>
      <c r="H328" s="2687">
        <v>1.75</v>
      </c>
      <c r="I328" s="2755"/>
    </row>
    <row r="329" spans="2:9" ht="15" hidden="1" customHeight="1">
      <c r="B329" s="2707">
        <v>40609</v>
      </c>
      <c r="C329" s="2708">
        <v>10</v>
      </c>
      <c r="D329" s="54">
        <v>940</v>
      </c>
      <c r="E329" s="2686">
        <v>5445</v>
      </c>
      <c r="F329" s="54">
        <v>217.8</v>
      </c>
      <c r="G329" s="2687" t="s">
        <v>4102</v>
      </c>
      <c r="H329" s="2687">
        <v>1.61</v>
      </c>
      <c r="I329" s="2755"/>
    </row>
    <row r="330" spans="2:9" ht="15" hidden="1" customHeight="1">
      <c r="B330" s="2707">
        <v>40640</v>
      </c>
      <c r="C330" s="2708">
        <v>320</v>
      </c>
      <c r="D330" s="54">
        <v>1900</v>
      </c>
      <c r="E330" s="2686">
        <v>37173</v>
      </c>
      <c r="F330" s="54">
        <v>1239</v>
      </c>
      <c r="G330" s="2687" t="s">
        <v>4103</v>
      </c>
      <c r="H330" s="2687">
        <v>1.5</v>
      </c>
      <c r="I330" s="2755"/>
    </row>
    <row r="331" spans="2:9" ht="15" hidden="1" customHeight="1">
      <c r="B331" s="2707">
        <v>40670</v>
      </c>
      <c r="C331" s="2708">
        <v>100</v>
      </c>
      <c r="D331" s="54">
        <v>1279</v>
      </c>
      <c r="E331" s="2686">
        <v>17494</v>
      </c>
      <c r="F331" s="54">
        <v>647.92999999999995</v>
      </c>
      <c r="G331" s="2687" t="s">
        <v>4020</v>
      </c>
      <c r="H331" s="2687">
        <v>1.37</v>
      </c>
      <c r="I331" s="2755"/>
    </row>
    <row r="332" spans="2:9" ht="15" hidden="1" customHeight="1">
      <c r="B332" s="2707">
        <v>40701</v>
      </c>
      <c r="C332" s="2708">
        <v>50</v>
      </c>
      <c r="D332" s="54">
        <v>975</v>
      </c>
      <c r="E332" s="2686">
        <v>6367</v>
      </c>
      <c r="F332" s="54">
        <v>397.94</v>
      </c>
      <c r="G332" s="2687" t="s">
        <v>4104</v>
      </c>
      <c r="H332" s="2687">
        <v>2.66</v>
      </c>
      <c r="I332" s="2755"/>
    </row>
    <row r="333" spans="2:9" ht="15" hidden="1" customHeight="1">
      <c r="B333" s="2707">
        <v>40731</v>
      </c>
      <c r="C333" s="2708">
        <v>290</v>
      </c>
      <c r="D333" s="54">
        <v>1300</v>
      </c>
      <c r="E333" s="2686">
        <v>23100</v>
      </c>
      <c r="F333" s="54">
        <v>796.55</v>
      </c>
      <c r="G333" s="2687" t="s">
        <v>4022</v>
      </c>
      <c r="H333" s="2687">
        <v>1.86</v>
      </c>
      <c r="I333" s="2755"/>
    </row>
    <row r="334" spans="2:9" ht="15" hidden="1" customHeight="1">
      <c r="B334" s="2707">
        <v>40762</v>
      </c>
      <c r="C334" s="2708">
        <v>25</v>
      </c>
      <c r="D334" s="54">
        <v>1645</v>
      </c>
      <c r="E334" s="2686">
        <v>26465</v>
      </c>
      <c r="F334" s="54">
        <v>882.17</v>
      </c>
      <c r="G334" s="2687" t="s">
        <v>4023</v>
      </c>
      <c r="H334" s="2687">
        <v>3.48</v>
      </c>
      <c r="I334" s="2755"/>
    </row>
    <row r="335" spans="2:9" ht="15" hidden="1" customHeight="1">
      <c r="B335" s="2707">
        <v>40793</v>
      </c>
      <c r="C335" s="2708">
        <v>40</v>
      </c>
      <c r="D335" s="54">
        <v>1360</v>
      </c>
      <c r="E335" s="2686">
        <v>11395</v>
      </c>
      <c r="F335" s="54">
        <v>474.8</v>
      </c>
      <c r="G335" s="2687" t="s">
        <v>4105</v>
      </c>
      <c r="H335" s="2687">
        <v>3.06</v>
      </c>
      <c r="I335" s="2755"/>
    </row>
    <row r="336" spans="2:9" ht="15" hidden="1" customHeight="1">
      <c r="B336" s="2707">
        <v>40823</v>
      </c>
      <c r="C336" s="2708">
        <v>100</v>
      </c>
      <c r="D336" s="54">
        <v>1680</v>
      </c>
      <c r="E336" s="2686">
        <v>27435</v>
      </c>
      <c r="F336" s="54">
        <v>885</v>
      </c>
      <c r="G336" s="2687" t="s">
        <v>4106</v>
      </c>
      <c r="H336" s="2687">
        <v>2.5499999999999998</v>
      </c>
      <c r="I336" s="2755"/>
    </row>
    <row r="337" spans="2:9" ht="15" hidden="1" customHeight="1">
      <c r="B337" s="2707">
        <v>40854</v>
      </c>
      <c r="C337" s="2708">
        <v>50</v>
      </c>
      <c r="D337" s="54">
        <v>2045</v>
      </c>
      <c r="E337" s="2686">
        <v>34454</v>
      </c>
      <c r="F337" s="54">
        <v>1148</v>
      </c>
      <c r="G337" s="2687" t="s">
        <v>1426</v>
      </c>
      <c r="H337" s="2687">
        <v>2.85</v>
      </c>
      <c r="I337" s="2755"/>
    </row>
    <row r="338" spans="2:9" ht="15" hidden="1" customHeight="1">
      <c r="B338" s="2707">
        <v>40884</v>
      </c>
      <c r="C338" s="2708">
        <v>30</v>
      </c>
      <c r="D338" s="54">
        <v>2125</v>
      </c>
      <c r="E338" s="2686">
        <v>29645</v>
      </c>
      <c r="F338" s="54">
        <v>1140.19</v>
      </c>
      <c r="G338" s="2687" t="s">
        <v>4026</v>
      </c>
      <c r="H338" s="2687">
        <v>3.31</v>
      </c>
      <c r="I338" s="2755"/>
    </row>
    <row r="339" spans="2:9" ht="15" hidden="1" customHeight="1">
      <c r="B339" s="2707">
        <v>40915</v>
      </c>
      <c r="C339" s="2708">
        <v>110</v>
      </c>
      <c r="D339" s="54">
        <v>1065</v>
      </c>
      <c r="E339" s="2686">
        <v>10195</v>
      </c>
      <c r="F339" s="54">
        <v>407.8</v>
      </c>
      <c r="G339" s="2687" t="s">
        <v>4027</v>
      </c>
      <c r="H339" s="2687">
        <v>2.4</v>
      </c>
      <c r="I339" s="2755"/>
    </row>
    <row r="340" spans="2:9" ht="15" hidden="1" customHeight="1">
      <c r="B340" s="2707">
        <v>40946</v>
      </c>
      <c r="C340" s="2708">
        <v>45</v>
      </c>
      <c r="D340" s="54">
        <v>1350</v>
      </c>
      <c r="E340" s="2686">
        <v>15885</v>
      </c>
      <c r="F340" s="54">
        <v>547.76</v>
      </c>
      <c r="G340" s="2687" t="s">
        <v>4027</v>
      </c>
      <c r="H340" s="2687">
        <v>2.3199999999999998</v>
      </c>
      <c r="I340" s="2755"/>
    </row>
    <row r="341" spans="2:9" ht="15" hidden="1" customHeight="1">
      <c r="B341" s="2707">
        <v>40975</v>
      </c>
      <c r="C341" s="2708">
        <v>40</v>
      </c>
      <c r="D341" s="54">
        <v>1155</v>
      </c>
      <c r="E341" s="2686">
        <v>9890</v>
      </c>
      <c r="F341" s="54">
        <v>353.21</v>
      </c>
      <c r="G341" s="2687" t="s">
        <v>4029</v>
      </c>
      <c r="H341" s="2687">
        <v>1.97</v>
      </c>
      <c r="I341" s="2755"/>
    </row>
    <row r="342" spans="2:9" ht="15" hidden="1" customHeight="1">
      <c r="B342" s="2707">
        <v>41006</v>
      </c>
      <c r="C342" s="2708">
        <v>170</v>
      </c>
      <c r="D342" s="54">
        <v>1685</v>
      </c>
      <c r="E342" s="2686">
        <v>22085</v>
      </c>
      <c r="F342" s="54">
        <v>736.17</v>
      </c>
      <c r="G342" s="2687" t="s">
        <v>4030</v>
      </c>
      <c r="H342" s="2687">
        <v>1.87</v>
      </c>
      <c r="I342" s="2755"/>
    </row>
    <row r="343" spans="2:9" ht="15" hidden="1" customHeight="1">
      <c r="B343" s="2707">
        <v>41036</v>
      </c>
      <c r="C343" s="2708">
        <v>50</v>
      </c>
      <c r="D343" s="54">
        <v>1680</v>
      </c>
      <c r="E343" s="2686">
        <v>15375</v>
      </c>
      <c r="F343" s="54">
        <v>495.97</v>
      </c>
      <c r="G343" s="2687" t="s">
        <v>4107</v>
      </c>
      <c r="H343" s="2687">
        <v>1.59</v>
      </c>
      <c r="I343" s="2755"/>
    </row>
    <row r="344" spans="2:9" ht="15" hidden="1" customHeight="1">
      <c r="B344" s="2707">
        <v>41067</v>
      </c>
      <c r="C344" s="2708">
        <v>80</v>
      </c>
      <c r="D344" s="54">
        <v>2170</v>
      </c>
      <c r="E344" s="2686">
        <v>25770</v>
      </c>
      <c r="F344" s="54">
        <v>859</v>
      </c>
      <c r="G344" s="2687" t="s">
        <v>4108</v>
      </c>
      <c r="H344" s="2687">
        <v>1.65</v>
      </c>
      <c r="I344" s="2755"/>
    </row>
    <row r="345" spans="2:9" ht="15" hidden="1" customHeight="1">
      <c r="B345" s="2707">
        <v>41128</v>
      </c>
      <c r="C345" s="2708">
        <v>65</v>
      </c>
      <c r="D345" s="54">
        <v>1630</v>
      </c>
      <c r="E345" s="2686">
        <v>19250</v>
      </c>
      <c r="F345" s="54">
        <v>621</v>
      </c>
      <c r="G345" s="2687" t="s">
        <v>4109</v>
      </c>
      <c r="H345" s="2687">
        <v>1.81</v>
      </c>
      <c r="I345" s="2755"/>
    </row>
    <row r="346" spans="2:9" ht="15" hidden="1" customHeight="1">
      <c r="B346" s="2707">
        <v>41159</v>
      </c>
      <c r="C346" s="2708">
        <v>15</v>
      </c>
      <c r="D346" s="54">
        <v>575</v>
      </c>
      <c r="E346" s="2686">
        <v>6885</v>
      </c>
      <c r="F346" s="54">
        <v>286.89999999999998</v>
      </c>
      <c r="G346" s="2687" t="s">
        <v>4034</v>
      </c>
      <c r="H346" s="2687">
        <v>1.67</v>
      </c>
      <c r="I346" s="2755"/>
    </row>
    <row r="347" spans="2:9" ht="15" hidden="1" customHeight="1">
      <c r="B347" s="2707">
        <v>41189</v>
      </c>
      <c r="C347" s="2708">
        <v>60</v>
      </c>
      <c r="D347" s="54">
        <v>980</v>
      </c>
      <c r="E347" s="2686">
        <v>12570</v>
      </c>
      <c r="F347" s="54">
        <v>433.45</v>
      </c>
      <c r="G347" s="2687" t="s">
        <v>4035</v>
      </c>
      <c r="H347" s="2687">
        <v>1.57</v>
      </c>
      <c r="I347" s="2755"/>
    </row>
    <row r="348" spans="2:9" ht="15" hidden="1" customHeight="1">
      <c r="B348" s="2707">
        <v>41220</v>
      </c>
      <c r="C348" s="2708">
        <v>415</v>
      </c>
      <c r="D348" s="54">
        <v>2180</v>
      </c>
      <c r="E348" s="2686">
        <v>37495</v>
      </c>
      <c r="F348" s="54">
        <v>1249.83</v>
      </c>
      <c r="G348" s="2687" t="s">
        <v>4036</v>
      </c>
      <c r="H348" s="2687">
        <v>1.53</v>
      </c>
      <c r="I348" s="2755"/>
    </row>
    <row r="349" spans="2:9" ht="15" hidden="1" customHeight="1">
      <c r="B349" s="2707">
        <v>41250</v>
      </c>
      <c r="C349" s="2708">
        <v>160</v>
      </c>
      <c r="D349" s="54">
        <v>1650</v>
      </c>
      <c r="E349" s="2686">
        <v>26110</v>
      </c>
      <c r="F349" s="54">
        <v>842.26</v>
      </c>
      <c r="G349" s="2687" t="s">
        <v>4037</v>
      </c>
      <c r="H349" s="2687">
        <v>1.61</v>
      </c>
      <c r="I349" s="2755"/>
    </row>
    <row r="350" spans="2:9" ht="15" hidden="1" customHeight="1">
      <c r="B350" s="2707">
        <v>41281</v>
      </c>
      <c r="C350" s="2708">
        <v>10</v>
      </c>
      <c r="D350" s="54">
        <v>1085</v>
      </c>
      <c r="E350" s="2686">
        <v>8660</v>
      </c>
      <c r="F350" s="54">
        <v>298.62</v>
      </c>
      <c r="G350" s="2687" t="s">
        <v>4039</v>
      </c>
      <c r="H350" s="2687">
        <v>1.46</v>
      </c>
      <c r="I350" s="2755"/>
    </row>
    <row r="351" spans="2:9" ht="15" hidden="1" customHeight="1">
      <c r="B351" s="2707">
        <v>41312</v>
      </c>
      <c r="C351" s="2708">
        <v>30</v>
      </c>
      <c r="D351" s="54">
        <v>1105</v>
      </c>
      <c r="E351" s="2686">
        <v>17545</v>
      </c>
      <c r="F351" s="54">
        <v>674.81</v>
      </c>
      <c r="G351" s="2687" t="s">
        <v>4110</v>
      </c>
      <c r="H351" s="2687">
        <v>1.37</v>
      </c>
      <c r="I351" s="2755"/>
    </row>
    <row r="352" spans="2:9" ht="15" hidden="1" customHeight="1">
      <c r="B352" s="2707">
        <v>41340</v>
      </c>
      <c r="C352" s="2708">
        <v>30</v>
      </c>
      <c r="D352" s="54">
        <v>2000</v>
      </c>
      <c r="E352" s="2686">
        <v>25680</v>
      </c>
      <c r="F352" s="54">
        <v>917.14</v>
      </c>
      <c r="G352" s="2687" t="s">
        <v>4110</v>
      </c>
      <c r="H352" s="2687">
        <v>1.35</v>
      </c>
      <c r="I352" s="2755"/>
    </row>
    <row r="353" spans="2:9" ht="15" hidden="1" customHeight="1">
      <c r="B353" s="2707">
        <v>41371</v>
      </c>
      <c r="C353" s="2708">
        <v>160</v>
      </c>
      <c r="D353" s="54">
        <v>1455</v>
      </c>
      <c r="E353" s="2686">
        <v>20271</v>
      </c>
      <c r="F353" s="54">
        <v>675.7</v>
      </c>
      <c r="G353" s="2687" t="s">
        <v>4111</v>
      </c>
      <c r="H353" s="2687">
        <v>1.26</v>
      </c>
      <c r="I353" s="2755"/>
    </row>
    <row r="354" spans="2:9" ht="15" hidden="1" customHeight="1">
      <c r="B354" s="2707">
        <v>41401</v>
      </c>
      <c r="C354" s="2708">
        <v>70</v>
      </c>
      <c r="D354" s="54">
        <v>1435</v>
      </c>
      <c r="E354" s="2686">
        <v>13190</v>
      </c>
      <c r="F354" s="54">
        <v>439.67</v>
      </c>
      <c r="G354" s="2687" t="s">
        <v>4040</v>
      </c>
      <c r="H354" s="2687">
        <v>1.25</v>
      </c>
      <c r="I354" s="2755"/>
    </row>
    <row r="355" spans="2:9" ht="15" hidden="1" customHeight="1">
      <c r="B355" s="2707">
        <v>41432</v>
      </c>
      <c r="C355" s="2708">
        <v>25</v>
      </c>
      <c r="D355" s="54">
        <v>865</v>
      </c>
      <c r="E355" s="2686">
        <v>10471.5</v>
      </c>
      <c r="F355" s="54">
        <v>361.09</v>
      </c>
      <c r="G355" s="2687" t="s">
        <v>4112</v>
      </c>
      <c r="H355" s="2687">
        <v>1.69</v>
      </c>
      <c r="I355" s="2755"/>
    </row>
    <row r="356" spans="2:9" ht="15" hidden="1" customHeight="1">
      <c r="B356" s="2707">
        <v>41462</v>
      </c>
      <c r="C356" s="2708">
        <v>75</v>
      </c>
      <c r="D356" s="54">
        <v>1355</v>
      </c>
      <c r="E356" s="2686">
        <v>17340</v>
      </c>
      <c r="F356" s="54">
        <v>559.35</v>
      </c>
      <c r="G356" s="2687" t="s">
        <v>4113</v>
      </c>
      <c r="H356" s="2687">
        <v>1.75</v>
      </c>
      <c r="I356" s="2755"/>
    </row>
    <row r="357" spans="2:9" ht="15" hidden="1" customHeight="1">
      <c r="B357" s="2707">
        <v>41499</v>
      </c>
      <c r="C357" s="2708">
        <v>90</v>
      </c>
      <c r="D357" s="54">
        <v>885</v>
      </c>
      <c r="E357" s="2686">
        <v>14420</v>
      </c>
      <c r="F357" s="54">
        <v>465</v>
      </c>
      <c r="G357" s="2687" t="s">
        <v>4114</v>
      </c>
      <c r="H357" s="2687">
        <v>1.64</v>
      </c>
      <c r="I357" s="2755"/>
    </row>
    <row r="358" spans="2:9" ht="15" hidden="1" customHeight="1">
      <c r="B358" s="2707">
        <v>41530</v>
      </c>
      <c r="C358" s="2708">
        <v>60</v>
      </c>
      <c r="D358" s="54">
        <v>1625</v>
      </c>
      <c r="E358" s="2686">
        <v>16960</v>
      </c>
      <c r="F358" s="54">
        <v>584.79999999999995</v>
      </c>
      <c r="G358" s="2687" t="s">
        <v>4043</v>
      </c>
      <c r="H358" s="2687">
        <v>1.62</v>
      </c>
      <c r="I358" s="2755"/>
    </row>
    <row r="359" spans="2:9" ht="15" hidden="1" customHeight="1">
      <c r="B359" s="2707">
        <v>41554</v>
      </c>
      <c r="C359" s="2708">
        <v>170</v>
      </c>
      <c r="D359" s="54">
        <v>1715</v>
      </c>
      <c r="E359" s="2686">
        <v>26960</v>
      </c>
      <c r="F359" s="54">
        <v>869.68</v>
      </c>
      <c r="G359" s="2687" t="s">
        <v>4044</v>
      </c>
      <c r="H359" s="2687">
        <v>2.35</v>
      </c>
      <c r="I359" s="2755"/>
    </row>
    <row r="360" spans="2:9" ht="15" hidden="1" customHeight="1">
      <c r="B360" s="2707">
        <v>41585</v>
      </c>
      <c r="C360" s="2708">
        <v>175</v>
      </c>
      <c r="D360" s="54">
        <v>2700</v>
      </c>
      <c r="E360" s="2686">
        <v>26637</v>
      </c>
      <c r="F360" s="54">
        <v>887.9</v>
      </c>
      <c r="G360" s="2687" t="s">
        <v>4115</v>
      </c>
      <c r="H360" s="2687">
        <v>3.43</v>
      </c>
      <c r="I360" s="2755"/>
    </row>
    <row r="361" spans="2:9" ht="15" hidden="1" customHeight="1">
      <c r="B361" s="2707">
        <v>41615</v>
      </c>
      <c r="C361" s="2708">
        <v>75</v>
      </c>
      <c r="D361" s="54">
        <v>2525</v>
      </c>
      <c r="E361" s="2686">
        <v>21030</v>
      </c>
      <c r="F361" s="54">
        <v>678.39</v>
      </c>
      <c r="G361" s="2687" t="s">
        <v>4116</v>
      </c>
      <c r="H361" s="2687">
        <v>3</v>
      </c>
      <c r="I361" s="2755"/>
    </row>
    <row r="362" spans="2:9" ht="15" hidden="1" customHeight="1">
      <c r="B362" s="2707">
        <v>41640</v>
      </c>
      <c r="C362" s="2708">
        <v>5</v>
      </c>
      <c r="D362" s="54">
        <v>1200</v>
      </c>
      <c r="E362" s="2686">
        <v>4845</v>
      </c>
      <c r="F362" s="54">
        <v>220.23</v>
      </c>
      <c r="G362" s="2687" t="s">
        <v>4117</v>
      </c>
      <c r="H362" s="2687">
        <v>3.19</v>
      </c>
      <c r="I362" s="2755"/>
    </row>
    <row r="363" spans="2:9" ht="15" hidden="1" customHeight="1">
      <c r="B363" s="2707">
        <v>41671</v>
      </c>
      <c r="C363" s="2708">
        <v>30</v>
      </c>
      <c r="D363" s="54">
        <v>520</v>
      </c>
      <c r="E363" s="2686">
        <v>6385</v>
      </c>
      <c r="F363" s="54">
        <v>228.04</v>
      </c>
      <c r="G363" s="2687" t="s">
        <v>4048</v>
      </c>
      <c r="H363" s="2687">
        <v>2.6</v>
      </c>
      <c r="I363" s="2755"/>
    </row>
    <row r="364" spans="2:9" ht="15" hidden="1" customHeight="1">
      <c r="B364" s="2707">
        <v>41699</v>
      </c>
      <c r="C364" s="2708">
        <v>10</v>
      </c>
      <c r="D364" s="54">
        <v>260</v>
      </c>
      <c r="E364" s="2686">
        <v>1660</v>
      </c>
      <c r="F364" s="54">
        <v>110.67</v>
      </c>
      <c r="G364" s="2687" t="s">
        <v>4049</v>
      </c>
      <c r="H364" s="2687">
        <v>2.35</v>
      </c>
      <c r="I364" s="2755"/>
    </row>
    <row r="365" spans="2:9" ht="15" hidden="1" customHeight="1">
      <c r="B365" s="2707">
        <v>41730</v>
      </c>
      <c r="C365" s="2708">
        <v>25</v>
      </c>
      <c r="D365" s="54">
        <v>550</v>
      </c>
      <c r="E365" s="2686">
        <v>2815</v>
      </c>
      <c r="F365" s="54">
        <v>112.6</v>
      </c>
      <c r="G365" s="2687" t="s">
        <v>4050</v>
      </c>
      <c r="H365" s="2687">
        <v>2.0299999999999998</v>
      </c>
      <c r="I365" s="2755"/>
    </row>
    <row r="366" spans="2:9" ht="15" hidden="1" customHeight="1">
      <c r="B366" s="2707">
        <v>41760</v>
      </c>
      <c r="C366" s="2708">
        <v>105</v>
      </c>
      <c r="D366" s="54">
        <v>1100</v>
      </c>
      <c r="E366" s="2686">
        <v>9525</v>
      </c>
      <c r="F366" s="54">
        <v>340.18</v>
      </c>
      <c r="G366" s="2687" t="s">
        <v>4051</v>
      </c>
      <c r="H366" s="2687">
        <v>1.77</v>
      </c>
      <c r="I366" s="2755"/>
    </row>
    <row r="367" spans="2:9" ht="15" hidden="1" customHeight="1">
      <c r="B367" s="2707">
        <v>41791</v>
      </c>
      <c r="C367" s="2708">
        <v>100</v>
      </c>
      <c r="D367" s="54">
        <v>1100</v>
      </c>
      <c r="E367" s="2686">
        <v>7940</v>
      </c>
      <c r="F367" s="54">
        <v>330.83</v>
      </c>
      <c r="G367" s="2687" t="s">
        <v>4118</v>
      </c>
      <c r="H367" s="2687">
        <v>1.46</v>
      </c>
      <c r="I367" s="2755"/>
    </row>
    <row r="368" spans="2:9" ht="15" customHeight="1">
      <c r="B368" s="2707">
        <v>41821</v>
      </c>
      <c r="C368" s="2708">
        <v>20</v>
      </c>
      <c r="D368" s="54">
        <v>2385</v>
      </c>
      <c r="E368" s="2686">
        <v>19795</v>
      </c>
      <c r="F368" s="54">
        <v>733.15</v>
      </c>
      <c r="G368" s="2687" t="s">
        <v>4119</v>
      </c>
      <c r="H368" s="2687">
        <v>1.18</v>
      </c>
      <c r="I368" s="2755"/>
    </row>
    <row r="369" spans="2:9" ht="15" customHeight="1">
      <c r="B369" s="2707">
        <v>41852</v>
      </c>
      <c r="C369" s="2708">
        <v>200</v>
      </c>
      <c r="D369" s="54">
        <v>2440</v>
      </c>
      <c r="E369" s="2686">
        <v>42815</v>
      </c>
      <c r="F369" s="54">
        <v>1381.13</v>
      </c>
      <c r="G369" s="2687" t="s">
        <v>4054</v>
      </c>
      <c r="H369" s="2687">
        <v>0.96</v>
      </c>
      <c r="I369" s="2755"/>
    </row>
    <row r="370" spans="2:9" ht="15" customHeight="1">
      <c r="B370" s="2707">
        <v>41883</v>
      </c>
      <c r="C370" s="2708">
        <v>1070</v>
      </c>
      <c r="D370" s="54">
        <v>2840</v>
      </c>
      <c r="E370" s="2686">
        <v>53825</v>
      </c>
      <c r="F370" s="54">
        <v>1794.2</v>
      </c>
      <c r="G370" s="2687" t="s">
        <v>4055</v>
      </c>
      <c r="H370" s="2687">
        <v>0.74</v>
      </c>
      <c r="I370" s="2755"/>
    </row>
    <row r="371" spans="2:9" ht="15" customHeight="1">
      <c r="B371" s="2707">
        <v>41913</v>
      </c>
      <c r="C371" s="2708">
        <v>260</v>
      </c>
      <c r="D371" s="54">
        <v>2505</v>
      </c>
      <c r="E371" s="2686">
        <v>28124</v>
      </c>
      <c r="F371" s="54">
        <v>907.23</v>
      </c>
      <c r="G371" s="2687" t="s">
        <v>4056</v>
      </c>
      <c r="H371" s="2687">
        <v>0.69</v>
      </c>
      <c r="I371" s="2755"/>
    </row>
    <row r="372" spans="2:9" ht="15" customHeight="1">
      <c r="B372" s="2707">
        <v>41944</v>
      </c>
      <c r="C372" s="2708">
        <v>125</v>
      </c>
      <c r="D372" s="54">
        <v>1800</v>
      </c>
      <c r="E372" s="2686">
        <v>29950</v>
      </c>
      <c r="F372" s="54">
        <v>998.33</v>
      </c>
      <c r="G372" s="2687" t="s">
        <v>4120</v>
      </c>
      <c r="H372" s="2687">
        <v>0.63</v>
      </c>
      <c r="I372" s="2755"/>
    </row>
    <row r="373" spans="2:9" ht="15" customHeight="1">
      <c r="B373" s="2707">
        <v>41974</v>
      </c>
      <c r="C373" s="2708">
        <v>250</v>
      </c>
      <c r="D373" s="54">
        <v>2680</v>
      </c>
      <c r="E373" s="2686">
        <v>41585</v>
      </c>
      <c r="F373" s="54">
        <v>1341.45</v>
      </c>
      <c r="G373" s="2687" t="s">
        <v>4058</v>
      </c>
      <c r="H373" s="2687">
        <v>2.19</v>
      </c>
      <c r="I373" s="2755"/>
    </row>
    <row r="374" spans="2:9" ht="15" customHeight="1">
      <c r="B374" s="2707">
        <v>42005</v>
      </c>
      <c r="C374" s="2708">
        <v>135</v>
      </c>
      <c r="D374" s="54">
        <v>629</v>
      </c>
      <c r="E374" s="2686">
        <v>10588</v>
      </c>
      <c r="F374" s="54">
        <v>341.55</v>
      </c>
      <c r="G374" s="2687" t="s">
        <v>4059</v>
      </c>
      <c r="H374" s="2687">
        <v>2.16</v>
      </c>
      <c r="I374" s="2755"/>
    </row>
    <row r="375" spans="2:9" ht="15" customHeight="1">
      <c r="B375" s="2707">
        <v>42036</v>
      </c>
      <c r="C375" s="2708">
        <v>35</v>
      </c>
      <c r="D375" s="54">
        <v>1220</v>
      </c>
      <c r="E375" s="2686">
        <v>12212</v>
      </c>
      <c r="F375" s="54">
        <v>436.14</v>
      </c>
      <c r="G375" s="2687" t="s">
        <v>4121</v>
      </c>
      <c r="H375" s="2687">
        <v>1.69</v>
      </c>
      <c r="I375" s="2755"/>
    </row>
    <row r="376" spans="2:9" ht="15" customHeight="1">
      <c r="B376" s="2707">
        <v>42064</v>
      </c>
      <c r="C376" s="2708">
        <v>25</v>
      </c>
      <c r="D376" s="54">
        <v>975</v>
      </c>
      <c r="E376" s="2686">
        <v>4740</v>
      </c>
      <c r="F376" s="54">
        <v>175.55</v>
      </c>
      <c r="G376" s="2687" t="s">
        <v>4122</v>
      </c>
      <c r="H376" s="2687">
        <v>1.64</v>
      </c>
      <c r="I376" s="2755"/>
    </row>
    <row r="377" spans="2:9" ht="15" customHeight="1">
      <c r="B377" s="2707">
        <v>42095</v>
      </c>
      <c r="C377" s="2708">
        <v>100</v>
      </c>
      <c r="D377" s="54">
        <v>800</v>
      </c>
      <c r="E377" s="2686">
        <v>9785</v>
      </c>
      <c r="F377" s="54">
        <v>349.46</v>
      </c>
      <c r="G377" s="2687" t="s">
        <v>4062</v>
      </c>
      <c r="H377" s="2687">
        <v>1.68</v>
      </c>
      <c r="I377" s="2755"/>
    </row>
    <row r="378" spans="2:9" ht="15" customHeight="1">
      <c r="B378" s="2707">
        <v>42125</v>
      </c>
      <c r="C378" s="2708">
        <v>40</v>
      </c>
      <c r="D378" s="54">
        <v>165</v>
      </c>
      <c r="E378" s="2686">
        <v>960</v>
      </c>
      <c r="F378" s="54">
        <v>120</v>
      </c>
      <c r="G378" s="2687" t="s">
        <v>4063</v>
      </c>
      <c r="H378" s="2687">
        <v>1.47</v>
      </c>
      <c r="I378" s="2755"/>
    </row>
    <row r="379" spans="2:9" ht="15" customHeight="1">
      <c r="B379" s="2707">
        <v>42156</v>
      </c>
      <c r="C379" s="2708">
        <v>25</v>
      </c>
      <c r="D379" s="54">
        <v>425</v>
      </c>
      <c r="E379" s="2686">
        <v>2335</v>
      </c>
      <c r="F379" s="54">
        <v>194.58</v>
      </c>
      <c r="G379" s="2687" t="s">
        <v>3965</v>
      </c>
      <c r="H379" s="2687">
        <v>1.06</v>
      </c>
      <c r="I379" s="2755"/>
    </row>
    <row r="380" spans="2:9" ht="15" customHeight="1">
      <c r="B380" s="2707">
        <v>42186</v>
      </c>
      <c r="C380" s="2708">
        <v>25</v>
      </c>
      <c r="D380" s="54">
        <v>100</v>
      </c>
      <c r="E380" s="2686">
        <v>445</v>
      </c>
      <c r="F380" s="54">
        <v>55.63</v>
      </c>
      <c r="G380" s="2687" t="s">
        <v>3961</v>
      </c>
      <c r="H380" s="2687">
        <v>0.99</v>
      </c>
      <c r="I380" s="2755"/>
    </row>
    <row r="381" spans="2:9" ht="15" customHeight="1" thickBot="1">
      <c r="B381" s="2756"/>
      <c r="C381" s="2757"/>
      <c r="D381" s="2758"/>
      <c r="E381" s="2759"/>
      <c r="F381" s="2758"/>
      <c r="G381" s="2760"/>
      <c r="H381" s="2761"/>
    </row>
    <row r="382" spans="2:9" ht="18" customHeight="1">
      <c r="B382" s="2726" t="s">
        <v>4064</v>
      </c>
      <c r="C382" s="2727"/>
      <c r="D382" s="2727"/>
      <c r="E382" s="2727"/>
      <c r="G382" s="2728"/>
      <c r="H382" s="2729"/>
    </row>
    <row r="383" spans="2:9" s="2732" customFormat="1">
      <c r="B383" s="2651" t="s">
        <v>2704</v>
      </c>
    </row>
  </sheetData>
  <mergeCells count="4">
    <mergeCell ref="C6:F6"/>
    <mergeCell ref="G6:H6"/>
    <mergeCell ref="B203:I203"/>
    <mergeCell ref="G211:H211"/>
  </mergeCells>
  <pageMargins left="1.2598425196850394" right="0.74803149606299213" top="0.6692913385826772" bottom="0.39370078740157483" header="0.51181102362204722" footer="0.51181102362204722"/>
  <pageSetup paperSize="9" scale="6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9"/>
  <sheetViews>
    <sheetView showGridLines="0" topLeftCell="A42" zoomScaleNormal="100" zoomScaleSheetLayoutView="90" workbookViewId="0">
      <selection activeCell="S47" sqref="S47"/>
    </sheetView>
  </sheetViews>
  <sheetFormatPr defaultRowHeight="12.75"/>
  <cols>
    <col min="1" max="1" width="13.85546875" style="1530" customWidth="1"/>
    <col min="2" max="2" width="13" style="1530" customWidth="1"/>
    <col min="3" max="3" width="15.140625" style="1530" customWidth="1"/>
    <col min="4" max="4" width="19.28515625" style="1530" customWidth="1"/>
    <col min="5" max="5" width="10.28515625" style="1530" customWidth="1"/>
    <col min="6" max="6" width="10.42578125" style="1530" customWidth="1"/>
    <col min="7" max="7" width="14.140625" style="1530" customWidth="1"/>
    <col min="8" max="8" width="9.85546875" style="1531" bestFit="1" customWidth="1"/>
    <col min="9" max="16384" width="9.140625" style="1530"/>
  </cols>
  <sheetData>
    <row r="1" spans="1:9" ht="18.75" hidden="1" customHeight="1">
      <c r="A1" s="1529" t="s">
        <v>3040</v>
      </c>
    </row>
    <row r="2" spans="1:9" ht="13.5" hidden="1" customHeight="1" thickBot="1">
      <c r="A2" s="1532"/>
    </row>
    <row r="3" spans="1:9" ht="13.5" hidden="1" customHeight="1" thickTop="1">
      <c r="A3" s="1533" t="s">
        <v>3041</v>
      </c>
      <c r="B3" s="1534" t="s">
        <v>3042</v>
      </c>
      <c r="C3" s="1535" t="s">
        <v>3043</v>
      </c>
      <c r="D3" s="1535" t="s">
        <v>3044</v>
      </c>
      <c r="E3" s="1535" t="s">
        <v>3045</v>
      </c>
      <c r="F3" s="1536" t="s">
        <v>2059</v>
      </c>
    </row>
    <row r="4" spans="1:9" ht="14.25" hidden="1" customHeight="1">
      <c r="A4" s="1537" t="s">
        <v>3046</v>
      </c>
      <c r="B4" s="1538" t="s">
        <v>3047</v>
      </c>
      <c r="C4" s="1539" t="s">
        <v>3048</v>
      </c>
      <c r="D4" s="1539" t="s">
        <v>3049</v>
      </c>
      <c r="E4" s="1539" t="s">
        <v>3050</v>
      </c>
      <c r="F4" s="1540" t="s">
        <v>3050</v>
      </c>
    </row>
    <row r="5" spans="1:9" ht="12.75" hidden="1" customHeight="1">
      <c r="A5" s="1541"/>
      <c r="B5" s="1538"/>
      <c r="C5" s="1539" t="s">
        <v>3051</v>
      </c>
      <c r="D5" s="1539" t="s">
        <v>3052</v>
      </c>
      <c r="E5" s="1539" t="s">
        <v>79</v>
      </c>
      <c r="F5" s="1540" t="s">
        <v>3053</v>
      </c>
    </row>
    <row r="6" spans="1:9" ht="13.5" hidden="1" customHeight="1" thickBot="1">
      <c r="A6" s="1541"/>
      <c r="B6" s="1538" t="s">
        <v>3054</v>
      </c>
      <c r="C6" s="1542">
        <v>2</v>
      </c>
      <c r="D6" s="1542">
        <v>3</v>
      </c>
      <c r="E6" s="1542" t="s">
        <v>3055</v>
      </c>
      <c r="F6" s="1543" t="s">
        <v>3056</v>
      </c>
    </row>
    <row r="7" spans="1:9" ht="13.5" hidden="1" customHeight="1" thickBot="1">
      <c r="A7" s="1544"/>
      <c r="B7" s="1545" t="s">
        <v>49</v>
      </c>
      <c r="C7" s="1546"/>
      <c r="D7" s="1546"/>
      <c r="E7" s="1546"/>
      <c r="F7" s="1547" t="s">
        <v>3057</v>
      </c>
    </row>
    <row r="8" spans="1:9" ht="13.5" hidden="1" customHeight="1" thickTop="1">
      <c r="A8" s="1541"/>
      <c r="B8" s="1548"/>
      <c r="C8" s="1549"/>
      <c r="D8" s="1549"/>
      <c r="E8" s="1549"/>
      <c r="F8" s="1550"/>
    </row>
    <row r="9" spans="1:9" ht="14.25" hidden="1" customHeight="1">
      <c r="A9" s="1551" t="s">
        <v>3058</v>
      </c>
      <c r="B9" s="1552">
        <v>143443.1</v>
      </c>
      <c r="C9" s="1553">
        <v>8076.8</v>
      </c>
      <c r="D9" s="1553">
        <v>7889.3705</v>
      </c>
      <c r="E9" s="1553">
        <v>188.42950000000019</v>
      </c>
      <c r="F9" s="1554">
        <v>5.6306647025893897</v>
      </c>
      <c r="H9" s="1555"/>
      <c r="I9" s="1531"/>
    </row>
    <row r="10" spans="1:9" ht="14.25" hidden="1" customHeight="1">
      <c r="A10" s="1551">
        <v>38547</v>
      </c>
      <c r="B10" s="1552">
        <v>142427.5</v>
      </c>
      <c r="C10" s="1553">
        <v>8607.2000000000007</v>
      </c>
      <c r="D10" s="1553">
        <v>7833.5124999999998</v>
      </c>
      <c r="E10" s="1553">
        <v>772.68750000000091</v>
      </c>
      <c r="F10" s="1554">
        <v>6.043214969019326</v>
      </c>
      <c r="H10" s="1555"/>
      <c r="I10" s="1531"/>
    </row>
    <row r="11" spans="1:9" ht="14.25" hidden="1" customHeight="1">
      <c r="A11" s="1551">
        <v>38554</v>
      </c>
      <c r="B11" s="1552">
        <v>141800.29999999999</v>
      </c>
      <c r="C11" s="1553">
        <v>8499.1</v>
      </c>
      <c r="D11" s="1553">
        <v>7799.0164999999997</v>
      </c>
      <c r="E11" s="1553">
        <v>700.08350000000064</v>
      </c>
      <c r="F11" s="1554">
        <v>5.9937108736723417</v>
      </c>
      <c r="H11" s="1555"/>
      <c r="I11" s="1531"/>
    </row>
    <row r="12" spans="1:9" ht="14.25" hidden="1" customHeight="1">
      <c r="A12" s="1551">
        <v>38561</v>
      </c>
      <c r="B12" s="1552">
        <v>143002.29999999999</v>
      </c>
      <c r="C12" s="1553">
        <v>7977.6</v>
      </c>
      <c r="D12" s="1553">
        <v>7865.1264999999994</v>
      </c>
      <c r="E12" s="1553">
        <v>113.47350000000097</v>
      </c>
      <c r="F12" s="1554">
        <v>5.5786515321781547</v>
      </c>
      <c r="H12" s="1555"/>
      <c r="I12" s="1531"/>
    </row>
    <row r="13" spans="1:9" ht="14.25" hidden="1" customHeight="1">
      <c r="A13" s="1551">
        <v>38568</v>
      </c>
      <c r="B13" s="1552">
        <v>143929</v>
      </c>
      <c r="C13" s="1553">
        <v>8036</v>
      </c>
      <c r="D13" s="1553">
        <v>7916.0950000000003</v>
      </c>
      <c r="E13" s="1553">
        <v>119.90499999999975</v>
      </c>
      <c r="F13" s="1554">
        <v>5.5833084367986991</v>
      </c>
      <c r="H13" s="1555"/>
      <c r="I13" s="1531"/>
    </row>
    <row r="14" spans="1:9" ht="14.25" hidden="1" customHeight="1">
      <c r="A14" s="1551">
        <v>38575</v>
      </c>
      <c r="B14" s="1552">
        <v>144813</v>
      </c>
      <c r="C14" s="1553">
        <v>8248</v>
      </c>
      <c r="D14" s="1553">
        <v>7964.7150000000001</v>
      </c>
      <c r="E14" s="1553">
        <v>283.28499999999985</v>
      </c>
      <c r="F14" s="1554">
        <v>5.6956212494734588</v>
      </c>
      <c r="H14" s="1555"/>
      <c r="I14" s="1531"/>
    </row>
    <row r="15" spans="1:9" ht="14.25" hidden="1" customHeight="1">
      <c r="A15" s="1551">
        <v>38582</v>
      </c>
      <c r="B15" s="1552">
        <v>145671</v>
      </c>
      <c r="C15" s="1553">
        <v>8151</v>
      </c>
      <c r="D15" s="1553">
        <v>8011.9049999999997</v>
      </c>
      <c r="E15" s="1553">
        <v>139.09500000000025</v>
      </c>
      <c r="F15" s="1554">
        <v>5.5954857178161745</v>
      </c>
      <c r="H15" s="1555"/>
      <c r="I15" s="1531"/>
    </row>
    <row r="16" spans="1:9" ht="14.25" hidden="1" customHeight="1">
      <c r="A16" s="1551">
        <v>38589</v>
      </c>
      <c r="B16" s="1552">
        <v>144761</v>
      </c>
      <c r="C16" s="1553">
        <v>8442</v>
      </c>
      <c r="D16" s="1553">
        <v>7961.8550000000005</v>
      </c>
      <c r="E16" s="1553">
        <v>480.14499999999953</v>
      </c>
      <c r="F16" s="1554">
        <v>5.8316811848495105</v>
      </c>
      <c r="H16" s="1555"/>
      <c r="I16" s="1531"/>
    </row>
    <row r="17" spans="1:9" ht="14.25" hidden="1" customHeight="1">
      <c r="A17" s="1551">
        <v>38596</v>
      </c>
      <c r="B17" s="1552">
        <v>144530</v>
      </c>
      <c r="C17" s="1553">
        <v>9341</v>
      </c>
      <c r="D17" s="1553">
        <v>7949.15</v>
      </c>
      <c r="E17" s="1553">
        <v>1391.8500000000004</v>
      </c>
      <c r="F17" s="1554">
        <v>6.4630180585345602</v>
      </c>
      <c r="H17" s="1555"/>
      <c r="I17" s="1531"/>
    </row>
    <row r="18" spans="1:9" ht="14.25" hidden="1" customHeight="1">
      <c r="A18" s="1551">
        <v>38603</v>
      </c>
      <c r="B18" s="1552">
        <v>145233</v>
      </c>
      <c r="C18" s="1553">
        <v>9254</v>
      </c>
      <c r="D18" s="1553">
        <v>7987.8149999999996</v>
      </c>
      <c r="E18" s="1553">
        <v>1266.1850000000004</v>
      </c>
      <c r="F18" s="1554">
        <v>6.3718300937114849</v>
      </c>
      <c r="H18" s="1555"/>
      <c r="I18" s="1531"/>
    </row>
    <row r="19" spans="1:9" ht="14.25" hidden="1" customHeight="1">
      <c r="A19" s="1551">
        <v>38610</v>
      </c>
      <c r="B19" s="1552">
        <v>146894</v>
      </c>
      <c r="C19" s="1553">
        <v>9275</v>
      </c>
      <c r="D19" s="1553">
        <v>8079.17</v>
      </c>
      <c r="E19" s="1553">
        <v>1195.83</v>
      </c>
      <c r="F19" s="1554">
        <v>6.3140768172968267</v>
      </c>
      <c r="H19" s="1555"/>
      <c r="I19" s="1531"/>
    </row>
    <row r="20" spans="1:9" ht="14.25" hidden="1" customHeight="1">
      <c r="A20" s="1551">
        <v>38617</v>
      </c>
      <c r="B20" s="1552">
        <v>146802</v>
      </c>
      <c r="C20" s="1553">
        <v>9805</v>
      </c>
      <c r="D20" s="1553">
        <v>8074.11</v>
      </c>
      <c r="E20" s="1553">
        <v>1730.8900000000003</v>
      </c>
      <c r="F20" s="1554">
        <v>6.6790643179248237</v>
      </c>
      <c r="H20" s="1555"/>
      <c r="I20" s="1531"/>
    </row>
    <row r="21" spans="1:9" ht="14.25" hidden="1" customHeight="1">
      <c r="A21" s="1551">
        <v>38624</v>
      </c>
      <c r="B21" s="1552">
        <v>147249</v>
      </c>
      <c r="C21" s="1553">
        <v>9750</v>
      </c>
      <c r="D21" s="1553">
        <v>8098.6949999999997</v>
      </c>
      <c r="E21" s="1553">
        <v>1651.3050000000003</v>
      </c>
      <c r="F21" s="1554">
        <v>6.6214371574679616</v>
      </c>
      <c r="H21" s="1555"/>
      <c r="I21" s="1531"/>
    </row>
    <row r="22" spans="1:9" ht="14.25" hidden="1" customHeight="1">
      <c r="A22" s="1551">
        <v>38631</v>
      </c>
      <c r="B22" s="1552">
        <v>148149</v>
      </c>
      <c r="C22" s="1553">
        <v>8939</v>
      </c>
      <c r="D22" s="1553">
        <v>8148.1949999999997</v>
      </c>
      <c r="E22" s="1553">
        <v>790.80499999999995</v>
      </c>
      <c r="F22" s="1554">
        <v>6.0337903057057423</v>
      </c>
      <c r="H22" s="1555"/>
      <c r="I22" s="1531"/>
    </row>
    <row r="23" spans="1:9" ht="14.25" hidden="1" customHeight="1">
      <c r="A23" s="1551">
        <v>38638</v>
      </c>
      <c r="B23" s="1552">
        <v>149565</v>
      </c>
      <c r="C23" s="1553">
        <v>9047</v>
      </c>
      <c r="D23" s="1553">
        <v>8226.0750000000007</v>
      </c>
      <c r="E23" s="1553">
        <v>820.92499999999927</v>
      </c>
      <c r="F23" s="1554">
        <v>6.0488750710393475</v>
      </c>
      <c r="H23" s="1555"/>
      <c r="I23" s="1531"/>
    </row>
    <row r="24" spans="1:9" ht="14.25" hidden="1" customHeight="1">
      <c r="A24" s="1551">
        <v>38645</v>
      </c>
      <c r="B24" s="1552">
        <v>149717</v>
      </c>
      <c r="C24" s="1553">
        <v>9003</v>
      </c>
      <c r="D24" s="1553">
        <v>8234.4349999999995</v>
      </c>
      <c r="E24" s="1553">
        <v>768.56500000000051</v>
      </c>
      <c r="F24" s="1554">
        <v>6.013345177902309</v>
      </c>
      <c r="H24" s="1555"/>
      <c r="I24" s="1531"/>
    </row>
    <row r="25" spans="1:9" ht="14.25" hidden="1" customHeight="1">
      <c r="A25" s="1551">
        <v>38652</v>
      </c>
      <c r="B25" s="1552">
        <v>149128</v>
      </c>
      <c r="C25" s="1553">
        <v>9538</v>
      </c>
      <c r="D25" s="1553">
        <v>8202.0400000000009</v>
      </c>
      <c r="E25" s="1553">
        <v>1335.96</v>
      </c>
      <c r="F25" s="1554">
        <v>6.3958478622391501</v>
      </c>
      <c r="H25" s="1555"/>
      <c r="I25" s="1531"/>
    </row>
    <row r="26" spans="1:9" ht="14.25" hidden="1" customHeight="1">
      <c r="A26" s="1551">
        <v>38659</v>
      </c>
      <c r="B26" s="1552">
        <v>149956</v>
      </c>
      <c r="C26" s="1553">
        <v>8650</v>
      </c>
      <c r="D26" s="1553">
        <v>8248</v>
      </c>
      <c r="E26" s="1553">
        <v>402</v>
      </c>
      <c r="F26" s="1554">
        <v>5.77</v>
      </c>
      <c r="H26" s="1555"/>
      <c r="I26" s="1531"/>
    </row>
    <row r="27" spans="1:9" ht="14.25" hidden="1" customHeight="1">
      <c r="A27" s="1551">
        <v>38666</v>
      </c>
      <c r="B27" s="1552">
        <v>150523.5</v>
      </c>
      <c r="C27" s="1553">
        <v>9229</v>
      </c>
      <c r="D27" s="1553">
        <v>8279</v>
      </c>
      <c r="E27" s="1553">
        <v>950</v>
      </c>
      <c r="F27" s="1554">
        <v>6.13</v>
      </c>
      <c r="H27" s="1555"/>
      <c r="I27" s="1531"/>
    </row>
    <row r="28" spans="1:9" ht="14.25" hidden="1" customHeight="1">
      <c r="A28" s="1551">
        <v>38673</v>
      </c>
      <c r="B28" s="1552">
        <v>150869</v>
      </c>
      <c r="C28" s="1553">
        <v>9735</v>
      </c>
      <c r="D28" s="1553">
        <v>8298</v>
      </c>
      <c r="E28" s="1553">
        <v>1437</v>
      </c>
      <c r="F28" s="1554">
        <v>6.45</v>
      </c>
      <c r="H28" s="1555"/>
      <c r="I28" s="1531"/>
    </row>
    <row r="29" spans="1:9" ht="14.25" hidden="1" customHeight="1">
      <c r="A29" s="1551">
        <v>38680</v>
      </c>
      <c r="B29" s="1552">
        <v>151086</v>
      </c>
      <c r="C29" s="1553">
        <v>9914</v>
      </c>
      <c r="D29" s="1553">
        <v>8310</v>
      </c>
      <c r="E29" s="1553">
        <v>1604</v>
      </c>
      <c r="F29" s="1554">
        <v>6.56</v>
      </c>
      <c r="H29" s="1555"/>
      <c r="I29" s="1531"/>
    </row>
    <row r="30" spans="1:9" ht="14.25" hidden="1" customHeight="1">
      <c r="A30" s="1551">
        <v>38687</v>
      </c>
      <c r="B30" s="1552">
        <v>152008</v>
      </c>
      <c r="C30" s="1553">
        <v>10406.5</v>
      </c>
      <c r="D30" s="1553">
        <v>8360.5</v>
      </c>
      <c r="E30" s="1553">
        <v>2046</v>
      </c>
      <c r="F30" s="1554">
        <v>6.85</v>
      </c>
      <c r="G30" s="1556"/>
      <c r="H30" s="1555"/>
      <c r="I30" s="1531"/>
    </row>
    <row r="31" spans="1:9" ht="14.25" hidden="1" customHeight="1">
      <c r="A31" s="1551">
        <v>38694</v>
      </c>
      <c r="B31" s="1552">
        <v>153696.6</v>
      </c>
      <c r="C31" s="1553">
        <v>9754.7000000000007</v>
      </c>
      <c r="D31" s="1553">
        <v>8453.2999999999993</v>
      </c>
      <c r="E31" s="1553">
        <v>1302</v>
      </c>
      <c r="F31" s="1554">
        <v>6.35</v>
      </c>
      <c r="G31" s="1556"/>
      <c r="H31" s="1555"/>
      <c r="I31" s="1531"/>
    </row>
    <row r="32" spans="1:9" ht="14.25" hidden="1" customHeight="1">
      <c r="A32" s="1551">
        <v>38701</v>
      </c>
      <c r="B32" s="1552">
        <v>153531.29999999999</v>
      </c>
      <c r="C32" s="1553">
        <v>10647.6</v>
      </c>
      <c r="D32" s="1553">
        <v>8444.2000000000007</v>
      </c>
      <c r="E32" s="1553">
        <v>2204</v>
      </c>
      <c r="F32" s="1554">
        <v>6.94</v>
      </c>
      <c r="G32" s="1556"/>
      <c r="H32" s="1555"/>
      <c r="I32" s="1531"/>
    </row>
    <row r="33" spans="1:9" ht="14.25" hidden="1" customHeight="1">
      <c r="A33" s="1551">
        <v>38708</v>
      </c>
      <c r="B33" s="1552">
        <v>151790.6</v>
      </c>
      <c r="C33" s="1553">
        <v>10498.2</v>
      </c>
      <c r="D33" s="1553">
        <v>8348.2000000000007</v>
      </c>
      <c r="E33" s="1553">
        <v>2150</v>
      </c>
      <c r="F33" s="1554">
        <v>6.92</v>
      </c>
      <c r="G33" s="1556"/>
      <c r="H33" s="1555"/>
      <c r="I33" s="1531"/>
    </row>
    <row r="34" spans="1:9" ht="14.25" hidden="1" customHeight="1">
      <c r="A34" s="1551">
        <v>38715</v>
      </c>
      <c r="B34" s="1552">
        <v>153075.79999999999</v>
      </c>
      <c r="C34" s="1553">
        <v>10203.1</v>
      </c>
      <c r="D34" s="1553">
        <v>8419.2000000000007</v>
      </c>
      <c r="E34" s="1553">
        <v>1784</v>
      </c>
      <c r="F34" s="1554">
        <v>6.67</v>
      </c>
      <c r="G34" s="1556"/>
      <c r="H34" s="1555"/>
      <c r="I34" s="1531"/>
    </row>
    <row r="35" spans="1:9" ht="14.25" hidden="1" customHeight="1">
      <c r="A35" s="1551">
        <v>38722</v>
      </c>
      <c r="B35" s="1552">
        <v>154990.70808513797</v>
      </c>
      <c r="C35" s="1553">
        <v>10097.049401216378</v>
      </c>
      <c r="D35" s="1553">
        <v>8524.4889446825891</v>
      </c>
      <c r="E35" s="1553">
        <v>1572.560456533789</v>
      </c>
      <c r="F35" s="1554">
        <v>6.5146159572804621</v>
      </c>
      <c r="G35" s="1556"/>
      <c r="H35" s="1555"/>
      <c r="I35" s="1531"/>
    </row>
    <row r="36" spans="1:9" ht="14.25" hidden="1" customHeight="1" thickBot="1">
      <c r="A36" s="1557"/>
      <c r="B36" s="1558"/>
      <c r="C36" s="1559"/>
      <c r="D36" s="1559"/>
      <c r="E36" s="1559"/>
      <c r="F36" s="1560"/>
      <c r="G36" s="1556"/>
      <c r="H36" s="1555"/>
      <c r="I36" s="1531"/>
    </row>
    <row r="37" spans="1:9" ht="14.25" hidden="1" customHeight="1" thickTop="1">
      <c r="A37" s="1561" t="s">
        <v>3059</v>
      </c>
      <c r="B37" s="1562"/>
      <c r="C37" s="1563"/>
      <c r="D37" s="1563"/>
      <c r="E37" s="1563"/>
      <c r="F37" s="1564"/>
      <c r="H37" s="1555"/>
      <c r="I37" s="1531"/>
    </row>
    <row r="38" spans="1:9" ht="12.75" hidden="1" customHeight="1">
      <c r="A38" s="1565" t="s">
        <v>3060</v>
      </c>
      <c r="D38" s="1531"/>
    </row>
    <row r="39" spans="1:9" ht="12.75" hidden="1" customHeight="1">
      <c r="A39" s="1565" t="s">
        <v>3061</v>
      </c>
      <c r="D39" s="1531"/>
    </row>
    <row r="40" spans="1:9" ht="15" hidden="1" customHeight="1">
      <c r="A40" s="1566" t="s">
        <v>3062</v>
      </c>
      <c r="D40" s="1531"/>
    </row>
    <row r="41" spans="1:9" ht="15" hidden="1" customHeight="1">
      <c r="A41" s="1565"/>
      <c r="D41" s="1531"/>
    </row>
    <row r="42" spans="1:9" ht="16.5" customHeight="1">
      <c r="A42" s="1567" t="s">
        <v>3063</v>
      </c>
    </row>
    <row r="43" spans="1:9" ht="15" customHeight="1" thickBot="1">
      <c r="A43" s="1532"/>
    </row>
    <row r="44" spans="1:9" ht="15" customHeight="1" thickTop="1">
      <c r="A44" s="1568" t="s">
        <v>3064</v>
      </c>
      <c r="B44" s="1569" t="s">
        <v>3042</v>
      </c>
      <c r="C44" s="1570" t="s">
        <v>3043</v>
      </c>
      <c r="D44" s="1570" t="s">
        <v>3044</v>
      </c>
      <c r="E44" s="1570" t="s">
        <v>3045</v>
      </c>
      <c r="F44" s="1571" t="s">
        <v>2059</v>
      </c>
    </row>
    <row r="45" spans="1:9" ht="15" customHeight="1">
      <c r="A45" s="1572" t="s">
        <v>3046</v>
      </c>
      <c r="B45" s="1573" t="s">
        <v>3065</v>
      </c>
      <c r="C45" s="1574" t="s">
        <v>3048</v>
      </c>
      <c r="D45" s="1574" t="s">
        <v>3049</v>
      </c>
      <c r="E45" s="1574" t="s">
        <v>3050</v>
      </c>
      <c r="F45" s="1575" t="s">
        <v>3050</v>
      </c>
    </row>
    <row r="46" spans="1:9" ht="15" customHeight="1">
      <c r="A46" s="1576"/>
      <c r="B46" s="1573"/>
      <c r="C46" s="1574" t="s">
        <v>3066</v>
      </c>
      <c r="D46" s="1574" t="s">
        <v>3067</v>
      </c>
      <c r="E46" s="1574" t="s">
        <v>79</v>
      </c>
      <c r="F46" s="1575" t="s">
        <v>3053</v>
      </c>
    </row>
    <row r="47" spans="1:9" ht="15" customHeight="1" thickBot="1">
      <c r="A47" s="1576"/>
      <c r="B47" s="1573" t="s">
        <v>3054</v>
      </c>
      <c r="C47" s="1577">
        <v>2</v>
      </c>
      <c r="D47" s="1577">
        <v>3</v>
      </c>
      <c r="E47" s="1577" t="s">
        <v>3055</v>
      </c>
      <c r="F47" s="1578" t="s">
        <v>3056</v>
      </c>
    </row>
    <row r="48" spans="1:9" ht="15" customHeight="1" thickBot="1">
      <c r="A48" s="1579"/>
      <c r="B48" s="1580" t="s">
        <v>49</v>
      </c>
      <c r="C48" s="1581"/>
      <c r="D48" s="1581"/>
      <c r="E48" s="1581"/>
      <c r="F48" s="1582" t="s">
        <v>3057</v>
      </c>
    </row>
    <row r="49" spans="1:9" ht="14.25" hidden="1" customHeight="1" thickTop="1">
      <c r="A49" s="1583"/>
      <c r="B49" s="1552"/>
      <c r="C49" s="1553"/>
      <c r="D49" s="1553"/>
      <c r="E49" s="1553"/>
      <c r="F49" s="1554"/>
      <c r="G49" s="1556"/>
      <c r="H49" s="1555"/>
      <c r="I49" s="1531"/>
    </row>
    <row r="50" spans="1:9" ht="14.25" hidden="1" customHeight="1">
      <c r="A50" s="1583">
        <v>38729</v>
      </c>
      <c r="B50" s="1552">
        <v>153782.29360303676</v>
      </c>
      <c r="C50" s="1553">
        <v>7228.4275840328573</v>
      </c>
      <c r="D50" s="1553">
        <v>6151.2917441214704</v>
      </c>
      <c r="E50" s="1553">
        <v>1077.1358399113869</v>
      </c>
      <c r="F50" s="1554">
        <v>4.7004290381387026</v>
      </c>
      <c r="G50" s="1556"/>
      <c r="H50" s="1555"/>
      <c r="I50" s="1531"/>
    </row>
    <row r="51" spans="1:9" ht="14.25" hidden="1" customHeight="1">
      <c r="A51" s="1583">
        <v>38736</v>
      </c>
      <c r="B51" s="1552">
        <v>154523.87104306812</v>
      </c>
      <c r="C51" s="1553">
        <v>8157.2500000018554</v>
      </c>
      <c r="D51" s="1553">
        <v>6180.9548417227252</v>
      </c>
      <c r="E51" s="1553">
        <v>1976.2951582791302</v>
      </c>
      <c r="F51" s="1554">
        <v>5.278957836701041</v>
      </c>
      <c r="G51" s="1556"/>
      <c r="H51" s="1555"/>
      <c r="I51" s="1531"/>
    </row>
    <row r="52" spans="1:9" ht="14.25" hidden="1" customHeight="1">
      <c r="A52" s="1583">
        <v>38743</v>
      </c>
      <c r="B52" s="1552">
        <v>155377.32746078051</v>
      </c>
      <c r="C52" s="1553">
        <v>8058.3304197925554</v>
      </c>
      <c r="D52" s="1553">
        <v>6215.0930984312208</v>
      </c>
      <c r="E52" s="1553">
        <v>1843.2373213613346</v>
      </c>
      <c r="F52" s="1554">
        <v>5.1862974807740816</v>
      </c>
      <c r="G52" s="1556"/>
      <c r="H52" s="1555"/>
      <c r="I52" s="1531"/>
    </row>
    <row r="53" spans="1:9" ht="14.25" hidden="1" customHeight="1">
      <c r="A53" s="1583">
        <v>38750</v>
      </c>
      <c r="B53" s="1552">
        <v>156903.38801180452</v>
      </c>
      <c r="C53" s="1553">
        <v>7948.6677768985737</v>
      </c>
      <c r="D53" s="1553">
        <v>6276.1355204721813</v>
      </c>
      <c r="E53" s="1553">
        <v>1672.5322564263925</v>
      </c>
      <c r="F53" s="1554">
        <v>5.0659631239451377</v>
      </c>
      <c r="G53" s="1556"/>
      <c r="H53" s="1555"/>
      <c r="I53" s="1531"/>
    </row>
    <row r="54" spans="1:9" ht="14.25" hidden="1" customHeight="1">
      <c r="A54" s="1583">
        <v>38757</v>
      </c>
      <c r="B54" s="1552">
        <v>157942.65144743051</v>
      </c>
      <c r="C54" s="1553">
        <v>7095.3367647868563</v>
      </c>
      <c r="D54" s="1553">
        <v>6317.7060578972205</v>
      </c>
      <c r="E54" s="1553">
        <v>777</v>
      </c>
      <c r="F54" s="1554">
        <v>4.4923500395638607</v>
      </c>
      <c r="G54" s="1556"/>
      <c r="H54" s="1555"/>
      <c r="I54" s="1531"/>
    </row>
    <row r="55" spans="1:9" ht="14.25" hidden="1" customHeight="1">
      <c r="A55" s="1583">
        <v>38764</v>
      </c>
      <c r="B55" s="1552">
        <v>157892.96292783719</v>
      </c>
      <c r="C55" s="1553">
        <v>6892.2547491041414</v>
      </c>
      <c r="D55" s="1553">
        <v>6315.7185171134879</v>
      </c>
      <c r="E55" s="1553">
        <v>576</v>
      </c>
      <c r="F55" s="1554">
        <v>4.3651437159071822</v>
      </c>
      <c r="G55" s="1556"/>
      <c r="H55" s="1555"/>
      <c r="I55" s="1531"/>
    </row>
    <row r="56" spans="1:9" ht="14.25" hidden="1" customHeight="1">
      <c r="A56" s="1583">
        <v>38771</v>
      </c>
      <c r="B56" s="1552">
        <v>156840.653875863</v>
      </c>
      <c r="C56" s="1553">
        <v>8233.083239876476</v>
      </c>
      <c r="D56" s="1553">
        <v>6273.6261550345207</v>
      </c>
      <c r="E56" s="1553">
        <v>1959.4570848419553</v>
      </c>
      <c r="F56" s="1554">
        <v>5.2493298366333239</v>
      </c>
      <c r="G56" s="1556"/>
      <c r="H56" s="1555"/>
      <c r="I56" s="1531"/>
    </row>
    <row r="57" spans="1:9" ht="14.25" hidden="1" customHeight="1">
      <c r="A57" s="1583">
        <v>38778</v>
      </c>
      <c r="B57" s="1552">
        <v>157035.26206326496</v>
      </c>
      <c r="C57" s="1553">
        <v>8415.2168169094275</v>
      </c>
      <c r="D57" s="1553">
        <v>6281.4104825305985</v>
      </c>
      <c r="E57" s="1553">
        <v>2133.806334378829</v>
      </c>
      <c r="F57" s="1554">
        <v>5.3588071279934439</v>
      </c>
      <c r="G57" s="1556"/>
      <c r="H57" s="1555"/>
      <c r="I57" s="1531"/>
    </row>
    <row r="58" spans="1:9" ht="14.25" hidden="1" customHeight="1">
      <c r="A58" s="1583">
        <v>38785</v>
      </c>
      <c r="B58" s="1552">
        <v>159496.62756170644</v>
      </c>
      <c r="C58" s="1553">
        <v>8479.902991244473</v>
      </c>
      <c r="D58" s="1553">
        <v>6379.8651024682576</v>
      </c>
      <c r="E58" s="1553">
        <v>2100.0378887762154</v>
      </c>
      <c r="F58" s="1554">
        <v>5.3166660141223039</v>
      </c>
      <c r="G58" s="1556"/>
      <c r="H58" s="1555"/>
      <c r="I58" s="1531"/>
    </row>
    <row r="59" spans="1:9" ht="14.25" hidden="1" customHeight="1">
      <c r="A59" s="1583">
        <v>38792</v>
      </c>
      <c r="B59" s="1552">
        <v>160653.33505307449</v>
      </c>
      <c r="C59" s="1553">
        <v>8150.7274809736573</v>
      </c>
      <c r="D59" s="1553">
        <v>6426.1334021229795</v>
      </c>
      <c r="E59" s="1553">
        <v>1724.5940788506778</v>
      </c>
      <c r="F59" s="1554">
        <v>5.0734878789045545</v>
      </c>
      <c r="G59" s="1556"/>
      <c r="H59" s="1555"/>
      <c r="I59" s="1531"/>
    </row>
    <row r="60" spans="1:9" ht="14.25" hidden="1" customHeight="1">
      <c r="A60" s="1583">
        <v>38799</v>
      </c>
      <c r="B60" s="1552">
        <v>160906.33715823339</v>
      </c>
      <c r="C60" s="1553">
        <v>8127.6852659412689</v>
      </c>
      <c r="D60" s="1553">
        <v>6436.2534863293358</v>
      </c>
      <c r="E60" s="1553">
        <v>1691.83177961193</v>
      </c>
      <c r="F60" s="1554">
        <v>5.0511902821755239</v>
      </c>
      <c r="G60" s="1556"/>
      <c r="H60" s="1555"/>
      <c r="I60" s="1531"/>
    </row>
    <row r="61" spans="1:9" ht="14.25" hidden="1" customHeight="1">
      <c r="A61" s="1583">
        <v>38806</v>
      </c>
      <c r="B61" s="1552">
        <v>160723.57525876223</v>
      </c>
      <c r="C61" s="1553">
        <v>8134.2152993961672</v>
      </c>
      <c r="D61" s="1553">
        <v>6428.9430103504892</v>
      </c>
      <c r="E61" s="1553">
        <v>1705.272289045678</v>
      </c>
      <c r="F61" s="1554">
        <v>5.0609969858499095</v>
      </c>
      <c r="G61" s="1556"/>
      <c r="H61" s="1555"/>
      <c r="I61" s="1531"/>
    </row>
    <row r="62" spans="1:9" ht="14.25" hidden="1" customHeight="1">
      <c r="A62" s="1583">
        <v>38813</v>
      </c>
      <c r="B62" s="1552">
        <v>161090.5443426948</v>
      </c>
      <c r="C62" s="1553">
        <v>8215.7013735183355</v>
      </c>
      <c r="D62" s="1553">
        <v>6443.6217737077923</v>
      </c>
      <c r="E62" s="1553">
        <v>1772.0795998105432</v>
      </c>
      <c r="F62" s="1554">
        <v>5.1000519037546503</v>
      </c>
      <c r="G62" s="1556"/>
      <c r="H62" s="1555"/>
      <c r="I62" s="1531"/>
    </row>
    <row r="63" spans="1:9" ht="14.25" hidden="1" customHeight="1">
      <c r="A63" s="1583">
        <v>38820</v>
      </c>
      <c r="B63" s="1552">
        <v>162373.00752694369</v>
      </c>
      <c r="C63" s="1553">
        <v>7925.8350080035643</v>
      </c>
      <c r="D63" s="1553">
        <v>6494.9203010777483</v>
      </c>
      <c r="E63" s="1553">
        <v>1430.9147069258161</v>
      </c>
      <c r="F63" s="1554">
        <v>4.881251587760592</v>
      </c>
      <c r="G63" s="1556"/>
      <c r="H63" s="1555"/>
      <c r="I63" s="1531"/>
    </row>
    <row r="64" spans="1:9" ht="14.25" hidden="1" customHeight="1">
      <c r="A64" s="1583">
        <v>38827</v>
      </c>
      <c r="B64" s="1552">
        <v>161097.05880838764</v>
      </c>
      <c r="C64" s="1553">
        <v>8076.0716443789252</v>
      </c>
      <c r="D64" s="1553">
        <v>6443.8823523355059</v>
      </c>
      <c r="E64" s="1553">
        <v>1632.1892920434193</v>
      </c>
      <c r="F64" s="1554">
        <v>5.0131713788671846</v>
      </c>
      <c r="G64" s="1556"/>
      <c r="H64" s="1555"/>
      <c r="I64" s="1531"/>
    </row>
    <row r="65" spans="1:9" ht="14.25" hidden="1" customHeight="1">
      <c r="A65" s="1583">
        <v>38834</v>
      </c>
      <c r="B65" s="1552">
        <v>161113.22089947766</v>
      </c>
      <c r="C65" s="1553">
        <v>7884.0995082156987</v>
      </c>
      <c r="D65" s="1553">
        <v>6444.5288359791066</v>
      </c>
      <c r="E65" s="1553">
        <v>1438.5706722365921</v>
      </c>
      <c r="F65" s="1554">
        <v>4.8935149233561503</v>
      </c>
      <c r="G65" s="1556"/>
      <c r="H65" s="1555"/>
      <c r="I65" s="1531"/>
    </row>
    <row r="66" spans="1:9" ht="14.25" hidden="1" customHeight="1">
      <c r="A66" s="1583">
        <v>38841</v>
      </c>
      <c r="B66" s="1552">
        <v>161698.56550938345</v>
      </c>
      <c r="C66" s="1553">
        <v>7919.582225340705</v>
      </c>
      <c r="D66" s="1553">
        <v>6467.9426203753383</v>
      </c>
      <c r="E66" s="1553">
        <v>1451.6396049653667</v>
      </c>
      <c r="F66" s="1554">
        <v>4.8977442690307154</v>
      </c>
      <c r="G66" s="1556"/>
      <c r="H66" s="1555"/>
      <c r="I66" s="1531"/>
    </row>
    <row r="67" spans="1:9" ht="14.25" hidden="1" customHeight="1">
      <c r="A67" s="1583">
        <v>38848</v>
      </c>
      <c r="B67" s="1552">
        <v>162608.5508347479</v>
      </c>
      <c r="C67" s="1553">
        <v>7549.8429559596707</v>
      </c>
      <c r="D67" s="1553">
        <v>6504.3420333899167</v>
      </c>
      <c r="E67" s="1553">
        <v>1045.500922569754</v>
      </c>
      <c r="F67" s="1554">
        <v>4.6429556854191834</v>
      </c>
      <c r="G67" s="1556"/>
      <c r="H67" s="1555"/>
      <c r="I67" s="1531"/>
    </row>
    <row r="68" spans="1:9" ht="14.25" hidden="1" customHeight="1">
      <c r="A68" s="1583">
        <v>38855</v>
      </c>
      <c r="B68" s="1552">
        <v>162454.26037565761</v>
      </c>
      <c r="C68" s="1553">
        <v>7399.187091392273</v>
      </c>
      <c r="D68" s="1553">
        <v>6498.1704150263049</v>
      </c>
      <c r="E68" s="1553">
        <v>901.01667636596812</v>
      </c>
      <c r="F68" s="1554">
        <v>4.5546279145172717</v>
      </c>
      <c r="G68" s="1556"/>
      <c r="H68" s="1555"/>
      <c r="I68" s="1531"/>
    </row>
    <row r="69" spans="1:9" ht="14.25" hidden="1" customHeight="1">
      <c r="A69" s="1583">
        <v>38862</v>
      </c>
      <c r="B69" s="1552">
        <v>158465.99687259767</v>
      </c>
      <c r="C69" s="1553">
        <v>7796.4720659952136</v>
      </c>
      <c r="D69" s="1553">
        <v>6338.6398749039072</v>
      </c>
      <c r="E69" s="1553">
        <v>1456.8321910913064</v>
      </c>
      <c r="F69" s="1554">
        <v>4.9199653047734682</v>
      </c>
      <c r="G69" s="1556"/>
      <c r="H69" s="1555"/>
      <c r="I69" s="1531"/>
    </row>
    <row r="70" spans="1:9" ht="14.25" hidden="1" customHeight="1">
      <c r="A70" s="1583">
        <v>38869</v>
      </c>
      <c r="B70" s="1552">
        <v>158189.36168942397</v>
      </c>
      <c r="C70" s="1553">
        <v>7274.3285202963025</v>
      </c>
      <c r="D70" s="1553">
        <v>6327.5744675769593</v>
      </c>
      <c r="E70" s="1553">
        <v>945.75405271934324</v>
      </c>
      <c r="F70" s="1554">
        <v>4.5984941355147022</v>
      </c>
      <c r="G70" s="1556"/>
      <c r="H70" s="1555"/>
      <c r="I70" s="1531"/>
    </row>
    <row r="71" spans="1:9" ht="14.25" hidden="1" customHeight="1" thickTop="1">
      <c r="A71" s="1583">
        <v>38876</v>
      </c>
      <c r="B71" s="1552">
        <v>159093.19034403467</v>
      </c>
      <c r="C71" s="1553">
        <v>7155.3168934321102</v>
      </c>
      <c r="D71" s="1553">
        <v>6363.7276137613871</v>
      </c>
      <c r="E71" s="1553">
        <v>790.58927967072304</v>
      </c>
      <c r="F71" s="1554">
        <v>4.4975632696527947</v>
      </c>
      <c r="G71" s="1556"/>
      <c r="H71" s="1555"/>
      <c r="I71" s="1531"/>
    </row>
    <row r="72" spans="1:9" ht="14.25" hidden="1" customHeight="1">
      <c r="A72" s="1583">
        <v>38883</v>
      </c>
      <c r="B72" s="1552">
        <v>158591.51480510586</v>
      </c>
      <c r="C72" s="1553">
        <v>7817.6053724801659</v>
      </c>
      <c r="D72" s="1553">
        <v>6343.6605922042345</v>
      </c>
      <c r="E72" s="1553">
        <v>1473.9447802759314</v>
      </c>
      <c r="F72" s="1554">
        <v>4.9293969996359968</v>
      </c>
      <c r="G72" s="1556"/>
      <c r="H72" s="1555"/>
      <c r="I72" s="1531"/>
    </row>
    <row r="73" spans="1:9" ht="14.25" hidden="1" customHeight="1">
      <c r="A73" s="1583">
        <v>38890</v>
      </c>
      <c r="B73" s="1552">
        <v>159947.79499417657</v>
      </c>
      <c r="C73" s="1553">
        <v>7862.3074926993095</v>
      </c>
      <c r="D73" s="1553">
        <v>6397.9117997670628</v>
      </c>
      <c r="E73" s="1553">
        <v>1464.3956929322467</v>
      </c>
      <c r="F73" s="1554">
        <v>4.9155460336202594</v>
      </c>
      <c r="G73" s="1556"/>
      <c r="H73" s="1555"/>
      <c r="I73" s="1531"/>
    </row>
    <row r="74" spans="1:9" ht="14.25" hidden="1" customHeight="1">
      <c r="A74" s="1583">
        <v>38897</v>
      </c>
      <c r="B74" s="1552">
        <v>160467.4700069761</v>
      </c>
      <c r="C74" s="1553">
        <v>8056.7026266599287</v>
      </c>
      <c r="D74" s="1553">
        <v>6418.698800279044</v>
      </c>
      <c r="E74" s="1553">
        <v>1638.0038263808847</v>
      </c>
      <c r="F74" s="1554">
        <v>5.020770020434469</v>
      </c>
      <c r="G74" s="1556"/>
      <c r="H74" s="1555"/>
      <c r="I74" s="1531"/>
    </row>
    <row r="75" spans="1:9" ht="14.25" hidden="1" customHeight="1">
      <c r="A75" s="1583">
        <v>38904</v>
      </c>
      <c r="B75" s="1552">
        <v>161149.77941564805</v>
      </c>
      <c r="C75" s="1553">
        <v>9014.3925631275943</v>
      </c>
      <c r="D75" s="1553">
        <v>6445.991176625922</v>
      </c>
      <c r="E75" s="1553">
        <v>2568.4013865016723</v>
      </c>
      <c r="F75" s="1554">
        <v>5.5937976432949892</v>
      </c>
      <c r="G75" s="1556"/>
      <c r="H75" s="1555"/>
      <c r="I75" s="1531"/>
    </row>
    <row r="76" spans="1:9" ht="14.25" hidden="1" customHeight="1">
      <c r="A76" s="1583">
        <v>38911</v>
      </c>
      <c r="B76" s="1552">
        <v>165064.69805548631</v>
      </c>
      <c r="C76" s="1553">
        <v>8904.4394299534488</v>
      </c>
      <c r="D76" s="1553">
        <v>6602.5879222194526</v>
      </c>
      <c r="E76" s="1553">
        <v>2300.8515077339962</v>
      </c>
      <c r="F76" s="1554">
        <v>5.3945147174717096</v>
      </c>
      <c r="G76" s="1556"/>
      <c r="H76" s="1555"/>
      <c r="I76" s="1531"/>
    </row>
    <row r="77" spans="1:9" ht="14.25" hidden="1" customHeight="1">
      <c r="A77" s="1583">
        <v>38918</v>
      </c>
      <c r="B77" s="1552">
        <v>170488.70489670167</v>
      </c>
      <c r="C77" s="1553">
        <v>8712.0113657588627</v>
      </c>
      <c r="D77" s="1553">
        <v>6819.5481958680675</v>
      </c>
      <c r="E77" s="1553">
        <v>1892.4631698907951</v>
      </c>
      <c r="F77" s="1554">
        <v>5.1100226088510849</v>
      </c>
      <c r="G77" s="1556"/>
      <c r="H77" s="1555"/>
      <c r="I77" s="1531"/>
    </row>
    <row r="78" spans="1:9" ht="14.25" hidden="1" customHeight="1">
      <c r="A78" s="1583">
        <v>38925</v>
      </c>
      <c r="B78" s="1552">
        <v>171285.85861932192</v>
      </c>
      <c r="C78" s="1553">
        <v>8189.6413357018964</v>
      </c>
      <c r="D78" s="1553">
        <v>6851.434344772877</v>
      </c>
      <c r="E78" s="1553">
        <v>1339.2069909290194</v>
      </c>
      <c r="F78" s="1554">
        <v>4.781271146208951</v>
      </c>
      <c r="G78" s="1556"/>
      <c r="H78" s="1555"/>
      <c r="I78" s="1531"/>
    </row>
    <row r="79" spans="1:9" ht="14.25" hidden="1" customHeight="1">
      <c r="A79" s="1583">
        <v>38932</v>
      </c>
      <c r="B79" s="1552">
        <v>173271.54989305936</v>
      </c>
      <c r="C79" s="1553">
        <v>7993.0646982967537</v>
      </c>
      <c r="D79" s="1553">
        <v>6930.8619957223746</v>
      </c>
      <c r="E79" s="1553">
        <v>1062.2027025743791</v>
      </c>
      <c r="F79" s="1554">
        <v>4.6130277608932078</v>
      </c>
      <c r="G79" s="1556"/>
      <c r="H79" s="1555"/>
      <c r="I79" s="1531"/>
    </row>
    <row r="80" spans="1:9" ht="14.25" hidden="1" customHeight="1">
      <c r="A80" s="1583">
        <v>38939</v>
      </c>
      <c r="B80" s="1552">
        <v>174234.69392788576</v>
      </c>
      <c r="C80" s="1553">
        <v>7686.0319239756782</v>
      </c>
      <c r="D80" s="1553">
        <v>6969.3877571154308</v>
      </c>
      <c r="E80" s="1553">
        <v>716.64416686024742</v>
      </c>
      <c r="F80" s="1554">
        <v>4.4113096827643634</v>
      </c>
      <c r="G80" s="1556"/>
      <c r="H80" s="1555"/>
      <c r="I80" s="1531"/>
    </row>
    <row r="81" spans="1:9" ht="14.25" hidden="1" customHeight="1">
      <c r="A81" s="1583">
        <v>38946</v>
      </c>
      <c r="B81" s="1552">
        <v>174004.14017262176</v>
      </c>
      <c r="C81" s="1553">
        <v>7290.47508382661</v>
      </c>
      <c r="D81" s="1553">
        <v>6960.1656069048704</v>
      </c>
      <c r="E81" s="1553">
        <v>330.30947692173959</v>
      </c>
      <c r="F81" s="1554">
        <v>4.189828515915802</v>
      </c>
      <c r="G81" s="1556"/>
      <c r="H81" s="1555"/>
      <c r="I81" s="1531"/>
    </row>
    <row r="82" spans="1:9" ht="14.25" hidden="1" customHeight="1">
      <c r="A82" s="1583">
        <v>38953</v>
      </c>
      <c r="B82" s="1552">
        <v>173721.48505651942</v>
      </c>
      <c r="C82" s="1553">
        <v>7563.4244622118276</v>
      </c>
      <c r="D82" s="1553">
        <v>6948.8594022607767</v>
      </c>
      <c r="E82" s="1553">
        <v>613.5650599510509</v>
      </c>
      <c r="F82" s="1554">
        <v>4.3537645673194101</v>
      </c>
      <c r="G82" s="1556"/>
      <c r="H82" s="1555"/>
      <c r="I82" s="1531"/>
    </row>
    <row r="83" spans="1:9" ht="14.25" hidden="1" customHeight="1">
      <c r="A83" s="1583">
        <v>38960</v>
      </c>
      <c r="B83" s="1552">
        <v>174605.59156800696</v>
      </c>
      <c r="C83" s="1553">
        <v>7051.4789576627199</v>
      </c>
      <c r="D83" s="1553">
        <v>6984.2236627202783</v>
      </c>
      <c r="E83" s="1553">
        <v>67.255294942441651</v>
      </c>
      <c r="F83" s="1554">
        <v>4.0385184084532861</v>
      </c>
      <c r="G83" s="1556"/>
      <c r="H83" s="1555"/>
      <c r="I83" s="1531"/>
    </row>
    <row r="84" spans="1:9" ht="14.25" hidden="1" customHeight="1">
      <c r="A84" s="1583">
        <v>38967</v>
      </c>
      <c r="B84" s="1552">
        <v>175519.41155745526</v>
      </c>
      <c r="C84" s="1553">
        <v>7183.5427712820001</v>
      </c>
      <c r="D84" s="1553">
        <v>7020.7764622982104</v>
      </c>
      <c r="E84" s="1553">
        <v>162.76630898378971</v>
      </c>
      <c r="F84" s="1554">
        <v>4.092734078549773</v>
      </c>
      <c r="G84" s="1556"/>
      <c r="H84" s="1555"/>
      <c r="I84" s="1531"/>
    </row>
    <row r="85" spans="1:9" ht="14.25" hidden="1" customHeight="1">
      <c r="A85" s="1583">
        <v>38974</v>
      </c>
      <c r="B85" s="1552">
        <v>176291.68867709188</v>
      </c>
      <c r="C85" s="1553">
        <v>7328.0753868838956</v>
      </c>
      <c r="D85" s="1553">
        <v>7051.6675470836753</v>
      </c>
      <c r="E85" s="1553">
        <v>276.40783980022024</v>
      </c>
      <c r="F85" s="1554">
        <v>4.1567900573614152</v>
      </c>
      <c r="G85" s="1556"/>
      <c r="H85" s="1555"/>
      <c r="I85" s="1531"/>
    </row>
    <row r="86" spans="1:9" ht="14.25" hidden="1" customHeight="1">
      <c r="A86" s="1583">
        <v>38981</v>
      </c>
      <c r="B86" s="1552">
        <v>175326.74342566461</v>
      </c>
      <c r="C86" s="1553">
        <v>7748.410919611707</v>
      </c>
      <c r="D86" s="1553">
        <v>7013.0697370265843</v>
      </c>
      <c r="E86" s="1553">
        <v>735.34118258512262</v>
      </c>
      <c r="F86" s="1554">
        <v>4.4194118753462703</v>
      </c>
      <c r="G86" s="1556"/>
      <c r="H86" s="1555"/>
      <c r="I86" s="1531"/>
    </row>
    <row r="87" spans="1:9" ht="14.25" hidden="1" customHeight="1">
      <c r="A87" s="1583">
        <v>38988</v>
      </c>
      <c r="B87" s="1552">
        <v>176297.54468759859</v>
      </c>
      <c r="C87" s="1553">
        <v>7878.3848199870326</v>
      </c>
      <c r="D87" s="1553">
        <v>7051.9017875039435</v>
      </c>
      <c r="E87" s="1553">
        <v>826.48303248308912</v>
      </c>
      <c r="F87" s="1554">
        <v>4.4688000811058526</v>
      </c>
      <c r="G87" s="1556"/>
      <c r="H87" s="1555"/>
      <c r="I87" s="1531"/>
    </row>
    <row r="88" spans="1:9" ht="14.25" hidden="1" customHeight="1">
      <c r="A88" s="1583">
        <v>38995</v>
      </c>
      <c r="B88" s="1552">
        <v>175017.23956124578</v>
      </c>
      <c r="C88" s="1553">
        <v>7553.232730269342</v>
      </c>
      <c r="D88" s="1553">
        <v>7000.6895824498315</v>
      </c>
      <c r="E88" s="1553">
        <v>551.54314781951052</v>
      </c>
      <c r="F88" s="1554">
        <v>4.3157078406702629</v>
      </c>
      <c r="G88" s="1556"/>
      <c r="H88" s="1555"/>
      <c r="I88" s="1531"/>
    </row>
    <row r="89" spans="1:9" ht="14.25" hidden="1" customHeight="1">
      <c r="A89" s="1583">
        <v>39002</v>
      </c>
      <c r="B89" s="1584">
        <v>177148.8601876598</v>
      </c>
      <c r="C89" s="1553">
        <v>7218.0139377776186</v>
      </c>
      <c r="D89" s="1553">
        <v>7085.9544075063923</v>
      </c>
      <c r="E89" s="1553">
        <v>132.05953027122632</v>
      </c>
      <c r="F89" s="1585">
        <v>4.0745472085630876</v>
      </c>
      <c r="G89" s="1556"/>
      <c r="H89" s="1555"/>
      <c r="I89" s="1531"/>
    </row>
    <row r="90" spans="1:9" ht="14.25" hidden="1" customHeight="1">
      <c r="A90" s="1583">
        <v>39009</v>
      </c>
      <c r="B90" s="1584">
        <v>175199.79006843019</v>
      </c>
      <c r="C90" s="1553">
        <v>7419.4180475158346</v>
      </c>
      <c r="D90" s="1553">
        <v>7007.9916027372074</v>
      </c>
      <c r="E90" s="1553">
        <v>411.42644477862723</v>
      </c>
      <c r="F90" s="1585">
        <v>4.234832727035764</v>
      </c>
      <c r="G90" s="1556"/>
      <c r="H90" s="1555"/>
      <c r="I90" s="1531"/>
    </row>
    <row r="91" spans="1:9" ht="14.25" hidden="1" customHeight="1">
      <c r="A91" s="1583">
        <v>39016</v>
      </c>
      <c r="B91" s="1584">
        <v>174732.85078069891</v>
      </c>
      <c r="C91" s="1553">
        <v>7311.6011365986033</v>
      </c>
      <c r="D91" s="1553">
        <v>6989.3140312279565</v>
      </c>
      <c r="E91" s="1553">
        <v>323.28710537064671</v>
      </c>
      <c r="F91" s="1585">
        <v>4.1844456288160368</v>
      </c>
      <c r="G91" s="1556"/>
      <c r="H91" s="1555"/>
      <c r="I91" s="1531"/>
    </row>
    <row r="92" spans="1:9" ht="14.25" hidden="1" customHeight="1">
      <c r="A92" s="1583">
        <v>39023</v>
      </c>
      <c r="B92" s="1584">
        <v>173700.15988749266</v>
      </c>
      <c r="C92" s="1553">
        <v>7495.0508483375625</v>
      </c>
      <c r="D92" s="1553">
        <v>6948.0063954997067</v>
      </c>
      <c r="E92" s="1553">
        <v>547.04445283785572</v>
      </c>
      <c r="F92" s="1585">
        <v>4.3149360675270438</v>
      </c>
      <c r="G92" s="1556"/>
      <c r="H92" s="1555"/>
      <c r="I92" s="1531"/>
    </row>
    <row r="93" spans="1:9" ht="14.25" hidden="1" customHeight="1">
      <c r="A93" s="1583">
        <v>39030</v>
      </c>
      <c r="B93" s="1584">
        <v>175300.75223542133</v>
      </c>
      <c r="C93" s="1553">
        <v>7633.7547077063891</v>
      </c>
      <c r="D93" s="1553">
        <v>7012.0300894168531</v>
      </c>
      <c r="E93" s="1553">
        <v>621.72461828953601</v>
      </c>
      <c r="F93" s="1585">
        <v>4.3546616944658556</v>
      </c>
      <c r="G93" s="1556"/>
      <c r="H93" s="1555"/>
      <c r="I93" s="1531"/>
    </row>
    <row r="94" spans="1:9" ht="14.25" hidden="1" customHeight="1">
      <c r="A94" s="1583">
        <v>39037</v>
      </c>
      <c r="B94" s="1584">
        <v>175128.61295668042</v>
      </c>
      <c r="C94" s="1553">
        <v>7718.7052684523051</v>
      </c>
      <c r="D94" s="1553">
        <v>7005.1445182672169</v>
      </c>
      <c r="E94" s="1553">
        <v>713.56075018508818</v>
      </c>
      <c r="F94" s="1585">
        <v>4.4074495527247706</v>
      </c>
      <c r="G94" s="1556"/>
      <c r="H94" s="1555"/>
      <c r="I94" s="1531"/>
    </row>
    <row r="95" spans="1:9" ht="14.25" hidden="1" customHeight="1">
      <c r="A95" s="1583">
        <v>39044</v>
      </c>
      <c r="B95" s="1584">
        <v>173699.00701796435</v>
      </c>
      <c r="C95" s="1553">
        <v>7633.6855278628136</v>
      </c>
      <c r="D95" s="1553">
        <v>6947.9602807185738</v>
      </c>
      <c r="E95" s="1553">
        <v>685.7252471442398</v>
      </c>
      <c r="F95" s="1585">
        <v>4.3947778740458316</v>
      </c>
      <c r="G95" s="1556"/>
      <c r="H95" s="1555"/>
      <c r="I95" s="1531"/>
    </row>
    <row r="96" spans="1:9" s="1592" customFormat="1" ht="14.25" hidden="1" customHeight="1">
      <c r="A96" s="1586">
        <v>39051</v>
      </c>
      <c r="B96" s="1587">
        <v>175348.59575334334</v>
      </c>
      <c r="C96" s="1588">
        <v>7406.1914208299995</v>
      </c>
      <c r="D96" s="1588">
        <v>7013.9438301337341</v>
      </c>
      <c r="E96" s="1588">
        <v>392.24759069626543</v>
      </c>
      <c r="F96" s="1589">
        <v>4.2236958836260241</v>
      </c>
      <c r="G96" s="1590"/>
      <c r="H96" s="1555"/>
      <c r="I96" s="1591"/>
    </row>
    <row r="97" spans="1:9" s="1592" customFormat="1" ht="14.25" hidden="1" customHeight="1">
      <c r="A97" s="1586">
        <v>39058</v>
      </c>
      <c r="B97" s="1593">
        <v>174123.62203482338</v>
      </c>
      <c r="C97" s="1588">
        <v>7165.379617132382</v>
      </c>
      <c r="D97" s="1588">
        <v>6964.9448813929348</v>
      </c>
      <c r="E97" s="1588">
        <v>200.43473573944721</v>
      </c>
      <c r="F97" s="1594">
        <v>4.115110594069403</v>
      </c>
      <c r="G97" s="1590"/>
      <c r="H97" s="1555"/>
      <c r="I97" s="1591"/>
    </row>
    <row r="98" spans="1:9" s="1592" customFormat="1" ht="14.25" hidden="1" customHeight="1">
      <c r="A98" s="1586">
        <v>39065</v>
      </c>
      <c r="B98" s="1593">
        <v>175467.18460444771</v>
      </c>
      <c r="C98" s="1588">
        <v>7566.2687555857128</v>
      </c>
      <c r="D98" s="1588">
        <v>7018.6873841779088</v>
      </c>
      <c r="E98" s="1588">
        <v>546.581371407804</v>
      </c>
      <c r="F98" s="1594">
        <v>4.3120705291090218</v>
      </c>
      <c r="G98" s="1590"/>
      <c r="H98" s="1555"/>
      <c r="I98" s="1591"/>
    </row>
    <row r="99" spans="1:9" s="1592" customFormat="1" ht="14.25" hidden="1" customHeight="1">
      <c r="A99" s="1586">
        <v>39072</v>
      </c>
      <c r="B99" s="1593">
        <v>174464.36429310087</v>
      </c>
      <c r="C99" s="1588">
        <v>8333.5843580790479</v>
      </c>
      <c r="D99" s="1588">
        <v>6978.5745717240352</v>
      </c>
      <c r="E99" s="1588">
        <v>1355.0097863550127</v>
      </c>
      <c r="F99" s="1594">
        <v>4.7766685144242933</v>
      </c>
      <c r="G99" s="1590"/>
      <c r="H99" s="1555"/>
      <c r="I99" s="1591"/>
    </row>
    <row r="100" spans="1:9" s="1592" customFormat="1" ht="14.25" hidden="1" customHeight="1">
      <c r="A100" s="1586">
        <v>39079</v>
      </c>
      <c r="B100" s="1587">
        <v>176164.39974517582</v>
      </c>
      <c r="C100" s="1588">
        <v>8176.6953529888096</v>
      </c>
      <c r="D100" s="1588">
        <v>7046.5759898070328</v>
      </c>
      <c r="E100" s="1588">
        <v>1130.1193631817769</v>
      </c>
      <c r="F100" s="1589">
        <v>4.6415140430282786</v>
      </c>
      <c r="G100" s="1590"/>
      <c r="H100" s="1555"/>
      <c r="I100" s="1591"/>
    </row>
    <row r="101" spans="1:9" s="1592" customFormat="1" ht="14.25" hidden="1" customHeight="1">
      <c r="A101" s="1586">
        <v>39086</v>
      </c>
      <c r="B101" s="1593">
        <v>178527.73221328968</v>
      </c>
      <c r="C101" s="1588">
        <v>8093.7594466471419</v>
      </c>
      <c r="D101" s="1588">
        <v>7141.1092885315875</v>
      </c>
      <c r="E101" s="1588">
        <v>952.6501581155544</v>
      </c>
      <c r="F101" s="1594">
        <v>4.5336146638424832</v>
      </c>
      <c r="G101" s="1590"/>
      <c r="H101" s="1555"/>
      <c r="I101" s="1591"/>
    </row>
    <row r="102" spans="1:9" s="1592" customFormat="1" ht="14.25" hidden="1" customHeight="1">
      <c r="A102" s="1586">
        <v>39093</v>
      </c>
      <c r="B102" s="1593">
        <v>178995.59129482164</v>
      </c>
      <c r="C102" s="1588">
        <v>8582.761108815288</v>
      </c>
      <c r="D102" s="1588">
        <v>7159.8236517928663</v>
      </c>
      <c r="E102" s="1588">
        <v>1422.9374570224218</v>
      </c>
      <c r="F102" s="1594">
        <v>4.7949567063239664</v>
      </c>
      <c r="G102" s="1590"/>
      <c r="H102" s="1555"/>
      <c r="I102" s="1591"/>
    </row>
    <row r="103" spans="1:9" s="1592" customFormat="1" ht="14.25" hidden="1" customHeight="1">
      <c r="A103" s="1586">
        <v>39100</v>
      </c>
      <c r="B103" s="1593">
        <v>179818.41122461425</v>
      </c>
      <c r="C103" s="1588">
        <v>7688.4964276509045</v>
      </c>
      <c r="D103" s="1588">
        <v>7192.7364489845704</v>
      </c>
      <c r="E103" s="1588">
        <v>494.75997866633406</v>
      </c>
      <c r="F103" s="1594">
        <v>4.2757003441917147</v>
      </c>
      <c r="G103" s="1590"/>
      <c r="H103" s="1555"/>
      <c r="I103" s="1591"/>
    </row>
    <row r="104" spans="1:9" s="1592" customFormat="1" ht="14.25" hidden="1" customHeight="1">
      <c r="A104" s="1595" t="s">
        <v>3068</v>
      </c>
      <c r="B104" s="1593">
        <v>180088.80514806672</v>
      </c>
      <c r="C104" s="1588">
        <v>7897.0850861200397</v>
      </c>
      <c r="D104" s="1588">
        <v>7203.5522059226687</v>
      </c>
      <c r="E104" s="1588">
        <v>693</v>
      </c>
      <c r="F104" s="1594">
        <v>4.3851060478896269</v>
      </c>
      <c r="G104" s="1590"/>
      <c r="H104" s="1555"/>
      <c r="I104" s="1591"/>
    </row>
    <row r="105" spans="1:9" s="1592" customFormat="1" ht="14.25" hidden="1" customHeight="1">
      <c r="A105" s="1586">
        <v>39128</v>
      </c>
      <c r="B105" s="1593">
        <v>180907.51140721224</v>
      </c>
      <c r="C105" s="1588">
        <v>7671.4459046173251</v>
      </c>
      <c r="D105" s="1588">
        <v>7236.3004562884898</v>
      </c>
      <c r="E105" s="1588">
        <v>435.1454483288353</v>
      </c>
      <c r="F105" s="1594">
        <v>4.2405347599687824</v>
      </c>
      <c r="G105" s="1590"/>
      <c r="H105" s="1555"/>
      <c r="I105" s="1591"/>
    </row>
    <row r="106" spans="1:9" s="1592" customFormat="1" ht="14.25" hidden="1" customHeight="1">
      <c r="A106" s="1586">
        <v>39142</v>
      </c>
      <c r="B106" s="1593">
        <v>179981.79809869052</v>
      </c>
      <c r="C106" s="1588">
        <v>7635.8967125198715</v>
      </c>
      <c r="D106" s="1588">
        <v>7199.271923947621</v>
      </c>
      <c r="E106" s="1588">
        <v>436.62478857225051</v>
      </c>
      <c r="F106" s="1594">
        <v>4.2425938584816416</v>
      </c>
      <c r="G106" s="1590"/>
      <c r="H106" s="1555"/>
      <c r="I106" s="1591"/>
    </row>
    <row r="107" spans="1:9" s="1592" customFormat="1" ht="14.25" hidden="1" customHeight="1">
      <c r="A107" s="1586">
        <v>39156</v>
      </c>
      <c r="B107" s="1593">
        <v>181648.64252537178</v>
      </c>
      <c r="C107" s="1588">
        <v>8491.6806607922299</v>
      </c>
      <c r="D107" s="1588">
        <v>7265.9457010148708</v>
      </c>
      <c r="E107" s="1588">
        <v>1225.7349597773591</v>
      </c>
      <c r="F107" s="1594">
        <v>4.6747834405677731</v>
      </c>
      <c r="G107" s="1590"/>
      <c r="H107" s="1555"/>
      <c r="I107" s="1591"/>
    </row>
    <row r="108" spans="1:9" s="1592" customFormat="1" ht="14.25" hidden="1" customHeight="1">
      <c r="A108" s="1586">
        <v>39170</v>
      </c>
      <c r="B108" s="1593">
        <v>182004.52363176932</v>
      </c>
      <c r="C108" s="1588">
        <v>8210.5656804087248</v>
      </c>
      <c r="D108" s="1588">
        <v>7280.180945270773</v>
      </c>
      <c r="E108" s="1588">
        <v>931.38473513795179</v>
      </c>
      <c r="F108" s="1594">
        <v>4.5111876982905672</v>
      </c>
      <c r="G108" s="1590"/>
      <c r="H108" s="1555"/>
      <c r="I108" s="1591"/>
    </row>
    <row r="109" spans="1:9" s="1592" customFormat="1" ht="14.25" hidden="1" customHeight="1">
      <c r="A109" s="1586">
        <v>39184</v>
      </c>
      <c r="B109" s="1593">
        <v>183784.21395314398</v>
      </c>
      <c r="C109" s="1588">
        <v>8325.2714346789344</v>
      </c>
      <c r="D109" s="1588">
        <v>7351.3685581257596</v>
      </c>
      <c r="E109" s="1588">
        <v>973.90287655317479</v>
      </c>
      <c r="F109" s="1594">
        <v>4.5299165013168503</v>
      </c>
      <c r="G109" s="1590"/>
      <c r="H109" s="1555"/>
      <c r="I109" s="1591"/>
    </row>
    <row r="110" spans="1:9" s="1592" customFormat="1" ht="14.25" hidden="1" customHeight="1">
      <c r="A110" s="1586">
        <v>39198</v>
      </c>
      <c r="B110" s="1593">
        <v>183933.15060789618</v>
      </c>
      <c r="C110" s="1588">
        <v>7971.8589464998822</v>
      </c>
      <c r="D110" s="1588">
        <v>7357.3260243158475</v>
      </c>
      <c r="E110" s="1588">
        <v>614.53292218403476</v>
      </c>
      <c r="F110" s="1594">
        <v>4.3341066687288361</v>
      </c>
      <c r="G110" s="1590"/>
      <c r="H110" s="1555"/>
      <c r="I110" s="1591"/>
    </row>
    <row r="111" spans="1:9" s="1592" customFormat="1" ht="14.25" hidden="1" customHeight="1">
      <c r="A111" s="1586">
        <v>39212</v>
      </c>
      <c r="B111" s="1593">
        <v>183584.19710951409</v>
      </c>
      <c r="C111" s="1588">
        <v>8344.9238992592946</v>
      </c>
      <c r="D111" s="1588">
        <v>7343.3678843805637</v>
      </c>
      <c r="E111" s="1588">
        <v>1001.5560148787308</v>
      </c>
      <c r="F111" s="1594">
        <v>4.5455567693995302</v>
      </c>
      <c r="G111" s="1590"/>
      <c r="H111" s="1555"/>
      <c r="I111" s="1591"/>
    </row>
    <row r="112" spans="1:9" s="1592" customFormat="1" ht="14.25" hidden="1" customHeight="1">
      <c r="A112" s="1586">
        <v>39226</v>
      </c>
      <c r="B112" s="1593">
        <v>184639.3446117274</v>
      </c>
      <c r="C112" s="1588">
        <v>8296.1740094879442</v>
      </c>
      <c r="D112" s="1588">
        <v>7385.5737844690957</v>
      </c>
      <c r="E112" s="1588">
        <v>909.6002250188485</v>
      </c>
      <c r="F112" s="1594">
        <v>4.4931777823051329</v>
      </c>
      <c r="G112" s="1590"/>
      <c r="H112" s="1555"/>
      <c r="I112" s="1591"/>
    </row>
    <row r="113" spans="1:9" s="1592" customFormat="1" ht="14.25" hidden="1" customHeight="1">
      <c r="A113" s="1586">
        <v>39240</v>
      </c>
      <c r="B113" s="1593">
        <v>183888.09524092436</v>
      </c>
      <c r="C113" s="1588">
        <v>8470.4872320605191</v>
      </c>
      <c r="D113" s="1588">
        <v>7355.5238096369749</v>
      </c>
      <c r="E113" s="1588">
        <v>1113.9634224235442</v>
      </c>
      <c r="F113" s="1594">
        <v>4.6063271366005258</v>
      </c>
      <c r="G113" s="1590"/>
      <c r="H113" s="1555"/>
      <c r="I113" s="1591"/>
    </row>
    <row r="114" spans="1:9" s="1592" customFormat="1" ht="14.25" hidden="1" customHeight="1">
      <c r="A114" s="1586">
        <v>39254</v>
      </c>
      <c r="B114" s="1593">
        <v>186213.04903233086</v>
      </c>
      <c r="C114" s="1588">
        <v>8893.229922606226</v>
      </c>
      <c r="D114" s="1588">
        <v>7448.5219612932342</v>
      </c>
      <c r="E114" s="1588">
        <v>1443.7079613129918</v>
      </c>
      <c r="F114" s="1594">
        <v>4.7758360484512323</v>
      </c>
      <c r="G114" s="1590"/>
      <c r="H114" s="1555"/>
      <c r="I114" s="1591"/>
    </row>
    <row r="115" spans="1:9" s="1592" customFormat="1" ht="14.25" hidden="1" customHeight="1">
      <c r="A115" s="1586">
        <v>39268</v>
      </c>
      <c r="B115" s="1593">
        <v>185814.30506692821</v>
      </c>
      <c r="C115" s="1588">
        <v>8924.7716441645953</v>
      </c>
      <c r="D115" s="1588">
        <v>7432.5722026771282</v>
      </c>
      <c r="E115" s="1588">
        <v>1492.1994414874671</v>
      </c>
      <c r="F115" s="1594">
        <v>4.8030595066133328</v>
      </c>
      <c r="G115" s="1590"/>
      <c r="H115" s="1555"/>
      <c r="I115" s="1591"/>
    </row>
    <row r="116" spans="1:9" s="1592" customFormat="1" ht="14.25" hidden="1" customHeight="1">
      <c r="A116" s="1586">
        <v>39282</v>
      </c>
      <c r="B116" s="1593">
        <v>187405.27884961045</v>
      </c>
      <c r="C116" s="1588">
        <v>9425.3110291993708</v>
      </c>
      <c r="D116" s="1588">
        <v>7496.2111539844182</v>
      </c>
      <c r="E116" s="1588">
        <v>1929.0998752149526</v>
      </c>
      <c r="F116" s="1594">
        <v>5.0293732850305792</v>
      </c>
      <c r="G116" s="1590"/>
      <c r="H116" s="1555"/>
      <c r="I116" s="1591"/>
    </row>
    <row r="117" spans="1:9" s="1592" customFormat="1" ht="14.25" hidden="1" customHeight="1">
      <c r="A117" s="1586">
        <v>39296</v>
      </c>
      <c r="B117" s="1593">
        <v>186554.36715842265</v>
      </c>
      <c r="C117" s="1588">
        <v>9445.5938117446167</v>
      </c>
      <c r="D117" s="1588">
        <v>7462.1746863369062</v>
      </c>
      <c r="E117" s="1588">
        <v>1982.4191254077105</v>
      </c>
      <c r="F117" s="1594">
        <v>5.063185577276454</v>
      </c>
      <c r="G117" s="1590"/>
      <c r="H117" s="1555"/>
      <c r="I117" s="1591"/>
    </row>
    <row r="118" spans="1:9" s="1592" customFormat="1" ht="14.25" hidden="1" customHeight="1">
      <c r="A118" s="1586">
        <v>39310</v>
      </c>
      <c r="B118" s="1593">
        <v>187553.49595401279</v>
      </c>
      <c r="C118" s="1588">
        <v>8894.4741634151906</v>
      </c>
      <c r="D118" s="1588">
        <v>7502.1398381605113</v>
      </c>
      <c r="E118" s="1588">
        <v>1392.3343252546792</v>
      </c>
      <c r="F118" s="1594">
        <v>4.7423665009134632</v>
      </c>
      <c r="G118" s="1590"/>
      <c r="H118" s="1555"/>
      <c r="I118" s="1591"/>
    </row>
    <row r="119" spans="1:9" s="1592" customFormat="1" ht="14.25" hidden="1" customHeight="1">
      <c r="A119" s="1586">
        <v>39324</v>
      </c>
      <c r="B119" s="1593">
        <v>188868.01526178926</v>
      </c>
      <c r="C119" s="1588">
        <v>9128.9697003747751</v>
      </c>
      <c r="D119" s="1588">
        <v>7554.7206104715706</v>
      </c>
      <c r="E119" s="1588">
        <v>1574.2490899032045</v>
      </c>
      <c r="F119" s="1594">
        <v>4.8335180987215569</v>
      </c>
      <c r="G119" s="1590"/>
      <c r="H119" s="1555"/>
      <c r="I119" s="1591"/>
    </row>
    <row r="120" spans="1:9" s="1592" customFormat="1" ht="14.25" hidden="1" customHeight="1">
      <c r="A120" s="1586">
        <v>39338</v>
      </c>
      <c r="B120" s="1593">
        <v>189737.69689326899</v>
      </c>
      <c r="C120" s="1588">
        <v>8799.9877071608735</v>
      </c>
      <c r="D120" s="1588">
        <v>7589.5078757307601</v>
      </c>
      <c r="E120" s="1588">
        <v>1210.4798314301133</v>
      </c>
      <c r="F120" s="1594">
        <v>4.6379754003818396</v>
      </c>
      <c r="G120" s="1590"/>
      <c r="H120" s="1555"/>
      <c r="I120" s="1591"/>
    </row>
    <row r="121" spans="1:9" s="1592" customFormat="1" ht="14.25" hidden="1" customHeight="1">
      <c r="A121" s="1586">
        <v>39352</v>
      </c>
      <c r="B121" s="1593">
        <v>192194.07155918182</v>
      </c>
      <c r="C121" s="1588">
        <v>9633.6256414249146</v>
      </c>
      <c r="D121" s="1588">
        <v>7687.7628623672726</v>
      </c>
      <c r="E121" s="1588">
        <v>1945.862779057642</v>
      </c>
      <c r="F121" s="1594">
        <v>5.0124468269347515</v>
      </c>
      <c r="G121" s="1590"/>
      <c r="H121" s="1555"/>
      <c r="I121" s="1591"/>
    </row>
    <row r="122" spans="1:9" s="1592" customFormat="1" ht="14.25" hidden="1" customHeight="1">
      <c r="A122" s="1586">
        <v>39366</v>
      </c>
      <c r="B122" s="1593">
        <v>192798</v>
      </c>
      <c r="C122" s="1588">
        <v>10036</v>
      </c>
      <c r="D122" s="1588">
        <v>7712</v>
      </c>
      <c r="E122" s="1588">
        <v>2324</v>
      </c>
      <c r="F122" s="1594">
        <v>5.21</v>
      </c>
      <c r="G122" s="1590"/>
      <c r="H122" s="1555"/>
      <c r="I122" s="1591"/>
    </row>
    <row r="123" spans="1:9" s="1592" customFormat="1" ht="14.25" hidden="1" customHeight="1">
      <c r="A123" s="1586">
        <v>39380</v>
      </c>
      <c r="B123" s="1593">
        <v>193721</v>
      </c>
      <c r="C123" s="1588">
        <v>11155</v>
      </c>
      <c r="D123" s="1588">
        <v>7749</v>
      </c>
      <c r="E123" s="1588">
        <v>3406</v>
      </c>
      <c r="F123" s="1594">
        <v>5.76</v>
      </c>
      <c r="G123" s="1590"/>
      <c r="H123" s="1555"/>
      <c r="I123" s="1591"/>
    </row>
    <row r="124" spans="1:9" s="1592" customFormat="1" ht="14.25" hidden="1" customHeight="1">
      <c r="A124" s="1586">
        <v>39394</v>
      </c>
      <c r="B124" s="1593">
        <v>194592.3</v>
      </c>
      <c r="C124" s="1588">
        <v>11111.2</v>
      </c>
      <c r="D124" s="1588">
        <v>7783.7</v>
      </c>
      <c r="E124" s="1588">
        <v>3327</v>
      </c>
      <c r="F124" s="1594">
        <v>5.71</v>
      </c>
      <c r="G124" s="1590"/>
      <c r="H124" s="1555"/>
      <c r="I124" s="1591"/>
    </row>
    <row r="125" spans="1:9" s="1592" customFormat="1" ht="14.25" hidden="1" customHeight="1">
      <c r="A125" s="1586">
        <v>39408</v>
      </c>
      <c r="B125" s="1593">
        <v>198335.7</v>
      </c>
      <c r="C125" s="1588">
        <v>10728.6</v>
      </c>
      <c r="D125" s="1588">
        <v>7934</v>
      </c>
      <c r="E125" s="1588">
        <v>2795.1</v>
      </c>
      <c r="F125" s="1594">
        <v>5.41</v>
      </c>
      <c r="G125" s="1590"/>
      <c r="H125" s="1555"/>
      <c r="I125" s="1591"/>
    </row>
    <row r="126" spans="1:9" s="1592" customFormat="1" ht="14.25" hidden="1" customHeight="1">
      <c r="A126" s="1586">
        <v>39422</v>
      </c>
      <c r="B126" s="1593">
        <v>200755</v>
      </c>
      <c r="C126" s="1588">
        <v>9535</v>
      </c>
      <c r="D126" s="1588">
        <v>8030</v>
      </c>
      <c r="E126" s="1588">
        <v>1505</v>
      </c>
      <c r="F126" s="1594">
        <v>4.75</v>
      </c>
      <c r="G126" s="1590"/>
      <c r="H126" s="1555"/>
      <c r="I126" s="1591"/>
    </row>
    <row r="127" spans="1:9" s="1592" customFormat="1" ht="14.25" hidden="1" customHeight="1" thickTop="1">
      <c r="A127" s="1586">
        <v>39436</v>
      </c>
      <c r="B127" s="1593">
        <v>203041</v>
      </c>
      <c r="C127" s="1588">
        <v>10964</v>
      </c>
      <c r="D127" s="1588">
        <v>8122</v>
      </c>
      <c r="E127" s="1588">
        <v>2842</v>
      </c>
      <c r="F127" s="1594">
        <v>5.4</v>
      </c>
      <c r="G127" s="1590"/>
      <c r="H127" s="1555"/>
      <c r="I127" s="1591"/>
    </row>
    <row r="128" spans="1:9" s="1592" customFormat="1" ht="14.25" hidden="1" customHeight="1">
      <c r="A128" s="1596">
        <v>39450</v>
      </c>
      <c r="B128" s="1593">
        <v>208638</v>
      </c>
      <c r="C128" s="1588">
        <v>10268</v>
      </c>
      <c r="D128" s="1588">
        <v>8345</v>
      </c>
      <c r="E128" s="1588">
        <v>1923</v>
      </c>
      <c r="F128" s="1594">
        <v>4.92</v>
      </c>
      <c r="G128" s="1590"/>
      <c r="H128" s="1555"/>
      <c r="I128" s="1591"/>
    </row>
    <row r="129" spans="1:9" s="1592" customFormat="1" ht="14.25" hidden="1" customHeight="1">
      <c r="A129" s="1596">
        <v>39464</v>
      </c>
      <c r="B129" s="1593">
        <v>210356</v>
      </c>
      <c r="C129" s="1588">
        <v>11245</v>
      </c>
      <c r="D129" s="1588">
        <v>8414</v>
      </c>
      <c r="E129" s="1588">
        <v>2831</v>
      </c>
      <c r="F129" s="1594">
        <v>5.35</v>
      </c>
      <c r="G129" s="1590"/>
      <c r="H129" s="1555"/>
      <c r="I129" s="1591"/>
    </row>
    <row r="130" spans="1:9" s="1592" customFormat="1" ht="14.25" hidden="1" customHeight="1">
      <c r="A130" s="1596">
        <v>39478</v>
      </c>
      <c r="B130" s="1593">
        <v>210771</v>
      </c>
      <c r="C130" s="1588">
        <v>11357</v>
      </c>
      <c r="D130" s="1588">
        <v>8431</v>
      </c>
      <c r="E130" s="1588">
        <v>2926</v>
      </c>
      <c r="F130" s="1594">
        <v>5.39</v>
      </c>
      <c r="G130" s="1590"/>
      <c r="H130" s="1555"/>
      <c r="I130" s="1591"/>
    </row>
    <row r="131" spans="1:9" s="1592" customFormat="1" ht="14.25" hidden="1" customHeight="1">
      <c r="A131" s="1596">
        <v>39492</v>
      </c>
      <c r="B131" s="1593">
        <v>211310</v>
      </c>
      <c r="C131" s="1588">
        <v>10221</v>
      </c>
      <c r="D131" s="1588">
        <v>8452</v>
      </c>
      <c r="E131" s="1588">
        <v>1769</v>
      </c>
      <c r="F131" s="1594">
        <v>4.84</v>
      </c>
      <c r="G131" s="1590"/>
      <c r="H131" s="1555"/>
      <c r="I131" s="1591"/>
    </row>
    <row r="132" spans="1:9" s="1592" customFormat="1" ht="14.25" hidden="1" customHeight="1">
      <c r="A132" s="1596">
        <v>39506</v>
      </c>
      <c r="B132" s="1593">
        <v>211420</v>
      </c>
      <c r="C132" s="1588">
        <v>10683</v>
      </c>
      <c r="D132" s="1588">
        <v>8457</v>
      </c>
      <c r="E132" s="1588">
        <v>2226</v>
      </c>
      <c r="F132" s="1594">
        <v>5.05</v>
      </c>
      <c r="G132" s="1590"/>
      <c r="H132" s="1555"/>
      <c r="I132" s="1591"/>
    </row>
    <row r="133" spans="1:9" s="1592" customFormat="1" ht="14.25" hidden="1" customHeight="1">
      <c r="A133" s="1596">
        <v>39520</v>
      </c>
      <c r="B133" s="1593">
        <v>213067</v>
      </c>
      <c r="C133" s="1588">
        <v>9448.9</v>
      </c>
      <c r="D133" s="1588">
        <v>8522.7000000000007</v>
      </c>
      <c r="E133" s="1588">
        <v>926.2</v>
      </c>
      <c r="F133" s="1594">
        <v>4.43</v>
      </c>
      <c r="G133" s="1590"/>
      <c r="H133" s="1555"/>
      <c r="I133" s="1591"/>
    </row>
    <row r="134" spans="1:9" s="1592" customFormat="1" ht="14.25" hidden="1" customHeight="1">
      <c r="A134" s="1596">
        <v>39534</v>
      </c>
      <c r="B134" s="1593">
        <v>215975</v>
      </c>
      <c r="C134" s="1588">
        <v>11184</v>
      </c>
      <c r="D134" s="1588">
        <v>8639</v>
      </c>
      <c r="E134" s="1588">
        <v>2545</v>
      </c>
      <c r="F134" s="1594">
        <v>5.18</v>
      </c>
      <c r="G134" s="1590"/>
      <c r="H134" s="1555"/>
      <c r="I134" s="1591"/>
    </row>
    <row r="135" spans="1:9" s="1592" customFormat="1" ht="14.25" hidden="1" customHeight="1">
      <c r="A135" s="1596">
        <v>39548</v>
      </c>
      <c r="B135" s="1593">
        <v>213909</v>
      </c>
      <c r="C135" s="1588">
        <v>10320</v>
      </c>
      <c r="D135" s="1588">
        <v>8556</v>
      </c>
      <c r="E135" s="1588">
        <v>1764</v>
      </c>
      <c r="F135" s="1594">
        <v>4.82</v>
      </c>
      <c r="G135" s="1590"/>
      <c r="H135" s="1555"/>
      <c r="I135" s="1591"/>
    </row>
    <row r="136" spans="1:9" s="1592" customFormat="1" ht="14.25" hidden="1" customHeight="1">
      <c r="A136" s="1596">
        <v>39562</v>
      </c>
      <c r="B136" s="1593">
        <v>213244</v>
      </c>
      <c r="C136" s="1588">
        <v>10618</v>
      </c>
      <c r="D136" s="1588">
        <v>8530</v>
      </c>
      <c r="E136" s="1588">
        <v>2088</v>
      </c>
      <c r="F136" s="1594">
        <v>4.9800000000000004</v>
      </c>
      <c r="G136" s="1590"/>
      <c r="H136" s="1555"/>
      <c r="I136" s="1591"/>
    </row>
    <row r="137" spans="1:9" s="1592" customFormat="1" ht="14.25" hidden="1" customHeight="1">
      <c r="A137" s="1596">
        <v>39576</v>
      </c>
      <c r="B137" s="1593">
        <v>214288</v>
      </c>
      <c r="C137" s="1588">
        <v>9848</v>
      </c>
      <c r="D137" s="1588">
        <v>8572</v>
      </c>
      <c r="E137" s="1588">
        <v>1276</v>
      </c>
      <c r="F137" s="1594">
        <v>4.5999999999999996</v>
      </c>
      <c r="G137" s="1590"/>
      <c r="H137" s="1555"/>
      <c r="I137" s="1591"/>
    </row>
    <row r="138" spans="1:9" s="1592" customFormat="1" ht="14.25" hidden="1" customHeight="1">
      <c r="A138" s="1596">
        <v>39590</v>
      </c>
      <c r="B138" s="1593">
        <v>214734</v>
      </c>
      <c r="C138" s="1588">
        <v>10195</v>
      </c>
      <c r="D138" s="1588">
        <v>8589</v>
      </c>
      <c r="E138" s="1588">
        <v>1606</v>
      </c>
      <c r="F138" s="1594">
        <v>4.75</v>
      </c>
      <c r="G138" s="1590"/>
      <c r="H138" s="1555"/>
      <c r="I138" s="1591"/>
    </row>
    <row r="139" spans="1:9" s="1592" customFormat="1" ht="14.25" hidden="1" customHeight="1">
      <c r="A139" s="1596">
        <v>39604</v>
      </c>
      <c r="B139" s="1593">
        <v>217284</v>
      </c>
      <c r="C139" s="1588">
        <v>10025</v>
      </c>
      <c r="D139" s="1588">
        <v>8691</v>
      </c>
      <c r="E139" s="1588">
        <v>1334</v>
      </c>
      <c r="F139" s="1594">
        <v>4.6100000000000003</v>
      </c>
      <c r="G139" s="1590"/>
      <c r="H139" s="1555"/>
      <c r="I139" s="1591"/>
    </row>
    <row r="140" spans="1:9" s="1592" customFormat="1" ht="14.25" hidden="1" customHeight="1">
      <c r="A140" s="1596">
        <v>39618</v>
      </c>
      <c r="B140" s="1593">
        <v>220286</v>
      </c>
      <c r="C140" s="1588">
        <v>10956</v>
      </c>
      <c r="D140" s="1588">
        <v>8811</v>
      </c>
      <c r="E140" s="1588">
        <v>2145</v>
      </c>
      <c r="F140" s="1594">
        <v>4.97</v>
      </c>
      <c r="G140" s="1590"/>
      <c r="H140" s="1555"/>
      <c r="I140" s="1591"/>
    </row>
    <row r="141" spans="1:9" s="1592" customFormat="1" ht="14.25" hidden="1" customHeight="1">
      <c r="A141" s="1596">
        <v>39632</v>
      </c>
      <c r="B141" s="1593">
        <v>220018</v>
      </c>
      <c r="C141" s="1588">
        <v>10966</v>
      </c>
      <c r="D141" s="1588">
        <v>8801</v>
      </c>
      <c r="E141" s="1588">
        <v>2165</v>
      </c>
      <c r="F141" s="1594">
        <v>4.9800000000000004</v>
      </c>
      <c r="G141" s="1590"/>
      <c r="H141" s="1555"/>
      <c r="I141" s="1591"/>
    </row>
    <row r="142" spans="1:9" s="1592" customFormat="1" ht="14.25" hidden="1" customHeight="1">
      <c r="A142" s="1596">
        <v>39646</v>
      </c>
      <c r="B142" s="1593">
        <v>222013</v>
      </c>
      <c r="C142" s="1588">
        <v>11724</v>
      </c>
      <c r="D142" s="1588">
        <v>8881</v>
      </c>
      <c r="E142" s="1588">
        <v>2843</v>
      </c>
      <c r="F142" s="1594">
        <v>5.28</v>
      </c>
      <c r="G142" s="1590"/>
      <c r="H142" s="1555"/>
      <c r="I142" s="1591"/>
    </row>
    <row r="143" spans="1:9" s="1592" customFormat="1" ht="14.25" hidden="1" customHeight="1">
      <c r="A143" s="1596">
        <v>39660</v>
      </c>
      <c r="B143" s="1593">
        <v>225500</v>
      </c>
      <c r="C143" s="1588">
        <v>11021</v>
      </c>
      <c r="D143" s="1588">
        <v>9020</v>
      </c>
      <c r="E143" s="1588">
        <v>2001</v>
      </c>
      <c r="F143" s="1594">
        <v>4.8899999999999997</v>
      </c>
      <c r="G143" s="1590"/>
      <c r="H143" s="1555"/>
      <c r="I143" s="1591"/>
    </row>
    <row r="144" spans="1:9" s="1592" customFormat="1" ht="14.25" hidden="1" customHeight="1">
      <c r="A144" s="1597" t="s">
        <v>3069</v>
      </c>
      <c r="B144" s="1593">
        <v>227806</v>
      </c>
      <c r="C144" s="1588">
        <v>11532</v>
      </c>
      <c r="D144" s="1588">
        <v>9112</v>
      </c>
      <c r="E144" s="1588">
        <v>2420</v>
      </c>
      <c r="F144" s="1594">
        <v>5.0599999999999996</v>
      </c>
      <c r="G144" s="1590"/>
      <c r="H144" s="1555"/>
      <c r="I144" s="1591"/>
    </row>
    <row r="145" spans="1:9" ht="19.5" hidden="1" thickTop="1">
      <c r="A145" s="1597" t="s">
        <v>3070</v>
      </c>
      <c r="B145" s="1593">
        <v>226337</v>
      </c>
      <c r="C145" s="1588">
        <v>14936</v>
      </c>
      <c r="D145" s="1588">
        <v>13580</v>
      </c>
      <c r="E145" s="1588">
        <v>1356</v>
      </c>
      <c r="F145" s="1594">
        <v>6.6</v>
      </c>
      <c r="I145" s="1531"/>
    </row>
    <row r="146" spans="1:9" ht="16.5" hidden="1" thickTop="1">
      <c r="A146" s="1596">
        <v>39702</v>
      </c>
      <c r="B146" s="1593">
        <v>227229</v>
      </c>
      <c r="C146" s="1588">
        <v>14033</v>
      </c>
      <c r="D146" s="1588">
        <v>13634</v>
      </c>
      <c r="E146" s="1588">
        <v>399</v>
      </c>
      <c r="F146" s="1594">
        <v>6.18</v>
      </c>
      <c r="I146" s="1531"/>
    </row>
    <row r="147" spans="1:9" ht="16.5" hidden="1" thickTop="1">
      <c r="A147" s="1596">
        <v>39716</v>
      </c>
      <c r="B147" s="1593">
        <v>228419</v>
      </c>
      <c r="C147" s="1588">
        <v>14515</v>
      </c>
      <c r="D147" s="1588">
        <v>13705</v>
      </c>
      <c r="E147" s="1588">
        <v>810</v>
      </c>
      <c r="F147" s="1594">
        <v>6.35</v>
      </c>
      <c r="I147" s="1531"/>
    </row>
    <row r="148" spans="1:9" ht="16.5" hidden="1" thickTop="1">
      <c r="A148" s="1596">
        <v>39730</v>
      </c>
      <c r="B148" s="1593">
        <v>229588</v>
      </c>
      <c r="C148" s="1588">
        <v>15199.1</v>
      </c>
      <c r="D148" s="1588">
        <v>13775</v>
      </c>
      <c r="E148" s="1588">
        <v>1423.9</v>
      </c>
      <c r="F148" s="1594">
        <v>6.62</v>
      </c>
      <c r="I148" s="1531"/>
    </row>
    <row r="149" spans="1:9" ht="16.5" hidden="1" thickTop="1">
      <c r="A149" s="1596">
        <v>39744</v>
      </c>
      <c r="B149" s="1593">
        <v>230830</v>
      </c>
      <c r="C149" s="1588">
        <v>16362</v>
      </c>
      <c r="D149" s="1588">
        <v>13850</v>
      </c>
      <c r="E149" s="1588">
        <v>2512</v>
      </c>
      <c r="F149" s="1594">
        <v>7.09</v>
      </c>
      <c r="I149" s="1531"/>
    </row>
    <row r="150" spans="1:9" ht="16.5" hidden="1" thickTop="1">
      <c r="A150" s="1597" t="s">
        <v>3071</v>
      </c>
      <c r="B150" s="1593">
        <v>230371</v>
      </c>
      <c r="C150" s="1588">
        <v>14668</v>
      </c>
      <c r="D150" s="1588">
        <v>13822</v>
      </c>
      <c r="E150" s="1588">
        <v>846</v>
      </c>
      <c r="F150" s="1594">
        <v>6.37</v>
      </c>
      <c r="I150" s="1531"/>
    </row>
    <row r="151" spans="1:9" ht="19.5" hidden="1" thickTop="1">
      <c r="A151" s="1597" t="s">
        <v>3072</v>
      </c>
      <c r="B151" s="1593">
        <v>232852</v>
      </c>
      <c r="C151" s="1588">
        <v>13146</v>
      </c>
      <c r="D151" s="1588">
        <v>11643</v>
      </c>
      <c r="E151" s="1588">
        <v>1503</v>
      </c>
      <c r="F151" s="1594">
        <v>5.65</v>
      </c>
    </row>
    <row r="152" spans="1:9" ht="16.5" hidden="1" thickTop="1">
      <c r="A152" s="1596">
        <v>39786</v>
      </c>
      <c r="B152" s="1593">
        <v>233352</v>
      </c>
      <c r="C152" s="1588">
        <v>12522</v>
      </c>
      <c r="D152" s="1588">
        <v>11668</v>
      </c>
      <c r="E152" s="1588">
        <v>854</v>
      </c>
      <c r="F152" s="1594">
        <v>5.37</v>
      </c>
    </row>
    <row r="153" spans="1:9" ht="16.5" hidden="1" thickTop="1">
      <c r="A153" s="1597" t="s">
        <v>3073</v>
      </c>
      <c r="B153" s="1593">
        <v>236070</v>
      </c>
      <c r="C153" s="1588">
        <v>13781</v>
      </c>
      <c r="D153" s="1588">
        <v>11804</v>
      </c>
      <c r="E153" s="1588">
        <v>1977</v>
      </c>
      <c r="F153" s="1594">
        <v>5.84</v>
      </c>
    </row>
    <row r="154" spans="1:9" ht="19.5" hidden="1" thickTop="1">
      <c r="A154" s="1597" t="s">
        <v>3074</v>
      </c>
      <c r="B154" s="1593">
        <v>238077</v>
      </c>
      <c r="C154" s="1588">
        <v>13045.2</v>
      </c>
      <c r="D154" s="1588">
        <v>10713.7</v>
      </c>
      <c r="E154" s="1588">
        <v>2331.4</v>
      </c>
      <c r="F154" s="1594">
        <v>5.48</v>
      </c>
    </row>
    <row r="155" spans="1:9" ht="16.5" hidden="1" thickTop="1">
      <c r="A155" s="1596">
        <v>39828</v>
      </c>
      <c r="B155" s="1593">
        <v>243515</v>
      </c>
      <c r="C155" s="1588">
        <v>14479</v>
      </c>
      <c r="D155" s="1588">
        <v>10958</v>
      </c>
      <c r="E155" s="1588">
        <v>3521</v>
      </c>
      <c r="F155" s="1594">
        <v>5.95</v>
      </c>
    </row>
    <row r="156" spans="1:9" ht="16.5" hidden="1" thickTop="1">
      <c r="A156" s="1596">
        <v>39842</v>
      </c>
      <c r="B156" s="1593">
        <v>242838</v>
      </c>
      <c r="C156" s="1588">
        <v>14710</v>
      </c>
      <c r="D156" s="1588">
        <v>10928</v>
      </c>
      <c r="E156" s="1588">
        <v>3782</v>
      </c>
      <c r="F156" s="1594">
        <v>6.06</v>
      </c>
    </row>
    <row r="157" spans="1:9" ht="16.5" hidden="1" thickTop="1">
      <c r="A157" s="1596">
        <v>39856</v>
      </c>
      <c r="B157" s="1593">
        <v>242719</v>
      </c>
      <c r="C157" s="1588">
        <v>13556</v>
      </c>
      <c r="D157" s="1588">
        <v>10922</v>
      </c>
      <c r="E157" s="1588">
        <v>2634</v>
      </c>
      <c r="F157" s="1594">
        <v>5.59</v>
      </c>
    </row>
    <row r="158" spans="1:9" ht="16.5" hidden="1" thickTop="1">
      <c r="A158" s="1596">
        <v>39870</v>
      </c>
      <c r="B158" s="1593">
        <v>244289</v>
      </c>
      <c r="C158" s="1588">
        <v>13427</v>
      </c>
      <c r="D158" s="1588">
        <v>10993</v>
      </c>
      <c r="E158" s="1588">
        <v>2434</v>
      </c>
      <c r="F158" s="1594">
        <v>5.5</v>
      </c>
    </row>
    <row r="159" spans="1:9" ht="16.5" hidden="1" thickTop="1">
      <c r="A159" s="1596">
        <v>39884</v>
      </c>
      <c r="B159" s="1593">
        <v>245313</v>
      </c>
      <c r="C159" s="1588">
        <v>12869</v>
      </c>
      <c r="D159" s="1588">
        <v>11039</v>
      </c>
      <c r="E159" s="1588">
        <v>1829.7</v>
      </c>
      <c r="F159" s="1594">
        <v>5.25</v>
      </c>
    </row>
    <row r="160" spans="1:9" ht="16.5" hidden="1" thickTop="1">
      <c r="A160" s="1596">
        <v>39898</v>
      </c>
      <c r="B160" s="1593">
        <v>248637</v>
      </c>
      <c r="C160" s="1588">
        <v>13626</v>
      </c>
      <c r="D160" s="1588">
        <v>11189</v>
      </c>
      <c r="E160" s="1588">
        <v>2437</v>
      </c>
      <c r="F160" s="1594">
        <v>5.48</v>
      </c>
    </row>
    <row r="161" spans="1:6" ht="16.5" hidden="1" thickTop="1">
      <c r="A161" s="1596">
        <v>39912</v>
      </c>
      <c r="B161" s="1593">
        <v>249016</v>
      </c>
      <c r="C161" s="1588">
        <v>13101</v>
      </c>
      <c r="D161" s="1588">
        <v>11206</v>
      </c>
      <c r="E161" s="1588">
        <v>1895</v>
      </c>
      <c r="F161" s="1594">
        <v>5.26</v>
      </c>
    </row>
    <row r="162" spans="1:6" ht="16.5" hidden="1" thickTop="1">
      <c r="A162" s="1596">
        <v>39926</v>
      </c>
      <c r="B162" s="1593">
        <v>250123</v>
      </c>
      <c r="C162" s="1588">
        <v>13271</v>
      </c>
      <c r="D162" s="1588">
        <v>11255</v>
      </c>
      <c r="E162" s="1588">
        <v>2016</v>
      </c>
      <c r="F162" s="1594">
        <v>5.31</v>
      </c>
    </row>
    <row r="163" spans="1:6" ht="16.5" hidden="1" thickTop="1">
      <c r="A163" s="1596">
        <v>39940</v>
      </c>
      <c r="B163" s="1593">
        <v>250490</v>
      </c>
      <c r="C163" s="1588">
        <v>12173</v>
      </c>
      <c r="D163" s="1588">
        <v>11272</v>
      </c>
      <c r="E163" s="1588">
        <v>901</v>
      </c>
      <c r="F163" s="1594">
        <v>4.8600000000000003</v>
      </c>
    </row>
    <row r="164" spans="1:6" ht="16.5" hidden="1" thickTop="1">
      <c r="A164" s="1596">
        <v>39954</v>
      </c>
      <c r="B164" s="1593">
        <v>249804</v>
      </c>
      <c r="C164" s="1588">
        <v>12739</v>
      </c>
      <c r="D164" s="1588">
        <v>11241</v>
      </c>
      <c r="E164" s="1588">
        <v>1498</v>
      </c>
      <c r="F164" s="1594">
        <v>5.0999999999999996</v>
      </c>
    </row>
    <row r="165" spans="1:6" ht="16.5" hidden="1" thickTop="1">
      <c r="A165" s="1596">
        <v>39968</v>
      </c>
      <c r="B165" s="1593">
        <v>252211</v>
      </c>
      <c r="C165" s="1588">
        <v>12296</v>
      </c>
      <c r="D165" s="1588">
        <v>11350</v>
      </c>
      <c r="E165" s="1588">
        <v>946</v>
      </c>
      <c r="F165" s="1594">
        <v>4.88</v>
      </c>
    </row>
    <row r="166" spans="1:6" ht="16.5" hidden="1" thickTop="1">
      <c r="A166" s="1596">
        <v>39982</v>
      </c>
      <c r="B166" s="1593">
        <v>253062</v>
      </c>
      <c r="C166" s="1588">
        <v>16909</v>
      </c>
      <c r="D166" s="1588">
        <v>11388</v>
      </c>
      <c r="E166" s="1588">
        <v>5521</v>
      </c>
      <c r="F166" s="1594">
        <v>6.68</v>
      </c>
    </row>
    <row r="167" spans="1:6" ht="16.5" hidden="1" thickTop="1">
      <c r="A167" s="1596">
        <v>39996</v>
      </c>
      <c r="B167" s="1593">
        <v>256812.6</v>
      </c>
      <c r="C167" s="1588">
        <v>14772.5</v>
      </c>
      <c r="D167" s="1588">
        <v>11556.6</v>
      </c>
      <c r="E167" s="1588">
        <v>3216</v>
      </c>
      <c r="F167" s="1594">
        <v>5.75</v>
      </c>
    </row>
    <row r="168" spans="1:6" ht="16.5" hidden="1" thickTop="1">
      <c r="A168" s="1596">
        <v>40010</v>
      </c>
      <c r="B168" s="1593">
        <v>261743.3</v>
      </c>
      <c r="C168" s="1588">
        <v>14100.9</v>
      </c>
      <c r="D168" s="1588">
        <v>11778.4</v>
      </c>
      <c r="E168" s="1588">
        <v>2322.5</v>
      </c>
      <c r="F168" s="1594">
        <v>5.39</v>
      </c>
    </row>
    <row r="169" spans="1:6" ht="16.5" hidden="1" thickTop="1">
      <c r="A169" s="1596">
        <v>40024</v>
      </c>
      <c r="B169" s="1593">
        <v>260676</v>
      </c>
      <c r="C169" s="1588">
        <v>13972</v>
      </c>
      <c r="D169" s="1588">
        <v>11730</v>
      </c>
      <c r="E169" s="1588">
        <v>2242</v>
      </c>
      <c r="F169" s="1594">
        <v>5.36</v>
      </c>
    </row>
    <row r="170" spans="1:6" ht="16.5" hidden="1" thickTop="1">
      <c r="A170" s="1596">
        <v>40038</v>
      </c>
      <c r="B170" s="1593">
        <v>260252</v>
      </c>
      <c r="C170" s="1588">
        <v>12778</v>
      </c>
      <c r="D170" s="1588">
        <v>11711</v>
      </c>
      <c r="E170" s="1588">
        <v>1067</v>
      </c>
      <c r="F170" s="1594">
        <v>4.91</v>
      </c>
    </row>
    <row r="171" spans="1:6" ht="16.5" hidden="1" thickTop="1">
      <c r="A171" s="1596">
        <v>40052</v>
      </c>
      <c r="B171" s="1593">
        <v>258676</v>
      </c>
      <c r="C171" s="1588">
        <v>13255</v>
      </c>
      <c r="D171" s="1588">
        <v>11640</v>
      </c>
      <c r="E171" s="1588">
        <v>1615</v>
      </c>
      <c r="F171" s="1594">
        <v>5.12</v>
      </c>
    </row>
    <row r="172" spans="1:6" ht="16.5" hidden="1" thickTop="1">
      <c r="A172" s="1596">
        <v>40066</v>
      </c>
      <c r="B172" s="1593">
        <v>256295</v>
      </c>
      <c r="C172" s="1588">
        <v>12827</v>
      </c>
      <c r="D172" s="1588">
        <v>11533</v>
      </c>
      <c r="E172" s="1588">
        <v>1294</v>
      </c>
      <c r="F172" s="1594">
        <v>5.01</v>
      </c>
    </row>
    <row r="173" spans="1:6" ht="16.5" hidden="1" thickTop="1">
      <c r="A173" s="1596">
        <v>40080</v>
      </c>
      <c r="B173" s="1593">
        <v>255445</v>
      </c>
      <c r="C173" s="1588">
        <v>13810</v>
      </c>
      <c r="D173" s="1588">
        <v>11495</v>
      </c>
      <c r="E173" s="1588">
        <v>2315</v>
      </c>
      <c r="F173" s="1594">
        <v>5.41</v>
      </c>
    </row>
    <row r="174" spans="1:6" ht="16.5" hidden="1" thickTop="1">
      <c r="A174" s="1596">
        <v>40094</v>
      </c>
      <c r="B174" s="1593">
        <v>253997</v>
      </c>
      <c r="C174" s="1588">
        <v>12834</v>
      </c>
      <c r="D174" s="1588">
        <v>11430</v>
      </c>
      <c r="E174" s="1588">
        <v>1404</v>
      </c>
      <c r="F174" s="1594">
        <v>5.05</v>
      </c>
    </row>
    <row r="175" spans="1:6" ht="16.5" hidden="1" thickTop="1">
      <c r="A175" s="1596">
        <v>40108</v>
      </c>
      <c r="B175" s="1593">
        <v>253658</v>
      </c>
      <c r="C175" s="1588">
        <v>12912</v>
      </c>
      <c r="D175" s="1588">
        <v>11415</v>
      </c>
      <c r="E175" s="1588">
        <v>1497</v>
      </c>
      <c r="F175" s="1594">
        <v>5.09</v>
      </c>
    </row>
    <row r="176" spans="1:6" ht="16.5" hidden="1" thickTop="1">
      <c r="A176" s="1596">
        <v>40122</v>
      </c>
      <c r="B176" s="1593">
        <v>254063</v>
      </c>
      <c r="C176" s="1588">
        <v>12448</v>
      </c>
      <c r="D176" s="1588">
        <v>11433</v>
      </c>
      <c r="E176" s="1588">
        <v>1015</v>
      </c>
      <c r="F176" s="1594">
        <v>4.9000000000000004</v>
      </c>
    </row>
    <row r="177" spans="1:6" ht="16.5" hidden="1" thickTop="1">
      <c r="A177" s="1596">
        <v>40136</v>
      </c>
      <c r="B177" s="1593">
        <v>254313</v>
      </c>
      <c r="C177" s="1588">
        <v>13075</v>
      </c>
      <c r="D177" s="1588">
        <v>11444</v>
      </c>
      <c r="E177" s="1588">
        <v>1631</v>
      </c>
      <c r="F177" s="1594">
        <v>5.14</v>
      </c>
    </row>
    <row r="178" spans="1:6" ht="16.5" hidden="1" thickTop="1">
      <c r="A178" s="1596">
        <v>40150</v>
      </c>
      <c r="B178" s="1593">
        <v>253774</v>
      </c>
      <c r="C178" s="1588">
        <v>12711</v>
      </c>
      <c r="D178" s="1588">
        <v>11420</v>
      </c>
      <c r="E178" s="1588">
        <v>1291</v>
      </c>
      <c r="F178" s="1594">
        <v>5.01</v>
      </c>
    </row>
    <row r="179" spans="1:6" ht="16.5" hidden="1" thickTop="1">
      <c r="A179" s="1596">
        <v>40164</v>
      </c>
      <c r="B179" s="1593">
        <v>256159</v>
      </c>
      <c r="C179" s="1588">
        <v>13206</v>
      </c>
      <c r="D179" s="1588">
        <v>11527</v>
      </c>
      <c r="E179" s="1588">
        <v>1679</v>
      </c>
      <c r="F179" s="1594">
        <v>5.16</v>
      </c>
    </row>
    <row r="180" spans="1:6" ht="16.5" hidden="1" thickTop="1">
      <c r="A180" s="1596">
        <v>40178</v>
      </c>
      <c r="B180" s="1593">
        <v>259197</v>
      </c>
      <c r="C180" s="1588">
        <v>13223</v>
      </c>
      <c r="D180" s="1588">
        <v>11664</v>
      </c>
      <c r="E180" s="1588">
        <v>1559</v>
      </c>
      <c r="F180" s="1594">
        <v>5.0999999999999996</v>
      </c>
    </row>
    <row r="181" spans="1:6" ht="18.95" hidden="1" customHeight="1">
      <c r="A181" s="1598">
        <v>40192</v>
      </c>
      <c r="B181" s="1593">
        <v>263116</v>
      </c>
      <c r="C181" s="1588">
        <v>15672</v>
      </c>
      <c r="D181" s="1588">
        <v>11840</v>
      </c>
      <c r="E181" s="1588">
        <v>3832</v>
      </c>
      <c r="F181" s="1594">
        <v>5.96</v>
      </c>
    </row>
    <row r="182" spans="1:6" ht="18.95" hidden="1" customHeight="1">
      <c r="A182" s="1598">
        <v>40206</v>
      </c>
      <c r="B182" s="1593">
        <v>266268</v>
      </c>
      <c r="C182" s="1588">
        <v>14976</v>
      </c>
      <c r="D182" s="1588">
        <v>11982</v>
      </c>
      <c r="E182" s="1588">
        <v>2994</v>
      </c>
      <c r="F182" s="1594">
        <v>5.62</v>
      </c>
    </row>
    <row r="183" spans="1:6" ht="18.95" hidden="1" customHeight="1">
      <c r="A183" s="1598">
        <v>40220</v>
      </c>
      <c r="B183" s="1593">
        <v>262935</v>
      </c>
      <c r="C183" s="1588">
        <v>13361</v>
      </c>
      <c r="D183" s="1588">
        <v>11832</v>
      </c>
      <c r="E183" s="1588">
        <v>1529</v>
      </c>
      <c r="F183" s="1594">
        <v>5.08</v>
      </c>
    </row>
    <row r="184" spans="1:6" ht="18.95" hidden="1" customHeight="1">
      <c r="A184" s="1598" t="s">
        <v>3075</v>
      </c>
      <c r="B184" s="1593">
        <v>261810</v>
      </c>
      <c r="C184" s="1588">
        <v>14158</v>
      </c>
      <c r="D184" s="1588">
        <v>11781</v>
      </c>
      <c r="E184" s="1588">
        <v>2377</v>
      </c>
      <c r="F184" s="1594">
        <v>5.41</v>
      </c>
    </row>
    <row r="185" spans="1:6" ht="18.95" hidden="1" customHeight="1">
      <c r="A185" s="1598">
        <v>40248</v>
      </c>
      <c r="B185" s="1593">
        <v>263041</v>
      </c>
      <c r="C185" s="1588">
        <v>15396</v>
      </c>
      <c r="D185" s="1588">
        <v>11837</v>
      </c>
      <c r="E185" s="1588">
        <v>3559</v>
      </c>
      <c r="F185" s="1594">
        <v>5.85</v>
      </c>
    </row>
    <row r="186" spans="1:6" ht="18.95" hidden="1" customHeight="1">
      <c r="A186" s="1598">
        <v>40262</v>
      </c>
      <c r="B186" s="1593">
        <v>266778</v>
      </c>
      <c r="C186" s="1588">
        <v>17050</v>
      </c>
      <c r="D186" s="1588">
        <v>12005</v>
      </c>
      <c r="E186" s="1588">
        <v>5045</v>
      </c>
      <c r="F186" s="1594">
        <v>6.39</v>
      </c>
    </row>
    <row r="187" spans="1:6" ht="18.95" hidden="1" customHeight="1">
      <c r="A187" s="1598">
        <v>40276</v>
      </c>
      <c r="B187" s="1593">
        <v>268115</v>
      </c>
      <c r="C187" s="1588">
        <v>15262</v>
      </c>
      <c r="D187" s="1588">
        <v>12065</v>
      </c>
      <c r="E187" s="1588">
        <v>3497</v>
      </c>
      <c r="F187" s="1594">
        <v>5.8</v>
      </c>
    </row>
    <row r="188" spans="1:6" ht="18.95" hidden="1" customHeight="1">
      <c r="A188" s="1598">
        <v>40290</v>
      </c>
      <c r="B188" s="1593">
        <v>269478</v>
      </c>
      <c r="C188" s="1588">
        <v>16204</v>
      </c>
      <c r="D188" s="1588">
        <v>12126</v>
      </c>
      <c r="E188" s="1588">
        <v>4078</v>
      </c>
      <c r="F188" s="1594">
        <v>6.01</v>
      </c>
    </row>
    <row r="189" spans="1:6" ht="18.95" hidden="1" customHeight="1">
      <c r="A189" s="1598">
        <v>40304</v>
      </c>
      <c r="B189" s="1593">
        <v>267804</v>
      </c>
      <c r="C189" s="1588">
        <v>15599</v>
      </c>
      <c r="D189" s="1588">
        <v>12051</v>
      </c>
      <c r="E189" s="1588">
        <v>3548</v>
      </c>
      <c r="F189" s="1594">
        <v>5.82</v>
      </c>
    </row>
    <row r="190" spans="1:6" ht="18.95" hidden="1" customHeight="1">
      <c r="A190" s="1598">
        <v>40318</v>
      </c>
      <c r="B190" s="1593">
        <v>268531</v>
      </c>
      <c r="C190" s="1588">
        <v>16094</v>
      </c>
      <c r="D190" s="1588">
        <v>12084</v>
      </c>
      <c r="E190" s="1588">
        <v>4010</v>
      </c>
      <c r="F190" s="1594">
        <v>5.99</v>
      </c>
    </row>
    <row r="191" spans="1:6" ht="18.95" hidden="1" customHeight="1">
      <c r="A191" s="1598">
        <v>40332</v>
      </c>
      <c r="B191" s="1593">
        <v>269953</v>
      </c>
      <c r="C191" s="1588">
        <v>17039</v>
      </c>
      <c r="D191" s="1588">
        <v>12148</v>
      </c>
      <c r="E191" s="1588">
        <v>4891</v>
      </c>
      <c r="F191" s="1594">
        <v>6.31</v>
      </c>
    </row>
    <row r="192" spans="1:6" ht="18.95" hidden="1" customHeight="1">
      <c r="A192" s="1598">
        <v>40346</v>
      </c>
      <c r="B192" s="1593">
        <v>273110</v>
      </c>
      <c r="C192" s="1588">
        <v>16832</v>
      </c>
      <c r="D192" s="1588">
        <v>12290</v>
      </c>
      <c r="E192" s="1588">
        <v>4542</v>
      </c>
      <c r="F192" s="1594">
        <v>6.16</v>
      </c>
    </row>
    <row r="193" spans="1:6" ht="18.95" hidden="1" customHeight="1">
      <c r="A193" s="1598" t="s">
        <v>3076</v>
      </c>
      <c r="B193" s="1593">
        <v>274796</v>
      </c>
      <c r="C193" s="1588">
        <v>17935</v>
      </c>
      <c r="D193" s="1588">
        <v>13740</v>
      </c>
      <c r="E193" s="1588">
        <v>4195</v>
      </c>
      <c r="F193" s="1594">
        <v>6.53</v>
      </c>
    </row>
    <row r="194" spans="1:6" ht="18.95" hidden="1" customHeight="1">
      <c r="A194" s="1598">
        <v>40374</v>
      </c>
      <c r="B194" s="1593">
        <v>276772</v>
      </c>
      <c r="C194" s="1588">
        <v>17780</v>
      </c>
      <c r="D194" s="1588">
        <v>13839</v>
      </c>
      <c r="E194" s="1588">
        <v>3941</v>
      </c>
      <c r="F194" s="1594">
        <v>6.42</v>
      </c>
    </row>
    <row r="195" spans="1:6" ht="18.95" hidden="1" customHeight="1">
      <c r="A195" s="1598">
        <v>40388</v>
      </c>
      <c r="B195" s="1593">
        <v>275835</v>
      </c>
      <c r="C195" s="1588">
        <v>18510</v>
      </c>
      <c r="D195" s="1588">
        <v>13792</v>
      </c>
      <c r="E195" s="1588">
        <v>4718</v>
      </c>
      <c r="F195" s="1594">
        <v>6.71</v>
      </c>
    </row>
    <row r="196" spans="1:6" ht="18.95" hidden="1" customHeight="1">
      <c r="A196" s="1598">
        <v>40402</v>
      </c>
      <c r="B196" s="1593">
        <v>274120</v>
      </c>
      <c r="C196" s="1588">
        <v>19159</v>
      </c>
      <c r="D196" s="1588">
        <v>13706</v>
      </c>
      <c r="E196" s="1588">
        <v>5453</v>
      </c>
      <c r="F196" s="1594">
        <v>6.99</v>
      </c>
    </row>
    <row r="197" spans="1:6" ht="18.95" hidden="1" customHeight="1">
      <c r="A197" s="1598">
        <v>40416</v>
      </c>
      <c r="B197" s="1593">
        <v>273813</v>
      </c>
      <c r="C197" s="1588">
        <v>20434</v>
      </c>
      <c r="D197" s="1588">
        <v>13691</v>
      </c>
      <c r="E197" s="1588">
        <v>6743</v>
      </c>
      <c r="F197" s="1594">
        <v>7.46</v>
      </c>
    </row>
    <row r="198" spans="1:6" ht="18.95" hidden="1" customHeight="1">
      <c r="A198" s="1598">
        <v>40430</v>
      </c>
      <c r="B198" s="1593">
        <v>273429</v>
      </c>
      <c r="C198" s="1588">
        <v>17834</v>
      </c>
      <c r="D198" s="1588">
        <v>13671</v>
      </c>
      <c r="E198" s="1588">
        <v>4163</v>
      </c>
      <c r="F198" s="1594">
        <v>6.52</v>
      </c>
    </row>
    <row r="199" spans="1:6" ht="18.95" hidden="1" customHeight="1">
      <c r="A199" s="1598">
        <v>40444</v>
      </c>
      <c r="B199" s="1593">
        <v>274674</v>
      </c>
      <c r="C199" s="1588">
        <v>17763</v>
      </c>
      <c r="D199" s="1588">
        <v>13734</v>
      </c>
      <c r="E199" s="1588">
        <v>4029</v>
      </c>
      <c r="F199" s="1594">
        <v>6.47</v>
      </c>
    </row>
    <row r="200" spans="1:6" ht="18.95" hidden="1" customHeight="1">
      <c r="A200" s="1598">
        <v>40458</v>
      </c>
      <c r="B200" s="1593">
        <v>276592</v>
      </c>
      <c r="C200" s="1588">
        <v>17950</v>
      </c>
      <c r="D200" s="1588">
        <v>13830</v>
      </c>
      <c r="E200" s="1588">
        <v>4120</v>
      </c>
      <c r="F200" s="1594">
        <v>6.49</v>
      </c>
    </row>
    <row r="201" spans="1:6" ht="18.95" hidden="1" customHeight="1">
      <c r="A201" s="1598" t="s">
        <v>3077</v>
      </c>
      <c r="B201" s="1593">
        <v>277399</v>
      </c>
      <c r="C201" s="1588">
        <v>19435</v>
      </c>
      <c r="D201" s="1588">
        <v>16644</v>
      </c>
      <c r="E201" s="1588">
        <v>2791</v>
      </c>
      <c r="F201" s="1594">
        <v>7.01</v>
      </c>
    </row>
    <row r="202" spans="1:6" ht="18.95" hidden="1" customHeight="1">
      <c r="A202" s="1598">
        <v>40486</v>
      </c>
      <c r="B202" s="1593">
        <v>277740</v>
      </c>
      <c r="C202" s="1588">
        <v>19670</v>
      </c>
      <c r="D202" s="1588">
        <v>16665</v>
      </c>
      <c r="E202" s="1588">
        <v>3005</v>
      </c>
      <c r="F202" s="1594">
        <v>7.08</v>
      </c>
    </row>
    <row r="203" spans="1:6" ht="18.95" hidden="1" customHeight="1">
      <c r="A203" s="1598">
        <v>40500</v>
      </c>
      <c r="B203" s="1593">
        <v>278718</v>
      </c>
      <c r="C203" s="1588">
        <v>19801</v>
      </c>
      <c r="D203" s="1588">
        <v>16723</v>
      </c>
      <c r="E203" s="1588">
        <v>3078</v>
      </c>
      <c r="F203" s="1594">
        <v>7.1</v>
      </c>
    </row>
    <row r="204" spans="1:6" ht="18.95" hidden="1" customHeight="1">
      <c r="A204" s="1598">
        <v>40514</v>
      </c>
      <c r="B204" s="1593">
        <v>280046</v>
      </c>
      <c r="C204" s="1588">
        <v>20809</v>
      </c>
      <c r="D204" s="1588">
        <v>16803</v>
      </c>
      <c r="E204" s="1588">
        <v>4006</v>
      </c>
      <c r="F204" s="1594">
        <v>7.43</v>
      </c>
    </row>
    <row r="205" spans="1:6" ht="18.95" hidden="1" customHeight="1">
      <c r="A205" s="1598">
        <v>40528</v>
      </c>
      <c r="B205" s="1593">
        <v>282723</v>
      </c>
      <c r="C205" s="1588">
        <v>20939</v>
      </c>
      <c r="D205" s="1588">
        <v>16963</v>
      </c>
      <c r="E205" s="1588">
        <v>3976</v>
      </c>
      <c r="F205" s="1594">
        <v>7.41</v>
      </c>
    </row>
    <row r="206" spans="1:6" ht="15" hidden="1" customHeight="1">
      <c r="A206" s="1598">
        <v>40542</v>
      </c>
      <c r="B206" s="1593">
        <v>284395</v>
      </c>
      <c r="C206" s="1588">
        <v>22146</v>
      </c>
      <c r="D206" s="1588">
        <v>17064</v>
      </c>
      <c r="E206" s="1588">
        <v>5082</v>
      </c>
      <c r="F206" s="1594">
        <v>7.79</v>
      </c>
    </row>
    <row r="207" spans="1:6" ht="18.95" hidden="1" customHeight="1">
      <c r="A207" s="1598">
        <v>40556</v>
      </c>
      <c r="B207" s="1593">
        <v>288891</v>
      </c>
      <c r="C207" s="1588">
        <v>22077</v>
      </c>
      <c r="D207" s="1588">
        <v>17333</v>
      </c>
      <c r="E207" s="1588">
        <v>4744</v>
      </c>
      <c r="F207" s="1594">
        <v>7.64</v>
      </c>
    </row>
    <row r="208" spans="1:6" ht="18.95" hidden="1" customHeight="1">
      <c r="A208" s="1598">
        <v>40570</v>
      </c>
      <c r="B208" s="1593">
        <v>290395</v>
      </c>
      <c r="C208" s="1588">
        <v>23653</v>
      </c>
      <c r="D208" s="1588">
        <v>17424</v>
      </c>
      <c r="E208" s="1588">
        <v>6229</v>
      </c>
      <c r="F208" s="1594">
        <v>8.15</v>
      </c>
    </row>
    <row r="209" spans="1:9" ht="18.95" hidden="1" customHeight="1">
      <c r="A209" s="1598">
        <v>40584</v>
      </c>
      <c r="B209" s="1593">
        <v>289585</v>
      </c>
      <c r="C209" s="1588">
        <v>23044</v>
      </c>
      <c r="D209" s="1588">
        <v>17375</v>
      </c>
      <c r="E209" s="1588">
        <v>5669</v>
      </c>
      <c r="F209" s="1594">
        <v>7.96</v>
      </c>
    </row>
    <row r="210" spans="1:9" ht="18.95" hidden="1" customHeight="1">
      <c r="A210" s="1598">
        <v>40598</v>
      </c>
      <c r="B210" s="1593">
        <v>288172</v>
      </c>
      <c r="C210" s="1588">
        <v>24186</v>
      </c>
      <c r="D210" s="1588">
        <v>17290</v>
      </c>
      <c r="E210" s="1588">
        <v>6896</v>
      </c>
      <c r="F210" s="1594">
        <v>8.39</v>
      </c>
    </row>
    <row r="211" spans="1:9" ht="18.95" hidden="1" customHeight="1">
      <c r="A211" s="1598" t="s">
        <v>3078</v>
      </c>
      <c r="B211" s="1593">
        <v>287134</v>
      </c>
      <c r="C211" s="1588">
        <v>23464</v>
      </c>
      <c r="D211" s="1588">
        <v>20099</v>
      </c>
      <c r="E211" s="1588">
        <v>3365</v>
      </c>
      <c r="F211" s="1594">
        <v>8.17</v>
      </c>
      <c r="I211" s="1556"/>
    </row>
    <row r="212" spans="1:9" ht="18.95" hidden="1" customHeight="1">
      <c r="A212" s="1598">
        <v>40626</v>
      </c>
      <c r="B212" s="1593">
        <v>287246</v>
      </c>
      <c r="C212" s="1588">
        <v>24326</v>
      </c>
      <c r="D212" s="1588">
        <v>20107</v>
      </c>
      <c r="E212" s="1588">
        <v>4219</v>
      </c>
      <c r="F212" s="1594">
        <v>8.4700000000000006</v>
      </c>
      <c r="I212" s="1556"/>
    </row>
    <row r="213" spans="1:9" ht="18.95" hidden="1" customHeight="1">
      <c r="A213" s="1598" t="s">
        <v>3079</v>
      </c>
      <c r="B213" s="1593">
        <v>286005</v>
      </c>
      <c r="C213" s="1588">
        <v>23476</v>
      </c>
      <c r="D213" s="1588">
        <v>20020</v>
      </c>
      <c r="E213" s="1588">
        <v>3456</v>
      </c>
      <c r="F213" s="1594">
        <v>8.2100000000000009</v>
      </c>
      <c r="G213" s="1599"/>
      <c r="I213" s="1556"/>
    </row>
    <row r="214" spans="1:9" ht="18.95" hidden="1" customHeight="1">
      <c r="A214" s="1598">
        <v>40654</v>
      </c>
      <c r="B214" s="1593">
        <v>286741</v>
      </c>
      <c r="C214" s="1588">
        <v>24180</v>
      </c>
      <c r="D214" s="1588">
        <v>20072</v>
      </c>
      <c r="E214" s="1588">
        <v>4108</v>
      </c>
      <c r="F214" s="1594">
        <v>8.43</v>
      </c>
      <c r="G214" s="1599"/>
      <c r="I214" s="1556"/>
    </row>
    <row r="215" spans="1:9" ht="18.95" hidden="1" customHeight="1">
      <c r="A215" s="1598">
        <v>40668</v>
      </c>
      <c r="B215" s="1593">
        <v>284572</v>
      </c>
      <c r="C215" s="1588">
        <v>22981</v>
      </c>
      <c r="D215" s="1588">
        <v>19920</v>
      </c>
      <c r="E215" s="1588">
        <v>3061</v>
      </c>
      <c r="F215" s="1594">
        <v>8.08</v>
      </c>
      <c r="G215" s="1599"/>
      <c r="I215" s="1556"/>
    </row>
    <row r="216" spans="1:9" ht="18.95" hidden="1" customHeight="1">
      <c r="A216" s="1598">
        <v>40682</v>
      </c>
      <c r="B216" s="1593">
        <v>284906</v>
      </c>
      <c r="C216" s="1588">
        <v>23797</v>
      </c>
      <c r="D216" s="1588">
        <v>19943</v>
      </c>
      <c r="E216" s="1588">
        <v>3854</v>
      </c>
      <c r="F216" s="1594">
        <v>8.35</v>
      </c>
      <c r="G216" s="1599"/>
      <c r="I216" s="1556"/>
    </row>
    <row r="217" spans="1:9" ht="18.95" hidden="1" customHeight="1">
      <c r="A217" s="1598">
        <v>40696</v>
      </c>
      <c r="B217" s="1593">
        <v>284733</v>
      </c>
      <c r="C217" s="1588">
        <v>21702</v>
      </c>
      <c r="D217" s="1588">
        <v>19931</v>
      </c>
      <c r="E217" s="1588">
        <v>1771</v>
      </c>
      <c r="F217" s="1594">
        <v>7.62</v>
      </c>
      <c r="G217" s="1599"/>
      <c r="I217" s="1556"/>
    </row>
    <row r="218" spans="1:9" ht="18.95" hidden="1" customHeight="1">
      <c r="A218" s="1598">
        <v>40710</v>
      </c>
      <c r="B218" s="1593">
        <v>285256</v>
      </c>
      <c r="C218" s="1588">
        <v>22688</v>
      </c>
      <c r="D218" s="1588">
        <v>19968</v>
      </c>
      <c r="E218" s="1588">
        <v>2720</v>
      </c>
      <c r="F218" s="1594">
        <v>7.95</v>
      </c>
      <c r="G218" s="1599"/>
      <c r="I218" s="1556"/>
    </row>
    <row r="219" spans="1:9" ht="18.95" hidden="1" customHeight="1">
      <c r="A219" s="1598">
        <v>40724</v>
      </c>
      <c r="B219" s="1593">
        <v>285872</v>
      </c>
      <c r="C219" s="1588">
        <v>23530</v>
      </c>
      <c r="D219" s="1588">
        <v>20011</v>
      </c>
      <c r="E219" s="1588">
        <v>3519</v>
      </c>
      <c r="F219" s="1594">
        <v>8.23</v>
      </c>
      <c r="G219" s="1599"/>
      <c r="I219" s="1556"/>
    </row>
    <row r="220" spans="1:9" ht="18.95" hidden="1" customHeight="1">
      <c r="A220" s="1598">
        <v>40738</v>
      </c>
      <c r="B220" s="1593">
        <v>289142</v>
      </c>
      <c r="C220" s="1588">
        <v>21972</v>
      </c>
      <c r="D220" s="1588">
        <v>20240</v>
      </c>
      <c r="E220" s="1588">
        <v>1732</v>
      </c>
      <c r="F220" s="1594">
        <v>7.6</v>
      </c>
      <c r="G220" s="1599"/>
      <c r="I220" s="1556"/>
    </row>
    <row r="221" spans="1:9" ht="18.95" hidden="1" customHeight="1">
      <c r="A221" s="1598">
        <v>40752</v>
      </c>
      <c r="B221" s="1593">
        <v>285832</v>
      </c>
      <c r="C221" s="1588">
        <v>21384</v>
      </c>
      <c r="D221" s="1588">
        <v>20008</v>
      </c>
      <c r="E221" s="1588">
        <v>1376</v>
      </c>
      <c r="F221" s="1594">
        <v>7.48</v>
      </c>
      <c r="G221" s="1599"/>
      <c r="I221" s="1556"/>
    </row>
    <row r="222" spans="1:9" ht="18.95" hidden="1" customHeight="1">
      <c r="A222" s="1598">
        <v>40766</v>
      </c>
      <c r="B222" s="1593">
        <v>285455</v>
      </c>
      <c r="C222" s="1588">
        <v>20817</v>
      </c>
      <c r="D222" s="1588">
        <v>19982</v>
      </c>
      <c r="E222" s="1588">
        <v>835</v>
      </c>
      <c r="F222" s="1594">
        <v>7.29</v>
      </c>
      <c r="G222" s="1599"/>
      <c r="I222" s="1556"/>
    </row>
    <row r="223" spans="1:9" ht="18.95" hidden="1" customHeight="1">
      <c r="A223" s="1598">
        <v>40780</v>
      </c>
      <c r="B223" s="1593">
        <v>284668</v>
      </c>
      <c r="C223" s="1588">
        <v>21975</v>
      </c>
      <c r="D223" s="1588">
        <v>19927</v>
      </c>
      <c r="E223" s="1588">
        <v>2048</v>
      </c>
      <c r="F223" s="1594">
        <v>7.72</v>
      </c>
      <c r="G223" s="1599"/>
      <c r="I223" s="1556"/>
    </row>
    <row r="224" spans="1:9" ht="18.95" hidden="1" customHeight="1">
      <c r="A224" s="1598">
        <v>40794</v>
      </c>
      <c r="B224" s="1593">
        <v>284880</v>
      </c>
      <c r="C224" s="1588">
        <v>21902</v>
      </c>
      <c r="D224" s="1588">
        <v>19942</v>
      </c>
      <c r="E224" s="1588">
        <v>1960</v>
      </c>
      <c r="F224" s="1594">
        <v>7.69</v>
      </c>
      <c r="G224" s="1599"/>
      <c r="I224" s="1556"/>
    </row>
    <row r="225" spans="1:12" ht="18.95" hidden="1" customHeight="1">
      <c r="A225" s="1598">
        <v>40808</v>
      </c>
      <c r="B225" s="1593">
        <v>287761</v>
      </c>
      <c r="C225" s="1588">
        <v>24062</v>
      </c>
      <c r="D225" s="1588">
        <v>20143</v>
      </c>
      <c r="E225" s="1588">
        <v>3919</v>
      </c>
      <c r="F225" s="1594">
        <v>8.36</v>
      </c>
      <c r="G225" s="1599"/>
      <c r="I225" s="1556"/>
    </row>
    <row r="226" spans="1:12" ht="18.95" hidden="1" customHeight="1">
      <c r="A226" s="1598">
        <v>40822</v>
      </c>
      <c r="B226" s="1593">
        <v>286084</v>
      </c>
      <c r="C226" s="1588">
        <v>22766</v>
      </c>
      <c r="D226" s="1588">
        <v>20026</v>
      </c>
      <c r="E226" s="1588">
        <v>2740</v>
      </c>
      <c r="F226" s="1594">
        <v>7.96</v>
      </c>
      <c r="G226" s="1599"/>
      <c r="I226" s="1556"/>
    </row>
    <row r="227" spans="1:12" ht="18.95" hidden="1" customHeight="1">
      <c r="A227" s="1598">
        <v>40836</v>
      </c>
      <c r="B227" s="1593">
        <v>287324</v>
      </c>
      <c r="C227" s="1588">
        <v>22206</v>
      </c>
      <c r="D227" s="1588">
        <v>20113</v>
      </c>
      <c r="E227" s="1588">
        <v>2093</v>
      </c>
      <c r="F227" s="1594">
        <v>7.73</v>
      </c>
      <c r="G227" s="1599"/>
      <c r="I227" s="1556"/>
    </row>
    <row r="228" spans="1:12" ht="18.95" hidden="1" customHeight="1">
      <c r="A228" s="1598">
        <v>40850</v>
      </c>
      <c r="B228" s="1593">
        <v>289607</v>
      </c>
      <c r="C228" s="1588">
        <v>21163</v>
      </c>
      <c r="D228" s="1588">
        <v>20272</v>
      </c>
      <c r="E228" s="1588">
        <v>891</v>
      </c>
      <c r="F228" s="1594">
        <v>7.31</v>
      </c>
      <c r="G228" s="1599"/>
      <c r="I228" s="1556"/>
    </row>
    <row r="229" spans="1:12" ht="18.95" hidden="1" customHeight="1">
      <c r="A229" s="1598">
        <v>40864</v>
      </c>
      <c r="B229" s="1593">
        <v>284710</v>
      </c>
      <c r="C229" s="1588">
        <v>21312</v>
      </c>
      <c r="D229" s="1588">
        <v>19930</v>
      </c>
      <c r="E229" s="1588">
        <v>1382</v>
      </c>
      <c r="F229" s="1594">
        <v>7.49</v>
      </c>
      <c r="G229" s="1599"/>
      <c r="I229" s="1556"/>
    </row>
    <row r="230" spans="1:12" ht="18.95" hidden="1" customHeight="1">
      <c r="A230" s="1598">
        <v>40878</v>
      </c>
      <c r="B230" s="1593">
        <v>286353</v>
      </c>
      <c r="C230" s="1588">
        <v>21613</v>
      </c>
      <c r="D230" s="1588">
        <v>20045</v>
      </c>
      <c r="E230" s="1588">
        <v>1568</v>
      </c>
      <c r="F230" s="1594">
        <v>7.55</v>
      </c>
      <c r="G230" s="1599"/>
      <c r="I230" s="1556"/>
    </row>
    <row r="231" spans="1:12" ht="18.95" hidden="1" customHeight="1">
      <c r="A231" s="1598">
        <v>40892</v>
      </c>
      <c r="B231" s="1593">
        <v>286057</v>
      </c>
      <c r="C231" s="1588">
        <v>21193</v>
      </c>
      <c r="D231" s="1588">
        <v>20024</v>
      </c>
      <c r="E231" s="1588">
        <v>1169</v>
      </c>
      <c r="F231" s="1594">
        <v>7.41</v>
      </c>
      <c r="G231" s="1599"/>
      <c r="I231" s="1556"/>
    </row>
    <row r="232" spans="1:12" ht="18.95" hidden="1" customHeight="1">
      <c r="A232" s="1598">
        <v>40934</v>
      </c>
      <c r="B232" s="1593">
        <v>295071</v>
      </c>
      <c r="C232" s="1588">
        <v>23736</v>
      </c>
      <c r="D232" s="1588">
        <v>20655</v>
      </c>
      <c r="E232" s="1588">
        <v>3081</v>
      </c>
      <c r="F232" s="1594">
        <v>8.0399999999999991</v>
      </c>
      <c r="G232" s="1531"/>
      <c r="I232" s="1556"/>
      <c r="J232" s="1531"/>
      <c r="K232" s="1556"/>
      <c r="L232" s="1531"/>
    </row>
    <row r="233" spans="1:12" ht="18.95" hidden="1" customHeight="1" thickTop="1">
      <c r="A233" s="1598">
        <v>40948</v>
      </c>
      <c r="B233" s="1593">
        <v>296350</v>
      </c>
      <c r="C233" s="1588">
        <v>22160</v>
      </c>
      <c r="D233" s="1588">
        <v>20744</v>
      </c>
      <c r="E233" s="1588">
        <v>1416</v>
      </c>
      <c r="F233" s="1594">
        <v>7.48</v>
      </c>
      <c r="G233" s="1531"/>
      <c r="I233" s="1556"/>
      <c r="J233" s="1531"/>
      <c r="K233" s="1556"/>
      <c r="L233" s="1531"/>
    </row>
    <row r="234" spans="1:12" ht="18.95" hidden="1" customHeight="1" thickTop="1">
      <c r="A234" s="1598">
        <v>40962</v>
      </c>
      <c r="B234" s="1593">
        <v>295119</v>
      </c>
      <c r="C234" s="1588">
        <v>23246</v>
      </c>
      <c r="D234" s="1588">
        <v>20658</v>
      </c>
      <c r="E234" s="1588">
        <v>2588</v>
      </c>
      <c r="F234" s="1594">
        <v>7.88</v>
      </c>
      <c r="G234" s="1531"/>
      <c r="I234" s="1556"/>
      <c r="J234" s="1531"/>
      <c r="K234" s="1556"/>
      <c r="L234" s="1531"/>
    </row>
    <row r="235" spans="1:12" ht="18.95" hidden="1" customHeight="1" thickTop="1">
      <c r="A235" s="1598">
        <v>40976</v>
      </c>
      <c r="B235" s="1593">
        <v>291715</v>
      </c>
      <c r="C235" s="1588">
        <v>23136</v>
      </c>
      <c r="D235" s="1588">
        <v>20420</v>
      </c>
      <c r="E235" s="1588">
        <v>2716</v>
      </c>
      <c r="F235" s="1594">
        <v>7.93</v>
      </c>
      <c r="G235" s="1531"/>
      <c r="I235" s="1556"/>
      <c r="J235" s="1531"/>
      <c r="K235" s="1556"/>
      <c r="L235" s="1531"/>
    </row>
    <row r="236" spans="1:12" ht="18.95" hidden="1" customHeight="1">
      <c r="A236" s="1598">
        <v>40990</v>
      </c>
      <c r="B236" s="1593">
        <v>291814</v>
      </c>
      <c r="C236" s="1588">
        <v>23420</v>
      </c>
      <c r="D236" s="1588">
        <v>20427</v>
      </c>
      <c r="E236" s="1588">
        <v>2993</v>
      </c>
      <c r="F236" s="1594">
        <v>8.0299999999999994</v>
      </c>
      <c r="G236" s="1531"/>
      <c r="I236" s="1556"/>
      <c r="J236" s="1531"/>
      <c r="K236" s="1556"/>
      <c r="L236" s="1531"/>
    </row>
    <row r="237" spans="1:12" ht="18.95" hidden="1" customHeight="1" thickTop="1">
      <c r="A237" s="1598">
        <v>41004</v>
      </c>
      <c r="B237" s="1593">
        <v>293662</v>
      </c>
      <c r="C237" s="1588">
        <v>23285</v>
      </c>
      <c r="D237" s="1588">
        <v>20556</v>
      </c>
      <c r="E237" s="1588">
        <v>2729</v>
      </c>
      <c r="F237" s="1594">
        <v>7.93</v>
      </c>
      <c r="G237" s="1531"/>
      <c r="I237" s="1556"/>
      <c r="J237" s="1531"/>
      <c r="K237" s="1556"/>
      <c r="L237" s="1531"/>
    </row>
    <row r="238" spans="1:12" ht="18.95" hidden="1" customHeight="1">
      <c r="A238" s="1598">
        <v>41018</v>
      </c>
      <c r="B238" s="1593">
        <v>294377</v>
      </c>
      <c r="C238" s="1588">
        <v>22617</v>
      </c>
      <c r="D238" s="1588">
        <v>20606</v>
      </c>
      <c r="E238" s="1588">
        <v>2011</v>
      </c>
      <c r="F238" s="1594">
        <v>7.68</v>
      </c>
      <c r="G238" s="1531"/>
      <c r="I238" s="1556"/>
      <c r="J238" s="1531"/>
      <c r="K238" s="1556"/>
      <c r="L238" s="1531"/>
    </row>
    <row r="239" spans="1:12" ht="18.95" hidden="1" customHeight="1">
      <c r="A239" s="1598">
        <v>41032</v>
      </c>
      <c r="B239" s="1593">
        <v>292516</v>
      </c>
      <c r="C239" s="1588">
        <v>23050</v>
      </c>
      <c r="D239" s="1588">
        <v>20476</v>
      </c>
      <c r="E239" s="1588">
        <v>2574</v>
      </c>
      <c r="F239" s="1594">
        <v>7.88</v>
      </c>
      <c r="G239" s="1531"/>
      <c r="I239" s="1556"/>
      <c r="J239" s="1531"/>
      <c r="K239" s="1556"/>
      <c r="L239" s="1531"/>
    </row>
    <row r="240" spans="1:12" ht="18.95" hidden="1" customHeight="1">
      <c r="A240" s="1598">
        <v>41046</v>
      </c>
      <c r="B240" s="1593">
        <v>294307</v>
      </c>
      <c r="C240" s="1588">
        <v>24033</v>
      </c>
      <c r="D240" s="1588">
        <v>20601</v>
      </c>
      <c r="E240" s="1588">
        <v>3432</v>
      </c>
      <c r="F240" s="1594">
        <v>8.17</v>
      </c>
      <c r="G240" s="1531"/>
      <c r="I240" s="1556"/>
      <c r="J240" s="1531"/>
      <c r="K240" s="1556"/>
      <c r="L240" s="1531"/>
    </row>
    <row r="241" spans="1:12" ht="18.95" hidden="1" customHeight="1" thickTop="1">
      <c r="A241" s="1600">
        <v>41060</v>
      </c>
      <c r="B241" s="1601">
        <v>296267</v>
      </c>
      <c r="C241" s="1602">
        <v>24967</v>
      </c>
      <c r="D241" s="1602">
        <v>20739</v>
      </c>
      <c r="E241" s="1602">
        <v>4228</v>
      </c>
      <c r="F241" s="1603">
        <v>8.43</v>
      </c>
      <c r="G241" s="1531"/>
      <c r="I241" s="1556"/>
      <c r="J241" s="1531"/>
      <c r="K241" s="1556"/>
      <c r="L241" s="1531"/>
    </row>
    <row r="242" spans="1:12" ht="18.95" hidden="1" customHeight="1">
      <c r="A242" s="1600">
        <v>41074</v>
      </c>
      <c r="B242" s="1601">
        <v>298111</v>
      </c>
      <c r="C242" s="1602">
        <v>24242</v>
      </c>
      <c r="D242" s="1602">
        <v>20868</v>
      </c>
      <c r="E242" s="1602">
        <v>3374</v>
      </c>
      <c r="F242" s="1603">
        <v>8.1300000000000008</v>
      </c>
      <c r="G242" s="1531"/>
      <c r="I242" s="1556"/>
      <c r="J242" s="1531"/>
      <c r="K242" s="1556"/>
      <c r="L242" s="1531"/>
    </row>
    <row r="243" spans="1:12" ht="18.95" hidden="1" customHeight="1">
      <c r="A243" s="1600">
        <v>41088</v>
      </c>
      <c r="B243" s="1601">
        <v>299964</v>
      </c>
      <c r="C243" s="1602">
        <v>25777</v>
      </c>
      <c r="D243" s="1602">
        <v>20997</v>
      </c>
      <c r="E243" s="1602">
        <v>4780</v>
      </c>
      <c r="F243" s="1603">
        <v>8.59</v>
      </c>
      <c r="G243" s="1531"/>
      <c r="I243" s="1556"/>
      <c r="J243" s="1531"/>
      <c r="K243" s="1556"/>
      <c r="L243" s="1531"/>
    </row>
    <row r="244" spans="1:12" ht="18.95" hidden="1" customHeight="1">
      <c r="A244" s="1600">
        <v>41102</v>
      </c>
      <c r="B244" s="1601">
        <v>301568</v>
      </c>
      <c r="C244" s="1602">
        <v>23265</v>
      </c>
      <c r="D244" s="1602">
        <v>21110</v>
      </c>
      <c r="E244" s="1602">
        <v>2155</v>
      </c>
      <c r="F244" s="1603">
        <v>7.71</v>
      </c>
      <c r="G244" s="1531"/>
      <c r="I244" s="1556"/>
      <c r="J244" s="1531"/>
      <c r="K244" s="1556"/>
      <c r="L244" s="1531"/>
    </row>
    <row r="245" spans="1:12" ht="18.95" hidden="1" customHeight="1">
      <c r="A245" s="1600">
        <v>41116</v>
      </c>
      <c r="B245" s="1601">
        <v>302297</v>
      </c>
      <c r="C245" s="1602">
        <v>24363</v>
      </c>
      <c r="D245" s="1602">
        <v>21161</v>
      </c>
      <c r="E245" s="1602">
        <v>3202</v>
      </c>
      <c r="F245" s="1603">
        <v>8.06</v>
      </c>
      <c r="G245" s="1531"/>
      <c r="I245" s="1556"/>
      <c r="J245" s="1531"/>
      <c r="K245" s="1556"/>
      <c r="L245" s="1531"/>
    </row>
    <row r="246" spans="1:12" ht="18.95" hidden="1" customHeight="1">
      <c r="A246" s="1600">
        <v>41130</v>
      </c>
      <c r="B246" s="1601">
        <v>301015</v>
      </c>
      <c r="C246" s="1602">
        <v>23719</v>
      </c>
      <c r="D246" s="1602">
        <v>21071</v>
      </c>
      <c r="E246" s="1602">
        <v>2648</v>
      </c>
      <c r="F246" s="1603">
        <v>7.88</v>
      </c>
      <c r="G246" s="1531"/>
      <c r="I246" s="1556"/>
      <c r="J246" s="1531"/>
      <c r="K246" s="1556"/>
      <c r="L246" s="1531"/>
    </row>
    <row r="247" spans="1:12" ht="18.95" hidden="1" customHeight="1">
      <c r="A247" s="1600">
        <v>41144</v>
      </c>
      <c r="B247" s="1601">
        <v>304295</v>
      </c>
      <c r="C247" s="1602">
        <v>23218</v>
      </c>
      <c r="D247" s="1602">
        <v>21301</v>
      </c>
      <c r="E247" s="1602">
        <v>1917</v>
      </c>
      <c r="F247" s="1603">
        <v>7.63</v>
      </c>
      <c r="G247" s="1531"/>
      <c r="I247" s="1556"/>
      <c r="J247" s="1531"/>
      <c r="K247" s="1556"/>
      <c r="L247" s="1531"/>
    </row>
    <row r="248" spans="1:12" ht="18.95" hidden="1" customHeight="1">
      <c r="A248" s="1600">
        <v>41158</v>
      </c>
      <c r="B248" s="1601">
        <v>302928</v>
      </c>
      <c r="C248" s="1602">
        <v>25141</v>
      </c>
      <c r="D248" s="1602">
        <v>21205</v>
      </c>
      <c r="E248" s="1602">
        <v>3936</v>
      </c>
      <c r="F248" s="1603">
        <v>8.3000000000000007</v>
      </c>
      <c r="G248" s="1531"/>
      <c r="I248" s="1556"/>
      <c r="J248" s="1531"/>
      <c r="K248" s="1556"/>
      <c r="L248" s="1531"/>
    </row>
    <row r="249" spans="1:12" ht="18.95" hidden="1" customHeight="1">
      <c r="A249" s="1600">
        <v>41172</v>
      </c>
      <c r="B249" s="1601">
        <v>304716</v>
      </c>
      <c r="C249" s="1602">
        <v>25137</v>
      </c>
      <c r="D249" s="1602">
        <v>21330</v>
      </c>
      <c r="E249" s="1602">
        <v>3807</v>
      </c>
      <c r="F249" s="1603">
        <v>8.25</v>
      </c>
      <c r="G249" s="1531"/>
      <c r="I249" s="1556"/>
      <c r="J249" s="1531"/>
      <c r="K249" s="1556"/>
      <c r="L249" s="1531"/>
    </row>
    <row r="250" spans="1:12" ht="18.95" hidden="1" customHeight="1">
      <c r="A250" s="1600">
        <v>41186</v>
      </c>
      <c r="B250" s="1601">
        <v>303975</v>
      </c>
      <c r="C250" s="1602">
        <v>25443</v>
      </c>
      <c r="D250" s="1602">
        <v>21278</v>
      </c>
      <c r="E250" s="1602">
        <v>4165</v>
      </c>
      <c r="F250" s="1603">
        <v>8.3699999999999992</v>
      </c>
      <c r="G250" s="1531"/>
      <c r="I250" s="1556"/>
      <c r="J250" s="1531"/>
      <c r="K250" s="1556"/>
      <c r="L250" s="1531"/>
    </row>
    <row r="251" spans="1:12" ht="18.95" hidden="1" customHeight="1">
      <c r="A251" s="1600">
        <v>41200</v>
      </c>
      <c r="B251" s="1601">
        <v>305238</v>
      </c>
      <c r="C251" s="1602">
        <v>25580</v>
      </c>
      <c r="D251" s="1602">
        <v>21367</v>
      </c>
      <c r="E251" s="1602">
        <v>4213</v>
      </c>
      <c r="F251" s="1603">
        <v>8.3800000000000008</v>
      </c>
      <c r="G251" s="1531"/>
      <c r="I251" s="1556"/>
      <c r="J251" s="1531"/>
      <c r="K251" s="1556"/>
      <c r="L251" s="1531"/>
    </row>
    <row r="252" spans="1:12" ht="18.95" hidden="1" customHeight="1">
      <c r="A252" s="1600">
        <v>41214</v>
      </c>
      <c r="B252" s="1601">
        <v>306094</v>
      </c>
      <c r="C252" s="1602">
        <v>25110</v>
      </c>
      <c r="D252" s="1602">
        <v>21427</v>
      </c>
      <c r="E252" s="1602">
        <v>3683</v>
      </c>
      <c r="F252" s="1603">
        <v>8.1999999999999993</v>
      </c>
      <c r="G252" s="1531"/>
      <c r="I252" s="1556"/>
      <c r="J252" s="1531"/>
      <c r="K252" s="1556"/>
      <c r="L252" s="1531"/>
    </row>
    <row r="253" spans="1:12" ht="18.95" hidden="1" customHeight="1">
      <c r="A253" s="1600">
        <v>41228</v>
      </c>
      <c r="B253" s="1601">
        <v>309041</v>
      </c>
      <c r="C253" s="1602">
        <v>23508</v>
      </c>
      <c r="D253" s="1602">
        <v>21633</v>
      </c>
      <c r="E253" s="1602">
        <v>1875</v>
      </c>
      <c r="F253" s="1603">
        <v>7.61</v>
      </c>
      <c r="G253" s="1531"/>
      <c r="I253" s="1556"/>
      <c r="J253" s="1531"/>
      <c r="K253" s="1556"/>
      <c r="L253" s="1531"/>
    </row>
    <row r="254" spans="1:12" ht="18.95" hidden="1" customHeight="1">
      <c r="A254" s="1600">
        <v>41242</v>
      </c>
      <c r="B254" s="1601">
        <v>309747</v>
      </c>
      <c r="C254" s="1602">
        <v>23651</v>
      </c>
      <c r="D254" s="1602">
        <v>21682</v>
      </c>
      <c r="E254" s="1602">
        <v>1969</v>
      </c>
      <c r="F254" s="1603">
        <v>7.64</v>
      </c>
      <c r="G254" s="1531"/>
      <c r="I254" s="1556"/>
      <c r="J254" s="1531"/>
      <c r="K254" s="1556"/>
      <c r="L254" s="1531"/>
    </row>
    <row r="255" spans="1:12" ht="18.95" hidden="1" customHeight="1">
      <c r="A255" s="1600">
        <v>41256</v>
      </c>
      <c r="B255" s="1601">
        <v>310163</v>
      </c>
      <c r="C255" s="1602">
        <v>23853</v>
      </c>
      <c r="D255" s="1602">
        <v>21711</v>
      </c>
      <c r="E255" s="1602">
        <v>2142</v>
      </c>
      <c r="F255" s="1603">
        <v>7.69</v>
      </c>
      <c r="G255" s="1531"/>
      <c r="I255" s="1556"/>
      <c r="J255" s="1531"/>
      <c r="K255" s="1556"/>
      <c r="L255" s="1531"/>
    </row>
    <row r="256" spans="1:12" ht="18.95" hidden="1" customHeight="1">
      <c r="A256" s="1600">
        <v>41270</v>
      </c>
      <c r="B256" s="1601">
        <v>311633</v>
      </c>
      <c r="C256" s="1602">
        <v>25617</v>
      </c>
      <c r="D256" s="1602">
        <v>21814</v>
      </c>
      <c r="E256" s="1602">
        <v>3803</v>
      </c>
      <c r="F256" s="1603">
        <v>8.2200000000000006</v>
      </c>
      <c r="G256" s="1531"/>
      <c r="I256" s="1556"/>
      <c r="J256" s="1531"/>
      <c r="K256" s="1556"/>
      <c r="L256" s="1531"/>
    </row>
    <row r="257" spans="1:12" ht="18.95" hidden="1" customHeight="1" thickTop="1">
      <c r="A257" s="1600">
        <v>41284</v>
      </c>
      <c r="B257" s="1601">
        <v>316797</v>
      </c>
      <c r="C257" s="1602">
        <v>25308</v>
      </c>
      <c r="D257" s="1602">
        <v>22176</v>
      </c>
      <c r="E257" s="1602">
        <v>3132</v>
      </c>
      <c r="F257" s="1603">
        <v>7.99</v>
      </c>
      <c r="G257" s="1531"/>
      <c r="I257" s="1556"/>
      <c r="J257" s="1531"/>
      <c r="K257" s="1556"/>
      <c r="L257" s="1531"/>
    </row>
    <row r="258" spans="1:12" ht="18.95" hidden="1" customHeight="1">
      <c r="A258" s="1600">
        <v>41298</v>
      </c>
      <c r="B258" s="1601">
        <v>319883</v>
      </c>
      <c r="C258" s="1602">
        <v>26017</v>
      </c>
      <c r="D258" s="1602">
        <v>22392</v>
      </c>
      <c r="E258" s="1602">
        <v>3625</v>
      </c>
      <c r="F258" s="1603">
        <v>8.1300000000000008</v>
      </c>
      <c r="G258" s="1531"/>
      <c r="I258" s="1556"/>
      <c r="J258" s="1531"/>
      <c r="K258" s="1556"/>
      <c r="L258" s="1531"/>
    </row>
    <row r="259" spans="1:12" ht="18.95" hidden="1" customHeight="1" thickTop="1">
      <c r="A259" s="1600">
        <v>41312</v>
      </c>
      <c r="B259" s="1601">
        <v>319301</v>
      </c>
      <c r="C259" s="1602">
        <v>26052</v>
      </c>
      <c r="D259" s="1602">
        <v>22351</v>
      </c>
      <c r="E259" s="1602">
        <v>3701</v>
      </c>
      <c r="F259" s="1603">
        <v>8.16</v>
      </c>
      <c r="G259" s="1531"/>
      <c r="I259" s="1556"/>
      <c r="J259" s="1531"/>
      <c r="K259" s="1556"/>
      <c r="L259" s="1531"/>
    </row>
    <row r="260" spans="1:12" ht="18.95" hidden="1" customHeight="1">
      <c r="A260" s="1600">
        <v>41326</v>
      </c>
      <c r="B260" s="1601">
        <v>316559</v>
      </c>
      <c r="C260" s="1602">
        <v>25562</v>
      </c>
      <c r="D260" s="1602">
        <v>22159</v>
      </c>
      <c r="E260" s="1602">
        <v>3403</v>
      </c>
      <c r="F260" s="1603">
        <v>8.07</v>
      </c>
      <c r="G260" s="1531"/>
      <c r="I260" s="1556"/>
      <c r="J260" s="1531"/>
      <c r="K260" s="1556"/>
      <c r="L260" s="1531"/>
    </row>
    <row r="261" spans="1:12" ht="18.95" hidden="1" customHeight="1" thickTop="1">
      <c r="A261" s="1600">
        <v>41340</v>
      </c>
      <c r="B261" s="1601">
        <v>314869</v>
      </c>
      <c r="C261" s="1602">
        <v>27304</v>
      </c>
      <c r="D261" s="1602">
        <v>22041</v>
      </c>
      <c r="E261" s="1602">
        <v>5263</v>
      </c>
      <c r="F261" s="1603">
        <v>8.67</v>
      </c>
      <c r="G261" s="1531"/>
      <c r="I261" s="1556"/>
      <c r="J261" s="1531"/>
      <c r="K261" s="1556"/>
      <c r="L261" s="1531"/>
    </row>
    <row r="262" spans="1:12" ht="18.95" hidden="1" customHeight="1" thickTop="1">
      <c r="A262" s="1600">
        <v>41396</v>
      </c>
      <c r="B262" s="1601">
        <v>316575.40000000002</v>
      </c>
      <c r="C262" s="1602">
        <v>25221</v>
      </c>
      <c r="D262" s="1602">
        <v>22160</v>
      </c>
      <c r="E262" s="1602">
        <v>3061</v>
      </c>
      <c r="F262" s="1603">
        <v>7.97</v>
      </c>
      <c r="G262" s="1531"/>
      <c r="I262" s="1556"/>
      <c r="J262" s="1531"/>
      <c r="K262" s="1556"/>
      <c r="L262" s="1531"/>
    </row>
    <row r="263" spans="1:12" ht="18.95" hidden="1" customHeight="1">
      <c r="A263" s="1600">
        <v>41410</v>
      </c>
      <c r="B263" s="1601">
        <v>317788.05682005471</v>
      </c>
      <c r="C263" s="1602">
        <v>25648.812009841884</v>
      </c>
      <c r="D263" s="1602">
        <v>22245.16397740383</v>
      </c>
      <c r="E263" s="1602">
        <v>3403.6480324380532</v>
      </c>
      <c r="F263" s="1603">
        <v>8.07</v>
      </c>
      <c r="G263" s="1531"/>
      <c r="I263" s="1556"/>
      <c r="J263" s="1531"/>
      <c r="K263" s="1556"/>
      <c r="L263" s="1531"/>
    </row>
    <row r="264" spans="1:12" ht="18.95" hidden="1" customHeight="1" thickTop="1">
      <c r="A264" s="1600">
        <v>41424</v>
      </c>
      <c r="B264" s="1601">
        <v>315666.0544655238</v>
      </c>
      <c r="C264" s="1602">
        <v>24928.929132961177</v>
      </c>
      <c r="D264" s="1602">
        <v>22096.623812586669</v>
      </c>
      <c r="E264" s="1602">
        <v>2832.3053203745076</v>
      </c>
      <c r="F264" s="1603">
        <v>7.9</v>
      </c>
      <c r="G264" s="1531"/>
      <c r="I264" s="1556"/>
      <c r="J264" s="1531"/>
      <c r="K264" s="1556"/>
      <c r="L264" s="1531"/>
    </row>
    <row r="265" spans="1:12" ht="18.95" hidden="1" customHeight="1">
      <c r="A265" s="1600">
        <v>41438</v>
      </c>
      <c r="B265" s="1601">
        <v>316601.25340564689</v>
      </c>
      <c r="C265" s="1602">
        <v>27426.176391018696</v>
      </c>
      <c r="D265" s="1602">
        <v>22162.087738395283</v>
      </c>
      <c r="E265" s="1602">
        <v>5264.0886526234135</v>
      </c>
      <c r="F265" s="1603">
        <v>8.66</v>
      </c>
      <c r="G265" s="1531"/>
      <c r="I265" s="1556"/>
      <c r="J265" s="1531"/>
      <c r="K265" s="1556"/>
      <c r="L265" s="1531"/>
    </row>
    <row r="266" spans="1:12" ht="18.95" hidden="1" customHeight="1" thickTop="1">
      <c r="A266" s="1600">
        <v>41452</v>
      </c>
      <c r="B266" s="1601">
        <v>316686.41260502406</v>
      </c>
      <c r="C266" s="1602">
        <v>26637.520435481445</v>
      </c>
      <c r="D266" s="1602">
        <v>22168.048882351686</v>
      </c>
      <c r="E266" s="1602">
        <v>4469.4715531297588</v>
      </c>
      <c r="F266" s="1603">
        <v>8.41</v>
      </c>
      <c r="G266" s="1531"/>
      <c r="I266" s="1556"/>
      <c r="J266" s="1531"/>
      <c r="K266" s="1556"/>
      <c r="L266" s="1531"/>
    </row>
    <row r="267" spans="1:12" ht="18.95" hidden="1" customHeight="1">
      <c r="A267" s="1600">
        <v>41466</v>
      </c>
      <c r="B267" s="1601">
        <v>316122.37201926421</v>
      </c>
      <c r="C267" s="1602">
        <v>26651.319215227049</v>
      </c>
      <c r="D267" s="1602">
        <v>22128.566041348495</v>
      </c>
      <c r="E267" s="1602">
        <v>4522.7531738785547</v>
      </c>
      <c r="F267" s="1603">
        <v>8.43</v>
      </c>
      <c r="G267" s="1531"/>
      <c r="I267" s="1556"/>
      <c r="J267" s="1531"/>
      <c r="K267" s="1556"/>
      <c r="L267" s="1531"/>
    </row>
    <row r="268" spans="1:12" ht="18.95" customHeight="1" thickTop="1">
      <c r="A268" s="1600">
        <v>41480</v>
      </c>
      <c r="B268" s="1601">
        <v>317519.47930731066</v>
      </c>
      <c r="C268" s="1602">
        <v>27277.854649490317</v>
      </c>
      <c r="D268" s="1602">
        <v>22226.363551511749</v>
      </c>
      <c r="E268" s="1602">
        <v>5051.4910979785673</v>
      </c>
      <c r="F268" s="1603">
        <v>8.59</v>
      </c>
      <c r="G268" s="1531"/>
      <c r="I268" s="1556"/>
      <c r="J268" s="1531"/>
      <c r="K268" s="1556"/>
      <c r="L268" s="1531"/>
    </row>
    <row r="269" spans="1:12" ht="18.95" customHeight="1">
      <c r="A269" s="1600">
        <v>41494</v>
      </c>
      <c r="B269" s="1601">
        <v>320689.06371865387</v>
      </c>
      <c r="C269" s="1602">
        <v>28994.318912703682</v>
      </c>
      <c r="D269" s="1602">
        <v>22448.234460305772</v>
      </c>
      <c r="E269" s="1602">
        <v>6546.0844523979113</v>
      </c>
      <c r="F269" s="1603">
        <v>9.0399999999999991</v>
      </c>
      <c r="G269" s="1531"/>
      <c r="I269" s="1556"/>
      <c r="J269" s="1531"/>
      <c r="K269" s="1556"/>
      <c r="L269" s="1531"/>
    </row>
    <row r="270" spans="1:12" ht="18.95" customHeight="1">
      <c r="A270" s="1600">
        <v>41508</v>
      </c>
      <c r="B270" s="1601">
        <v>323873.70766469825</v>
      </c>
      <c r="C270" s="1602">
        <v>28402</v>
      </c>
      <c r="D270" s="1602">
        <v>22671.159536528878</v>
      </c>
      <c r="E270" s="1602">
        <v>5731.4416156066218</v>
      </c>
      <c r="F270" s="1603">
        <v>8.77</v>
      </c>
      <c r="G270" s="1531"/>
      <c r="I270" s="1556"/>
      <c r="J270" s="1531"/>
      <c r="K270" s="1556"/>
      <c r="L270" s="1531"/>
    </row>
    <row r="271" spans="1:12" ht="18.95" customHeight="1">
      <c r="A271" s="1600">
        <v>41522</v>
      </c>
      <c r="B271" s="1601">
        <v>317946.63816703978</v>
      </c>
      <c r="C271" s="1602">
        <v>27442.596407644465</v>
      </c>
      <c r="D271" s="1602">
        <v>22256.264671692788</v>
      </c>
      <c r="E271" s="1602">
        <v>5186.3317359516768</v>
      </c>
      <c r="F271" s="1603">
        <v>8.6300000000000008</v>
      </c>
      <c r="G271" s="1531"/>
      <c r="I271" s="1556"/>
      <c r="J271" s="1531"/>
      <c r="K271" s="1556"/>
      <c r="L271" s="1531"/>
    </row>
    <row r="272" spans="1:12" ht="18.95" customHeight="1">
      <c r="A272" s="1600">
        <v>41536</v>
      </c>
      <c r="B272" s="1601">
        <v>314881.37150729087</v>
      </c>
      <c r="C272" s="1602">
        <v>26912.179857300362</v>
      </c>
      <c r="D272" s="1602">
        <v>22041.696005510363</v>
      </c>
      <c r="E272" s="1602">
        <v>4870.4838517899989</v>
      </c>
      <c r="F272" s="1603">
        <v>8.5500000000000007</v>
      </c>
      <c r="G272" s="1531"/>
      <c r="I272" s="1556"/>
      <c r="J272" s="1531"/>
      <c r="K272" s="1556"/>
      <c r="L272" s="1531"/>
    </row>
    <row r="273" spans="1:12" ht="18.95" customHeight="1">
      <c r="A273" s="1600">
        <v>41550</v>
      </c>
      <c r="B273" s="1601">
        <v>314698.16670877166</v>
      </c>
      <c r="C273" s="1602">
        <v>26727.701622995704</v>
      </c>
      <c r="D273" s="1602">
        <v>22028.871669614018</v>
      </c>
      <c r="E273" s="1602">
        <v>4698.8299533816862</v>
      </c>
      <c r="F273" s="1603">
        <v>8.49</v>
      </c>
      <c r="G273" s="1531"/>
      <c r="I273" s="1556"/>
      <c r="J273" s="1531"/>
      <c r="K273" s="1556"/>
      <c r="L273" s="1531"/>
    </row>
    <row r="274" spans="1:12" ht="18.95" customHeight="1">
      <c r="A274" s="1600">
        <v>41564</v>
      </c>
      <c r="B274" s="1601">
        <v>314997.83979116578</v>
      </c>
      <c r="C274" s="1602">
        <v>26537.44974547777</v>
      </c>
      <c r="D274" s="1602">
        <v>24058.37466444484</v>
      </c>
      <c r="E274" s="1602">
        <v>2479.07508103293</v>
      </c>
      <c r="F274" s="1603">
        <v>8.42</v>
      </c>
      <c r="G274" s="1531"/>
      <c r="I274" s="1556"/>
      <c r="J274" s="1531"/>
      <c r="K274" s="1556"/>
      <c r="L274" s="1531"/>
    </row>
    <row r="275" spans="1:12" ht="18.95" customHeight="1">
      <c r="A275" s="1600">
        <v>41578</v>
      </c>
      <c r="B275" s="1601">
        <v>310895.77990799583</v>
      </c>
      <c r="C275" s="1602">
        <v>26901.41814594969</v>
      </c>
      <c r="D275" s="1602">
        <v>23795.055027400027</v>
      </c>
      <c r="E275" s="1602">
        <v>3106.3631185496633</v>
      </c>
      <c r="F275" s="1603">
        <v>8.65</v>
      </c>
      <c r="G275" s="1531"/>
      <c r="I275" s="1556"/>
      <c r="J275" s="1531"/>
      <c r="K275" s="1556"/>
      <c r="L275" s="1531"/>
    </row>
    <row r="276" spans="1:12" ht="18.95" customHeight="1">
      <c r="A276" s="1600">
        <v>41592</v>
      </c>
      <c r="B276" s="1601">
        <v>308225.68037449231</v>
      </c>
      <c r="C276" s="1602">
        <v>26827</v>
      </c>
      <c r="D276" s="1602">
        <v>23578.963106261712</v>
      </c>
      <c r="E276" s="1602">
        <v>3247.9775766660387</v>
      </c>
      <c r="F276" s="1603">
        <v>8.6999999999999993</v>
      </c>
      <c r="G276" s="1531"/>
      <c r="I276" s="1556"/>
      <c r="J276" s="1531"/>
      <c r="K276" s="1556"/>
      <c r="L276" s="1531"/>
    </row>
    <row r="277" spans="1:12" ht="18.95" customHeight="1">
      <c r="A277" s="1600">
        <v>41606</v>
      </c>
      <c r="B277" s="1601">
        <v>311649.44218085613</v>
      </c>
      <c r="C277" s="1602">
        <v>28741.93029283053</v>
      </c>
      <c r="D277" s="1602">
        <v>23856.482485159329</v>
      </c>
      <c r="E277" s="1602">
        <v>4885.4478076712003</v>
      </c>
      <c r="F277" s="1603">
        <v>9.2200000000000006</v>
      </c>
      <c r="G277" s="1531"/>
      <c r="I277" s="1556"/>
      <c r="J277" s="1531"/>
      <c r="K277" s="1556"/>
      <c r="L277" s="1531"/>
    </row>
    <row r="278" spans="1:12" ht="18.95" customHeight="1">
      <c r="A278" s="1600">
        <v>41620</v>
      </c>
      <c r="B278" s="1601">
        <v>311631.05343064351</v>
      </c>
      <c r="C278" s="1602">
        <v>29146.867244487396</v>
      </c>
      <c r="D278" s="1602">
        <v>23869.455126226865</v>
      </c>
      <c r="E278" s="1602">
        <v>5277.4121182605304</v>
      </c>
      <c r="F278" s="1603">
        <v>9.35</v>
      </c>
      <c r="G278" s="1531"/>
      <c r="I278" s="1556"/>
      <c r="J278" s="1531"/>
      <c r="K278" s="1556"/>
      <c r="L278" s="1531"/>
    </row>
    <row r="279" spans="1:12" ht="18.95" customHeight="1">
      <c r="A279" s="1600">
        <v>41634</v>
      </c>
      <c r="B279" s="1601">
        <v>311822.30111784354</v>
      </c>
      <c r="C279" s="1602">
        <v>33576.628992278725</v>
      </c>
      <c r="D279" s="1602">
        <v>23885.010400087005</v>
      </c>
      <c r="E279" s="1602">
        <v>9691.6185921917204</v>
      </c>
      <c r="F279" s="1603">
        <v>10.77</v>
      </c>
      <c r="G279" s="1531"/>
      <c r="I279" s="1556"/>
      <c r="J279" s="1531"/>
      <c r="K279" s="1556"/>
      <c r="L279" s="1531"/>
    </row>
    <row r="280" spans="1:12" ht="3.75" customHeight="1">
      <c r="A280" s="1600"/>
      <c r="B280" s="1601"/>
      <c r="C280" s="1602"/>
      <c r="D280" s="1602"/>
      <c r="E280" s="1602"/>
      <c r="F280" s="1603"/>
      <c r="G280" s="1531"/>
      <c r="I280" s="1556"/>
      <c r="J280" s="1531"/>
      <c r="K280" s="1556"/>
      <c r="L280" s="1531"/>
    </row>
    <row r="281" spans="1:12" ht="19.5" customHeight="1">
      <c r="A281" s="1600">
        <v>41648</v>
      </c>
      <c r="B281" s="1601">
        <v>316945</v>
      </c>
      <c r="C281" s="1602">
        <v>32392</v>
      </c>
      <c r="D281" s="1602">
        <v>24314</v>
      </c>
      <c r="E281" s="1602">
        <v>8078</v>
      </c>
      <c r="F281" s="1603">
        <v>10.220000000000001</v>
      </c>
      <c r="G281" s="1531"/>
      <c r="I281" s="1556"/>
      <c r="J281" s="1531"/>
      <c r="K281" s="1556"/>
      <c r="L281" s="1531"/>
    </row>
    <row r="282" spans="1:12" ht="19.5" customHeight="1">
      <c r="A282" s="1600">
        <v>41662</v>
      </c>
      <c r="B282" s="1601">
        <v>321607</v>
      </c>
      <c r="C282" s="1602">
        <v>35694</v>
      </c>
      <c r="D282" s="1602">
        <v>24661</v>
      </c>
      <c r="E282" s="1602">
        <v>11033</v>
      </c>
      <c r="F282" s="1603">
        <v>11.1</v>
      </c>
      <c r="G282" s="1531"/>
      <c r="I282" s="1556"/>
      <c r="J282" s="1531"/>
      <c r="K282" s="1556"/>
      <c r="L282" s="1531"/>
    </row>
    <row r="283" spans="1:12" ht="19.5" customHeight="1">
      <c r="A283" s="1600">
        <v>41676</v>
      </c>
      <c r="B283" s="1601">
        <v>321065.5196236521</v>
      </c>
      <c r="C283" s="1602">
        <v>32435.941038726698</v>
      </c>
      <c r="D283" s="1602">
        <v>24630.69562864866</v>
      </c>
      <c r="E283" s="1602">
        <v>7805.2454100780378</v>
      </c>
      <c r="F283" s="1603">
        <v>10.1</v>
      </c>
      <c r="G283" s="1531"/>
      <c r="I283" s="1556"/>
      <c r="J283" s="1531"/>
      <c r="K283" s="1556"/>
      <c r="L283" s="1531"/>
    </row>
    <row r="284" spans="1:12" ht="19.5" customHeight="1">
      <c r="A284" s="1600">
        <v>41690</v>
      </c>
      <c r="B284" s="1601">
        <v>320876.30028259638</v>
      </c>
      <c r="C284" s="1602">
        <v>33527.443279690226</v>
      </c>
      <c r="D284" s="1602">
        <v>24621.239856687946</v>
      </c>
      <c r="E284" s="1602">
        <v>8906.20342300228</v>
      </c>
      <c r="F284" s="1603">
        <v>10.45</v>
      </c>
      <c r="G284" s="1531"/>
      <c r="I284" s="1556"/>
      <c r="J284" s="1531"/>
      <c r="K284" s="1556"/>
      <c r="L284" s="1531"/>
    </row>
    <row r="285" spans="1:12" ht="19.5" customHeight="1">
      <c r="A285" s="1600">
        <v>41704</v>
      </c>
      <c r="B285" s="1601">
        <v>321889.36785668856</v>
      </c>
      <c r="C285" s="1602">
        <v>36167.908434049314</v>
      </c>
      <c r="D285" s="1602">
        <v>24688.176839923701</v>
      </c>
      <c r="E285" s="1602">
        <v>11479.731594125613</v>
      </c>
      <c r="F285" s="1603">
        <v>11.24</v>
      </c>
      <c r="G285" s="1531"/>
      <c r="I285" s="1556"/>
      <c r="J285" s="1531"/>
      <c r="K285" s="1556"/>
      <c r="L285" s="1531"/>
    </row>
    <row r="286" spans="1:12" ht="19.5" customHeight="1">
      <c r="A286" s="1600">
        <v>41718</v>
      </c>
      <c r="B286" s="1601">
        <v>325510.32565979211</v>
      </c>
      <c r="C286" s="1602">
        <v>36043.119709802682</v>
      </c>
      <c r="D286" s="1602">
        <v>24977.686270248239</v>
      </c>
      <c r="E286" s="1602">
        <v>11065.433439554443</v>
      </c>
      <c r="F286" s="1603">
        <v>11.07</v>
      </c>
      <c r="G286" s="1531"/>
      <c r="I286" s="1556"/>
      <c r="J286" s="1531"/>
      <c r="K286" s="1556"/>
      <c r="L286" s="1531"/>
    </row>
    <row r="287" spans="1:12" ht="19.5" customHeight="1">
      <c r="A287" s="1600">
        <v>41732</v>
      </c>
      <c r="B287" s="1601">
        <v>324245.35388497502</v>
      </c>
      <c r="C287" s="1602">
        <v>36227.344660099086</v>
      </c>
      <c r="D287" s="1602">
        <v>24861.649501549884</v>
      </c>
      <c r="E287" s="1602">
        <v>11365.695158549202</v>
      </c>
      <c r="F287" s="1603">
        <v>11.17</v>
      </c>
      <c r="G287" s="1531"/>
      <c r="I287" s="1556"/>
      <c r="J287" s="1531"/>
      <c r="K287" s="1556"/>
      <c r="L287" s="1531"/>
    </row>
    <row r="288" spans="1:12" ht="19.5" customHeight="1">
      <c r="A288" s="1600">
        <v>41746</v>
      </c>
      <c r="B288" s="1601">
        <v>325542.63241766294</v>
      </c>
      <c r="C288" s="1602">
        <v>36093.244299116748</v>
      </c>
      <c r="D288" s="1602">
        <v>24962.133264141157</v>
      </c>
      <c r="E288" s="1602">
        <v>11131.111034975591</v>
      </c>
      <c r="F288" s="1603">
        <v>11.09</v>
      </c>
      <c r="G288" s="1531"/>
      <c r="I288" s="1556"/>
      <c r="J288" s="1531"/>
      <c r="K288" s="1556"/>
      <c r="L288" s="1531"/>
    </row>
    <row r="289" spans="1:13" ht="19.5" customHeight="1">
      <c r="A289" s="1600">
        <v>41760</v>
      </c>
      <c r="B289" s="1601">
        <v>325905.09360628354</v>
      </c>
      <c r="C289" s="1602">
        <v>35896.371338588164</v>
      </c>
      <c r="D289" s="1602">
        <v>24985</v>
      </c>
      <c r="E289" s="1602">
        <v>10911.264584256794</v>
      </c>
      <c r="F289" s="1603">
        <v>11.01</v>
      </c>
      <c r="G289" s="1531"/>
      <c r="I289" s="1556"/>
      <c r="J289" s="1531"/>
      <c r="K289" s="1556"/>
      <c r="L289" s="1531"/>
    </row>
    <row r="290" spans="1:13" ht="19.5" customHeight="1">
      <c r="A290" s="1600">
        <v>41774</v>
      </c>
      <c r="B290" s="1601">
        <v>327827.16451386816</v>
      </c>
      <c r="C290" s="1602">
        <v>37138.52177879517</v>
      </c>
      <c r="D290" s="1602">
        <v>27857.086289644754</v>
      </c>
      <c r="E290" s="1602">
        <v>9281.4354891504154</v>
      </c>
      <c r="F290" s="1603">
        <v>11.328689565389601</v>
      </c>
      <c r="G290" s="1531"/>
      <c r="I290" s="1556"/>
      <c r="J290" s="1531"/>
      <c r="K290" s="1556"/>
      <c r="L290" s="1531"/>
    </row>
    <row r="291" spans="1:13" ht="19.5" customHeight="1">
      <c r="A291" s="1600">
        <v>41788</v>
      </c>
      <c r="B291" s="1601">
        <v>327697.30251116958</v>
      </c>
      <c r="C291" s="1602">
        <v>39413.659678423697</v>
      </c>
      <c r="D291" s="1602">
        <v>27855.415340923759</v>
      </c>
      <c r="E291" s="1602">
        <v>11558.244337499938</v>
      </c>
      <c r="F291" s="1603">
        <v>12.027459297465599</v>
      </c>
      <c r="G291" s="1531"/>
      <c r="I291" s="1556"/>
      <c r="J291" s="1531"/>
      <c r="K291" s="1556"/>
      <c r="L291" s="1531"/>
    </row>
    <row r="292" spans="1:13" ht="19.5" customHeight="1">
      <c r="A292" s="1600">
        <v>41802</v>
      </c>
      <c r="B292" s="1601">
        <v>329075.96205562097</v>
      </c>
      <c r="C292" s="1602">
        <v>36714.419538105562</v>
      </c>
      <c r="D292" s="1602">
        <v>28007.936586579093</v>
      </c>
      <c r="E292" s="1602">
        <v>8706.4829515264682</v>
      </c>
      <c r="F292" s="1603">
        <v>11.16</v>
      </c>
      <c r="G292" s="1531"/>
      <c r="I292" s="1556"/>
      <c r="J292" s="1531"/>
      <c r="K292" s="1556"/>
      <c r="L292" s="1531"/>
    </row>
    <row r="293" spans="1:13" ht="19.5" customHeight="1">
      <c r="A293" s="1600">
        <v>41816</v>
      </c>
      <c r="B293" s="1601">
        <v>331845.40393315087</v>
      </c>
      <c r="C293" s="1602">
        <v>38153.331195495368</v>
      </c>
      <c r="D293" s="1602">
        <v>28168.077887403844</v>
      </c>
      <c r="E293" s="1602">
        <v>9985.2533080915236</v>
      </c>
      <c r="F293" s="1603">
        <v>11.5</v>
      </c>
      <c r="G293" s="1531"/>
      <c r="I293" s="1556"/>
      <c r="J293" s="1531"/>
      <c r="K293" s="1556"/>
      <c r="L293" s="1531"/>
    </row>
    <row r="294" spans="1:13" ht="18" customHeight="1">
      <c r="A294" s="1600">
        <v>41830</v>
      </c>
      <c r="B294" s="1601">
        <v>338116.03878096602</v>
      </c>
      <c r="C294" s="1602">
        <v>36452.570926425135</v>
      </c>
      <c r="D294" s="1602">
        <v>28595.973484367267</v>
      </c>
      <c r="E294" s="1602">
        <v>7856.5974420578677</v>
      </c>
      <c r="F294" s="1603">
        <v>10.78</v>
      </c>
      <c r="G294" s="1604"/>
      <c r="H294" s="1604"/>
      <c r="I294" s="1604"/>
      <c r="J294" s="1604"/>
      <c r="K294" s="1604"/>
      <c r="L294" s="1531"/>
    </row>
    <row r="295" spans="1:13" s="1605" customFormat="1" ht="18.75" customHeight="1">
      <c r="A295" s="1600">
        <v>41844</v>
      </c>
      <c r="B295" s="1601">
        <v>341203.06774144224</v>
      </c>
      <c r="C295" s="1602">
        <v>37137.674696603237</v>
      </c>
      <c r="D295" s="1602">
        <v>28882.12188674217</v>
      </c>
      <c r="E295" s="1602">
        <v>8255.5528098610666</v>
      </c>
      <c r="F295" s="1603">
        <v>10.88</v>
      </c>
      <c r="H295" s="1606"/>
      <c r="I295" s="1607"/>
      <c r="J295" s="1607"/>
      <c r="K295" s="1607"/>
      <c r="L295" s="1607"/>
      <c r="M295" s="1607"/>
    </row>
    <row r="296" spans="1:13" s="1605" customFormat="1" ht="18.75" customHeight="1">
      <c r="A296" s="1600">
        <v>41858</v>
      </c>
      <c r="B296" s="1601">
        <v>340327.49156430369</v>
      </c>
      <c r="C296" s="1602">
        <v>38256.888145372825</v>
      </c>
      <c r="D296" s="1602">
        <v>28789.474756362892</v>
      </c>
      <c r="E296" s="1602">
        <v>9467.4133890099329</v>
      </c>
      <c r="F296" s="1603">
        <v>11.24</v>
      </c>
      <c r="H296" s="1606"/>
      <c r="I296" s="1607"/>
      <c r="J296" s="1607"/>
      <c r="K296" s="1607"/>
      <c r="L296" s="1607"/>
      <c r="M296" s="1607"/>
    </row>
    <row r="297" spans="1:13" s="1605" customFormat="1" ht="18.75" customHeight="1">
      <c r="A297" s="1600">
        <v>41872</v>
      </c>
      <c r="B297" s="1601">
        <v>340716.52305400505</v>
      </c>
      <c r="C297" s="1602">
        <v>37859.189028053806</v>
      </c>
      <c r="D297" s="1602">
        <v>28850.905486098782</v>
      </c>
      <c r="E297" s="1602">
        <v>9008.2835419550247</v>
      </c>
      <c r="F297" s="1603">
        <v>11.11</v>
      </c>
      <c r="H297" s="1606"/>
      <c r="I297" s="1607"/>
      <c r="J297" s="1607"/>
      <c r="K297" s="1607"/>
      <c r="L297" s="1607"/>
      <c r="M297" s="1607"/>
    </row>
    <row r="298" spans="1:13" s="1605" customFormat="1" ht="18.75" customHeight="1">
      <c r="A298" s="1600">
        <v>41886</v>
      </c>
      <c r="B298" s="1601">
        <v>340878.83156585431</v>
      </c>
      <c r="C298" s="1602">
        <v>39364.978373327984</v>
      </c>
      <c r="D298" s="1602">
        <v>28821.478720831874</v>
      </c>
      <c r="E298" s="1602">
        <v>10544</v>
      </c>
      <c r="F298" s="1603">
        <v>11.55</v>
      </c>
      <c r="H298" s="1606"/>
      <c r="I298" s="1607"/>
      <c r="J298" s="1607"/>
      <c r="K298" s="1607"/>
      <c r="L298" s="1607"/>
      <c r="M298" s="1607"/>
    </row>
    <row r="299" spans="1:13" s="1605" customFormat="1" ht="18.75" customHeight="1">
      <c r="A299" s="1600">
        <v>41900</v>
      </c>
      <c r="B299" s="1601">
        <v>338608.66218276531</v>
      </c>
      <c r="C299" s="1602">
        <v>39560.73499929734</v>
      </c>
      <c r="D299" s="1602">
        <v>28679.315193719722</v>
      </c>
      <c r="E299" s="1602">
        <v>10881.419805577618</v>
      </c>
      <c r="F299" s="1603">
        <v>11.68</v>
      </c>
      <c r="H299" s="1606"/>
      <c r="I299" s="1607"/>
      <c r="J299" s="1607"/>
      <c r="K299" s="1607"/>
      <c r="L299" s="1607"/>
      <c r="M299" s="1607"/>
    </row>
    <row r="300" spans="1:13" s="1605" customFormat="1" ht="18.75" customHeight="1">
      <c r="A300" s="1600">
        <v>41914</v>
      </c>
      <c r="B300" s="1601">
        <v>338664.74801547115</v>
      </c>
      <c r="C300" s="1602">
        <v>39037.396622286971</v>
      </c>
      <c r="D300" s="1602">
        <v>28634.632628486092</v>
      </c>
      <c r="E300" s="1602">
        <v>10402.76399380088</v>
      </c>
      <c r="F300" s="1603">
        <v>11.53</v>
      </c>
      <c r="H300" s="1606"/>
      <c r="I300" s="1607"/>
      <c r="J300" s="1607"/>
      <c r="K300" s="1607"/>
      <c r="L300" s="1607"/>
      <c r="M300" s="1607"/>
    </row>
    <row r="301" spans="1:13" s="1605" customFormat="1" ht="18.75" customHeight="1">
      <c r="A301" s="1600">
        <v>41928</v>
      </c>
      <c r="B301" s="1601">
        <v>340648.60140029987</v>
      </c>
      <c r="C301" s="1602">
        <v>37729.064351153822</v>
      </c>
      <c r="D301" s="1602">
        <v>28803.989248992053</v>
      </c>
      <c r="E301" s="1602">
        <v>8925.0751021617689</v>
      </c>
      <c r="F301" s="1603">
        <v>11.08</v>
      </c>
      <c r="H301" s="1606"/>
      <c r="I301" s="1607"/>
      <c r="J301" s="1607"/>
      <c r="K301" s="1607"/>
      <c r="L301" s="1607"/>
      <c r="M301" s="1607"/>
    </row>
    <row r="302" spans="1:13" s="1605" customFormat="1" ht="18.75" customHeight="1">
      <c r="A302" s="1600">
        <v>41942</v>
      </c>
      <c r="B302" s="1601">
        <v>341340.66366837017</v>
      </c>
      <c r="C302" s="1602">
        <v>39916.367958286275</v>
      </c>
      <c r="D302" s="1602">
        <v>28854.339378961529</v>
      </c>
      <c r="E302" s="1602">
        <v>11062.028579324746</v>
      </c>
      <c r="F302" s="1603">
        <v>11.69</v>
      </c>
      <c r="H302" s="1606"/>
      <c r="I302" s="1607"/>
      <c r="J302" s="1607"/>
      <c r="K302" s="1607"/>
      <c r="L302" s="1607"/>
      <c r="M302" s="1607"/>
    </row>
    <row r="303" spans="1:13" s="1605" customFormat="1" ht="18.75" customHeight="1">
      <c r="A303" s="1600">
        <v>41956</v>
      </c>
      <c r="B303" s="1601">
        <v>346382.46198955976</v>
      </c>
      <c r="C303" s="1602">
        <v>38159.189664225749</v>
      </c>
      <c r="D303" s="1602">
        <v>29286.889845846294</v>
      </c>
      <c r="E303" s="1602">
        <v>8872.2998183794552</v>
      </c>
      <c r="F303" s="1603">
        <v>11.02</v>
      </c>
      <c r="H303" s="1606"/>
      <c r="I303" s="1607"/>
      <c r="J303" s="1607"/>
      <c r="K303" s="1607"/>
      <c r="L303" s="1607"/>
      <c r="M303" s="1607"/>
    </row>
    <row r="304" spans="1:13" s="1605" customFormat="1" ht="18.75" customHeight="1">
      <c r="A304" s="1600">
        <v>41970</v>
      </c>
      <c r="B304" s="1601">
        <v>343170</v>
      </c>
      <c r="C304" s="1602">
        <v>35526</v>
      </c>
      <c r="D304" s="1602">
        <v>29064</v>
      </c>
      <c r="E304" s="1602">
        <v>6463</v>
      </c>
      <c r="F304" s="1603">
        <v>10.35</v>
      </c>
      <c r="H304" s="1606"/>
      <c r="I304" s="1607"/>
      <c r="J304" s="1607"/>
      <c r="K304" s="1607"/>
      <c r="L304" s="1607"/>
      <c r="M304" s="1607"/>
    </row>
    <row r="305" spans="1:13" s="1605" customFormat="1" ht="18.75" customHeight="1">
      <c r="A305" s="1600">
        <v>41984</v>
      </c>
      <c r="B305" s="1601">
        <v>343367</v>
      </c>
      <c r="C305" s="1602">
        <v>34319</v>
      </c>
      <c r="D305" s="1602">
        <v>29110</v>
      </c>
      <c r="E305" s="1602">
        <v>5209</v>
      </c>
      <c r="F305" s="1603">
        <v>9.99</v>
      </c>
      <c r="H305" s="1606"/>
      <c r="I305" s="1607"/>
      <c r="J305" s="1607"/>
      <c r="K305" s="1607"/>
      <c r="L305" s="1607"/>
      <c r="M305" s="1607"/>
    </row>
    <row r="306" spans="1:13" s="1605" customFormat="1" ht="18.75" customHeight="1">
      <c r="A306" s="1600">
        <v>41998</v>
      </c>
      <c r="B306" s="1601">
        <v>345778</v>
      </c>
      <c r="C306" s="1602">
        <v>36459</v>
      </c>
      <c r="D306" s="1602">
        <v>29293</v>
      </c>
      <c r="E306" s="1602">
        <v>7166</v>
      </c>
      <c r="F306" s="1603">
        <v>10.54</v>
      </c>
      <c r="H306" s="1606"/>
      <c r="I306" s="1607"/>
      <c r="J306" s="1607"/>
      <c r="K306" s="1607"/>
      <c r="L306" s="1607"/>
      <c r="M306" s="1607"/>
    </row>
    <row r="307" spans="1:13" s="1605" customFormat="1" ht="18.75" customHeight="1">
      <c r="A307" s="1600">
        <v>42012</v>
      </c>
      <c r="B307" s="1601">
        <v>346758</v>
      </c>
      <c r="C307" s="1602">
        <v>36350</v>
      </c>
      <c r="D307" s="1602">
        <v>29424</v>
      </c>
      <c r="E307" s="1602">
        <v>6926</v>
      </c>
      <c r="F307" s="1603">
        <v>10.48</v>
      </c>
      <c r="H307" s="1606"/>
      <c r="I307" s="1607"/>
      <c r="J307" s="1607"/>
      <c r="K307" s="1607"/>
      <c r="L307" s="1607"/>
      <c r="M307" s="1607"/>
    </row>
    <row r="308" spans="1:13" s="1605" customFormat="1" ht="18.75" customHeight="1">
      <c r="A308" s="1600">
        <v>42026</v>
      </c>
      <c r="B308" s="1601">
        <v>350678.54469474952</v>
      </c>
      <c r="C308" s="1602">
        <v>39535.435078590599</v>
      </c>
      <c r="D308" s="1602">
        <v>29726.939676686237</v>
      </c>
      <c r="E308" s="1602">
        <v>9808.4954019043616</v>
      </c>
      <c r="F308" s="1603">
        <v>11.27</v>
      </c>
      <c r="H308" s="1606"/>
      <c r="I308" s="1607"/>
      <c r="J308" s="1607"/>
      <c r="K308" s="1607"/>
      <c r="L308" s="1607"/>
      <c r="M308" s="1607"/>
    </row>
    <row r="309" spans="1:13" s="1605" customFormat="1" ht="18.75" customHeight="1">
      <c r="A309" s="1600">
        <v>42040</v>
      </c>
      <c r="B309" s="1601">
        <v>351326.52678225376</v>
      </c>
      <c r="C309" s="1602">
        <v>41444.842821705643</v>
      </c>
      <c r="D309" s="1602">
        <v>29764.975242376215</v>
      </c>
      <c r="E309" s="1602">
        <v>11679.867579329428</v>
      </c>
      <c r="F309" s="1603">
        <v>11.8</v>
      </c>
      <c r="H309" s="1606"/>
      <c r="I309" s="1607"/>
      <c r="J309" s="1607"/>
      <c r="K309" s="1607"/>
      <c r="L309" s="1607"/>
      <c r="M309" s="1607"/>
    </row>
    <row r="310" spans="1:13" s="1605" customFormat="1" ht="18.75" customHeight="1">
      <c r="A310" s="1600">
        <v>42054</v>
      </c>
      <c r="B310" s="1601">
        <v>355255.72162762639</v>
      </c>
      <c r="C310" s="1602">
        <v>40446.621289308845</v>
      </c>
      <c r="D310" s="1602">
        <v>30042.561782153014</v>
      </c>
      <c r="E310" s="1602">
        <v>10404.059507155831</v>
      </c>
      <c r="F310" s="1603">
        <v>11.39</v>
      </c>
      <c r="H310" s="1606"/>
      <c r="I310" s="1607"/>
      <c r="J310" s="1607"/>
      <c r="K310" s="1607"/>
      <c r="L310" s="1607"/>
      <c r="M310" s="1607"/>
    </row>
    <row r="311" spans="1:13" s="1605" customFormat="1" ht="18.75" customHeight="1">
      <c r="A311" s="1600">
        <v>42068</v>
      </c>
      <c r="B311" s="1601">
        <v>355051.20451031002</v>
      </c>
      <c r="C311" s="1602">
        <v>42445.254944738292</v>
      </c>
      <c r="D311" s="1602">
        <v>29986.047316921024</v>
      </c>
      <c r="E311" s="1602">
        <v>12459.207627817268</v>
      </c>
      <c r="F311" s="1603">
        <v>11.95</v>
      </c>
      <c r="H311" s="1606"/>
      <c r="I311" s="1607"/>
      <c r="J311" s="1607"/>
      <c r="K311" s="1607"/>
      <c r="L311" s="1607"/>
      <c r="M311" s="1607"/>
    </row>
    <row r="312" spans="1:13" s="1605" customFormat="1" ht="18.75" customHeight="1">
      <c r="A312" s="1600">
        <v>42082</v>
      </c>
      <c r="B312" s="1601">
        <v>354717.86332902336</v>
      </c>
      <c r="C312" s="1602">
        <v>45046.153935423317</v>
      </c>
      <c r="D312" s="1602">
        <v>30077.880664179396</v>
      </c>
      <c r="E312" s="1602">
        <v>14968.273271243921</v>
      </c>
      <c r="F312" s="1603">
        <v>12.7</v>
      </c>
      <c r="H312" s="1606"/>
      <c r="I312" s="1607"/>
      <c r="J312" s="1607"/>
      <c r="K312" s="1607"/>
      <c r="L312" s="1607"/>
      <c r="M312" s="1607"/>
    </row>
    <row r="313" spans="1:13" s="1605" customFormat="1" ht="18.75" customHeight="1">
      <c r="A313" s="1600">
        <v>42096</v>
      </c>
      <c r="B313" s="1601">
        <v>358136.67893639987</v>
      </c>
      <c r="C313" s="1602">
        <v>46354.865351817643</v>
      </c>
      <c r="D313" s="1602">
        <v>30287.40412386836</v>
      </c>
      <c r="E313" s="1602">
        <v>16067.461227949283</v>
      </c>
      <c r="F313" s="1603">
        <v>12.94</v>
      </c>
      <c r="H313" s="1606"/>
      <c r="I313" s="1607"/>
      <c r="J313" s="1607"/>
      <c r="K313" s="1607"/>
      <c r="L313" s="1607"/>
      <c r="M313" s="1607"/>
    </row>
    <row r="314" spans="1:13" s="1605" customFormat="1" ht="18.75" customHeight="1">
      <c r="A314" s="1600">
        <v>42110</v>
      </c>
      <c r="B314" s="1601">
        <v>348022.416518101</v>
      </c>
      <c r="C314" s="1602">
        <v>45916.106272930374</v>
      </c>
      <c r="D314" s="1602">
        <v>29373.164275245232</v>
      </c>
      <c r="E314" s="1602">
        <v>16542.941997685142</v>
      </c>
      <c r="F314" s="1603">
        <v>13.19</v>
      </c>
      <c r="H314" s="1606"/>
      <c r="I314" s="1607"/>
      <c r="J314" s="1607"/>
      <c r="K314" s="1607"/>
      <c r="L314" s="1607"/>
      <c r="M314" s="1607"/>
    </row>
    <row r="315" spans="1:13" s="1605" customFormat="1" ht="18.75" customHeight="1">
      <c r="A315" s="1600">
        <v>42124</v>
      </c>
      <c r="B315" s="1601">
        <v>348557.49491597025</v>
      </c>
      <c r="C315" s="1602">
        <v>45710.989997649223</v>
      </c>
      <c r="D315" s="1602">
        <v>29428.789766400689</v>
      </c>
      <c r="E315" s="1602">
        <v>16282.200231248535</v>
      </c>
      <c r="F315" s="1603">
        <v>13.11</v>
      </c>
      <c r="H315" s="1606"/>
      <c r="I315" s="1607"/>
      <c r="J315" s="1607"/>
      <c r="K315" s="1607"/>
      <c r="L315" s="1607"/>
      <c r="M315" s="1607"/>
    </row>
    <row r="316" spans="1:13" s="1605" customFormat="1" ht="18.75" customHeight="1">
      <c r="A316" s="1600">
        <v>42138</v>
      </c>
      <c r="B316" s="1601">
        <v>360583.1434590345</v>
      </c>
      <c r="C316" s="1602">
        <v>46626.210709149462</v>
      </c>
      <c r="D316" s="1602">
        <v>30490.287028836967</v>
      </c>
      <c r="E316" s="1602">
        <v>16135.923680312495</v>
      </c>
      <c r="F316" s="1603">
        <v>12.93</v>
      </c>
      <c r="H316" s="1606"/>
      <c r="I316" s="1607"/>
      <c r="J316" s="1607"/>
      <c r="K316" s="1607"/>
      <c r="L316" s="1607"/>
      <c r="M316" s="1607"/>
    </row>
    <row r="317" spans="1:13" s="1605" customFormat="1" ht="18.75" customHeight="1">
      <c r="A317" s="1600">
        <v>42152</v>
      </c>
      <c r="B317" s="1601">
        <v>360839.48872280907</v>
      </c>
      <c r="C317" s="1602">
        <v>44583.700292606285</v>
      </c>
      <c r="D317" s="1602">
        <v>30539.73859416393</v>
      </c>
      <c r="E317" s="1602">
        <v>14043.961698442356</v>
      </c>
      <c r="F317" s="1603">
        <v>12.36</v>
      </c>
      <c r="H317" s="1606"/>
      <c r="I317" s="1607"/>
      <c r="J317" s="1607"/>
      <c r="K317" s="1607"/>
      <c r="L317" s="1607"/>
      <c r="M317" s="1607"/>
    </row>
    <row r="318" spans="1:13" s="1605" customFormat="1" ht="18.75" customHeight="1">
      <c r="A318" s="1600">
        <v>42166</v>
      </c>
      <c r="B318" s="1601">
        <v>363989.541632134</v>
      </c>
      <c r="C318" s="1602">
        <v>43595.849756723146</v>
      </c>
      <c r="D318" s="1602">
        <v>30761.510863925279</v>
      </c>
      <c r="E318" s="1602">
        <v>12834.338892797867</v>
      </c>
      <c r="F318" s="1603">
        <v>11.98</v>
      </c>
      <c r="H318" s="1606"/>
      <c r="I318" s="1607"/>
      <c r="J318" s="1607"/>
      <c r="K318" s="1607"/>
      <c r="L318" s="1607"/>
      <c r="M318" s="1607"/>
    </row>
    <row r="319" spans="1:13" s="1605" customFormat="1" ht="18.75" customHeight="1">
      <c r="A319" s="1600">
        <v>42180</v>
      </c>
      <c r="B319" s="1601">
        <v>366821.94664751075</v>
      </c>
      <c r="C319" s="1602">
        <v>41816.507368313461</v>
      </c>
      <c r="D319" s="1602">
        <v>30989.011941426281</v>
      </c>
      <c r="E319" s="1602">
        <v>10827.495426887181</v>
      </c>
      <c r="F319" s="1603">
        <v>11.4</v>
      </c>
      <c r="H319" s="1606"/>
      <c r="I319" s="1607"/>
      <c r="J319" s="1607"/>
      <c r="K319" s="1607"/>
      <c r="L319" s="1607"/>
      <c r="M319" s="1607"/>
    </row>
    <row r="320" spans="1:13" s="1605" customFormat="1" ht="18.75" customHeight="1">
      <c r="A320" s="1600">
        <v>42194</v>
      </c>
      <c r="B320" s="1601">
        <v>367512.54264128726</v>
      </c>
      <c r="C320" s="1602">
        <v>42621.830604184397</v>
      </c>
      <c r="D320" s="1602">
        <v>31011.821326306934</v>
      </c>
      <c r="E320" s="1602">
        <v>11610.009277877463</v>
      </c>
      <c r="F320" s="1603">
        <v>11.6</v>
      </c>
      <c r="H320" s="1606"/>
      <c r="I320" s="1607"/>
      <c r="J320" s="1607"/>
      <c r="K320" s="1607"/>
      <c r="L320" s="1607"/>
      <c r="M320" s="1607"/>
    </row>
    <row r="321" spans="1:13" s="1605" customFormat="1" ht="18.75" customHeight="1">
      <c r="A321" s="1600">
        <v>42208</v>
      </c>
      <c r="B321" s="1601">
        <v>372016.95204319654</v>
      </c>
      <c r="C321" s="1602">
        <v>43423.304215505494</v>
      </c>
      <c r="D321" s="1602">
        <v>31451.828555063301</v>
      </c>
      <c r="E321" s="1602">
        <v>11971.475660442193</v>
      </c>
      <c r="F321" s="1603">
        <v>11.67</v>
      </c>
      <c r="H321" s="1606"/>
      <c r="I321" s="1607"/>
      <c r="J321" s="1607"/>
      <c r="K321" s="1607"/>
      <c r="L321" s="1607"/>
      <c r="M321" s="1607"/>
    </row>
    <row r="322" spans="1:13" s="1605" customFormat="1" ht="11.25" customHeight="1">
      <c r="A322" s="1608"/>
      <c r="B322" s="1609"/>
      <c r="C322" s="1610"/>
      <c r="D322" s="1610"/>
      <c r="E322" s="1610"/>
      <c r="F322" s="1611"/>
      <c r="H322" s="1612"/>
    </row>
    <row r="323" spans="1:13" s="1605" customFormat="1" ht="24" customHeight="1">
      <c r="A323" s="3322" t="s">
        <v>3080</v>
      </c>
      <c r="B323" s="3322"/>
      <c r="C323" s="3322"/>
      <c r="D323" s="3322"/>
      <c r="E323" s="3322"/>
      <c r="F323" s="3322"/>
      <c r="H323" s="1612"/>
    </row>
    <row r="324" spans="1:13" s="1607" customFormat="1" ht="15" customHeight="1">
      <c r="A324" s="3322" t="s">
        <v>3081</v>
      </c>
      <c r="B324" s="3322"/>
      <c r="C324" s="3322"/>
      <c r="D324" s="3322"/>
      <c r="E324" s="3322"/>
      <c r="F324" s="3322"/>
      <c r="H324" s="1606"/>
    </row>
    <row r="325" spans="1:13" s="1607" customFormat="1" ht="12.75" hidden="1" customHeight="1">
      <c r="A325" s="3322" t="s">
        <v>3082</v>
      </c>
      <c r="B325" s="3322"/>
      <c r="C325" s="3322"/>
      <c r="D325" s="3322"/>
      <c r="E325" s="3322"/>
      <c r="F325" s="3322"/>
      <c r="H325" s="1606"/>
    </row>
    <row r="326" spans="1:13" s="1607" customFormat="1" hidden="1">
      <c r="A326" s="3322" t="s">
        <v>3083</v>
      </c>
      <c r="B326" s="3322"/>
      <c r="C326" s="3322"/>
      <c r="D326" s="3322"/>
      <c r="E326" s="3322"/>
      <c r="F326" s="3322"/>
      <c r="H326" s="1606"/>
    </row>
    <row r="327" spans="1:13" s="1607" customFormat="1" ht="12" hidden="1" customHeight="1">
      <c r="A327" s="3322" t="s">
        <v>3084</v>
      </c>
      <c r="B327" s="3322"/>
      <c r="C327" s="3322"/>
      <c r="D327" s="3322"/>
      <c r="E327" s="3322"/>
      <c r="F327" s="3322"/>
      <c r="H327" s="1606"/>
    </row>
    <row r="328" spans="1:13" s="1607" customFormat="1" ht="14.25" hidden="1">
      <c r="A328" s="1613" t="s">
        <v>3085</v>
      </c>
      <c r="B328" s="1614"/>
      <c r="C328" s="1614"/>
      <c r="D328" s="1614"/>
      <c r="E328" s="1614"/>
      <c r="F328" s="1614"/>
      <c r="H328" s="1606"/>
    </row>
    <row r="329" spans="1:13" s="1607" customFormat="1" ht="12" hidden="1" customHeight="1">
      <c r="A329" s="1614" t="s">
        <v>3086</v>
      </c>
      <c r="B329" s="1614"/>
      <c r="C329" s="1614"/>
      <c r="D329" s="1614"/>
      <c r="E329" s="1614"/>
      <c r="F329" s="1614"/>
      <c r="H329" s="1606"/>
    </row>
    <row r="330" spans="1:13" s="1607" customFormat="1" hidden="1">
      <c r="A330" s="1614" t="s">
        <v>3087</v>
      </c>
      <c r="B330" s="1614"/>
      <c r="C330" s="1614"/>
      <c r="D330" s="1614"/>
      <c r="E330" s="1614"/>
      <c r="F330" s="1614"/>
      <c r="H330" s="1606"/>
    </row>
    <row r="331" spans="1:13" s="1607" customFormat="1" hidden="1">
      <c r="A331" s="1614" t="s">
        <v>3088</v>
      </c>
      <c r="B331" s="1614"/>
      <c r="C331" s="1614"/>
      <c r="D331" s="1614"/>
      <c r="E331" s="1614"/>
      <c r="F331" s="1614"/>
      <c r="H331" s="1606"/>
    </row>
    <row r="332" spans="1:13" s="1607" customFormat="1" hidden="1">
      <c r="A332" s="1614" t="s">
        <v>3089</v>
      </c>
      <c r="B332" s="1614"/>
      <c r="C332" s="1614"/>
      <c r="D332" s="1614"/>
      <c r="E332" s="1614"/>
      <c r="F332" s="1614"/>
      <c r="H332" s="1606"/>
    </row>
    <row r="333" spans="1:13" s="1607" customFormat="1" ht="45" hidden="1" customHeight="1" thickBot="1">
      <c r="A333" s="1614" t="s">
        <v>3090</v>
      </c>
      <c r="B333" s="1614"/>
      <c r="C333" s="1614"/>
      <c r="D333" s="1614"/>
      <c r="E333" s="1614"/>
      <c r="F333" s="1614"/>
      <c r="H333" s="1606"/>
    </row>
    <row r="334" spans="1:13" s="1607" customFormat="1" ht="12.75" hidden="1" customHeight="1">
      <c r="A334" s="1615" t="s">
        <v>3091</v>
      </c>
      <c r="B334" s="1615"/>
      <c r="C334" s="1615"/>
      <c r="D334" s="1615"/>
      <c r="E334" s="1615"/>
      <c r="F334" s="1615"/>
      <c r="H334" s="1606"/>
    </row>
    <row r="335" spans="1:13" s="1616" customFormat="1" ht="14.25" hidden="1" customHeight="1">
      <c r="A335" s="1614" t="s">
        <v>3092</v>
      </c>
      <c r="B335" s="1614"/>
      <c r="C335" s="1614"/>
      <c r="D335" s="1614"/>
      <c r="E335" s="1614"/>
      <c r="F335" s="1614"/>
      <c r="H335" s="1617"/>
    </row>
    <row r="336" spans="1:13" ht="47.25" customHeight="1">
      <c r="A336" s="3323" t="s">
        <v>3093</v>
      </c>
      <c r="B336" s="3323"/>
      <c r="C336" s="3323"/>
      <c r="D336" s="3323"/>
      <c r="E336" s="3323"/>
      <c r="F336" s="3323"/>
    </row>
    <row r="337" spans="1:6" ht="13.5" customHeight="1">
      <c r="A337" s="1025" t="s">
        <v>2346</v>
      </c>
      <c r="B337" s="1618"/>
      <c r="C337" s="1618"/>
      <c r="D337" s="1618"/>
      <c r="E337" s="1618"/>
      <c r="F337" s="1618"/>
    </row>
    <row r="338" spans="1:6" ht="19.5" customHeight="1">
      <c r="A338" s="3322" t="s">
        <v>2053</v>
      </c>
      <c r="B338" s="3322"/>
      <c r="C338" s="3322"/>
      <c r="D338" s="3322"/>
      <c r="E338" s="3322"/>
      <c r="F338" s="3322"/>
    </row>
    <row r="339" spans="1:6" ht="25.5" customHeight="1"/>
  </sheetData>
  <mergeCells count="7">
    <mergeCell ref="A338:F338"/>
    <mergeCell ref="A323:F323"/>
    <mergeCell ref="A324:F324"/>
    <mergeCell ref="A325:F325"/>
    <mergeCell ref="A326:F326"/>
    <mergeCell ref="A327:F327"/>
    <mergeCell ref="A336:F336"/>
  </mergeCells>
  <printOptions horizontalCentered="1"/>
  <pageMargins left="0.98425196850393704" right="0" top="0.39370078740157483" bottom="0.39370078740157483" header="0" footer="0"/>
  <pageSetup paperSize="9" scale="65" fitToWidth="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3"/>
  <sheetViews>
    <sheetView zoomScaleNormal="100" workbookViewId="0">
      <selection activeCell="R40" sqref="R40"/>
    </sheetView>
  </sheetViews>
  <sheetFormatPr defaultRowHeight="15"/>
  <cols>
    <col min="1" max="1" width="13" style="140" customWidth="1"/>
    <col min="2" max="2" width="13.5703125" style="140" customWidth="1"/>
    <col min="3" max="3" width="13.7109375" style="140" customWidth="1"/>
    <col min="4" max="4" width="13.5703125" style="140" customWidth="1"/>
    <col min="5" max="5" width="12.42578125" style="140" customWidth="1"/>
    <col min="6" max="6" width="12.28515625" style="140" customWidth="1"/>
    <col min="7" max="16384" width="9.140625" style="140"/>
  </cols>
  <sheetData>
    <row r="1" spans="1:6" ht="18.75">
      <c r="A1" s="136" t="s">
        <v>115</v>
      </c>
      <c r="B1" s="137"/>
      <c r="C1" s="137"/>
      <c r="D1" s="138"/>
      <c r="E1" s="137"/>
      <c r="F1" s="139"/>
    </row>
    <row r="2" spans="1:6" ht="15.75" thickBot="1">
      <c r="A2" s="141"/>
      <c r="B2" s="141"/>
      <c r="C2" s="141"/>
      <c r="D2" s="141"/>
      <c r="E2" s="141"/>
      <c r="F2" s="142"/>
    </row>
    <row r="3" spans="1:6" ht="17.25" thickTop="1" thickBot="1">
      <c r="A3" s="143"/>
      <c r="B3" s="144" t="s">
        <v>116</v>
      </c>
      <c r="C3" s="145" t="s">
        <v>80</v>
      </c>
      <c r="D3" s="145" t="s">
        <v>116</v>
      </c>
      <c r="E3" s="146" t="s">
        <v>117</v>
      </c>
      <c r="F3" s="147"/>
    </row>
    <row r="4" spans="1:6" ht="15.75">
      <c r="A4" s="148"/>
      <c r="B4" s="149" t="s">
        <v>118</v>
      </c>
      <c r="C4" s="150" t="s">
        <v>119</v>
      </c>
      <c r="D4" s="150" t="s">
        <v>118</v>
      </c>
      <c r="E4" s="151" t="s">
        <v>120</v>
      </c>
      <c r="F4" s="152" t="s">
        <v>80</v>
      </c>
    </row>
    <row r="5" spans="1:6" ht="16.5" thickBot="1">
      <c r="A5" s="153"/>
      <c r="B5" s="154" t="s">
        <v>121</v>
      </c>
      <c r="C5" s="155"/>
      <c r="D5" s="155" t="s">
        <v>122</v>
      </c>
      <c r="E5" s="155" t="s">
        <v>121</v>
      </c>
      <c r="F5" s="156" t="s">
        <v>123</v>
      </c>
    </row>
    <row r="6" spans="1:6" ht="15.75" hidden="1" thickTop="1">
      <c r="A6" s="157">
        <v>40179</v>
      </c>
      <c r="B6" s="158">
        <v>403964</v>
      </c>
      <c r="C6" s="159">
        <v>19483893</v>
      </c>
      <c r="D6" s="159">
        <v>20</v>
      </c>
      <c r="E6" s="160">
        <v>20198</v>
      </c>
      <c r="F6" s="161">
        <v>974195</v>
      </c>
    </row>
    <row r="7" spans="1:6" ht="15.75" hidden="1" thickTop="1">
      <c r="A7" s="157">
        <v>40210</v>
      </c>
      <c r="B7" s="158">
        <v>381478</v>
      </c>
      <c r="C7" s="159">
        <v>17757496</v>
      </c>
      <c r="D7" s="159">
        <v>18</v>
      </c>
      <c r="E7" s="160">
        <v>21193</v>
      </c>
      <c r="F7" s="161">
        <v>986528</v>
      </c>
    </row>
    <row r="8" spans="1:6" ht="15.75" hidden="1" thickTop="1">
      <c r="A8" s="157">
        <v>40238</v>
      </c>
      <c r="B8" s="158">
        <v>476460</v>
      </c>
      <c r="C8" s="159">
        <v>21813844</v>
      </c>
      <c r="D8" s="159">
        <v>21</v>
      </c>
      <c r="E8" s="160">
        <v>22688</v>
      </c>
      <c r="F8" s="161">
        <v>1038755</v>
      </c>
    </row>
    <row r="9" spans="1:6" ht="15.75" hidden="1" thickTop="1">
      <c r="A9" s="157">
        <v>40269</v>
      </c>
      <c r="B9" s="158">
        <v>478241</v>
      </c>
      <c r="C9" s="159">
        <v>22600161</v>
      </c>
      <c r="D9" s="159">
        <v>22</v>
      </c>
      <c r="E9" s="160">
        <v>21738</v>
      </c>
      <c r="F9" s="161">
        <v>1027280</v>
      </c>
    </row>
    <row r="10" spans="1:6" ht="15.75" hidden="1" thickTop="1">
      <c r="A10" s="157">
        <v>40299</v>
      </c>
      <c r="B10" s="158">
        <v>419366</v>
      </c>
      <c r="C10" s="159">
        <v>20193361</v>
      </c>
      <c r="D10" s="159">
        <v>20</v>
      </c>
      <c r="E10" s="160">
        <v>20969</v>
      </c>
      <c r="F10" s="161">
        <v>1009668</v>
      </c>
    </row>
    <row r="11" spans="1:6" ht="15.75" hidden="1" thickTop="1">
      <c r="A11" s="157">
        <v>40330</v>
      </c>
      <c r="B11" s="158">
        <v>448294</v>
      </c>
      <c r="C11" s="159">
        <v>21051307</v>
      </c>
      <c r="D11" s="159">
        <v>22</v>
      </c>
      <c r="E11" s="160">
        <v>20377</v>
      </c>
      <c r="F11" s="161">
        <v>956878</v>
      </c>
    </row>
    <row r="12" spans="1:6" ht="15.75" hidden="1" thickTop="1">
      <c r="A12" s="157">
        <v>40360</v>
      </c>
      <c r="B12" s="158">
        <v>447586</v>
      </c>
      <c r="C12" s="159">
        <v>21884958</v>
      </c>
      <c r="D12" s="159">
        <v>22</v>
      </c>
      <c r="E12" s="160">
        <v>20345</v>
      </c>
      <c r="F12" s="161">
        <v>994771</v>
      </c>
    </row>
    <row r="13" spans="1:6" ht="15.75" hidden="1" thickTop="1">
      <c r="A13" s="162">
        <v>40391</v>
      </c>
      <c r="B13" s="163">
        <v>435490</v>
      </c>
      <c r="C13" s="159">
        <v>21023041</v>
      </c>
      <c r="D13" s="159">
        <v>22</v>
      </c>
      <c r="E13" s="160">
        <v>19795</v>
      </c>
      <c r="F13" s="161">
        <v>955593</v>
      </c>
    </row>
    <row r="14" spans="1:6" ht="15.75" hidden="1" thickTop="1">
      <c r="A14" s="162">
        <v>40422</v>
      </c>
      <c r="B14" s="163">
        <v>431049</v>
      </c>
      <c r="C14" s="159">
        <v>20726682</v>
      </c>
      <c r="D14" s="159">
        <v>21</v>
      </c>
      <c r="E14" s="160">
        <v>20526</v>
      </c>
      <c r="F14" s="161">
        <v>986985</v>
      </c>
    </row>
    <row r="15" spans="1:6" ht="15.75" hidden="1" thickTop="1">
      <c r="A15" s="162">
        <v>40452</v>
      </c>
      <c r="B15" s="163">
        <v>443872</v>
      </c>
      <c r="C15" s="159">
        <v>21052303</v>
      </c>
      <c r="D15" s="159">
        <v>21</v>
      </c>
      <c r="E15" s="160">
        <v>21137</v>
      </c>
      <c r="F15" s="161">
        <v>1002491</v>
      </c>
    </row>
    <row r="16" spans="1:6" ht="15.75" hidden="1" thickTop="1">
      <c r="A16" s="162">
        <v>40483</v>
      </c>
      <c r="B16" s="163">
        <v>478387</v>
      </c>
      <c r="C16" s="159">
        <v>22094405.145189997</v>
      </c>
      <c r="D16" s="159">
        <v>20</v>
      </c>
      <c r="E16" s="160">
        <v>23919.35</v>
      </c>
      <c r="F16" s="161">
        <v>1104720.2572594997</v>
      </c>
    </row>
    <row r="17" spans="1:6" ht="15.75" hidden="1" thickTop="1">
      <c r="A17" s="162">
        <v>40513</v>
      </c>
      <c r="B17" s="163">
        <v>562286</v>
      </c>
      <c r="C17" s="159">
        <v>29385611</v>
      </c>
      <c r="D17" s="159">
        <v>23</v>
      </c>
      <c r="E17" s="160">
        <v>26776</v>
      </c>
      <c r="F17" s="161">
        <v>1399315</v>
      </c>
    </row>
    <row r="18" spans="1:6" ht="15.75" hidden="1" thickTop="1">
      <c r="A18" s="162">
        <v>40544</v>
      </c>
      <c r="B18" s="164">
        <v>404261</v>
      </c>
      <c r="C18" s="165">
        <v>18665282</v>
      </c>
      <c r="D18" s="165">
        <v>19</v>
      </c>
      <c r="E18" s="166">
        <v>21277</v>
      </c>
      <c r="F18" s="167">
        <v>982383</v>
      </c>
    </row>
    <row r="19" spans="1:6" ht="15.75" hidden="1" thickTop="1">
      <c r="A19" s="162">
        <v>40575</v>
      </c>
      <c r="B19" s="164">
        <v>410417</v>
      </c>
      <c r="C19" s="165">
        <v>20754567</v>
      </c>
      <c r="D19" s="165">
        <v>18</v>
      </c>
      <c r="E19" s="166">
        <v>22801</v>
      </c>
      <c r="F19" s="167">
        <v>1153032</v>
      </c>
    </row>
    <row r="20" spans="1:6" ht="15.75" hidden="1" thickTop="1">
      <c r="A20" s="162">
        <v>40603</v>
      </c>
      <c r="B20" s="164">
        <v>480048</v>
      </c>
      <c r="C20" s="165">
        <v>22665919</v>
      </c>
      <c r="D20" s="165">
        <v>22</v>
      </c>
      <c r="E20" s="166">
        <v>21820</v>
      </c>
      <c r="F20" s="167">
        <v>1030269</v>
      </c>
    </row>
    <row r="21" spans="1:6" ht="15.75" hidden="1" thickTop="1">
      <c r="A21" s="162">
        <v>40634</v>
      </c>
      <c r="B21" s="164">
        <v>429435</v>
      </c>
      <c r="C21" s="165">
        <v>20514130</v>
      </c>
      <c r="D21" s="165">
        <v>20</v>
      </c>
      <c r="E21" s="166">
        <v>21472</v>
      </c>
      <c r="F21" s="167">
        <v>1025707</v>
      </c>
    </row>
    <row r="22" spans="1:6" ht="15.75" hidden="1" thickTop="1">
      <c r="A22" s="162">
        <v>40664</v>
      </c>
      <c r="B22" s="164">
        <v>472258</v>
      </c>
      <c r="C22" s="165">
        <v>22338190</v>
      </c>
      <c r="D22" s="165">
        <v>22</v>
      </c>
      <c r="E22" s="166">
        <v>21466</v>
      </c>
      <c r="F22" s="167">
        <v>1015372</v>
      </c>
    </row>
    <row r="23" spans="1:6" ht="15.75" hidden="1" thickTop="1">
      <c r="A23" s="162">
        <v>40695</v>
      </c>
      <c r="B23" s="164">
        <v>459609</v>
      </c>
      <c r="C23" s="165">
        <v>23452306</v>
      </c>
      <c r="D23" s="165">
        <v>22</v>
      </c>
      <c r="E23" s="166">
        <v>20891</v>
      </c>
      <c r="F23" s="167">
        <v>1066014</v>
      </c>
    </row>
    <row r="24" spans="1:6" ht="15.75" hidden="1" thickTop="1">
      <c r="A24" s="162">
        <v>40725</v>
      </c>
      <c r="B24" s="164">
        <v>436511</v>
      </c>
      <c r="C24" s="165">
        <v>22202850</v>
      </c>
      <c r="D24" s="165">
        <v>21</v>
      </c>
      <c r="E24" s="166">
        <v>20786</v>
      </c>
      <c r="F24" s="167">
        <v>1057279</v>
      </c>
    </row>
    <row r="25" spans="1:6" ht="15.75" hidden="1" thickTop="1">
      <c r="A25" s="162">
        <v>40756</v>
      </c>
      <c r="B25" s="164">
        <v>446499</v>
      </c>
      <c r="C25" s="165">
        <v>21637527</v>
      </c>
      <c r="D25" s="165">
        <v>22</v>
      </c>
      <c r="E25" s="166">
        <v>20295</v>
      </c>
      <c r="F25" s="167">
        <v>983524</v>
      </c>
    </row>
    <row r="26" spans="1:6" ht="15.75" hidden="1" thickTop="1">
      <c r="A26" s="162">
        <v>40787</v>
      </c>
      <c r="B26" s="164">
        <v>439837</v>
      </c>
      <c r="C26" s="165">
        <v>20864985</v>
      </c>
      <c r="D26" s="165">
        <v>21</v>
      </c>
      <c r="E26" s="166">
        <v>20945</v>
      </c>
      <c r="F26" s="167">
        <v>993571</v>
      </c>
    </row>
    <row r="27" spans="1:6" ht="15.75" hidden="1" thickTop="1">
      <c r="A27" s="162">
        <v>40817</v>
      </c>
      <c r="B27" s="164">
        <v>429409</v>
      </c>
      <c r="C27" s="165">
        <v>21844470</v>
      </c>
      <c r="D27" s="165">
        <v>20</v>
      </c>
      <c r="E27" s="166">
        <v>21470</v>
      </c>
      <c r="F27" s="167">
        <v>1092223</v>
      </c>
    </row>
    <row r="28" spans="1:6" ht="15.75" hidden="1" thickTop="1">
      <c r="A28" s="162">
        <v>40848</v>
      </c>
      <c r="B28" s="164">
        <v>441789</v>
      </c>
      <c r="C28" s="165">
        <v>21637089</v>
      </c>
      <c r="D28" s="165">
        <v>20</v>
      </c>
      <c r="E28" s="166">
        <v>22089</v>
      </c>
      <c r="F28" s="167">
        <v>1081854</v>
      </c>
    </row>
    <row r="29" spans="1:6" ht="15.75" hidden="1" thickTop="1">
      <c r="A29" s="162">
        <v>40878</v>
      </c>
      <c r="B29" s="164">
        <v>509153</v>
      </c>
      <c r="C29" s="165">
        <v>26909768</v>
      </c>
      <c r="D29" s="165">
        <v>22</v>
      </c>
      <c r="E29" s="166">
        <v>23143</v>
      </c>
      <c r="F29" s="167">
        <v>1223171</v>
      </c>
    </row>
    <row r="30" spans="1:6" ht="16.5" customHeight="1" thickTop="1">
      <c r="A30" s="168">
        <v>40909</v>
      </c>
      <c r="B30" s="164">
        <v>411557</v>
      </c>
      <c r="C30" s="165">
        <v>20402574</v>
      </c>
      <c r="D30" s="165">
        <v>20</v>
      </c>
      <c r="E30" s="166">
        <v>20578</v>
      </c>
      <c r="F30" s="167">
        <v>1020129</v>
      </c>
    </row>
    <row r="31" spans="1:6" ht="16.5" customHeight="1">
      <c r="A31" s="168">
        <v>40940</v>
      </c>
      <c r="B31" s="164">
        <v>401302</v>
      </c>
      <c r="C31" s="165">
        <v>20239873</v>
      </c>
      <c r="D31" s="165">
        <v>18</v>
      </c>
      <c r="E31" s="166">
        <v>22295</v>
      </c>
      <c r="F31" s="167">
        <v>1124437</v>
      </c>
    </row>
    <row r="32" spans="1:6" ht="16.5" customHeight="1">
      <c r="A32" s="168">
        <v>40969</v>
      </c>
      <c r="B32" s="164">
        <v>432715</v>
      </c>
      <c r="C32" s="165">
        <v>21349071</v>
      </c>
      <c r="D32" s="165">
        <v>20</v>
      </c>
      <c r="E32" s="166">
        <v>21636</v>
      </c>
      <c r="F32" s="167">
        <v>1067454</v>
      </c>
    </row>
    <row r="33" spans="1:6" ht="16.5" customHeight="1">
      <c r="A33" s="168">
        <v>41000</v>
      </c>
      <c r="B33" s="164">
        <v>436837</v>
      </c>
      <c r="C33" s="165">
        <v>21910904</v>
      </c>
      <c r="D33" s="165">
        <v>21</v>
      </c>
      <c r="E33" s="166">
        <v>20802</v>
      </c>
      <c r="F33" s="167">
        <v>1043376</v>
      </c>
    </row>
    <row r="34" spans="1:6" ht="16.5" customHeight="1">
      <c r="A34" s="168">
        <v>41030</v>
      </c>
      <c r="B34" s="164">
        <v>470150</v>
      </c>
      <c r="C34" s="165">
        <v>22379207</v>
      </c>
      <c r="D34" s="165">
        <v>22</v>
      </c>
      <c r="E34" s="166">
        <v>21370</v>
      </c>
      <c r="F34" s="167">
        <v>1017237</v>
      </c>
    </row>
    <row r="35" spans="1:6" ht="16.5" customHeight="1">
      <c r="A35" s="168">
        <v>41061</v>
      </c>
      <c r="B35" s="169">
        <v>423483</v>
      </c>
      <c r="C35" s="165">
        <v>21139261</v>
      </c>
      <c r="D35" s="165">
        <v>21</v>
      </c>
      <c r="E35" s="166">
        <v>20166</v>
      </c>
      <c r="F35" s="167">
        <v>1006631</v>
      </c>
    </row>
    <row r="36" spans="1:6" ht="16.5" customHeight="1">
      <c r="A36" s="168">
        <v>41091</v>
      </c>
      <c r="B36" s="169">
        <v>453418</v>
      </c>
      <c r="C36" s="165">
        <v>23746073</v>
      </c>
      <c r="D36" s="165">
        <v>22</v>
      </c>
      <c r="E36" s="166">
        <v>20610</v>
      </c>
      <c r="F36" s="167">
        <v>1079367</v>
      </c>
    </row>
    <row r="37" spans="1:6" ht="16.5" customHeight="1">
      <c r="A37" s="168">
        <v>41122</v>
      </c>
      <c r="B37" s="170">
        <v>428256</v>
      </c>
      <c r="C37" s="165">
        <v>21776630</v>
      </c>
      <c r="D37" s="165">
        <v>21</v>
      </c>
      <c r="E37" s="166">
        <v>20393</v>
      </c>
      <c r="F37" s="171">
        <v>1036982</v>
      </c>
    </row>
    <row r="38" spans="1:6" ht="16.5" customHeight="1">
      <c r="A38" s="168">
        <v>41153</v>
      </c>
      <c r="B38" s="170">
        <v>397667</v>
      </c>
      <c r="C38" s="165">
        <v>20543860</v>
      </c>
      <c r="D38" s="165">
        <v>19</v>
      </c>
      <c r="E38" s="166">
        <v>20930</v>
      </c>
      <c r="F38" s="171">
        <v>1081256</v>
      </c>
    </row>
    <row r="39" spans="1:6" ht="16.5" customHeight="1">
      <c r="A39" s="168">
        <v>41183</v>
      </c>
      <c r="B39" s="170">
        <v>476909</v>
      </c>
      <c r="C39" s="165">
        <v>25001750</v>
      </c>
      <c r="D39" s="165">
        <v>23</v>
      </c>
      <c r="E39" s="166">
        <v>20735</v>
      </c>
      <c r="F39" s="171">
        <v>1087033</v>
      </c>
    </row>
    <row r="40" spans="1:6" ht="16.5" customHeight="1">
      <c r="A40" s="168">
        <v>41214</v>
      </c>
      <c r="B40" s="170">
        <v>423120</v>
      </c>
      <c r="C40" s="165">
        <v>21648556</v>
      </c>
      <c r="D40" s="165">
        <v>20</v>
      </c>
      <c r="E40" s="166">
        <v>21156</v>
      </c>
      <c r="F40" s="171">
        <v>1082428</v>
      </c>
    </row>
    <row r="41" spans="1:6" ht="16.5" customHeight="1">
      <c r="A41" s="168">
        <v>41244</v>
      </c>
      <c r="B41" s="170">
        <v>458402</v>
      </c>
      <c r="C41" s="165">
        <v>25455656</v>
      </c>
      <c r="D41" s="165">
        <v>20</v>
      </c>
      <c r="E41" s="166">
        <v>22920</v>
      </c>
      <c r="F41" s="171">
        <v>1272783</v>
      </c>
    </row>
    <row r="42" spans="1:6" ht="16.5" customHeight="1">
      <c r="A42" s="168">
        <v>41275</v>
      </c>
      <c r="B42" s="170">
        <v>419313</v>
      </c>
      <c r="C42" s="165">
        <v>21859942</v>
      </c>
      <c r="D42" s="165">
        <v>21</v>
      </c>
      <c r="E42" s="166">
        <v>19967</v>
      </c>
      <c r="F42" s="171">
        <v>1040950</v>
      </c>
    </row>
    <row r="43" spans="1:6" ht="16.5" customHeight="1">
      <c r="A43" s="168">
        <v>41306</v>
      </c>
      <c r="B43" s="170">
        <v>369245</v>
      </c>
      <c r="C43" s="165">
        <v>19588068</v>
      </c>
      <c r="D43" s="165">
        <v>19</v>
      </c>
      <c r="E43" s="166">
        <v>19434</v>
      </c>
      <c r="F43" s="171">
        <v>1030951</v>
      </c>
    </row>
    <row r="44" spans="1:6" ht="16.5" customHeight="1">
      <c r="A44" s="168">
        <v>41334</v>
      </c>
      <c r="B44" s="172">
        <v>405034</v>
      </c>
      <c r="C44" s="165">
        <v>20478459</v>
      </c>
      <c r="D44" s="165">
        <v>20</v>
      </c>
      <c r="E44" s="166">
        <v>20252</v>
      </c>
      <c r="F44" s="171">
        <v>1023923</v>
      </c>
    </row>
    <row r="45" spans="1:6" ht="16.5" customHeight="1">
      <c r="A45" s="168">
        <v>41365</v>
      </c>
      <c r="B45" s="172">
        <v>423835</v>
      </c>
      <c r="C45" s="165">
        <v>21031319</v>
      </c>
      <c r="D45" s="165">
        <v>20</v>
      </c>
      <c r="E45" s="166">
        <v>21192</v>
      </c>
      <c r="F45" s="171">
        <v>1051565</v>
      </c>
    </row>
    <row r="46" spans="1:6" ht="16.5" customHeight="1">
      <c r="A46" s="168">
        <v>41395</v>
      </c>
      <c r="B46" s="170">
        <v>438561</v>
      </c>
      <c r="C46" s="165">
        <v>22595813</v>
      </c>
      <c r="D46" s="165">
        <v>22</v>
      </c>
      <c r="E46" s="166">
        <v>19935</v>
      </c>
      <c r="F46" s="171">
        <v>1027082.4090909091</v>
      </c>
    </row>
    <row r="47" spans="1:6" ht="16.5" customHeight="1">
      <c r="A47" s="173">
        <v>41426</v>
      </c>
      <c r="B47" s="172">
        <v>386585</v>
      </c>
      <c r="C47" s="165">
        <v>20300449</v>
      </c>
      <c r="D47" s="165">
        <v>20</v>
      </c>
      <c r="E47" s="166">
        <v>19329</v>
      </c>
      <c r="F47" s="171">
        <v>1015022</v>
      </c>
    </row>
    <row r="48" spans="1:6" ht="16.5" customHeight="1">
      <c r="A48" s="173">
        <v>41456</v>
      </c>
      <c r="B48" s="172">
        <v>458023</v>
      </c>
      <c r="C48" s="165">
        <v>23757105</v>
      </c>
      <c r="D48" s="165">
        <v>23</v>
      </c>
      <c r="E48" s="166">
        <v>19914</v>
      </c>
      <c r="F48" s="171">
        <v>1032918</v>
      </c>
    </row>
    <row r="49" spans="1:6" ht="16.5" customHeight="1">
      <c r="A49" s="168">
        <v>41487</v>
      </c>
      <c r="B49" s="172">
        <v>397266</v>
      </c>
      <c r="C49" s="165">
        <v>22034024</v>
      </c>
      <c r="D49" s="165">
        <v>21</v>
      </c>
      <c r="E49" s="166">
        <v>18917</v>
      </c>
      <c r="F49" s="171">
        <v>1049239</v>
      </c>
    </row>
    <row r="50" spans="1:6" ht="16.5" customHeight="1">
      <c r="A50" s="168">
        <v>41518</v>
      </c>
      <c r="B50" s="172">
        <v>398583</v>
      </c>
      <c r="C50" s="165">
        <v>21175010</v>
      </c>
      <c r="D50" s="165">
        <v>20</v>
      </c>
      <c r="E50" s="166">
        <v>19929</v>
      </c>
      <c r="F50" s="171">
        <v>1058751</v>
      </c>
    </row>
    <row r="51" spans="1:6" ht="16.5" customHeight="1">
      <c r="A51" s="168">
        <v>41548</v>
      </c>
      <c r="B51" s="172">
        <v>452289</v>
      </c>
      <c r="C51" s="165">
        <v>24684836</v>
      </c>
      <c r="D51" s="165">
        <v>23</v>
      </c>
      <c r="E51" s="166">
        <v>19665</v>
      </c>
      <c r="F51" s="171">
        <v>1073254</v>
      </c>
    </row>
    <row r="52" spans="1:6" ht="16.5" customHeight="1">
      <c r="A52" s="168">
        <v>41579</v>
      </c>
      <c r="B52" s="172">
        <v>393808</v>
      </c>
      <c r="C52" s="165">
        <v>20725114</v>
      </c>
      <c r="D52" s="165">
        <v>20</v>
      </c>
      <c r="E52" s="166">
        <v>19690</v>
      </c>
      <c r="F52" s="171">
        <v>1036256</v>
      </c>
    </row>
    <row r="53" spans="1:6" ht="16.5" customHeight="1">
      <c r="A53" s="168">
        <v>41609</v>
      </c>
      <c r="B53" s="172">
        <v>477819</v>
      </c>
      <c r="C53" s="165">
        <v>26505337</v>
      </c>
      <c r="D53" s="165">
        <v>21</v>
      </c>
      <c r="E53" s="166">
        <v>22753</v>
      </c>
      <c r="F53" s="171">
        <v>1262159</v>
      </c>
    </row>
    <row r="54" spans="1:6" ht="16.5" customHeight="1">
      <c r="A54" s="168">
        <v>41653</v>
      </c>
      <c r="B54" s="172">
        <v>374235</v>
      </c>
      <c r="C54" s="165">
        <v>19560273</v>
      </c>
      <c r="D54" s="165">
        <v>19</v>
      </c>
      <c r="E54" s="166">
        <v>19697</v>
      </c>
      <c r="F54" s="171">
        <v>1029488</v>
      </c>
    </row>
    <row r="55" spans="1:6" ht="16.5" customHeight="1">
      <c r="A55" s="168">
        <v>41671</v>
      </c>
      <c r="B55" s="172">
        <v>372478</v>
      </c>
      <c r="C55" s="165">
        <v>19906878</v>
      </c>
      <c r="D55" s="165">
        <v>18</v>
      </c>
      <c r="E55" s="166">
        <v>20693</v>
      </c>
      <c r="F55" s="171">
        <v>1105938</v>
      </c>
    </row>
    <row r="56" spans="1:6" ht="16.5" customHeight="1">
      <c r="A56" s="168">
        <v>41699</v>
      </c>
      <c r="B56" s="172">
        <v>385697</v>
      </c>
      <c r="C56" s="165">
        <v>19847409</v>
      </c>
      <c r="D56" s="165">
        <v>19</v>
      </c>
      <c r="E56" s="166">
        <v>20300</v>
      </c>
      <c r="F56" s="171">
        <v>1044600</v>
      </c>
    </row>
    <row r="57" spans="1:6" ht="16.5" customHeight="1">
      <c r="A57" s="168">
        <v>41743</v>
      </c>
      <c r="B57" s="172">
        <v>444814</v>
      </c>
      <c r="C57" s="165">
        <v>23067406</v>
      </c>
      <c r="D57" s="165">
        <v>22</v>
      </c>
      <c r="E57" s="166">
        <v>20219</v>
      </c>
      <c r="F57" s="171">
        <v>1048518</v>
      </c>
    </row>
    <row r="58" spans="1:6" ht="16.5" customHeight="1">
      <c r="A58" s="168">
        <v>41773</v>
      </c>
      <c r="B58" s="172">
        <v>421691</v>
      </c>
      <c r="C58" s="165">
        <v>22238506</v>
      </c>
      <c r="D58" s="165">
        <v>21</v>
      </c>
      <c r="E58" s="166">
        <v>20081</v>
      </c>
      <c r="F58" s="171">
        <v>1058976</v>
      </c>
    </row>
    <row r="59" spans="1:6" ht="16.5" customHeight="1">
      <c r="A59" s="168">
        <v>41791</v>
      </c>
      <c r="B59" s="172">
        <v>403572</v>
      </c>
      <c r="C59" s="165">
        <v>21524293</v>
      </c>
      <c r="D59" s="165">
        <v>21</v>
      </c>
      <c r="E59" s="166">
        <v>19218</v>
      </c>
      <c r="F59" s="171">
        <v>1024966</v>
      </c>
    </row>
    <row r="60" spans="1:6" ht="16.5" customHeight="1">
      <c r="A60" s="168">
        <v>41821</v>
      </c>
      <c r="B60" s="172">
        <v>432321</v>
      </c>
      <c r="C60" s="165">
        <v>22733366</v>
      </c>
      <c r="D60" s="165">
        <v>22</v>
      </c>
      <c r="E60" s="166">
        <v>19651</v>
      </c>
      <c r="F60" s="171">
        <v>1033335</v>
      </c>
    </row>
    <row r="61" spans="1:6" ht="16.5" customHeight="1">
      <c r="A61" s="168">
        <v>41852</v>
      </c>
      <c r="B61" s="172">
        <v>383127</v>
      </c>
      <c r="C61" s="165">
        <v>20032811</v>
      </c>
      <c r="D61" s="165">
        <v>20</v>
      </c>
      <c r="E61" s="166">
        <v>19156</v>
      </c>
      <c r="F61" s="171">
        <v>1001641</v>
      </c>
    </row>
    <row r="62" spans="1:6" ht="16.5" customHeight="1">
      <c r="A62" s="168">
        <v>41883</v>
      </c>
      <c r="B62" s="172">
        <v>413404</v>
      </c>
      <c r="C62" s="165">
        <v>21889470</v>
      </c>
      <c r="D62" s="165">
        <v>22</v>
      </c>
      <c r="E62" s="166">
        <v>18791</v>
      </c>
      <c r="F62" s="171">
        <v>994976</v>
      </c>
    </row>
    <row r="63" spans="1:6" ht="16.5" customHeight="1">
      <c r="A63" s="168">
        <v>41913</v>
      </c>
      <c r="B63" s="172">
        <v>419457</v>
      </c>
      <c r="C63" s="165">
        <v>22474559</v>
      </c>
      <c r="D63" s="165">
        <v>22</v>
      </c>
      <c r="E63" s="166">
        <v>19066</v>
      </c>
      <c r="F63" s="171">
        <v>1021571</v>
      </c>
    </row>
    <row r="64" spans="1:6" ht="16.5" customHeight="1">
      <c r="A64" s="168">
        <v>41944</v>
      </c>
      <c r="B64" s="172">
        <v>375825</v>
      </c>
      <c r="C64" s="165">
        <v>20664615</v>
      </c>
      <c r="D64" s="165">
        <v>20</v>
      </c>
      <c r="E64" s="166">
        <v>18791</v>
      </c>
      <c r="F64" s="171">
        <v>1033231</v>
      </c>
    </row>
    <row r="65" spans="1:6" ht="16.5" customHeight="1">
      <c r="A65" s="168">
        <v>41974</v>
      </c>
      <c r="B65" s="172">
        <v>455435</v>
      </c>
      <c r="C65" s="165">
        <v>25291403</v>
      </c>
      <c r="D65" s="165">
        <v>21</v>
      </c>
      <c r="E65" s="166">
        <v>21687</v>
      </c>
      <c r="F65" s="171">
        <v>1204353</v>
      </c>
    </row>
    <row r="66" spans="1:6" ht="16.5" customHeight="1">
      <c r="A66" s="168">
        <v>42005</v>
      </c>
      <c r="B66" s="172">
        <v>363305</v>
      </c>
      <c r="C66" s="165">
        <v>17953593</v>
      </c>
      <c r="D66" s="165">
        <v>20</v>
      </c>
      <c r="E66" s="166">
        <v>18165</v>
      </c>
      <c r="F66" s="171">
        <v>897680</v>
      </c>
    </row>
    <row r="67" spans="1:6" ht="16.5" customHeight="1">
      <c r="A67" s="168">
        <v>42036</v>
      </c>
      <c r="B67" s="172">
        <v>337515</v>
      </c>
      <c r="C67" s="165">
        <v>18506021</v>
      </c>
      <c r="D67" s="165">
        <v>17</v>
      </c>
      <c r="E67" s="166">
        <v>19854</v>
      </c>
      <c r="F67" s="171">
        <v>1088589</v>
      </c>
    </row>
    <row r="68" spans="1:6" ht="16.5" customHeight="1">
      <c r="A68" s="168">
        <v>42064</v>
      </c>
      <c r="B68" s="172">
        <v>321981</v>
      </c>
      <c r="C68" s="165">
        <v>16981424</v>
      </c>
      <c r="D68" s="165">
        <v>21</v>
      </c>
      <c r="E68" s="166">
        <v>15332</v>
      </c>
      <c r="F68" s="171">
        <v>808639</v>
      </c>
    </row>
    <row r="69" spans="1:6" ht="16.5" customHeight="1">
      <c r="A69" s="168">
        <v>42095</v>
      </c>
      <c r="B69" s="172">
        <v>398233</v>
      </c>
      <c r="C69" s="165">
        <v>20767752</v>
      </c>
      <c r="D69" s="165">
        <v>22</v>
      </c>
      <c r="E69" s="166">
        <v>18102</v>
      </c>
      <c r="F69" s="171">
        <v>943989</v>
      </c>
    </row>
    <row r="70" spans="1:6" ht="16.5" customHeight="1">
      <c r="A70" s="168">
        <v>42125</v>
      </c>
      <c r="B70" s="172">
        <v>351700</v>
      </c>
      <c r="C70" s="165">
        <v>18484938</v>
      </c>
      <c r="D70" s="165">
        <v>20</v>
      </c>
      <c r="E70" s="166">
        <v>17585</v>
      </c>
      <c r="F70" s="171">
        <v>924247</v>
      </c>
    </row>
    <row r="71" spans="1:6" ht="16.5" customHeight="1">
      <c r="A71" s="168">
        <v>42156</v>
      </c>
      <c r="B71" s="172">
        <v>402427</v>
      </c>
      <c r="C71" s="165">
        <v>22461853</v>
      </c>
      <c r="D71" s="165">
        <v>22</v>
      </c>
      <c r="E71" s="166">
        <v>18292</v>
      </c>
      <c r="F71" s="171">
        <v>1021039</v>
      </c>
    </row>
    <row r="72" spans="1:6" ht="16.5" customHeight="1" thickBot="1">
      <c r="A72" s="174">
        <v>42186</v>
      </c>
      <c r="B72" s="175">
        <v>408924</v>
      </c>
      <c r="C72" s="176">
        <v>22778237</v>
      </c>
      <c r="D72" s="176">
        <v>23</v>
      </c>
      <c r="E72" s="177">
        <v>17779</v>
      </c>
      <c r="F72" s="178">
        <v>990358</v>
      </c>
    </row>
    <row r="73" spans="1:6" ht="15.75" thickTop="1">
      <c r="A73" s="179" t="s">
        <v>124</v>
      </c>
      <c r="B73" s="180"/>
      <c r="C73" s="180"/>
      <c r="D73" s="180"/>
      <c r="E73" s="180"/>
      <c r="F73" s="180"/>
    </row>
  </sheetData>
  <pageMargins left="0.70866141732283472" right="0.70866141732283472" top="0.74803149606299213" bottom="0.55118110236220474" header="0.31496062992125984" footer="0.31496062992125984"/>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zoomScaleNormal="100" workbookViewId="0">
      <selection activeCell="H12" sqref="H12"/>
    </sheetView>
  </sheetViews>
  <sheetFormatPr defaultRowHeight="15.75"/>
  <cols>
    <col min="1" max="1" width="51.7109375" style="1" customWidth="1"/>
    <col min="2" max="2" width="25.85546875" style="2" customWidth="1"/>
    <col min="3" max="3" width="12.85546875" style="2" customWidth="1"/>
    <col min="4" max="4" width="24" style="1" customWidth="1"/>
    <col min="5" max="5" width="8.85546875" style="1" customWidth="1"/>
    <col min="6" max="6" width="10.42578125" style="1" customWidth="1"/>
    <col min="7" max="7" width="16.28515625" style="1" bestFit="1" customWidth="1"/>
    <col min="8" max="16384" width="9.140625" style="1"/>
  </cols>
  <sheetData>
    <row r="1" spans="1:7" ht="18.75">
      <c r="A1" s="19" t="s">
        <v>47</v>
      </c>
      <c r="B1" s="5"/>
      <c r="C1" s="5"/>
      <c r="D1" s="4"/>
      <c r="E1" s="4"/>
      <c r="F1" s="6"/>
    </row>
    <row r="2" spans="1:7" ht="19.5" thickBot="1">
      <c r="A2" s="7"/>
      <c r="B2" s="8"/>
      <c r="C2" s="8"/>
      <c r="D2" s="7"/>
      <c r="E2" s="7"/>
      <c r="F2" s="9"/>
    </row>
    <row r="3" spans="1:7" ht="19.5" thickTop="1">
      <c r="A3" s="20"/>
      <c r="B3" s="21">
        <v>42156</v>
      </c>
      <c r="C3" s="21"/>
      <c r="D3" s="21">
        <v>42125</v>
      </c>
      <c r="E3" s="22"/>
      <c r="F3" s="10"/>
    </row>
    <row r="4" spans="1:7" ht="18.75">
      <c r="A4" s="23"/>
      <c r="B4" s="24" t="s">
        <v>2</v>
      </c>
      <c r="C4" s="24"/>
      <c r="D4" s="24" t="s">
        <v>2</v>
      </c>
      <c r="E4" s="25"/>
      <c r="F4" s="10"/>
    </row>
    <row r="5" spans="1:7" ht="18.75">
      <c r="A5" s="26" t="s">
        <v>3</v>
      </c>
      <c r="B5" s="11"/>
      <c r="C5" s="11"/>
      <c r="D5" s="11"/>
      <c r="E5" s="12"/>
      <c r="F5" s="10"/>
    </row>
    <row r="6" spans="1:7" ht="18.75">
      <c r="A6" s="27" t="s">
        <v>1</v>
      </c>
      <c r="B6" s="11"/>
      <c r="C6" s="11"/>
      <c r="D6" s="11"/>
      <c r="E6" s="12"/>
      <c r="F6" s="10"/>
    </row>
    <row r="7" spans="1:7" ht="18.75">
      <c r="A7" s="29" t="s">
        <v>5</v>
      </c>
      <c r="B7" s="30">
        <v>52835033779.660248</v>
      </c>
      <c r="C7" s="30"/>
      <c r="D7" s="30">
        <v>50961449934.245522</v>
      </c>
      <c r="E7" s="13"/>
      <c r="F7" s="10"/>
      <c r="G7" s="3"/>
    </row>
    <row r="8" spans="1:7" ht="18.75">
      <c r="A8" s="29" t="s">
        <v>37</v>
      </c>
      <c r="B8" s="30" t="s">
        <v>42</v>
      </c>
      <c r="C8" s="31"/>
      <c r="D8" s="30" t="s">
        <v>42</v>
      </c>
      <c r="E8" s="13"/>
      <c r="F8" s="10"/>
      <c r="G8" s="3"/>
    </row>
    <row r="9" spans="1:7" ht="18.75">
      <c r="A9" s="29" t="s">
        <v>38</v>
      </c>
      <c r="B9" s="32">
        <v>277584791235.26294</v>
      </c>
      <c r="C9" s="33"/>
      <c r="D9" s="32">
        <v>291425926546.86865</v>
      </c>
      <c r="E9" s="13"/>
      <c r="F9" s="10"/>
      <c r="G9" s="3"/>
    </row>
    <row r="10" spans="1:7" ht="18.75">
      <c r="A10" s="29" t="s">
        <v>39</v>
      </c>
      <c r="B10" s="33">
        <v>287104949916.10547</v>
      </c>
      <c r="C10" s="33"/>
      <c r="D10" s="33">
        <v>291531525531.00269</v>
      </c>
      <c r="E10" s="13"/>
      <c r="F10" s="10"/>
      <c r="G10" s="3"/>
    </row>
    <row r="11" spans="1:7" ht="18.75">
      <c r="A11" s="29" t="s">
        <v>45</v>
      </c>
      <c r="B11" s="34">
        <v>98634159722.923279</v>
      </c>
      <c r="C11" s="33"/>
      <c r="D11" s="34">
        <v>101986891668.57993</v>
      </c>
      <c r="E11" s="13"/>
      <c r="F11" s="10"/>
      <c r="G11" s="3"/>
    </row>
    <row r="12" spans="1:7" ht="18.75">
      <c r="A12" s="29"/>
      <c r="B12" s="30">
        <v>663323900874.29175</v>
      </c>
      <c r="C12" s="31"/>
      <c r="D12" s="30">
        <v>684944343746.45129</v>
      </c>
      <c r="E12" s="13"/>
      <c r="F12" s="10"/>
      <c r="G12" s="3"/>
    </row>
    <row r="13" spans="1:7" ht="18.75">
      <c r="A13" s="29" t="s">
        <v>7</v>
      </c>
      <c r="B13" s="30">
        <v>94240773460.62709</v>
      </c>
      <c r="C13" s="31"/>
      <c r="D13" s="30">
        <v>91325698681.715851</v>
      </c>
      <c r="E13" s="13"/>
      <c r="F13" s="10"/>
      <c r="G13" s="3"/>
    </row>
    <row r="14" spans="1:7" ht="18.75">
      <c r="A14" s="29" t="s">
        <v>8</v>
      </c>
      <c r="B14" s="30">
        <v>451370735.47571743</v>
      </c>
      <c r="C14" s="31"/>
      <c r="D14" s="30">
        <v>439675063.63855654</v>
      </c>
      <c r="E14" s="13"/>
      <c r="F14" s="10"/>
      <c r="G14" s="3"/>
    </row>
    <row r="15" spans="1:7" ht="18.75">
      <c r="A15" s="29" t="s">
        <v>9</v>
      </c>
      <c r="B15" s="30"/>
      <c r="C15" s="31"/>
      <c r="D15" s="30"/>
      <c r="E15" s="13"/>
      <c r="F15" s="10"/>
      <c r="G15" s="3"/>
    </row>
    <row r="16" spans="1:7" ht="18.75">
      <c r="A16" s="29" t="s">
        <v>10</v>
      </c>
      <c r="B16" s="32">
        <v>220283506227.36548</v>
      </c>
      <c r="C16" s="33"/>
      <c r="D16" s="32">
        <v>219024991485.29123</v>
      </c>
      <c r="E16" s="13"/>
      <c r="F16" s="10"/>
      <c r="G16" s="3"/>
    </row>
    <row r="17" spans="1:7" ht="18.75">
      <c r="A17" s="29" t="s">
        <v>11</v>
      </c>
      <c r="B17" s="34">
        <v>0</v>
      </c>
      <c r="C17" s="33"/>
      <c r="D17" s="34">
        <v>0</v>
      </c>
      <c r="E17" s="13"/>
      <c r="F17" s="10"/>
      <c r="G17" s="3"/>
    </row>
    <row r="18" spans="1:7" ht="18.75">
      <c r="A18" s="29"/>
      <c r="B18" s="30">
        <v>220283506227.36548</v>
      </c>
      <c r="C18" s="31"/>
      <c r="D18" s="30">
        <v>219024991485.29123</v>
      </c>
      <c r="E18" s="13"/>
      <c r="F18" s="10"/>
      <c r="G18" s="3"/>
    </row>
    <row r="19" spans="1:7" ht="18.75">
      <c r="A19" s="29" t="s">
        <v>12</v>
      </c>
      <c r="B19" s="30"/>
      <c r="C19" s="31"/>
      <c r="D19" s="30"/>
      <c r="E19" s="13"/>
      <c r="F19" s="10"/>
      <c r="G19" s="3"/>
    </row>
    <row r="20" spans="1:7" ht="18.75">
      <c r="A20" s="29" t="s">
        <v>13</v>
      </c>
      <c r="B20" s="32">
        <v>9466840127.0501976</v>
      </c>
      <c r="C20" s="33"/>
      <c r="D20" s="32">
        <v>9627647888.3516006</v>
      </c>
      <c r="E20" s="13"/>
      <c r="F20" s="10"/>
      <c r="G20" s="3"/>
    </row>
    <row r="21" spans="1:7" ht="18.75">
      <c r="A21" s="29" t="s">
        <v>41</v>
      </c>
      <c r="B21" s="34">
        <v>86957110292.337952</v>
      </c>
      <c r="C21" s="33"/>
      <c r="D21" s="34">
        <v>85271238368.41095</v>
      </c>
      <c r="E21" s="13"/>
      <c r="F21" s="10"/>
      <c r="G21" s="3"/>
    </row>
    <row r="22" spans="1:7" ht="18.75">
      <c r="A22" s="29"/>
      <c r="B22" s="30">
        <v>96423950419.388153</v>
      </c>
      <c r="C22" s="31"/>
      <c r="D22" s="30">
        <v>94898886256.762543</v>
      </c>
      <c r="E22" s="13"/>
      <c r="F22" s="10"/>
      <c r="G22" s="3"/>
    </row>
    <row r="23" spans="1:7" ht="18.75">
      <c r="A23" s="29" t="s">
        <v>14</v>
      </c>
      <c r="B23" s="30">
        <v>5591231086.2118425</v>
      </c>
      <c r="C23" s="31"/>
      <c r="D23" s="30">
        <v>5281217773.6331854</v>
      </c>
      <c r="E23" s="13"/>
      <c r="F23" s="10"/>
      <c r="G23" s="3"/>
    </row>
    <row r="24" spans="1:7" ht="18.75">
      <c r="A24" s="29" t="s">
        <v>15</v>
      </c>
      <c r="B24" s="30">
        <v>25149816566.560287</v>
      </c>
      <c r="C24" s="31"/>
      <c r="D24" s="30">
        <v>25037925741.902763</v>
      </c>
      <c r="E24" s="13"/>
      <c r="F24" s="10"/>
      <c r="G24" s="3"/>
    </row>
    <row r="25" spans="1:7" ht="18.75">
      <c r="A25" s="29" t="s">
        <v>16</v>
      </c>
      <c r="B25" s="35">
        <v>25023251484.378078</v>
      </c>
      <c r="C25" s="31"/>
      <c r="D25" s="35">
        <v>24442300590.442863</v>
      </c>
      <c r="E25" s="13"/>
      <c r="F25" s="10"/>
      <c r="G25" s="3"/>
    </row>
    <row r="26" spans="1:7" ht="18.75">
      <c r="A26" s="29"/>
      <c r="B26" s="30">
        <v>1183322834633.9587</v>
      </c>
      <c r="C26" s="31"/>
      <c r="D26" s="30">
        <v>1196356489274.084</v>
      </c>
      <c r="E26" s="13"/>
      <c r="F26" s="10"/>
      <c r="G26" s="3"/>
    </row>
    <row r="27" spans="1:7" ht="18.75">
      <c r="A27" s="36" t="s">
        <v>17</v>
      </c>
      <c r="B27" s="30"/>
      <c r="C27" s="31"/>
      <c r="D27" s="30"/>
      <c r="E27" s="13"/>
      <c r="F27" s="10"/>
      <c r="G27" s="3"/>
    </row>
    <row r="28" spans="1:7" ht="18.75">
      <c r="A28" s="37" t="s">
        <v>0</v>
      </c>
      <c r="B28" s="30"/>
      <c r="C28" s="31"/>
      <c r="D28" s="30"/>
      <c r="E28" s="13"/>
      <c r="F28" s="10"/>
      <c r="G28" s="3"/>
    </row>
    <row r="29" spans="1:7" ht="18.75">
      <c r="A29" s="29" t="s">
        <v>6</v>
      </c>
      <c r="B29" s="30"/>
      <c r="C29" s="31"/>
      <c r="D29" s="30"/>
      <c r="E29" s="13"/>
      <c r="F29" s="10"/>
      <c r="G29" s="3"/>
    </row>
    <row r="30" spans="1:7" ht="18.75">
      <c r="A30" s="29" t="s">
        <v>18</v>
      </c>
      <c r="B30" s="32">
        <v>374777144499.53711</v>
      </c>
      <c r="C30" s="33"/>
      <c r="D30" s="32">
        <v>375295104416.86749</v>
      </c>
      <c r="E30" s="13"/>
      <c r="F30" s="10"/>
      <c r="G30" s="3"/>
    </row>
    <row r="31" spans="1:7" ht="18.75">
      <c r="A31" s="29" t="s">
        <v>19</v>
      </c>
      <c r="B31" s="33">
        <v>192843345339.41595</v>
      </c>
      <c r="C31" s="33"/>
      <c r="D31" s="33">
        <v>188712777016.48401</v>
      </c>
      <c r="E31" s="13"/>
      <c r="F31" s="10"/>
      <c r="G31" s="3"/>
    </row>
    <row r="32" spans="1:7" ht="18.75">
      <c r="A32" s="29" t="s">
        <v>20</v>
      </c>
      <c r="B32" s="33">
        <v>301785051277.60712</v>
      </c>
      <c r="C32" s="33"/>
      <c r="D32" s="33">
        <v>311504197510.30359</v>
      </c>
      <c r="E32" s="13"/>
      <c r="F32" s="10"/>
      <c r="G32" s="3"/>
    </row>
    <row r="33" spans="1:7" ht="18.75">
      <c r="A33" s="29" t="s">
        <v>46</v>
      </c>
      <c r="B33" s="34">
        <v>55597096.013673007</v>
      </c>
      <c r="C33" s="33" t="s">
        <v>42</v>
      </c>
      <c r="D33" s="34">
        <v>54771191.587898001</v>
      </c>
      <c r="E33" s="13"/>
      <c r="F33" s="10"/>
      <c r="G33" s="3"/>
    </row>
    <row r="34" spans="1:7" ht="18.75">
      <c r="A34" s="29"/>
      <c r="B34" s="30">
        <v>869461138212.57397</v>
      </c>
      <c r="C34" s="31"/>
      <c r="D34" s="30">
        <v>875566850135.24304</v>
      </c>
      <c r="E34" s="13"/>
      <c r="F34" s="10"/>
      <c r="G34" s="3"/>
    </row>
    <row r="35" spans="1:7" ht="18.75">
      <c r="A35" s="29" t="s">
        <v>21</v>
      </c>
      <c r="B35" s="30"/>
      <c r="C35" s="31"/>
      <c r="D35" s="30"/>
      <c r="E35" s="13"/>
      <c r="F35" s="10"/>
      <c r="G35" s="3"/>
    </row>
    <row r="36" spans="1:7" ht="18.75">
      <c r="A36" s="29" t="s">
        <v>22</v>
      </c>
      <c r="B36" s="32">
        <v>1858683604.9278798</v>
      </c>
      <c r="C36" s="33"/>
      <c r="D36" s="32">
        <v>1971178273.8236408</v>
      </c>
      <c r="E36" s="13"/>
      <c r="F36" s="10"/>
      <c r="G36" s="3"/>
    </row>
    <row r="37" spans="1:7" ht="18.75">
      <c r="A37" s="29" t="s">
        <v>40</v>
      </c>
      <c r="B37" s="33">
        <v>4454774333.8005285</v>
      </c>
      <c r="C37" s="33"/>
      <c r="D37" s="33">
        <v>4885945643.1741199</v>
      </c>
      <c r="E37" s="13"/>
      <c r="F37" s="10"/>
      <c r="G37" s="3"/>
    </row>
    <row r="38" spans="1:7" ht="18.75">
      <c r="A38" s="29" t="s">
        <v>44</v>
      </c>
      <c r="B38" s="33">
        <v>108317995853.88718</v>
      </c>
      <c r="C38" s="33"/>
      <c r="D38" s="33">
        <v>113888005609.96225</v>
      </c>
      <c r="E38" s="13"/>
      <c r="F38" s="10"/>
      <c r="G38" s="3"/>
    </row>
    <row r="39" spans="1:7" ht="18.75">
      <c r="A39" s="29" t="s">
        <v>23</v>
      </c>
      <c r="B39" s="34">
        <v>6202064394.0400009</v>
      </c>
      <c r="C39" s="33"/>
      <c r="D39" s="34">
        <v>7208038195.9800005</v>
      </c>
      <c r="E39" s="13"/>
      <c r="F39" s="10"/>
      <c r="G39" s="3"/>
    </row>
    <row r="40" spans="1:7" ht="18.75">
      <c r="A40" s="29"/>
      <c r="B40" s="30">
        <v>120833518186.65558</v>
      </c>
      <c r="C40" s="31"/>
      <c r="D40" s="30">
        <v>127953167722.94</v>
      </c>
      <c r="E40" s="13"/>
      <c r="F40" s="10"/>
      <c r="G40" s="3"/>
    </row>
    <row r="41" spans="1:7" ht="18.75">
      <c r="A41" s="29" t="s">
        <v>24</v>
      </c>
      <c r="B41" s="30">
        <v>60044376460.478127</v>
      </c>
      <c r="C41" s="31"/>
      <c r="D41" s="30">
        <v>58630965112.444366</v>
      </c>
      <c r="E41" s="13"/>
      <c r="F41" s="10"/>
      <c r="G41" s="3"/>
    </row>
    <row r="42" spans="1:7" ht="18.75">
      <c r="A42" s="29"/>
      <c r="B42" s="38">
        <v>1050339032859.7076</v>
      </c>
      <c r="C42" s="31"/>
      <c r="D42" s="38">
        <v>1062150982970.6274</v>
      </c>
      <c r="E42" s="13"/>
      <c r="F42" s="10"/>
      <c r="G42" s="3"/>
    </row>
    <row r="43" spans="1:7" ht="19.5" thickBot="1">
      <c r="A43" s="29"/>
      <c r="B43" s="39">
        <v>132983801775.2511</v>
      </c>
      <c r="C43" s="40"/>
      <c r="D43" s="39">
        <v>134205506304.45654</v>
      </c>
      <c r="E43" s="14"/>
      <c r="F43" s="10"/>
      <c r="G43" s="3"/>
    </row>
    <row r="44" spans="1:7" ht="19.5" thickTop="1">
      <c r="A44" s="37" t="s">
        <v>25</v>
      </c>
      <c r="B44" s="30"/>
      <c r="C44" s="31"/>
      <c r="D44" s="30"/>
      <c r="E44" s="13"/>
      <c r="F44" s="10"/>
      <c r="G44" s="3"/>
    </row>
    <row r="45" spans="1:7" ht="18.75">
      <c r="A45" s="37" t="s">
        <v>26</v>
      </c>
      <c r="B45" s="30"/>
      <c r="C45" s="31"/>
      <c r="D45" s="30"/>
      <c r="E45" s="13"/>
      <c r="F45" s="10"/>
      <c r="G45" s="3"/>
    </row>
    <row r="46" spans="1:7" ht="18.75">
      <c r="A46" s="29" t="s">
        <v>27</v>
      </c>
      <c r="B46" s="32">
        <v>58279382799.351753</v>
      </c>
      <c r="C46" s="33"/>
      <c r="D46" s="32">
        <v>51720789279.209496</v>
      </c>
      <c r="E46" s="13"/>
      <c r="F46" s="10"/>
      <c r="G46" s="3"/>
    </row>
    <row r="47" spans="1:7" ht="18.75">
      <c r="A47" s="29" t="s">
        <v>4</v>
      </c>
      <c r="B47" s="34">
        <v>58047395415.158157</v>
      </c>
      <c r="C47" s="33"/>
      <c r="D47" s="34">
        <v>61200714889.539474</v>
      </c>
      <c r="E47" s="13"/>
      <c r="F47" s="10"/>
      <c r="G47" s="3"/>
    </row>
    <row r="48" spans="1:7" ht="18.75">
      <c r="A48" s="29"/>
      <c r="B48" s="30">
        <v>116326778214.50992</v>
      </c>
      <c r="C48" s="31"/>
      <c r="D48" s="30">
        <v>112921504168.74896</v>
      </c>
      <c r="E48" s="13"/>
      <c r="F48" s="10"/>
      <c r="G48" s="3"/>
    </row>
    <row r="49" spans="1:7" ht="18.75">
      <c r="A49" s="37" t="s">
        <v>28</v>
      </c>
      <c r="B49" s="30">
        <v>16657023560.740862</v>
      </c>
      <c r="C49" s="31"/>
      <c r="D49" s="30">
        <v>21284002135.707352</v>
      </c>
      <c r="E49" s="13"/>
      <c r="F49" s="10"/>
      <c r="G49" s="3"/>
    </row>
    <row r="50" spans="1:7" ht="19.5" thickBot="1">
      <c r="A50" s="29"/>
      <c r="B50" s="39">
        <v>132983801775.25078</v>
      </c>
      <c r="C50" s="40"/>
      <c r="D50" s="39">
        <v>134205506304.45631</v>
      </c>
      <c r="E50" s="14"/>
      <c r="F50" s="10"/>
      <c r="G50" s="3"/>
    </row>
    <row r="51" spans="1:7" ht="19.5" thickTop="1">
      <c r="A51" s="37" t="s">
        <v>29</v>
      </c>
      <c r="B51" s="30"/>
      <c r="C51" s="31"/>
      <c r="D51" s="30"/>
      <c r="E51" s="13"/>
      <c r="F51" s="10"/>
      <c r="G51" s="3"/>
    </row>
    <row r="52" spans="1:7" ht="18.75">
      <c r="A52" s="29" t="s">
        <v>30</v>
      </c>
      <c r="B52" s="30"/>
      <c r="C52" s="30"/>
      <c r="D52" s="30"/>
      <c r="E52" s="13"/>
      <c r="F52" s="10"/>
      <c r="G52" s="3"/>
    </row>
    <row r="53" spans="1:7" ht="18.75">
      <c r="A53" s="29" t="s">
        <v>31</v>
      </c>
      <c r="B53" s="30"/>
      <c r="C53" s="30"/>
      <c r="D53" s="30"/>
      <c r="E53" s="13"/>
      <c r="F53" s="10"/>
      <c r="G53" s="3"/>
    </row>
    <row r="54" spans="1:7" ht="18.75">
      <c r="A54" s="29" t="s">
        <v>32</v>
      </c>
      <c r="B54" s="30">
        <v>49250028783.547562</v>
      </c>
      <c r="C54" s="30"/>
      <c r="D54" s="30">
        <v>51540384329.088501</v>
      </c>
      <c r="E54" s="13"/>
      <c r="F54" s="10"/>
      <c r="G54" s="3"/>
    </row>
    <row r="55" spans="1:7" ht="18.75">
      <c r="A55" s="29" t="s">
        <v>33</v>
      </c>
      <c r="B55" s="30">
        <v>887410502.53614008</v>
      </c>
      <c r="C55" s="30"/>
      <c r="D55" s="30">
        <v>7693745052.7419367</v>
      </c>
      <c r="E55" s="13"/>
      <c r="F55" s="10"/>
      <c r="G55" s="3"/>
    </row>
    <row r="56" spans="1:7" ht="18.75">
      <c r="A56" s="29" t="s">
        <v>34</v>
      </c>
      <c r="B56" s="30">
        <v>1778615455.0709925</v>
      </c>
      <c r="C56" s="30"/>
      <c r="D56" s="30">
        <v>1719377668.3165412</v>
      </c>
      <c r="E56" s="13"/>
      <c r="F56" s="10"/>
      <c r="G56" s="3"/>
    </row>
    <row r="57" spans="1:7" ht="18.75">
      <c r="A57" s="41" t="s">
        <v>35</v>
      </c>
      <c r="B57" s="31">
        <v>23356563910.461124</v>
      </c>
      <c r="C57" s="31"/>
      <c r="D57" s="31">
        <v>19302102252.937092</v>
      </c>
      <c r="E57" s="13"/>
      <c r="F57" s="9"/>
      <c r="G57" s="3"/>
    </row>
    <row r="58" spans="1:7" ht="18.75">
      <c r="A58" s="29" t="s">
        <v>36</v>
      </c>
      <c r="B58" s="31">
        <v>23450824514.833813</v>
      </c>
      <c r="C58" s="31"/>
      <c r="D58" s="31">
        <v>19338257144.975956</v>
      </c>
      <c r="E58" s="13"/>
      <c r="F58" s="9"/>
      <c r="G58" s="3"/>
    </row>
    <row r="59" spans="1:7" ht="19.5" thickBot="1">
      <c r="A59" s="28"/>
      <c r="B59" s="15"/>
      <c r="C59" s="15"/>
      <c r="D59" s="15"/>
      <c r="E59" s="16"/>
      <c r="F59" s="9"/>
      <c r="G59" s="3"/>
    </row>
    <row r="60" spans="1:7" ht="1.5" customHeight="1" thickTop="1">
      <c r="A60" s="42"/>
      <c r="B60" s="17"/>
      <c r="C60" s="17"/>
      <c r="D60" s="9"/>
      <c r="E60" s="9"/>
      <c r="F60" s="9"/>
    </row>
    <row r="61" spans="1:7" ht="18.75">
      <c r="A61" s="18"/>
      <c r="B61" s="17"/>
      <c r="C61" s="17"/>
      <c r="D61" s="9"/>
      <c r="E61" s="9"/>
      <c r="F61" s="9"/>
    </row>
    <row r="62" spans="1:7" ht="18" customHeight="1">
      <c r="A62" s="43" t="s">
        <v>43</v>
      </c>
      <c r="B62" s="17"/>
      <c r="C62" s="17"/>
      <c r="D62" s="9"/>
      <c r="E62" s="9"/>
      <c r="F62" s="9"/>
    </row>
    <row r="63" spans="1:7" ht="18.75">
      <c r="A63" s="9"/>
      <c r="B63" s="17" t="s">
        <v>42</v>
      </c>
      <c r="C63" s="17"/>
      <c r="D63" s="9"/>
      <c r="E63" s="9"/>
      <c r="F63" s="9"/>
    </row>
  </sheetData>
  <phoneticPr fontId="0" type="noConversion"/>
  <printOptions horizontalCentered="1" verticalCentered="1"/>
  <pageMargins left="0" right="0" top="0" bottom="0" header="0" footer="0"/>
  <pageSetup scale="67"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Q66"/>
  <sheetViews>
    <sheetView zoomScaleNormal="100" zoomScaleSheetLayoutView="93" workbookViewId="0">
      <selection activeCell="DS20" sqref="DS20"/>
    </sheetView>
  </sheetViews>
  <sheetFormatPr defaultRowHeight="15"/>
  <cols>
    <col min="1" max="1" width="64" style="242" customWidth="1"/>
    <col min="2" max="3" width="11" style="242" hidden="1" customWidth="1"/>
    <col min="4" max="4" width="10.140625" style="242" hidden="1" customWidth="1"/>
    <col min="5" max="6" width="9.140625" style="242" hidden="1" customWidth="1"/>
    <col min="7" max="7" width="10.42578125" style="242" hidden="1" customWidth="1"/>
    <col min="8" max="8" width="11.42578125" style="242" hidden="1" customWidth="1"/>
    <col min="9" max="9" width="10" style="242" hidden="1" customWidth="1"/>
    <col min="10" max="10" width="10.42578125" style="242" hidden="1" customWidth="1"/>
    <col min="11" max="11" width="11.28515625" style="242" hidden="1" customWidth="1"/>
    <col min="12" max="12" width="10.5703125" style="242" hidden="1" customWidth="1"/>
    <col min="13" max="13" width="10.42578125" style="242" hidden="1" customWidth="1"/>
    <col min="14" max="14" width="10.140625" style="242" hidden="1" customWidth="1"/>
    <col min="15" max="15" width="11.85546875" style="242" hidden="1" customWidth="1"/>
    <col min="16" max="16" width="12.5703125" style="242" hidden="1" customWidth="1"/>
    <col min="17" max="17" width="10.5703125" style="242" hidden="1" customWidth="1"/>
    <col min="18" max="48" width="11" style="242" hidden="1" customWidth="1"/>
    <col min="49" max="49" width="10" style="242" hidden="1" customWidth="1"/>
    <col min="50" max="51" width="11" style="242" hidden="1" customWidth="1"/>
    <col min="52" max="52" width="10.42578125" style="242" hidden="1" customWidth="1"/>
    <col min="53" max="54" width="11" style="242" hidden="1" customWidth="1"/>
    <col min="55" max="55" width="10" style="242" hidden="1" customWidth="1"/>
    <col min="56" max="58" width="11" style="242" hidden="1" customWidth="1"/>
    <col min="59" max="59" width="10.42578125" style="242" hidden="1" customWidth="1"/>
    <col min="60" max="60" width="10.42578125" style="243" hidden="1" customWidth="1"/>
    <col min="61" max="61" width="12.85546875" style="243" hidden="1" customWidth="1"/>
    <col min="62" max="65" width="10" style="243" hidden="1" customWidth="1"/>
    <col min="66" max="67" width="10" style="242" hidden="1" customWidth="1"/>
    <col min="68" max="70" width="11.5703125" style="242" hidden="1" customWidth="1"/>
    <col min="71" max="72" width="11.140625" style="242" hidden="1" customWidth="1"/>
    <col min="73" max="79" width="10.7109375" style="242" hidden="1" customWidth="1"/>
    <col min="80" max="80" width="9.7109375" style="242" hidden="1" customWidth="1"/>
    <col min="81" max="82" width="9.85546875" style="242" hidden="1" customWidth="1"/>
    <col min="83" max="83" width="9.28515625" style="242" hidden="1" customWidth="1"/>
    <col min="84" max="84" width="9.85546875" style="242" hidden="1" customWidth="1"/>
    <col min="85" max="85" width="9.5703125" style="242" hidden="1" customWidth="1"/>
    <col min="86" max="86" width="0" style="242" hidden="1" customWidth="1"/>
    <col min="87" max="87" width="9.42578125" style="242" hidden="1" customWidth="1"/>
    <col min="88" max="90" width="0" style="242" hidden="1" customWidth="1"/>
    <col min="91" max="91" width="9.140625" style="242" hidden="1" customWidth="1"/>
    <col min="92" max="94" width="9.28515625" style="242" hidden="1" customWidth="1"/>
    <col min="95" max="95" width="13.28515625" style="242" hidden="1" customWidth="1"/>
    <col min="96" max="106" width="14.7109375" style="242" hidden="1" customWidth="1"/>
    <col min="107" max="108" width="14.7109375" style="186" hidden="1" customWidth="1"/>
    <col min="109" max="121" width="14.7109375" style="186" customWidth="1"/>
    <col min="122" max="256" width="9.140625" style="242"/>
    <col min="257" max="257" width="55.7109375" style="242" customWidth="1"/>
    <col min="258" max="349" width="0" style="242" hidden="1" customWidth="1"/>
    <col min="350" max="351" width="9.28515625" style="242" customWidth="1"/>
    <col min="352" max="362" width="10.28515625" style="242" customWidth="1"/>
    <col min="363" max="512" width="9.140625" style="242"/>
    <col min="513" max="513" width="55.7109375" style="242" customWidth="1"/>
    <col min="514" max="605" width="0" style="242" hidden="1" customWidth="1"/>
    <col min="606" max="607" width="9.28515625" style="242" customWidth="1"/>
    <col min="608" max="618" width="10.28515625" style="242" customWidth="1"/>
    <col min="619" max="768" width="9.140625" style="242"/>
    <col min="769" max="769" width="55.7109375" style="242" customWidth="1"/>
    <col min="770" max="861" width="0" style="242" hidden="1" customWidth="1"/>
    <col min="862" max="863" width="9.28515625" style="242" customWidth="1"/>
    <col min="864" max="874" width="10.28515625" style="242" customWidth="1"/>
    <col min="875" max="1024" width="9.140625" style="242"/>
    <col min="1025" max="1025" width="55.7109375" style="242" customWidth="1"/>
    <col min="1026" max="1117" width="0" style="242" hidden="1" customWidth="1"/>
    <col min="1118" max="1119" width="9.28515625" style="242" customWidth="1"/>
    <col min="1120" max="1130" width="10.28515625" style="242" customWidth="1"/>
    <col min="1131" max="1280" width="9.140625" style="242"/>
    <col min="1281" max="1281" width="55.7109375" style="242" customWidth="1"/>
    <col min="1282" max="1373" width="0" style="242" hidden="1" customWidth="1"/>
    <col min="1374" max="1375" width="9.28515625" style="242" customWidth="1"/>
    <col min="1376" max="1386" width="10.28515625" style="242" customWidth="1"/>
    <col min="1387" max="1536" width="9.140625" style="242"/>
    <col min="1537" max="1537" width="55.7109375" style="242" customWidth="1"/>
    <col min="1538" max="1629" width="0" style="242" hidden="1" customWidth="1"/>
    <col min="1630" max="1631" width="9.28515625" style="242" customWidth="1"/>
    <col min="1632" max="1642" width="10.28515625" style="242" customWidth="1"/>
    <col min="1643" max="1792" width="9.140625" style="242"/>
    <col min="1793" max="1793" width="55.7109375" style="242" customWidth="1"/>
    <col min="1794" max="1885" width="0" style="242" hidden="1" customWidth="1"/>
    <col min="1886" max="1887" width="9.28515625" style="242" customWidth="1"/>
    <col min="1888" max="1898" width="10.28515625" style="242" customWidth="1"/>
    <col min="1899" max="2048" width="9.140625" style="242"/>
    <col min="2049" max="2049" width="55.7109375" style="242" customWidth="1"/>
    <col min="2050" max="2141" width="0" style="242" hidden="1" customWidth="1"/>
    <col min="2142" max="2143" width="9.28515625" style="242" customWidth="1"/>
    <col min="2144" max="2154" width="10.28515625" style="242" customWidth="1"/>
    <col min="2155" max="2304" width="9.140625" style="242"/>
    <col min="2305" max="2305" width="55.7109375" style="242" customWidth="1"/>
    <col min="2306" max="2397" width="0" style="242" hidden="1" customWidth="1"/>
    <col min="2398" max="2399" width="9.28515625" style="242" customWidth="1"/>
    <col min="2400" max="2410" width="10.28515625" style="242" customWidth="1"/>
    <col min="2411" max="2560" width="9.140625" style="242"/>
    <col min="2561" max="2561" width="55.7109375" style="242" customWidth="1"/>
    <col min="2562" max="2653" width="0" style="242" hidden="1" customWidth="1"/>
    <col min="2654" max="2655" width="9.28515625" style="242" customWidth="1"/>
    <col min="2656" max="2666" width="10.28515625" style="242" customWidth="1"/>
    <col min="2667" max="2816" width="9.140625" style="242"/>
    <col min="2817" max="2817" width="55.7109375" style="242" customWidth="1"/>
    <col min="2818" max="2909" width="0" style="242" hidden="1" customWidth="1"/>
    <col min="2910" max="2911" width="9.28515625" style="242" customWidth="1"/>
    <col min="2912" max="2922" width="10.28515625" style="242" customWidth="1"/>
    <col min="2923" max="3072" width="9.140625" style="242"/>
    <col min="3073" max="3073" width="55.7109375" style="242" customWidth="1"/>
    <col min="3074" max="3165" width="0" style="242" hidden="1" customWidth="1"/>
    <col min="3166" max="3167" width="9.28515625" style="242" customWidth="1"/>
    <col min="3168" max="3178" width="10.28515625" style="242" customWidth="1"/>
    <col min="3179" max="3328" width="9.140625" style="242"/>
    <col min="3329" max="3329" width="55.7109375" style="242" customWidth="1"/>
    <col min="3330" max="3421" width="0" style="242" hidden="1" customWidth="1"/>
    <col min="3422" max="3423" width="9.28515625" style="242" customWidth="1"/>
    <col min="3424" max="3434" width="10.28515625" style="242" customWidth="1"/>
    <col min="3435" max="3584" width="9.140625" style="242"/>
    <col min="3585" max="3585" width="55.7109375" style="242" customWidth="1"/>
    <col min="3586" max="3677" width="0" style="242" hidden="1" customWidth="1"/>
    <col min="3678" max="3679" width="9.28515625" style="242" customWidth="1"/>
    <col min="3680" max="3690" width="10.28515625" style="242" customWidth="1"/>
    <col min="3691" max="3840" width="9.140625" style="242"/>
    <col min="3841" max="3841" width="55.7109375" style="242" customWidth="1"/>
    <col min="3842" max="3933" width="0" style="242" hidden="1" customWidth="1"/>
    <col min="3934" max="3935" width="9.28515625" style="242" customWidth="1"/>
    <col min="3936" max="3946" width="10.28515625" style="242" customWidth="1"/>
    <col min="3947" max="4096" width="9.140625" style="242"/>
    <col min="4097" max="4097" width="55.7109375" style="242" customWidth="1"/>
    <col min="4098" max="4189" width="0" style="242" hidden="1" customWidth="1"/>
    <col min="4190" max="4191" width="9.28515625" style="242" customWidth="1"/>
    <col min="4192" max="4202" width="10.28515625" style="242" customWidth="1"/>
    <col min="4203" max="4352" width="9.140625" style="242"/>
    <col min="4353" max="4353" width="55.7109375" style="242" customWidth="1"/>
    <col min="4354" max="4445" width="0" style="242" hidden="1" customWidth="1"/>
    <col min="4446" max="4447" width="9.28515625" style="242" customWidth="1"/>
    <col min="4448" max="4458" width="10.28515625" style="242" customWidth="1"/>
    <col min="4459" max="4608" width="9.140625" style="242"/>
    <col min="4609" max="4609" width="55.7109375" style="242" customWidth="1"/>
    <col min="4610" max="4701" width="0" style="242" hidden="1" customWidth="1"/>
    <col min="4702" max="4703" width="9.28515625" style="242" customWidth="1"/>
    <col min="4704" max="4714" width="10.28515625" style="242" customWidth="1"/>
    <col min="4715" max="4864" width="9.140625" style="242"/>
    <col min="4865" max="4865" width="55.7109375" style="242" customWidth="1"/>
    <col min="4866" max="4957" width="0" style="242" hidden="1" customWidth="1"/>
    <col min="4958" max="4959" width="9.28515625" style="242" customWidth="1"/>
    <col min="4960" max="4970" width="10.28515625" style="242" customWidth="1"/>
    <col min="4971" max="5120" width="9.140625" style="242"/>
    <col min="5121" max="5121" width="55.7109375" style="242" customWidth="1"/>
    <col min="5122" max="5213" width="0" style="242" hidden="1" customWidth="1"/>
    <col min="5214" max="5215" width="9.28515625" style="242" customWidth="1"/>
    <col min="5216" max="5226" width="10.28515625" style="242" customWidth="1"/>
    <col min="5227" max="5376" width="9.140625" style="242"/>
    <col min="5377" max="5377" width="55.7109375" style="242" customWidth="1"/>
    <col min="5378" max="5469" width="0" style="242" hidden="1" customWidth="1"/>
    <col min="5470" max="5471" width="9.28515625" style="242" customWidth="1"/>
    <col min="5472" max="5482" width="10.28515625" style="242" customWidth="1"/>
    <col min="5483" max="5632" width="9.140625" style="242"/>
    <col min="5633" max="5633" width="55.7109375" style="242" customWidth="1"/>
    <col min="5634" max="5725" width="0" style="242" hidden="1" customWidth="1"/>
    <col min="5726" max="5727" width="9.28515625" style="242" customWidth="1"/>
    <col min="5728" max="5738" width="10.28515625" style="242" customWidth="1"/>
    <col min="5739" max="5888" width="9.140625" style="242"/>
    <col min="5889" max="5889" width="55.7109375" style="242" customWidth="1"/>
    <col min="5890" max="5981" width="0" style="242" hidden="1" customWidth="1"/>
    <col min="5982" max="5983" width="9.28515625" style="242" customWidth="1"/>
    <col min="5984" max="5994" width="10.28515625" style="242" customWidth="1"/>
    <col min="5995" max="6144" width="9.140625" style="242"/>
    <col min="6145" max="6145" width="55.7109375" style="242" customWidth="1"/>
    <col min="6146" max="6237" width="0" style="242" hidden="1" customWidth="1"/>
    <col min="6238" max="6239" width="9.28515625" style="242" customWidth="1"/>
    <col min="6240" max="6250" width="10.28515625" style="242" customWidth="1"/>
    <col min="6251" max="6400" width="9.140625" style="242"/>
    <col min="6401" max="6401" width="55.7109375" style="242" customWidth="1"/>
    <col min="6402" max="6493" width="0" style="242" hidden="1" customWidth="1"/>
    <col min="6494" max="6495" width="9.28515625" style="242" customWidth="1"/>
    <col min="6496" max="6506" width="10.28515625" style="242" customWidth="1"/>
    <col min="6507" max="6656" width="9.140625" style="242"/>
    <col min="6657" max="6657" width="55.7109375" style="242" customWidth="1"/>
    <col min="6658" max="6749" width="0" style="242" hidden="1" customWidth="1"/>
    <col min="6750" max="6751" width="9.28515625" style="242" customWidth="1"/>
    <col min="6752" max="6762" width="10.28515625" style="242" customWidth="1"/>
    <col min="6763" max="6912" width="9.140625" style="242"/>
    <col min="6913" max="6913" width="55.7109375" style="242" customWidth="1"/>
    <col min="6914" max="7005" width="0" style="242" hidden="1" customWidth="1"/>
    <col min="7006" max="7007" width="9.28515625" style="242" customWidth="1"/>
    <col min="7008" max="7018" width="10.28515625" style="242" customWidth="1"/>
    <col min="7019" max="7168" width="9.140625" style="242"/>
    <col min="7169" max="7169" width="55.7109375" style="242" customWidth="1"/>
    <col min="7170" max="7261" width="0" style="242" hidden="1" customWidth="1"/>
    <col min="7262" max="7263" width="9.28515625" style="242" customWidth="1"/>
    <col min="7264" max="7274" width="10.28515625" style="242" customWidth="1"/>
    <col min="7275" max="7424" width="9.140625" style="242"/>
    <col min="7425" max="7425" width="55.7109375" style="242" customWidth="1"/>
    <col min="7426" max="7517" width="0" style="242" hidden="1" customWidth="1"/>
    <col min="7518" max="7519" width="9.28515625" style="242" customWidth="1"/>
    <col min="7520" max="7530" width="10.28515625" style="242" customWidth="1"/>
    <col min="7531" max="7680" width="9.140625" style="242"/>
    <col min="7681" max="7681" width="55.7109375" style="242" customWidth="1"/>
    <col min="7682" max="7773" width="0" style="242" hidden="1" customWidth="1"/>
    <col min="7774" max="7775" width="9.28515625" style="242" customWidth="1"/>
    <col min="7776" max="7786" width="10.28515625" style="242" customWidth="1"/>
    <col min="7787" max="7936" width="9.140625" style="242"/>
    <col min="7937" max="7937" width="55.7109375" style="242" customWidth="1"/>
    <col min="7938" max="8029" width="0" style="242" hidden="1" customWidth="1"/>
    <col min="8030" max="8031" width="9.28515625" style="242" customWidth="1"/>
    <col min="8032" max="8042" width="10.28515625" style="242" customWidth="1"/>
    <col min="8043" max="8192" width="9.140625" style="242"/>
    <col min="8193" max="8193" width="55.7109375" style="242" customWidth="1"/>
    <col min="8194" max="8285" width="0" style="242" hidden="1" customWidth="1"/>
    <col min="8286" max="8287" width="9.28515625" style="242" customWidth="1"/>
    <col min="8288" max="8298" width="10.28515625" style="242" customWidth="1"/>
    <col min="8299" max="8448" width="9.140625" style="242"/>
    <col min="8449" max="8449" width="55.7109375" style="242" customWidth="1"/>
    <col min="8450" max="8541" width="0" style="242" hidden="1" customWidth="1"/>
    <col min="8542" max="8543" width="9.28515625" style="242" customWidth="1"/>
    <col min="8544" max="8554" width="10.28515625" style="242" customWidth="1"/>
    <col min="8555" max="8704" width="9.140625" style="242"/>
    <col min="8705" max="8705" width="55.7109375" style="242" customWidth="1"/>
    <col min="8706" max="8797" width="0" style="242" hidden="1" customWidth="1"/>
    <col min="8798" max="8799" width="9.28515625" style="242" customWidth="1"/>
    <col min="8800" max="8810" width="10.28515625" style="242" customWidth="1"/>
    <col min="8811" max="8960" width="9.140625" style="242"/>
    <col min="8961" max="8961" width="55.7109375" style="242" customWidth="1"/>
    <col min="8962" max="9053" width="0" style="242" hidden="1" customWidth="1"/>
    <col min="9054" max="9055" width="9.28515625" style="242" customWidth="1"/>
    <col min="9056" max="9066" width="10.28515625" style="242" customWidth="1"/>
    <col min="9067" max="9216" width="9.140625" style="242"/>
    <col min="9217" max="9217" width="55.7109375" style="242" customWidth="1"/>
    <col min="9218" max="9309" width="0" style="242" hidden="1" customWidth="1"/>
    <col min="9310" max="9311" width="9.28515625" style="242" customWidth="1"/>
    <col min="9312" max="9322" width="10.28515625" style="242" customWidth="1"/>
    <col min="9323" max="9472" width="9.140625" style="242"/>
    <col min="9473" max="9473" width="55.7109375" style="242" customWidth="1"/>
    <col min="9474" max="9565" width="0" style="242" hidden="1" customWidth="1"/>
    <col min="9566" max="9567" width="9.28515625" style="242" customWidth="1"/>
    <col min="9568" max="9578" width="10.28515625" style="242" customWidth="1"/>
    <col min="9579" max="9728" width="9.140625" style="242"/>
    <col min="9729" max="9729" width="55.7109375" style="242" customWidth="1"/>
    <col min="9730" max="9821" width="0" style="242" hidden="1" customWidth="1"/>
    <col min="9822" max="9823" width="9.28515625" style="242" customWidth="1"/>
    <col min="9824" max="9834" width="10.28515625" style="242" customWidth="1"/>
    <col min="9835" max="9984" width="9.140625" style="242"/>
    <col min="9985" max="9985" width="55.7109375" style="242" customWidth="1"/>
    <col min="9986" max="10077" width="0" style="242" hidden="1" customWidth="1"/>
    <col min="10078" max="10079" width="9.28515625" style="242" customWidth="1"/>
    <col min="10080" max="10090" width="10.28515625" style="242" customWidth="1"/>
    <col min="10091" max="10240" width="9.140625" style="242"/>
    <col min="10241" max="10241" width="55.7109375" style="242" customWidth="1"/>
    <col min="10242" max="10333" width="0" style="242" hidden="1" customWidth="1"/>
    <col min="10334" max="10335" width="9.28515625" style="242" customWidth="1"/>
    <col min="10336" max="10346" width="10.28515625" style="242" customWidth="1"/>
    <col min="10347" max="10496" width="9.140625" style="242"/>
    <col min="10497" max="10497" width="55.7109375" style="242" customWidth="1"/>
    <col min="10498" max="10589" width="0" style="242" hidden="1" customWidth="1"/>
    <col min="10590" max="10591" width="9.28515625" style="242" customWidth="1"/>
    <col min="10592" max="10602" width="10.28515625" style="242" customWidth="1"/>
    <col min="10603" max="10752" width="9.140625" style="242"/>
    <col min="10753" max="10753" width="55.7109375" style="242" customWidth="1"/>
    <col min="10754" max="10845" width="0" style="242" hidden="1" customWidth="1"/>
    <col min="10846" max="10847" width="9.28515625" style="242" customWidth="1"/>
    <col min="10848" max="10858" width="10.28515625" style="242" customWidth="1"/>
    <col min="10859" max="11008" width="9.140625" style="242"/>
    <col min="11009" max="11009" width="55.7109375" style="242" customWidth="1"/>
    <col min="11010" max="11101" width="0" style="242" hidden="1" customWidth="1"/>
    <col min="11102" max="11103" width="9.28515625" style="242" customWidth="1"/>
    <col min="11104" max="11114" width="10.28515625" style="242" customWidth="1"/>
    <col min="11115" max="11264" width="9.140625" style="242"/>
    <col min="11265" max="11265" width="55.7109375" style="242" customWidth="1"/>
    <col min="11266" max="11357" width="0" style="242" hidden="1" customWidth="1"/>
    <col min="11358" max="11359" width="9.28515625" style="242" customWidth="1"/>
    <col min="11360" max="11370" width="10.28515625" style="242" customWidth="1"/>
    <col min="11371" max="11520" width="9.140625" style="242"/>
    <col min="11521" max="11521" width="55.7109375" style="242" customWidth="1"/>
    <col min="11522" max="11613" width="0" style="242" hidden="1" customWidth="1"/>
    <col min="11614" max="11615" width="9.28515625" style="242" customWidth="1"/>
    <col min="11616" max="11626" width="10.28515625" style="242" customWidth="1"/>
    <col min="11627" max="11776" width="9.140625" style="242"/>
    <col min="11777" max="11777" width="55.7109375" style="242" customWidth="1"/>
    <col min="11778" max="11869" width="0" style="242" hidden="1" customWidth="1"/>
    <col min="11870" max="11871" width="9.28515625" style="242" customWidth="1"/>
    <col min="11872" max="11882" width="10.28515625" style="242" customWidth="1"/>
    <col min="11883" max="12032" width="9.140625" style="242"/>
    <col min="12033" max="12033" width="55.7109375" style="242" customWidth="1"/>
    <col min="12034" max="12125" width="0" style="242" hidden="1" customWidth="1"/>
    <col min="12126" max="12127" width="9.28515625" style="242" customWidth="1"/>
    <col min="12128" max="12138" width="10.28515625" style="242" customWidth="1"/>
    <col min="12139" max="12288" width="9.140625" style="242"/>
    <col min="12289" max="12289" width="55.7109375" style="242" customWidth="1"/>
    <col min="12290" max="12381" width="0" style="242" hidden="1" customWidth="1"/>
    <col min="12382" max="12383" width="9.28515625" style="242" customWidth="1"/>
    <col min="12384" max="12394" width="10.28515625" style="242" customWidth="1"/>
    <col min="12395" max="12544" width="9.140625" style="242"/>
    <col min="12545" max="12545" width="55.7109375" style="242" customWidth="1"/>
    <col min="12546" max="12637" width="0" style="242" hidden="1" customWidth="1"/>
    <col min="12638" max="12639" width="9.28515625" style="242" customWidth="1"/>
    <col min="12640" max="12650" width="10.28515625" style="242" customWidth="1"/>
    <col min="12651" max="12800" width="9.140625" style="242"/>
    <col min="12801" max="12801" width="55.7109375" style="242" customWidth="1"/>
    <col min="12802" max="12893" width="0" style="242" hidden="1" customWidth="1"/>
    <col min="12894" max="12895" width="9.28515625" style="242" customWidth="1"/>
    <col min="12896" max="12906" width="10.28515625" style="242" customWidth="1"/>
    <col min="12907" max="13056" width="9.140625" style="242"/>
    <col min="13057" max="13057" width="55.7109375" style="242" customWidth="1"/>
    <col min="13058" max="13149" width="0" style="242" hidden="1" customWidth="1"/>
    <col min="13150" max="13151" width="9.28515625" style="242" customWidth="1"/>
    <col min="13152" max="13162" width="10.28515625" style="242" customWidth="1"/>
    <col min="13163" max="13312" width="9.140625" style="242"/>
    <col min="13313" max="13313" width="55.7109375" style="242" customWidth="1"/>
    <col min="13314" max="13405" width="0" style="242" hidden="1" customWidth="1"/>
    <col min="13406" max="13407" width="9.28515625" style="242" customWidth="1"/>
    <col min="13408" max="13418" width="10.28515625" style="242" customWidth="1"/>
    <col min="13419" max="13568" width="9.140625" style="242"/>
    <col min="13569" max="13569" width="55.7109375" style="242" customWidth="1"/>
    <col min="13570" max="13661" width="0" style="242" hidden="1" customWidth="1"/>
    <col min="13662" max="13663" width="9.28515625" style="242" customWidth="1"/>
    <col min="13664" max="13674" width="10.28515625" style="242" customWidth="1"/>
    <col min="13675" max="13824" width="9.140625" style="242"/>
    <col min="13825" max="13825" width="55.7109375" style="242" customWidth="1"/>
    <col min="13826" max="13917" width="0" style="242" hidden="1" customWidth="1"/>
    <col min="13918" max="13919" width="9.28515625" style="242" customWidth="1"/>
    <col min="13920" max="13930" width="10.28515625" style="242" customWidth="1"/>
    <col min="13931" max="14080" width="9.140625" style="242"/>
    <col min="14081" max="14081" width="55.7109375" style="242" customWidth="1"/>
    <col min="14082" max="14173" width="0" style="242" hidden="1" customWidth="1"/>
    <col min="14174" max="14175" width="9.28515625" style="242" customWidth="1"/>
    <col min="14176" max="14186" width="10.28515625" style="242" customWidth="1"/>
    <col min="14187" max="14336" width="9.140625" style="242"/>
    <col min="14337" max="14337" width="55.7109375" style="242" customWidth="1"/>
    <col min="14338" max="14429" width="0" style="242" hidden="1" customWidth="1"/>
    <col min="14430" max="14431" width="9.28515625" style="242" customWidth="1"/>
    <col min="14432" max="14442" width="10.28515625" style="242" customWidth="1"/>
    <col min="14443" max="14592" width="9.140625" style="242"/>
    <col min="14593" max="14593" width="55.7109375" style="242" customWidth="1"/>
    <col min="14594" max="14685" width="0" style="242" hidden="1" customWidth="1"/>
    <col min="14686" max="14687" width="9.28515625" style="242" customWidth="1"/>
    <col min="14688" max="14698" width="10.28515625" style="242" customWidth="1"/>
    <col min="14699" max="14848" width="9.140625" style="242"/>
    <col min="14849" max="14849" width="55.7109375" style="242" customWidth="1"/>
    <col min="14850" max="14941" width="0" style="242" hidden="1" customWidth="1"/>
    <col min="14942" max="14943" width="9.28515625" style="242" customWidth="1"/>
    <col min="14944" max="14954" width="10.28515625" style="242" customWidth="1"/>
    <col min="14955" max="15104" width="9.140625" style="242"/>
    <col min="15105" max="15105" width="55.7109375" style="242" customWidth="1"/>
    <col min="15106" max="15197" width="0" style="242" hidden="1" customWidth="1"/>
    <col min="15198" max="15199" width="9.28515625" style="242" customWidth="1"/>
    <col min="15200" max="15210" width="10.28515625" style="242" customWidth="1"/>
    <col min="15211" max="15360" width="9.140625" style="242"/>
    <col min="15361" max="15361" width="55.7109375" style="242" customWidth="1"/>
    <col min="15362" max="15453" width="0" style="242" hidden="1" customWidth="1"/>
    <col min="15454" max="15455" width="9.28515625" style="242" customWidth="1"/>
    <col min="15456" max="15466" width="10.28515625" style="242" customWidth="1"/>
    <col min="15467" max="15616" width="9.140625" style="242"/>
    <col min="15617" max="15617" width="55.7109375" style="242" customWidth="1"/>
    <col min="15618" max="15709" width="0" style="242" hidden="1" customWidth="1"/>
    <col min="15710" max="15711" width="9.28515625" style="242" customWidth="1"/>
    <col min="15712" max="15722" width="10.28515625" style="242" customWidth="1"/>
    <col min="15723" max="15872" width="9.140625" style="242"/>
    <col min="15873" max="15873" width="55.7109375" style="242" customWidth="1"/>
    <col min="15874" max="15965" width="0" style="242" hidden="1" customWidth="1"/>
    <col min="15966" max="15967" width="9.28515625" style="242" customWidth="1"/>
    <col min="15968" max="15978" width="10.28515625" style="242" customWidth="1"/>
    <col min="15979" max="16128" width="9.140625" style="242"/>
    <col min="16129" max="16129" width="55.7109375" style="242" customWidth="1"/>
    <col min="16130" max="16221" width="0" style="242" hidden="1" customWidth="1"/>
    <col min="16222" max="16223" width="9.28515625" style="242" customWidth="1"/>
    <col min="16224" max="16234" width="10.28515625" style="242" customWidth="1"/>
    <col min="16235" max="16384" width="9.140625" style="242"/>
  </cols>
  <sheetData>
    <row r="1" spans="1:121">
      <c r="A1" s="241"/>
    </row>
    <row r="2" spans="1:121" ht="19.5">
      <c r="A2" s="244" t="s">
        <v>143</v>
      </c>
      <c r="B2" s="243"/>
      <c r="C2" s="243"/>
    </row>
    <row r="3" spans="1:121" ht="15.75" thickBot="1">
      <c r="A3" s="245"/>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F3" s="246"/>
      <c r="AH3" s="247" t="s">
        <v>144</v>
      </c>
      <c r="AI3" s="247"/>
      <c r="AL3" s="248"/>
      <c r="AM3" s="248"/>
      <c r="AO3" s="248"/>
      <c r="AP3" s="248"/>
      <c r="AQ3" s="248"/>
      <c r="AR3" s="248" t="s">
        <v>145</v>
      </c>
      <c r="AS3" s="248"/>
      <c r="AT3" s="248"/>
      <c r="AU3" s="245"/>
      <c r="AV3" s="245"/>
      <c r="AW3" s="245"/>
      <c r="AX3" s="245"/>
      <c r="AY3" s="245"/>
      <c r="AZ3" s="245"/>
      <c r="BA3" s="245"/>
      <c r="BB3" s="245" t="s">
        <v>145</v>
      </c>
      <c r="BC3" s="248"/>
      <c r="BD3" s="248"/>
      <c r="BE3" s="248"/>
      <c r="BF3" s="248"/>
      <c r="BG3" s="248"/>
      <c r="BH3" s="248"/>
      <c r="BI3" s="248"/>
      <c r="BJ3" s="248"/>
      <c r="BK3" s="248"/>
      <c r="BL3" s="248"/>
      <c r="BM3" s="248"/>
      <c r="BO3" s="248"/>
      <c r="BP3" s="245"/>
      <c r="BQ3" s="245" t="s">
        <v>145</v>
      </c>
      <c r="BR3" s="248"/>
      <c r="BS3" s="248"/>
      <c r="CG3" s="248" t="s">
        <v>146</v>
      </c>
    </row>
    <row r="4" spans="1:121" ht="22.5" customHeight="1" thickTop="1" thickBot="1">
      <c r="A4" s="249"/>
      <c r="B4" s="250">
        <v>38534</v>
      </c>
      <c r="C4" s="251">
        <v>38565</v>
      </c>
      <c r="D4" s="251">
        <v>38596</v>
      </c>
      <c r="E4" s="251">
        <v>38626</v>
      </c>
      <c r="F4" s="250">
        <v>38657</v>
      </c>
      <c r="G4" s="251">
        <v>38687</v>
      </c>
      <c r="H4" s="251">
        <v>38718</v>
      </c>
      <c r="I4" s="251">
        <v>38749</v>
      </c>
      <c r="J4" s="251">
        <v>38777</v>
      </c>
      <c r="K4" s="251">
        <v>38808</v>
      </c>
      <c r="L4" s="251">
        <v>38838</v>
      </c>
      <c r="M4" s="251">
        <v>38869</v>
      </c>
      <c r="N4" s="250">
        <v>38899</v>
      </c>
      <c r="O4" s="251">
        <v>38930</v>
      </c>
      <c r="P4" s="251">
        <v>38961</v>
      </c>
      <c r="Q4" s="250">
        <v>38991</v>
      </c>
      <c r="R4" s="251">
        <v>39022</v>
      </c>
      <c r="S4" s="251">
        <v>39052</v>
      </c>
      <c r="T4" s="252">
        <v>39083</v>
      </c>
      <c r="U4" s="252">
        <v>39114</v>
      </c>
      <c r="V4" s="252">
        <v>39142</v>
      </c>
      <c r="W4" s="252">
        <v>39173</v>
      </c>
      <c r="X4" s="252">
        <v>39203</v>
      </c>
      <c r="Y4" s="252">
        <v>39234</v>
      </c>
      <c r="Z4" s="252">
        <v>39264</v>
      </c>
      <c r="AA4" s="252">
        <v>39295</v>
      </c>
      <c r="AB4" s="252">
        <v>39326</v>
      </c>
      <c r="AC4" s="252">
        <v>39356</v>
      </c>
      <c r="AD4" s="252">
        <v>39387</v>
      </c>
      <c r="AE4" s="252">
        <v>39417</v>
      </c>
      <c r="AF4" s="252">
        <v>39455</v>
      </c>
      <c r="AG4" s="252">
        <v>39486</v>
      </c>
      <c r="AH4" s="252">
        <v>39515</v>
      </c>
      <c r="AI4" s="252">
        <v>39546</v>
      </c>
      <c r="AJ4" s="252">
        <v>39576</v>
      </c>
      <c r="AK4" s="252">
        <v>39607</v>
      </c>
      <c r="AL4" s="252">
        <v>39637</v>
      </c>
      <c r="AM4" s="252">
        <v>39668</v>
      </c>
      <c r="AN4" s="252">
        <v>39699</v>
      </c>
      <c r="AO4" s="252">
        <v>39729</v>
      </c>
      <c r="AP4" s="252">
        <v>39760</v>
      </c>
      <c r="AQ4" s="252">
        <v>39790</v>
      </c>
      <c r="AR4" s="252">
        <v>39821</v>
      </c>
      <c r="AS4" s="252">
        <v>39852</v>
      </c>
      <c r="AT4" s="252">
        <v>39880</v>
      </c>
      <c r="AU4" s="252">
        <v>39911</v>
      </c>
      <c r="AV4" s="252">
        <v>39941</v>
      </c>
      <c r="AW4" s="252">
        <v>39972</v>
      </c>
      <c r="AX4" s="252">
        <v>40002</v>
      </c>
      <c r="AY4" s="252">
        <v>40033</v>
      </c>
      <c r="AZ4" s="252">
        <v>40064</v>
      </c>
      <c r="BA4" s="252">
        <v>40094</v>
      </c>
      <c r="BB4" s="252">
        <v>40125</v>
      </c>
      <c r="BC4" s="252">
        <v>40155</v>
      </c>
      <c r="BD4" s="252">
        <v>40186</v>
      </c>
      <c r="BE4" s="252">
        <v>40217</v>
      </c>
      <c r="BF4" s="252">
        <v>40245</v>
      </c>
      <c r="BG4" s="252">
        <v>40276</v>
      </c>
      <c r="BH4" s="252">
        <v>40306</v>
      </c>
      <c r="BI4" s="252">
        <v>40337</v>
      </c>
      <c r="BJ4" s="252">
        <v>40367</v>
      </c>
      <c r="BK4" s="252">
        <v>40398</v>
      </c>
      <c r="BL4" s="252">
        <v>40429</v>
      </c>
      <c r="BM4" s="253" t="s">
        <v>147</v>
      </c>
      <c r="BN4" s="253" t="s">
        <v>148</v>
      </c>
      <c r="BO4" s="253" t="s">
        <v>149</v>
      </c>
      <c r="BP4" s="253" t="s">
        <v>150</v>
      </c>
      <c r="BQ4" s="253" t="s">
        <v>151</v>
      </c>
      <c r="BR4" s="253" t="s">
        <v>152</v>
      </c>
      <c r="BS4" s="253" t="s">
        <v>153</v>
      </c>
      <c r="BT4" s="253">
        <v>40664</v>
      </c>
      <c r="BU4" s="253">
        <v>40695</v>
      </c>
      <c r="BV4" s="253">
        <v>40725</v>
      </c>
      <c r="BW4" s="253" t="s">
        <v>154</v>
      </c>
      <c r="BX4" s="253" t="s">
        <v>155</v>
      </c>
      <c r="BY4" s="253" t="s">
        <v>156</v>
      </c>
      <c r="BZ4" s="254" t="s">
        <v>157</v>
      </c>
      <c r="CA4" s="253" t="s">
        <v>158</v>
      </c>
      <c r="CB4" s="253" t="s">
        <v>159</v>
      </c>
      <c r="CC4" s="253" t="s">
        <v>160</v>
      </c>
      <c r="CD4" s="253" t="s">
        <v>161</v>
      </c>
      <c r="CE4" s="253" t="s">
        <v>162</v>
      </c>
      <c r="CF4" s="253" t="s">
        <v>163</v>
      </c>
      <c r="CG4" s="253" t="s">
        <v>164</v>
      </c>
      <c r="CH4" s="253" t="s">
        <v>165</v>
      </c>
      <c r="CI4" s="253" t="s">
        <v>166</v>
      </c>
      <c r="CJ4" s="253" t="s">
        <v>167</v>
      </c>
      <c r="CK4" s="253" t="s">
        <v>168</v>
      </c>
      <c r="CL4" s="253" t="s">
        <v>169</v>
      </c>
      <c r="CM4" s="253" t="s">
        <v>170</v>
      </c>
      <c r="CN4" s="253" t="s">
        <v>171</v>
      </c>
      <c r="CO4" s="253" t="s">
        <v>172</v>
      </c>
      <c r="CP4" s="255" t="s">
        <v>173</v>
      </c>
      <c r="CQ4" s="256" t="s">
        <v>174</v>
      </c>
      <c r="CR4" s="256" t="s">
        <v>175</v>
      </c>
      <c r="CS4" s="256" t="s">
        <v>176</v>
      </c>
      <c r="CT4" s="256" t="s">
        <v>177</v>
      </c>
      <c r="CU4" s="256" t="s">
        <v>178</v>
      </c>
      <c r="CV4" s="256" t="s">
        <v>179</v>
      </c>
      <c r="CW4" s="256" t="s">
        <v>180</v>
      </c>
      <c r="CX4" s="256" t="s">
        <v>181</v>
      </c>
      <c r="CY4" s="256" t="s">
        <v>182</v>
      </c>
      <c r="CZ4" s="256" t="s">
        <v>183</v>
      </c>
      <c r="DA4" s="256" t="s">
        <v>184</v>
      </c>
      <c r="DB4" s="256" t="s">
        <v>185</v>
      </c>
      <c r="DC4" s="256" t="s">
        <v>186</v>
      </c>
      <c r="DD4" s="256" t="s">
        <v>187</v>
      </c>
      <c r="DE4" s="256" t="s">
        <v>188</v>
      </c>
      <c r="DF4" s="256" t="s">
        <v>189</v>
      </c>
      <c r="DG4" s="256" t="s">
        <v>190</v>
      </c>
      <c r="DH4" s="256" t="s">
        <v>191</v>
      </c>
      <c r="DI4" s="256" t="s">
        <v>192</v>
      </c>
      <c r="DJ4" s="256" t="s">
        <v>193</v>
      </c>
      <c r="DK4" s="256" t="s">
        <v>194</v>
      </c>
      <c r="DL4" s="256" t="s">
        <v>195</v>
      </c>
      <c r="DM4" s="256" t="s">
        <v>196</v>
      </c>
      <c r="DN4" s="256" t="s">
        <v>197</v>
      </c>
      <c r="DO4" s="256" t="s">
        <v>198</v>
      </c>
      <c r="DP4" s="256" t="s">
        <v>199</v>
      </c>
      <c r="DQ4" s="256" t="s">
        <v>200</v>
      </c>
    </row>
    <row r="5" spans="1:121" ht="15.75" thickTop="1">
      <c r="A5" s="257"/>
      <c r="B5" s="258"/>
      <c r="C5" s="259"/>
      <c r="D5" s="259"/>
      <c r="E5" s="259"/>
      <c r="F5" s="260"/>
      <c r="G5" s="261"/>
      <c r="H5" s="261"/>
      <c r="I5" s="261"/>
      <c r="J5" s="261"/>
      <c r="K5" s="261"/>
      <c r="L5" s="261"/>
      <c r="M5" s="261"/>
      <c r="N5" s="260"/>
      <c r="O5" s="261"/>
      <c r="P5" s="261"/>
      <c r="Q5" s="260"/>
      <c r="R5" s="261"/>
      <c r="S5" s="261"/>
      <c r="T5" s="262"/>
      <c r="U5" s="262"/>
      <c r="V5" s="263"/>
      <c r="W5" s="263"/>
      <c r="X5" s="263"/>
      <c r="Y5" s="263"/>
      <c r="Z5" s="263"/>
      <c r="AA5" s="263"/>
      <c r="AB5" s="263"/>
      <c r="AC5" s="263"/>
      <c r="AD5" s="263"/>
      <c r="AE5" s="263"/>
      <c r="AF5" s="263"/>
      <c r="AG5" s="263"/>
      <c r="AH5" s="263"/>
      <c r="AI5" s="263"/>
      <c r="AJ5" s="263"/>
      <c r="AK5" s="263"/>
      <c r="AL5" s="263"/>
      <c r="AM5" s="263"/>
      <c r="AN5" s="264"/>
      <c r="AO5" s="263"/>
      <c r="AP5" s="263"/>
      <c r="AQ5" s="263"/>
      <c r="AR5" s="263"/>
      <c r="AS5" s="263"/>
      <c r="AT5" s="263"/>
      <c r="AU5" s="263"/>
      <c r="AV5" s="263"/>
      <c r="AW5" s="263"/>
      <c r="AX5" s="263"/>
      <c r="AY5" s="263"/>
      <c r="AZ5" s="263"/>
      <c r="BA5" s="263"/>
      <c r="BB5" s="263"/>
      <c r="BC5" s="263"/>
      <c r="BD5" s="263"/>
      <c r="BE5" s="263"/>
      <c r="BF5" s="263"/>
      <c r="BG5" s="263"/>
      <c r="BH5" s="264"/>
      <c r="BI5" s="264"/>
      <c r="BJ5" s="264"/>
      <c r="BK5" s="264"/>
      <c r="BL5" s="264"/>
      <c r="BM5" s="264"/>
      <c r="BN5" s="264"/>
      <c r="BO5" s="264"/>
      <c r="BP5" s="265"/>
      <c r="BQ5" s="265"/>
      <c r="BR5" s="265"/>
      <c r="BS5" s="265"/>
      <c r="BT5" s="265"/>
      <c r="BU5" s="265"/>
      <c r="BV5" s="265"/>
      <c r="BW5" s="265"/>
      <c r="BX5" s="262"/>
      <c r="BY5" s="262"/>
      <c r="BZ5" s="263"/>
      <c r="CA5" s="262"/>
      <c r="CB5" s="262"/>
      <c r="CC5" s="263"/>
      <c r="CD5" s="263"/>
      <c r="CE5" s="263"/>
      <c r="CF5" s="263"/>
      <c r="CG5" s="263"/>
      <c r="CH5" s="266"/>
      <c r="CI5" s="267"/>
      <c r="CJ5" s="263"/>
      <c r="CK5" s="263"/>
      <c r="CL5" s="263"/>
      <c r="CM5" s="263"/>
      <c r="CN5" s="263"/>
      <c r="CO5" s="263"/>
      <c r="CP5" s="263"/>
      <c r="CQ5" s="263"/>
      <c r="CR5" s="263"/>
      <c r="CS5" s="263"/>
      <c r="CT5" s="263"/>
      <c r="CU5" s="263"/>
      <c r="CV5" s="263"/>
      <c r="CW5" s="263"/>
      <c r="CX5" s="263"/>
      <c r="CY5" s="263"/>
      <c r="CZ5" s="263"/>
      <c r="DA5" s="263"/>
      <c r="DB5" s="263"/>
      <c r="DC5" s="268"/>
      <c r="DD5" s="268"/>
      <c r="DE5" s="268"/>
      <c r="DF5" s="268"/>
      <c r="DG5" s="268"/>
      <c r="DH5" s="268"/>
      <c r="DI5" s="268"/>
      <c r="DJ5" s="268"/>
      <c r="DK5" s="268"/>
      <c r="DL5" s="268"/>
      <c r="DM5" s="268"/>
      <c r="DN5" s="268"/>
      <c r="DO5" s="268"/>
      <c r="DP5" s="268"/>
      <c r="DQ5" s="268"/>
    </row>
    <row r="6" spans="1:121" ht="17.45" customHeight="1">
      <c r="A6" s="269" t="s">
        <v>201</v>
      </c>
      <c r="B6" s="270"/>
      <c r="C6" s="271"/>
      <c r="D6" s="271"/>
      <c r="E6" s="271"/>
      <c r="F6" s="272"/>
      <c r="G6" s="273"/>
      <c r="H6" s="273"/>
      <c r="I6" s="273"/>
      <c r="J6" s="273"/>
      <c r="K6" s="273"/>
      <c r="L6" s="273"/>
      <c r="M6" s="273"/>
      <c r="N6" s="272"/>
      <c r="O6" s="273"/>
      <c r="P6" s="273"/>
      <c r="Q6" s="272"/>
      <c r="R6" s="273"/>
      <c r="S6" s="273"/>
      <c r="T6" s="274"/>
      <c r="U6" s="274"/>
      <c r="V6" s="275"/>
      <c r="W6" s="275"/>
      <c r="X6" s="275"/>
      <c r="Y6" s="275"/>
      <c r="Z6" s="275"/>
      <c r="AA6" s="275"/>
      <c r="AB6" s="275"/>
      <c r="AC6" s="275"/>
      <c r="AD6" s="275"/>
      <c r="AE6" s="275"/>
      <c r="AF6" s="275"/>
      <c r="AG6" s="275"/>
      <c r="AH6" s="275"/>
      <c r="AI6" s="275"/>
      <c r="AJ6" s="275"/>
      <c r="AK6" s="275"/>
      <c r="AL6" s="275"/>
      <c r="AM6" s="275"/>
      <c r="AN6" s="276"/>
      <c r="AO6" s="275"/>
      <c r="AP6" s="275"/>
      <c r="AQ6" s="275"/>
      <c r="AR6" s="275"/>
      <c r="AS6" s="275"/>
      <c r="AT6" s="275"/>
      <c r="AU6" s="275"/>
      <c r="AV6" s="275"/>
      <c r="AW6" s="275"/>
      <c r="AX6" s="275"/>
      <c r="AY6" s="275"/>
      <c r="AZ6" s="275"/>
      <c r="BA6" s="275"/>
      <c r="BB6" s="275"/>
      <c r="BC6" s="275"/>
      <c r="BD6" s="275"/>
      <c r="BE6" s="275"/>
      <c r="BF6" s="275"/>
      <c r="BG6" s="275"/>
      <c r="BH6" s="276"/>
      <c r="BI6" s="276"/>
      <c r="BJ6" s="276"/>
      <c r="BK6" s="276"/>
      <c r="BL6" s="276"/>
      <c r="BM6" s="276"/>
      <c r="BN6" s="276"/>
      <c r="BO6" s="276"/>
      <c r="BP6" s="277"/>
      <c r="BQ6" s="277"/>
      <c r="BR6" s="277"/>
      <c r="BS6" s="277"/>
      <c r="BT6" s="277"/>
      <c r="BU6" s="277"/>
      <c r="BV6" s="277"/>
      <c r="BW6" s="277"/>
      <c r="BX6" s="274"/>
      <c r="BY6" s="274"/>
      <c r="BZ6" s="275"/>
      <c r="CA6" s="274"/>
      <c r="CB6" s="274"/>
      <c r="CC6" s="275"/>
      <c r="CD6" s="275"/>
      <c r="CE6" s="275"/>
      <c r="CF6" s="275"/>
      <c r="CG6" s="275"/>
      <c r="CH6" s="278"/>
      <c r="CI6" s="279"/>
      <c r="CJ6" s="275"/>
      <c r="CK6" s="275"/>
      <c r="CL6" s="275"/>
      <c r="CM6" s="275"/>
      <c r="CN6" s="275"/>
      <c r="CO6" s="275"/>
      <c r="CP6" s="275"/>
      <c r="CQ6" s="275"/>
      <c r="CR6" s="275"/>
      <c r="CS6" s="275"/>
      <c r="CT6" s="275"/>
      <c r="CU6" s="275"/>
      <c r="CV6" s="275"/>
      <c r="CW6" s="275"/>
      <c r="CX6" s="275"/>
      <c r="CY6" s="275"/>
      <c r="CZ6" s="275"/>
      <c r="DA6" s="275"/>
      <c r="DB6" s="275"/>
      <c r="DC6" s="280"/>
      <c r="DD6" s="280"/>
      <c r="DE6" s="280"/>
      <c r="DF6" s="280"/>
      <c r="DG6" s="280"/>
      <c r="DH6" s="280"/>
      <c r="DI6" s="280"/>
      <c r="DJ6" s="280"/>
      <c r="DK6" s="280"/>
      <c r="DL6" s="280"/>
      <c r="DM6" s="280"/>
      <c r="DN6" s="280"/>
      <c r="DO6" s="280"/>
      <c r="DP6" s="280"/>
      <c r="DQ6" s="280"/>
    </row>
    <row r="7" spans="1:121" ht="17.45" customHeight="1">
      <c r="A7" s="269"/>
      <c r="B7" s="270"/>
      <c r="C7" s="271"/>
      <c r="D7" s="271"/>
      <c r="E7" s="271"/>
      <c r="F7" s="272"/>
      <c r="G7" s="273"/>
      <c r="H7" s="273"/>
      <c r="I7" s="273"/>
      <c r="J7" s="273"/>
      <c r="K7" s="273"/>
      <c r="L7" s="273"/>
      <c r="M7" s="273"/>
      <c r="N7" s="272"/>
      <c r="O7" s="273"/>
      <c r="P7" s="273"/>
      <c r="Q7" s="272"/>
      <c r="R7" s="273"/>
      <c r="S7" s="273"/>
      <c r="T7" s="274"/>
      <c r="U7" s="274"/>
      <c r="V7" s="275"/>
      <c r="W7" s="275"/>
      <c r="X7" s="275"/>
      <c r="Y7" s="275"/>
      <c r="Z7" s="275"/>
      <c r="AA7" s="275"/>
      <c r="AB7" s="275"/>
      <c r="AC7" s="275"/>
      <c r="AD7" s="275"/>
      <c r="AE7" s="275"/>
      <c r="AF7" s="275"/>
      <c r="AG7" s="275"/>
      <c r="AH7" s="275"/>
      <c r="AI7" s="275"/>
      <c r="AJ7" s="275"/>
      <c r="AK7" s="275"/>
      <c r="AL7" s="275"/>
      <c r="AM7" s="275"/>
      <c r="AN7" s="276"/>
      <c r="AO7" s="275"/>
      <c r="AP7" s="275"/>
      <c r="AQ7" s="275"/>
      <c r="AR7" s="275"/>
      <c r="AS7" s="275"/>
      <c r="AT7" s="275"/>
      <c r="AU7" s="275"/>
      <c r="AV7" s="275"/>
      <c r="AW7" s="275"/>
      <c r="AX7" s="275"/>
      <c r="AY7" s="275"/>
      <c r="AZ7" s="275"/>
      <c r="BA7" s="275"/>
      <c r="BB7" s="275"/>
      <c r="BC7" s="275"/>
      <c r="BD7" s="275"/>
      <c r="BE7" s="275"/>
      <c r="BF7" s="275"/>
      <c r="BG7" s="275"/>
      <c r="BH7" s="276"/>
      <c r="BI7" s="276"/>
      <c r="BJ7" s="276"/>
      <c r="BK7" s="276"/>
      <c r="BL7" s="276"/>
      <c r="BM7" s="276"/>
      <c r="BN7" s="276"/>
      <c r="BO7" s="276"/>
      <c r="BP7" s="277"/>
      <c r="BQ7" s="277"/>
      <c r="BR7" s="277"/>
      <c r="BS7" s="277"/>
      <c r="BT7" s="277"/>
      <c r="BU7" s="277"/>
      <c r="BV7" s="277"/>
      <c r="BW7" s="277"/>
      <c r="BX7" s="274"/>
      <c r="BY7" s="274"/>
      <c r="BZ7" s="275"/>
      <c r="CA7" s="274"/>
      <c r="CB7" s="274"/>
      <c r="CC7" s="275"/>
      <c r="CD7" s="275"/>
      <c r="CE7" s="275"/>
      <c r="CF7" s="275"/>
      <c r="CG7" s="275"/>
      <c r="CH7" s="278"/>
      <c r="CI7" s="279"/>
      <c r="CJ7" s="275"/>
      <c r="CK7" s="275"/>
      <c r="CL7" s="275"/>
      <c r="CM7" s="275"/>
      <c r="CN7" s="275"/>
      <c r="CO7" s="275"/>
      <c r="CP7" s="275"/>
      <c r="CQ7" s="275"/>
      <c r="CR7" s="275"/>
      <c r="CS7" s="275"/>
      <c r="CT7" s="275"/>
      <c r="CU7" s="275"/>
      <c r="CV7" s="275"/>
      <c r="CW7" s="275"/>
      <c r="CX7" s="275"/>
      <c r="CY7" s="275"/>
      <c r="CZ7" s="275"/>
      <c r="DA7" s="275"/>
      <c r="DB7" s="275"/>
      <c r="DC7" s="280"/>
      <c r="DD7" s="280"/>
      <c r="DE7" s="280"/>
      <c r="DF7" s="280"/>
      <c r="DG7" s="280"/>
      <c r="DH7" s="280"/>
      <c r="DI7" s="280"/>
      <c r="DJ7" s="280"/>
      <c r="DK7" s="280"/>
      <c r="DL7" s="280"/>
      <c r="DM7" s="280"/>
      <c r="DN7" s="280"/>
      <c r="DO7" s="280"/>
      <c r="DP7" s="280"/>
      <c r="DQ7" s="280"/>
    </row>
    <row r="8" spans="1:121" ht="17.45" customHeight="1">
      <c r="A8" s="269" t="s">
        <v>202</v>
      </c>
      <c r="B8" s="270"/>
      <c r="C8" s="271"/>
      <c r="D8" s="271"/>
      <c r="E8" s="271"/>
      <c r="F8" s="272"/>
      <c r="G8" s="273"/>
      <c r="H8" s="273"/>
      <c r="I8" s="273"/>
      <c r="J8" s="273"/>
      <c r="K8" s="273"/>
      <c r="L8" s="273"/>
      <c r="M8" s="273"/>
      <c r="N8" s="272"/>
      <c r="O8" s="273"/>
      <c r="P8" s="273"/>
      <c r="Q8" s="272"/>
      <c r="R8" s="273"/>
      <c r="S8" s="273"/>
      <c r="T8" s="274"/>
      <c r="U8" s="274"/>
      <c r="V8" s="275"/>
      <c r="W8" s="275"/>
      <c r="X8" s="275"/>
      <c r="Y8" s="275"/>
      <c r="Z8" s="275"/>
      <c r="AA8" s="275"/>
      <c r="AB8" s="275"/>
      <c r="AC8" s="275"/>
      <c r="AD8" s="275"/>
      <c r="AE8" s="275"/>
      <c r="AF8" s="275"/>
      <c r="AG8" s="275"/>
      <c r="AH8" s="275"/>
      <c r="AI8" s="275"/>
      <c r="AJ8" s="275"/>
      <c r="AK8" s="275"/>
      <c r="AL8" s="275"/>
      <c r="AM8" s="275"/>
      <c r="AN8" s="276"/>
      <c r="AO8" s="275"/>
      <c r="AP8" s="275"/>
      <c r="AQ8" s="275"/>
      <c r="AR8" s="275"/>
      <c r="AS8" s="275"/>
      <c r="AT8" s="275"/>
      <c r="AU8" s="275"/>
      <c r="AV8" s="275"/>
      <c r="AW8" s="275"/>
      <c r="AX8" s="275"/>
      <c r="AY8" s="275"/>
      <c r="AZ8" s="275"/>
      <c r="BA8" s="275"/>
      <c r="BB8" s="275"/>
      <c r="BC8" s="275"/>
      <c r="BD8" s="275"/>
      <c r="BE8" s="275"/>
      <c r="BF8" s="275"/>
      <c r="BG8" s="275"/>
      <c r="BH8" s="276"/>
      <c r="BI8" s="276"/>
      <c r="BJ8" s="276"/>
      <c r="BK8" s="276"/>
      <c r="BL8" s="276"/>
      <c r="BM8" s="276"/>
      <c r="BN8" s="276"/>
      <c r="BO8" s="276"/>
      <c r="BP8" s="277"/>
      <c r="BQ8" s="277"/>
      <c r="BR8" s="277"/>
      <c r="BS8" s="277"/>
      <c r="BT8" s="277"/>
      <c r="BU8" s="277"/>
      <c r="BV8" s="277"/>
      <c r="BW8" s="277"/>
      <c r="BX8" s="274"/>
      <c r="BY8" s="274"/>
      <c r="BZ8" s="275"/>
      <c r="CA8" s="274"/>
      <c r="CB8" s="274"/>
      <c r="CC8" s="275"/>
      <c r="CD8" s="275"/>
      <c r="CE8" s="275"/>
      <c r="CF8" s="275"/>
      <c r="CG8" s="275"/>
      <c r="CH8" s="278"/>
      <c r="CI8" s="279"/>
      <c r="CJ8" s="275"/>
      <c r="CK8" s="275"/>
      <c r="CL8" s="275"/>
      <c r="CM8" s="275"/>
      <c r="CN8" s="275"/>
      <c r="CO8" s="275"/>
      <c r="CP8" s="275"/>
      <c r="CQ8" s="275"/>
      <c r="CR8" s="275"/>
      <c r="CS8" s="275"/>
      <c r="CT8" s="275"/>
      <c r="CU8" s="275"/>
      <c r="CV8" s="275"/>
      <c r="CW8" s="275"/>
      <c r="CX8" s="275"/>
      <c r="CY8" s="275"/>
      <c r="CZ8" s="275"/>
      <c r="DA8" s="275"/>
      <c r="DB8" s="275"/>
      <c r="DC8" s="280"/>
      <c r="DD8" s="280"/>
      <c r="DE8" s="280"/>
      <c r="DF8" s="280"/>
      <c r="DG8" s="280"/>
      <c r="DH8" s="280"/>
      <c r="DI8" s="280"/>
      <c r="DJ8" s="280"/>
      <c r="DK8" s="280"/>
      <c r="DL8" s="280"/>
      <c r="DM8" s="280"/>
      <c r="DN8" s="280"/>
      <c r="DO8" s="280"/>
      <c r="DP8" s="280"/>
      <c r="DQ8" s="280"/>
    </row>
    <row r="9" spans="1:121" ht="17.45" hidden="1" customHeight="1">
      <c r="A9" s="281" t="s">
        <v>203</v>
      </c>
      <c r="B9" s="282">
        <v>10</v>
      </c>
      <c r="C9" s="283">
        <v>10.5</v>
      </c>
      <c r="D9" s="283">
        <v>10.5</v>
      </c>
      <c r="E9" s="283">
        <v>10.5</v>
      </c>
      <c r="F9" s="282">
        <v>10.5</v>
      </c>
      <c r="G9" s="283">
        <v>11.5</v>
      </c>
      <c r="H9" s="283">
        <v>11.5</v>
      </c>
      <c r="I9" s="283">
        <v>11.5</v>
      </c>
      <c r="J9" s="283">
        <v>11.5</v>
      </c>
      <c r="K9" s="283">
        <v>11.5</v>
      </c>
      <c r="L9" s="283">
        <v>11.5</v>
      </c>
      <c r="M9" s="283">
        <v>11.5</v>
      </c>
      <c r="N9" s="282">
        <v>12</v>
      </c>
      <c r="O9" s="283">
        <v>12</v>
      </c>
      <c r="P9" s="283">
        <v>13</v>
      </c>
      <c r="Q9" s="282">
        <v>13</v>
      </c>
      <c r="R9" s="283">
        <v>13</v>
      </c>
      <c r="S9" s="283">
        <v>13</v>
      </c>
      <c r="T9" s="284"/>
      <c r="U9" s="284"/>
      <c r="V9" s="275"/>
      <c r="W9" s="275"/>
      <c r="X9" s="275"/>
      <c r="Y9" s="275"/>
      <c r="Z9" s="275"/>
      <c r="AA9" s="275"/>
      <c r="AB9" s="275"/>
      <c r="AC9" s="275"/>
      <c r="AD9" s="275"/>
      <c r="AE9" s="275"/>
      <c r="AF9" s="275"/>
      <c r="AG9" s="275"/>
      <c r="AH9" s="275"/>
      <c r="AI9" s="275"/>
      <c r="AJ9" s="275"/>
      <c r="AK9" s="275"/>
      <c r="AL9" s="275"/>
      <c r="AM9" s="275"/>
      <c r="AN9" s="276"/>
      <c r="AO9" s="275"/>
      <c r="AP9" s="275"/>
      <c r="AQ9" s="275"/>
      <c r="AR9" s="275"/>
      <c r="AS9" s="275"/>
      <c r="AT9" s="275"/>
      <c r="AU9" s="275"/>
      <c r="AV9" s="275"/>
      <c r="AW9" s="275"/>
      <c r="AX9" s="275"/>
      <c r="AY9" s="275"/>
      <c r="AZ9" s="275"/>
      <c r="BA9" s="275"/>
      <c r="BB9" s="275"/>
      <c r="BC9" s="275"/>
      <c r="BD9" s="275"/>
      <c r="BE9" s="275"/>
      <c r="BF9" s="275"/>
      <c r="BG9" s="275"/>
      <c r="BH9" s="276"/>
      <c r="BI9" s="276"/>
      <c r="BJ9" s="276"/>
      <c r="BK9" s="276"/>
      <c r="BL9" s="276"/>
      <c r="BM9" s="276"/>
      <c r="BN9" s="276"/>
      <c r="BO9" s="276"/>
      <c r="BP9" s="277"/>
      <c r="BQ9" s="277"/>
      <c r="BR9" s="277"/>
      <c r="BS9" s="277"/>
      <c r="BT9" s="277"/>
      <c r="BU9" s="277"/>
      <c r="BV9" s="277"/>
      <c r="BX9" s="274"/>
      <c r="BY9" s="274"/>
      <c r="BZ9" s="275"/>
      <c r="CA9" s="274"/>
      <c r="CB9" s="274"/>
      <c r="CC9" s="275"/>
      <c r="CD9" s="275"/>
      <c r="CE9" s="275"/>
      <c r="CF9" s="275"/>
      <c r="CG9" s="275"/>
      <c r="CH9" s="278"/>
      <c r="CI9" s="279"/>
      <c r="CJ9" s="275"/>
      <c r="CK9" s="275"/>
      <c r="CL9" s="275"/>
      <c r="CM9" s="275"/>
      <c r="CN9" s="275"/>
      <c r="CO9" s="275"/>
      <c r="CP9" s="275"/>
      <c r="CQ9" s="275"/>
      <c r="CR9" s="275"/>
      <c r="CS9" s="275"/>
      <c r="CT9" s="275"/>
      <c r="CU9" s="275"/>
      <c r="CV9" s="275"/>
      <c r="CW9" s="275"/>
      <c r="CX9" s="275"/>
      <c r="CY9" s="275"/>
      <c r="CZ9" s="275"/>
      <c r="DA9" s="275"/>
      <c r="DB9" s="275"/>
      <c r="DC9" s="280"/>
      <c r="DD9" s="280"/>
      <c r="DE9" s="280"/>
      <c r="DF9" s="280"/>
      <c r="DG9" s="280"/>
      <c r="DH9" s="280"/>
      <c r="DI9" s="280"/>
      <c r="DJ9" s="280"/>
      <c r="DK9" s="280"/>
      <c r="DL9" s="280"/>
      <c r="DM9" s="280"/>
      <c r="DN9" s="280"/>
      <c r="DO9" s="280"/>
      <c r="DP9" s="280"/>
      <c r="DQ9" s="280"/>
    </row>
    <row r="10" spans="1:121" ht="17.45" customHeight="1">
      <c r="A10" s="281" t="s">
        <v>204</v>
      </c>
      <c r="B10" s="282">
        <v>5.74</v>
      </c>
      <c r="C10" s="283">
        <v>6.54</v>
      </c>
      <c r="D10" s="283">
        <v>6.27</v>
      </c>
      <c r="E10" s="283">
        <v>6.5</v>
      </c>
      <c r="F10" s="282">
        <v>6.39</v>
      </c>
      <c r="G10" s="283">
        <v>7.66</v>
      </c>
      <c r="H10" s="283">
        <v>7.4</v>
      </c>
      <c r="I10" s="283">
        <v>7.53</v>
      </c>
      <c r="J10" s="283">
        <v>7.57</v>
      </c>
      <c r="K10" s="283">
        <v>7.49</v>
      </c>
      <c r="L10" s="283">
        <v>7.46</v>
      </c>
      <c r="M10" s="283">
        <v>7.3</v>
      </c>
      <c r="N10" s="282">
        <v>7.31</v>
      </c>
      <c r="O10" s="283">
        <v>7.34</v>
      </c>
      <c r="P10" s="283">
        <v>10.02</v>
      </c>
      <c r="Q10" s="282">
        <v>10.46</v>
      </c>
      <c r="R10" s="283">
        <v>11.06</v>
      </c>
      <c r="S10" s="283">
        <v>12.45</v>
      </c>
      <c r="T10" s="284">
        <v>13.31</v>
      </c>
      <c r="U10" s="284">
        <v>12.86</v>
      </c>
      <c r="V10" s="285">
        <v>11.35</v>
      </c>
      <c r="W10" s="285">
        <v>11.86</v>
      </c>
      <c r="X10" s="285">
        <v>11.54</v>
      </c>
      <c r="Y10" s="285">
        <v>10.98</v>
      </c>
      <c r="Z10" s="285">
        <v>10.99</v>
      </c>
      <c r="AA10" s="285">
        <v>9.4600000000000009</v>
      </c>
      <c r="AB10" s="285">
        <v>9.43</v>
      </c>
      <c r="AC10" s="285">
        <v>9.4600000000000009</v>
      </c>
      <c r="AD10" s="285">
        <v>9.4600000000000009</v>
      </c>
      <c r="AE10" s="285">
        <v>10.050000000000001</v>
      </c>
      <c r="AF10" s="285">
        <v>9.51</v>
      </c>
      <c r="AG10" s="285">
        <v>7.86</v>
      </c>
      <c r="AH10" s="285">
        <v>7.21</v>
      </c>
      <c r="AI10" s="285">
        <v>7.64</v>
      </c>
      <c r="AJ10" s="285">
        <v>7.26</v>
      </c>
      <c r="AK10" s="285">
        <v>7.45</v>
      </c>
      <c r="AL10" s="285">
        <v>7.47</v>
      </c>
      <c r="AM10" s="285">
        <v>8.07</v>
      </c>
      <c r="AN10" s="285">
        <v>9.2899999999999991</v>
      </c>
      <c r="AO10" s="285">
        <v>9.41</v>
      </c>
      <c r="AP10" s="285">
        <v>9.36</v>
      </c>
      <c r="AQ10" s="285">
        <v>8.83</v>
      </c>
      <c r="AR10" s="285">
        <v>7.53</v>
      </c>
      <c r="AS10" s="285">
        <v>6.84</v>
      </c>
      <c r="AT10" s="285">
        <v>5.28</v>
      </c>
      <c r="AU10" s="285">
        <v>4.9800000000000004</v>
      </c>
      <c r="AV10" s="285">
        <v>4.7699999999999996</v>
      </c>
      <c r="AW10" s="285">
        <v>4.76</v>
      </c>
      <c r="AX10" s="285">
        <v>4.49</v>
      </c>
      <c r="AY10" s="285">
        <v>4.45</v>
      </c>
      <c r="AZ10" s="285">
        <v>4.67</v>
      </c>
      <c r="BA10" s="285">
        <v>4.62</v>
      </c>
      <c r="BB10" s="285">
        <v>4.41</v>
      </c>
      <c r="BC10" s="285">
        <v>4.38</v>
      </c>
      <c r="BD10" s="285">
        <v>4.5599999999999996</v>
      </c>
      <c r="BE10" s="285">
        <v>4.4400000000000004</v>
      </c>
      <c r="BF10" s="285">
        <v>4.38</v>
      </c>
      <c r="BG10" s="285">
        <v>4.33</v>
      </c>
      <c r="BH10" s="285">
        <v>3.62</v>
      </c>
      <c r="BI10" s="285">
        <v>3.96</v>
      </c>
      <c r="BJ10" s="285">
        <v>3.47</v>
      </c>
      <c r="BK10" s="285">
        <v>2.7</v>
      </c>
      <c r="BL10" s="285">
        <v>3.21</v>
      </c>
      <c r="BM10" s="285">
        <v>4.42</v>
      </c>
      <c r="BN10" s="285">
        <v>3.26</v>
      </c>
      <c r="BO10" s="285">
        <v>2.89</v>
      </c>
      <c r="BP10" s="285">
        <v>3.01</v>
      </c>
      <c r="BQ10" s="285">
        <v>2.54</v>
      </c>
      <c r="BR10" s="285">
        <v>2.25</v>
      </c>
      <c r="BS10" s="285">
        <v>4.07</v>
      </c>
      <c r="BT10" s="285">
        <v>4.1500000000000004</v>
      </c>
      <c r="BU10" s="285">
        <v>4.47</v>
      </c>
      <c r="BV10" s="285">
        <v>4.3099999999999996</v>
      </c>
      <c r="BW10" s="285">
        <v>4.47</v>
      </c>
      <c r="BX10" s="285">
        <v>4.45</v>
      </c>
      <c r="BY10" s="285">
        <v>4.28</v>
      </c>
      <c r="BZ10" s="285">
        <v>4.54</v>
      </c>
      <c r="CA10" s="285">
        <v>4.4400000000000004</v>
      </c>
      <c r="CB10" s="285">
        <v>4.21</v>
      </c>
      <c r="CC10" s="286">
        <v>4.22</v>
      </c>
      <c r="CD10" s="286">
        <v>3.74</v>
      </c>
      <c r="CE10" s="286">
        <v>3.67</v>
      </c>
      <c r="CF10" s="286">
        <v>3.61</v>
      </c>
      <c r="CG10" s="286">
        <v>3.39</v>
      </c>
      <c r="CH10" s="287">
        <v>3.4</v>
      </c>
      <c r="CI10" s="288">
        <v>3.45</v>
      </c>
      <c r="CJ10" s="286">
        <v>3.44</v>
      </c>
      <c r="CK10" s="286">
        <v>3.13</v>
      </c>
      <c r="CL10" s="286">
        <v>2.98</v>
      </c>
      <c r="CM10" s="286">
        <v>2.89</v>
      </c>
      <c r="CN10" s="286">
        <v>2.76</v>
      </c>
      <c r="CO10" s="286">
        <v>2.71</v>
      </c>
      <c r="CP10" s="286">
        <v>2.36</v>
      </c>
      <c r="CQ10" s="289">
        <v>2.2999999999999998</v>
      </c>
      <c r="CR10" s="289">
        <v>2.3199999999999998</v>
      </c>
      <c r="CS10" s="289">
        <v>2.74</v>
      </c>
      <c r="CT10" s="289">
        <v>2.8</v>
      </c>
      <c r="CU10" s="289">
        <v>2.78</v>
      </c>
      <c r="CV10" s="289">
        <v>2.73</v>
      </c>
      <c r="CW10" s="289">
        <v>3.16</v>
      </c>
      <c r="CX10" s="289">
        <v>3.52</v>
      </c>
      <c r="CY10" s="289">
        <v>3.56</v>
      </c>
      <c r="CZ10" s="289">
        <v>3.46</v>
      </c>
      <c r="DA10" s="289">
        <v>3.23</v>
      </c>
      <c r="DB10" s="289">
        <v>3.05</v>
      </c>
      <c r="DC10" s="290">
        <v>2.91</v>
      </c>
      <c r="DD10" s="290">
        <v>2.74</v>
      </c>
      <c r="DE10" s="290">
        <v>2.48</v>
      </c>
      <c r="DF10" s="290"/>
      <c r="DG10" s="290"/>
      <c r="DH10" s="290"/>
      <c r="DI10" s="290"/>
      <c r="DJ10" s="290"/>
      <c r="DK10" s="290"/>
      <c r="DL10" s="290"/>
      <c r="DM10" s="290"/>
      <c r="DN10" s="290"/>
      <c r="DO10" s="290"/>
      <c r="DP10" s="290"/>
      <c r="DQ10" s="290"/>
    </row>
    <row r="11" spans="1:121" ht="17.45" customHeight="1">
      <c r="A11" s="291" t="s">
        <v>205</v>
      </c>
      <c r="B11" s="282"/>
      <c r="C11" s="283"/>
      <c r="D11" s="283"/>
      <c r="E11" s="283"/>
      <c r="F11" s="282"/>
      <c r="G11" s="283"/>
      <c r="H11" s="283"/>
      <c r="I11" s="283"/>
      <c r="J11" s="283"/>
      <c r="K11" s="283"/>
      <c r="L11" s="283"/>
      <c r="M11" s="283"/>
      <c r="N11" s="282"/>
      <c r="O11" s="283"/>
      <c r="P11" s="283"/>
      <c r="Q11" s="282"/>
      <c r="R11" s="283"/>
      <c r="S11" s="283">
        <v>8.5</v>
      </c>
      <c r="T11" s="284">
        <v>8.5</v>
      </c>
      <c r="U11" s="284">
        <v>8.5</v>
      </c>
      <c r="V11" s="285">
        <v>8.5</v>
      </c>
      <c r="W11" s="285">
        <v>8.5</v>
      </c>
      <c r="X11" s="285">
        <v>8.5</v>
      </c>
      <c r="Y11" s="285">
        <v>8.5</v>
      </c>
      <c r="Z11" s="285">
        <v>9.25</v>
      </c>
      <c r="AA11" s="285">
        <v>9.25</v>
      </c>
      <c r="AB11" s="285">
        <v>9.25</v>
      </c>
      <c r="AC11" s="285">
        <v>9.25</v>
      </c>
      <c r="AD11" s="285">
        <v>9.25</v>
      </c>
      <c r="AE11" s="285">
        <v>9.25</v>
      </c>
      <c r="AF11" s="285">
        <v>9.25</v>
      </c>
      <c r="AG11" s="285">
        <v>9</v>
      </c>
      <c r="AH11" s="285">
        <v>8.5</v>
      </c>
      <c r="AI11" s="285">
        <v>8.5</v>
      </c>
      <c r="AJ11" s="285">
        <v>8</v>
      </c>
      <c r="AK11" s="285">
        <v>8</v>
      </c>
      <c r="AL11" s="285">
        <v>8.25</v>
      </c>
      <c r="AM11" s="285">
        <v>8.25</v>
      </c>
      <c r="AN11" s="285">
        <v>8.25</v>
      </c>
      <c r="AO11" s="285">
        <v>7.75</v>
      </c>
      <c r="AP11" s="285">
        <v>7.75</v>
      </c>
      <c r="AQ11" s="285">
        <v>6.75</v>
      </c>
      <c r="AR11" s="285">
        <v>6.75</v>
      </c>
      <c r="AS11" s="285">
        <v>6.75</v>
      </c>
      <c r="AT11" s="285">
        <v>5.75</v>
      </c>
      <c r="AU11" s="285">
        <v>5.75</v>
      </c>
      <c r="AV11" s="285">
        <v>5.75</v>
      </c>
      <c r="AW11" s="285">
        <v>5.75</v>
      </c>
      <c r="AX11" s="285">
        <v>5.75</v>
      </c>
      <c r="AY11" s="285">
        <v>5.75</v>
      </c>
      <c r="AZ11" s="285">
        <v>5.75</v>
      </c>
      <c r="BA11" s="285">
        <v>5.75</v>
      </c>
      <c r="BB11" s="285">
        <v>5.75</v>
      </c>
      <c r="BC11" s="285">
        <v>5.75</v>
      </c>
      <c r="BD11" s="285">
        <v>5.75</v>
      </c>
      <c r="BE11" s="285">
        <v>5.75</v>
      </c>
      <c r="BF11" s="285">
        <v>5.75</v>
      </c>
      <c r="BG11" s="285">
        <v>5.75</v>
      </c>
      <c r="BH11" s="285">
        <v>5.75</v>
      </c>
      <c r="BI11" s="285">
        <v>5.75</v>
      </c>
      <c r="BJ11" s="285">
        <v>5.75</v>
      </c>
      <c r="BK11" s="285">
        <v>5.75</v>
      </c>
      <c r="BL11" s="285">
        <v>4.75</v>
      </c>
      <c r="BM11" s="285">
        <v>4.75</v>
      </c>
      <c r="BN11" s="285">
        <v>4.75</v>
      </c>
      <c r="BO11" s="285">
        <v>4.75</v>
      </c>
      <c r="BP11" s="285">
        <v>4.75</v>
      </c>
      <c r="BQ11" s="285">
        <v>4.75</v>
      </c>
      <c r="BR11" s="285">
        <v>5.25</v>
      </c>
      <c r="BS11" s="285">
        <v>5.25</v>
      </c>
      <c r="BT11" s="285">
        <v>5.25</v>
      </c>
      <c r="BU11" s="285">
        <v>5.5</v>
      </c>
      <c r="BV11" s="285">
        <v>5.5</v>
      </c>
      <c r="BW11" s="285">
        <v>5.5</v>
      </c>
      <c r="BX11" s="285">
        <v>5.5</v>
      </c>
      <c r="BY11" s="285">
        <v>5.5</v>
      </c>
      <c r="BZ11" s="285">
        <v>5.5</v>
      </c>
      <c r="CA11" s="285">
        <v>5.4</v>
      </c>
      <c r="CB11" s="285">
        <v>5.4</v>
      </c>
      <c r="CC11" s="286">
        <v>5.4</v>
      </c>
      <c r="CD11" s="286">
        <v>4.9000000000000004</v>
      </c>
      <c r="CE11" s="286">
        <v>4.9000000000000004</v>
      </c>
      <c r="CF11" s="286">
        <v>4.9000000000000004</v>
      </c>
      <c r="CG11" s="286">
        <v>4.9000000000000004</v>
      </c>
      <c r="CH11" s="287">
        <v>4.9000000000000004</v>
      </c>
      <c r="CI11" s="288">
        <v>4.9000000000000004</v>
      </c>
      <c r="CJ11" s="286">
        <v>4.9000000000000004</v>
      </c>
      <c r="CK11" s="286">
        <v>4.9000000000000004</v>
      </c>
      <c r="CL11" s="286">
        <v>4.9000000000000004</v>
      </c>
      <c r="CM11" s="286">
        <v>4.9000000000000004</v>
      </c>
      <c r="CN11" s="286">
        <v>4.9000000000000004</v>
      </c>
      <c r="CO11" s="286">
        <v>4.9000000000000004</v>
      </c>
      <c r="CP11" s="286">
        <v>4.9000000000000004</v>
      </c>
      <c r="CQ11" s="289">
        <v>4.9000000000000004</v>
      </c>
      <c r="CR11" s="289">
        <v>4.9000000000000004</v>
      </c>
      <c r="CS11" s="289">
        <v>4.6500000000000004</v>
      </c>
      <c r="CT11" s="289">
        <v>4.6500000000000004</v>
      </c>
      <c r="CU11" s="289">
        <v>4.6500000000000004</v>
      </c>
      <c r="CV11" s="289">
        <v>4.6500000000000004</v>
      </c>
      <c r="CW11" s="289">
        <v>4.6500000000000004</v>
      </c>
      <c r="CX11" s="289">
        <v>4.6500000000000004</v>
      </c>
      <c r="CY11" s="289">
        <v>4.6500000000000004</v>
      </c>
      <c r="CZ11" s="289">
        <v>4.6500000000000004</v>
      </c>
      <c r="DA11" s="289">
        <v>4.6500000000000004</v>
      </c>
      <c r="DB11" s="289">
        <v>4.6500000000000004</v>
      </c>
      <c r="DC11" s="290">
        <v>4.6500000000000004</v>
      </c>
      <c r="DD11" s="290">
        <v>4.6500000000000004</v>
      </c>
      <c r="DE11" s="290">
        <v>4.6500000000000004</v>
      </c>
      <c r="DF11" s="290">
        <v>4.6500000000000004</v>
      </c>
      <c r="DG11" s="290">
        <v>4.6500000000000004</v>
      </c>
      <c r="DH11" s="290">
        <v>4.6500000000000004</v>
      </c>
      <c r="DI11" s="290">
        <v>4.6500000000000004</v>
      </c>
      <c r="DJ11" s="290">
        <v>4.6500000000000004</v>
      </c>
      <c r="DK11" s="290">
        <v>4.6500000000000004</v>
      </c>
      <c r="DL11" s="290">
        <v>4.6500000000000004</v>
      </c>
      <c r="DM11" s="290">
        <v>4.6500000000000004</v>
      </c>
      <c r="DN11" s="290">
        <v>4.6500000000000004</v>
      </c>
      <c r="DO11" s="290">
        <v>4.6500000000000004</v>
      </c>
      <c r="DP11" s="290">
        <v>4.6500000000000004</v>
      </c>
      <c r="DQ11" s="290">
        <v>4.6500000000000004</v>
      </c>
    </row>
    <row r="12" spans="1:121" ht="17.45" customHeight="1">
      <c r="A12" s="291"/>
      <c r="B12" s="270"/>
      <c r="C12" s="271"/>
      <c r="D12" s="271"/>
      <c r="E12" s="271"/>
      <c r="F12" s="272"/>
      <c r="G12" s="273"/>
      <c r="H12" s="273"/>
      <c r="I12" s="273"/>
      <c r="J12" s="273"/>
      <c r="K12" s="273"/>
      <c r="L12" s="273"/>
      <c r="M12" s="273"/>
      <c r="N12" s="272"/>
      <c r="O12" s="273"/>
      <c r="P12" s="273"/>
      <c r="Q12" s="272"/>
      <c r="R12" s="273"/>
      <c r="S12" s="273"/>
      <c r="T12" s="274"/>
      <c r="U12" s="274"/>
      <c r="V12" s="275"/>
      <c r="W12" s="275"/>
      <c r="X12" s="275"/>
      <c r="Y12" s="275"/>
      <c r="Z12" s="275"/>
      <c r="AA12" s="275"/>
      <c r="AB12" s="275"/>
      <c r="AC12" s="275"/>
      <c r="AD12" s="275"/>
      <c r="AE12" s="275"/>
      <c r="AF12" s="275"/>
      <c r="AG12" s="275"/>
      <c r="AH12" s="275"/>
      <c r="AI12" s="275"/>
      <c r="AJ12" s="275"/>
      <c r="AK12" s="275"/>
      <c r="AL12" s="275"/>
      <c r="AM12" s="275"/>
      <c r="AN12" s="276"/>
      <c r="AO12" s="275"/>
      <c r="AP12" s="275"/>
      <c r="AQ12" s="275"/>
      <c r="AR12" s="275"/>
      <c r="AS12" s="275"/>
      <c r="AT12" s="275"/>
      <c r="AU12" s="275"/>
      <c r="AV12" s="275"/>
      <c r="AW12" s="275"/>
      <c r="AX12" s="275"/>
      <c r="AY12" s="275"/>
      <c r="AZ12" s="275"/>
      <c r="BA12" s="275"/>
      <c r="BB12" s="275"/>
      <c r="BC12" s="275"/>
      <c r="BD12" s="275"/>
      <c r="BE12" s="275"/>
      <c r="BF12" s="275"/>
      <c r="BG12" s="275"/>
      <c r="BH12" s="276"/>
      <c r="BI12" s="276"/>
      <c r="BJ12" s="276"/>
      <c r="BK12" s="276"/>
      <c r="BL12" s="276"/>
      <c r="BM12" s="276"/>
      <c r="BN12" s="276"/>
      <c r="BO12" s="276"/>
      <c r="BP12" s="277"/>
      <c r="BQ12" s="277"/>
      <c r="BR12" s="277"/>
      <c r="BS12" s="277"/>
      <c r="BT12" s="277"/>
      <c r="BU12" s="277"/>
      <c r="BV12" s="277"/>
      <c r="BW12" s="277"/>
      <c r="BX12" s="277"/>
      <c r="BY12" s="277"/>
      <c r="BZ12" s="277"/>
      <c r="CA12" s="277"/>
      <c r="CB12" s="277"/>
      <c r="CC12" s="275"/>
      <c r="CD12" s="275"/>
      <c r="CE12" s="275"/>
      <c r="CF12" s="275"/>
      <c r="CG12" s="275"/>
      <c r="CH12" s="278"/>
      <c r="CI12" s="279"/>
      <c r="CJ12" s="275"/>
      <c r="CK12" s="275"/>
      <c r="CL12" s="275"/>
      <c r="CM12" s="275"/>
      <c r="CN12" s="275"/>
      <c r="CO12" s="275"/>
      <c r="CP12" s="275"/>
      <c r="CQ12" s="292"/>
      <c r="CR12" s="292"/>
      <c r="CS12" s="292"/>
      <c r="CT12" s="292"/>
      <c r="CU12" s="292"/>
      <c r="CV12" s="292"/>
      <c r="CW12" s="292"/>
      <c r="CX12" s="292"/>
      <c r="CY12" s="292"/>
      <c r="CZ12" s="292"/>
      <c r="DA12" s="292"/>
      <c r="DB12" s="292"/>
      <c r="DC12" s="293"/>
      <c r="DD12" s="293"/>
      <c r="DE12" s="293"/>
      <c r="DF12" s="293"/>
      <c r="DG12" s="293"/>
      <c r="DH12" s="293"/>
      <c r="DI12" s="293"/>
      <c r="DJ12" s="293"/>
      <c r="DK12" s="293"/>
      <c r="DL12" s="293"/>
      <c r="DM12" s="293"/>
      <c r="DN12" s="293"/>
      <c r="DO12" s="293"/>
      <c r="DP12" s="293"/>
      <c r="DQ12" s="293"/>
    </row>
    <row r="13" spans="1:121" ht="17.45" customHeight="1">
      <c r="A13" s="294" t="s">
        <v>206</v>
      </c>
      <c r="B13" s="270"/>
      <c r="C13" s="271"/>
      <c r="D13" s="271"/>
      <c r="E13" s="271"/>
      <c r="F13" s="272"/>
      <c r="G13" s="273"/>
      <c r="H13" s="273"/>
      <c r="I13" s="273"/>
      <c r="J13" s="273"/>
      <c r="K13" s="273"/>
      <c r="L13" s="273"/>
      <c r="M13" s="273"/>
      <c r="N13" s="272"/>
      <c r="O13" s="273"/>
      <c r="P13" s="273"/>
      <c r="Q13" s="272"/>
      <c r="R13" s="273"/>
      <c r="S13" s="273"/>
      <c r="T13" s="274"/>
      <c r="U13" s="274"/>
      <c r="V13" s="275"/>
      <c r="W13" s="275"/>
      <c r="X13" s="275"/>
      <c r="Y13" s="275"/>
      <c r="Z13" s="275"/>
      <c r="AA13" s="275"/>
      <c r="AB13" s="275"/>
      <c r="AC13" s="275"/>
      <c r="AD13" s="275"/>
      <c r="AE13" s="275"/>
      <c r="AF13" s="275"/>
      <c r="AG13" s="275"/>
      <c r="AH13" s="275"/>
      <c r="AI13" s="275"/>
      <c r="AJ13" s="275"/>
      <c r="AK13" s="275"/>
      <c r="AL13" s="275"/>
      <c r="AM13" s="275"/>
      <c r="AN13" s="276"/>
      <c r="AO13" s="275"/>
      <c r="AP13" s="275"/>
      <c r="AQ13" s="275"/>
      <c r="AR13" s="275"/>
      <c r="AS13" s="275"/>
      <c r="AT13" s="275"/>
      <c r="AU13" s="275"/>
      <c r="AV13" s="275"/>
      <c r="AW13" s="275"/>
      <c r="AX13" s="275"/>
      <c r="AY13" s="275"/>
      <c r="AZ13" s="275"/>
      <c r="BA13" s="275"/>
      <c r="BB13" s="275"/>
      <c r="BC13" s="275"/>
      <c r="BD13" s="275"/>
      <c r="BE13" s="275"/>
      <c r="BF13" s="275"/>
      <c r="BG13" s="275"/>
      <c r="BH13" s="276"/>
      <c r="BI13" s="276"/>
      <c r="BJ13" s="276"/>
      <c r="BK13" s="276"/>
      <c r="BL13" s="276"/>
      <c r="BM13" s="276"/>
      <c r="BN13" s="276"/>
      <c r="BO13" s="276"/>
      <c r="BP13" s="277"/>
      <c r="BQ13" s="277"/>
      <c r="BR13" s="277"/>
      <c r="BS13" s="277"/>
      <c r="BT13" s="277"/>
      <c r="BU13" s="277"/>
      <c r="BV13" s="277"/>
      <c r="BW13" s="277"/>
      <c r="BX13" s="277"/>
      <c r="BY13" s="277"/>
      <c r="BZ13" s="277"/>
      <c r="CA13" s="277"/>
      <c r="CB13" s="277"/>
      <c r="CC13" s="275"/>
      <c r="CD13" s="275"/>
      <c r="CE13" s="275"/>
      <c r="CF13" s="275"/>
      <c r="CG13" s="275"/>
      <c r="CH13" s="278"/>
      <c r="CI13" s="279"/>
      <c r="CJ13" s="275"/>
      <c r="CK13" s="275"/>
      <c r="CL13" s="275"/>
      <c r="CM13" s="275"/>
      <c r="CN13" s="275"/>
      <c r="CO13" s="275"/>
      <c r="CP13" s="275"/>
      <c r="CQ13" s="292"/>
      <c r="CR13" s="292"/>
      <c r="CS13" s="292"/>
      <c r="CT13" s="292"/>
      <c r="CU13" s="292"/>
      <c r="CV13" s="292"/>
      <c r="CW13" s="292"/>
      <c r="CX13" s="292"/>
      <c r="CY13" s="292"/>
      <c r="CZ13" s="292"/>
      <c r="DA13" s="292"/>
      <c r="DB13" s="292"/>
      <c r="DC13" s="293"/>
      <c r="DD13" s="293"/>
      <c r="DE13" s="293"/>
      <c r="DF13" s="293"/>
      <c r="DG13" s="293"/>
      <c r="DH13" s="293"/>
      <c r="DI13" s="293"/>
      <c r="DJ13" s="293"/>
      <c r="DK13" s="293"/>
      <c r="DL13" s="293"/>
      <c r="DM13" s="293"/>
      <c r="DN13" s="293"/>
      <c r="DO13" s="293"/>
      <c r="DP13" s="293"/>
      <c r="DQ13" s="293"/>
    </row>
    <row r="14" spans="1:121" ht="17.45" customHeight="1">
      <c r="A14" s="294" t="s">
        <v>207</v>
      </c>
      <c r="B14" s="295" t="s">
        <v>208</v>
      </c>
      <c r="C14" s="296" t="s">
        <v>209</v>
      </c>
      <c r="D14" s="296" t="s">
        <v>209</v>
      </c>
      <c r="E14" s="296" t="s">
        <v>209</v>
      </c>
      <c r="F14" s="295" t="s">
        <v>209</v>
      </c>
      <c r="G14" s="296" t="s">
        <v>210</v>
      </c>
      <c r="H14" s="296" t="s">
        <v>210</v>
      </c>
      <c r="I14" s="296" t="s">
        <v>210</v>
      </c>
      <c r="J14" s="296" t="s">
        <v>210</v>
      </c>
      <c r="K14" s="296" t="s">
        <v>210</v>
      </c>
      <c r="L14" s="296" t="s">
        <v>210</v>
      </c>
      <c r="M14" s="296" t="s">
        <v>210</v>
      </c>
      <c r="N14" s="295" t="s">
        <v>211</v>
      </c>
      <c r="O14" s="296" t="s">
        <v>211</v>
      </c>
      <c r="P14" s="296" t="s">
        <v>212</v>
      </c>
      <c r="Q14" s="295" t="s">
        <v>212</v>
      </c>
      <c r="R14" s="296" t="s">
        <v>212</v>
      </c>
      <c r="S14" s="296" t="s">
        <v>212</v>
      </c>
      <c r="T14" s="297" t="s">
        <v>212</v>
      </c>
      <c r="U14" s="297" t="s">
        <v>212</v>
      </c>
      <c r="V14" s="297" t="s">
        <v>212</v>
      </c>
      <c r="W14" s="297" t="s">
        <v>212</v>
      </c>
      <c r="X14" s="297" t="s">
        <v>212</v>
      </c>
      <c r="Y14" s="297" t="s">
        <v>212</v>
      </c>
      <c r="Z14" s="297" t="s">
        <v>213</v>
      </c>
      <c r="AA14" s="297" t="s">
        <v>213</v>
      </c>
      <c r="AB14" s="297" t="s">
        <v>213</v>
      </c>
      <c r="AC14" s="297" t="s">
        <v>214</v>
      </c>
      <c r="AD14" s="297" t="s">
        <v>214</v>
      </c>
      <c r="AE14" s="298" t="s">
        <v>214</v>
      </c>
      <c r="AF14" s="298" t="s">
        <v>214</v>
      </c>
      <c r="AG14" s="298" t="s">
        <v>215</v>
      </c>
      <c r="AH14" s="298" t="s">
        <v>216</v>
      </c>
      <c r="AI14" s="298" t="s">
        <v>216</v>
      </c>
      <c r="AJ14" s="298" t="s">
        <v>217</v>
      </c>
      <c r="AK14" s="298" t="s">
        <v>217</v>
      </c>
      <c r="AL14" s="298" t="s">
        <v>217</v>
      </c>
      <c r="AM14" s="298" t="s">
        <v>216</v>
      </c>
      <c r="AN14" s="298" t="s">
        <v>216</v>
      </c>
      <c r="AO14" s="298" t="s">
        <v>216</v>
      </c>
      <c r="AP14" s="298" t="s">
        <v>218</v>
      </c>
      <c r="AQ14" s="298" t="s">
        <v>219</v>
      </c>
      <c r="AR14" s="298" t="s">
        <v>219</v>
      </c>
      <c r="AS14" s="298" t="s">
        <v>219</v>
      </c>
      <c r="AT14" s="298" t="s">
        <v>220</v>
      </c>
      <c r="AU14" s="298" t="s">
        <v>221</v>
      </c>
      <c r="AV14" s="298" t="s">
        <v>221</v>
      </c>
      <c r="AW14" s="298" t="s">
        <v>221</v>
      </c>
      <c r="AX14" s="298" t="s">
        <v>221</v>
      </c>
      <c r="AY14" s="298" t="s">
        <v>221</v>
      </c>
      <c r="AZ14" s="298" t="s">
        <v>221</v>
      </c>
      <c r="BA14" s="298" t="s">
        <v>221</v>
      </c>
      <c r="BB14" s="298" t="s">
        <v>221</v>
      </c>
      <c r="BC14" s="298" t="s">
        <v>221</v>
      </c>
      <c r="BD14" s="298" t="s">
        <v>221</v>
      </c>
      <c r="BE14" s="298" t="s">
        <v>221</v>
      </c>
      <c r="BF14" s="298" t="s">
        <v>221</v>
      </c>
      <c r="BG14" s="298" t="s">
        <v>221</v>
      </c>
      <c r="BH14" s="298" t="s">
        <v>221</v>
      </c>
      <c r="BI14" s="298" t="s">
        <v>221</v>
      </c>
      <c r="BJ14" s="298" t="s">
        <v>221</v>
      </c>
      <c r="BK14" s="298" t="s">
        <v>221</v>
      </c>
      <c r="BL14" s="298" t="s">
        <v>222</v>
      </c>
      <c r="BM14" s="298" t="s">
        <v>223</v>
      </c>
      <c r="BN14" s="298" t="s">
        <v>223</v>
      </c>
      <c r="BO14" s="298" t="s">
        <v>223</v>
      </c>
      <c r="BP14" s="298" t="s">
        <v>223</v>
      </c>
      <c r="BQ14" s="298" t="s">
        <v>223</v>
      </c>
      <c r="BR14" s="298" t="s">
        <v>222</v>
      </c>
      <c r="BS14" s="298" t="s">
        <v>222</v>
      </c>
      <c r="BT14" s="298" t="s">
        <v>224</v>
      </c>
      <c r="BU14" s="298" t="s">
        <v>224</v>
      </c>
      <c r="BV14" s="298" t="s">
        <v>225</v>
      </c>
      <c r="BW14" s="298" t="s">
        <v>225</v>
      </c>
      <c r="BX14" s="298" t="s">
        <v>225</v>
      </c>
      <c r="BY14" s="298" t="s">
        <v>225</v>
      </c>
      <c r="BZ14" s="298" t="s">
        <v>225</v>
      </c>
      <c r="CA14" s="298" t="s">
        <v>225</v>
      </c>
      <c r="CB14" s="298" t="s">
        <v>225</v>
      </c>
      <c r="CC14" s="298" t="s">
        <v>225</v>
      </c>
      <c r="CD14" s="298" t="s">
        <v>226</v>
      </c>
      <c r="CE14" s="298" t="s">
        <v>227</v>
      </c>
      <c r="CF14" s="298" t="s">
        <v>228</v>
      </c>
      <c r="CG14" s="298" t="s">
        <v>228</v>
      </c>
      <c r="CH14" s="299" t="s">
        <v>228</v>
      </c>
      <c r="CI14" s="300" t="s">
        <v>228</v>
      </c>
      <c r="CJ14" s="298" t="s">
        <v>228</v>
      </c>
      <c r="CK14" s="298" t="s">
        <v>228</v>
      </c>
      <c r="CL14" s="298" t="s">
        <v>228</v>
      </c>
      <c r="CM14" s="298" t="s">
        <v>228</v>
      </c>
      <c r="CN14" s="298" t="s">
        <v>228</v>
      </c>
      <c r="CO14" s="298" t="s">
        <v>228</v>
      </c>
      <c r="CP14" s="298" t="s">
        <v>228</v>
      </c>
      <c r="CQ14" s="301" t="s">
        <v>228</v>
      </c>
      <c r="CR14" s="301" t="s">
        <v>228</v>
      </c>
      <c r="CS14" s="301" t="s">
        <v>228</v>
      </c>
      <c r="CT14" s="301" t="s">
        <v>229</v>
      </c>
      <c r="CU14" s="301" t="s">
        <v>229</v>
      </c>
      <c r="CV14" s="301" t="s">
        <v>229</v>
      </c>
      <c r="CW14" s="301" t="s">
        <v>230</v>
      </c>
      <c r="CX14" s="301" t="s">
        <v>230</v>
      </c>
      <c r="CY14" s="301" t="s">
        <v>230</v>
      </c>
      <c r="CZ14" s="301" t="s">
        <v>230</v>
      </c>
      <c r="DA14" s="301" t="s">
        <v>230</v>
      </c>
      <c r="DB14" s="301" t="s">
        <v>230</v>
      </c>
      <c r="DC14" s="302" t="s">
        <v>230</v>
      </c>
      <c r="DD14" s="302" t="s">
        <v>230</v>
      </c>
      <c r="DE14" s="302" t="s">
        <v>230</v>
      </c>
      <c r="DF14" s="302" t="s">
        <v>230</v>
      </c>
      <c r="DG14" s="302" t="s">
        <v>230</v>
      </c>
      <c r="DH14" s="302" t="s">
        <v>230</v>
      </c>
      <c r="DI14" s="302" t="s">
        <v>230</v>
      </c>
      <c r="DJ14" s="302" t="s">
        <v>230</v>
      </c>
      <c r="DK14" s="302" t="s">
        <v>230</v>
      </c>
      <c r="DL14" s="302" t="s">
        <v>230</v>
      </c>
      <c r="DM14" s="302" t="s">
        <v>230</v>
      </c>
      <c r="DN14" s="302" t="s">
        <v>230</v>
      </c>
      <c r="DO14" s="302" t="s">
        <v>230</v>
      </c>
      <c r="DP14" s="302" t="s">
        <v>230</v>
      </c>
      <c r="DQ14" s="302" t="s">
        <v>230</v>
      </c>
    </row>
    <row r="15" spans="1:121" ht="17.45" customHeight="1">
      <c r="A15" s="294" t="s">
        <v>231</v>
      </c>
      <c r="B15" s="270"/>
      <c r="C15" s="271"/>
      <c r="D15" s="271"/>
      <c r="E15" s="271"/>
      <c r="F15" s="270"/>
      <c r="G15" s="271"/>
      <c r="H15" s="271"/>
      <c r="I15" s="271"/>
      <c r="J15" s="271"/>
      <c r="K15" s="271"/>
      <c r="L15" s="271"/>
      <c r="M15" s="271"/>
      <c r="N15" s="270"/>
      <c r="O15" s="271"/>
      <c r="P15" s="271"/>
      <c r="Q15" s="272"/>
      <c r="R15" s="273"/>
      <c r="S15" s="273"/>
      <c r="T15" s="274"/>
      <c r="U15" s="274"/>
      <c r="V15" s="274"/>
      <c r="W15" s="274"/>
      <c r="X15" s="274"/>
      <c r="Y15" s="274"/>
      <c r="Z15" s="274"/>
      <c r="AA15" s="274"/>
      <c r="AB15" s="274"/>
      <c r="AC15" s="274"/>
      <c r="AD15" s="274"/>
      <c r="AE15" s="275"/>
      <c r="AF15" s="275"/>
      <c r="AG15" s="275"/>
      <c r="AH15" s="275"/>
      <c r="AI15" s="275"/>
      <c r="AJ15" s="275"/>
      <c r="AK15" s="275"/>
      <c r="AL15" s="275"/>
      <c r="AM15" s="275"/>
      <c r="AN15" s="276"/>
      <c r="AO15" s="275"/>
      <c r="AP15" s="275"/>
      <c r="AQ15" s="275"/>
      <c r="AR15" s="275"/>
      <c r="AS15" s="275"/>
      <c r="AT15" s="275"/>
      <c r="AU15" s="275"/>
      <c r="AV15" s="275"/>
      <c r="AW15" s="275"/>
      <c r="AX15" s="275"/>
      <c r="AY15" s="275"/>
      <c r="AZ15" s="275"/>
      <c r="BA15" s="275"/>
      <c r="BB15" s="275"/>
      <c r="BC15" s="276"/>
      <c r="BD15" s="276"/>
      <c r="BE15" s="276"/>
      <c r="BF15" s="276"/>
      <c r="BG15" s="276"/>
      <c r="BH15" s="276"/>
      <c r="BI15" s="276"/>
      <c r="BJ15" s="276"/>
      <c r="BK15" s="276"/>
      <c r="BL15" s="276"/>
      <c r="BM15" s="276"/>
      <c r="BN15" s="276"/>
      <c r="BO15" s="276"/>
      <c r="BP15" s="277"/>
      <c r="BQ15" s="277"/>
      <c r="BR15" s="277"/>
      <c r="BS15" s="277"/>
      <c r="BT15" s="277"/>
      <c r="BU15" s="277"/>
      <c r="BV15" s="277"/>
      <c r="BW15" s="277"/>
      <c r="BX15" s="277"/>
      <c r="BY15" s="277"/>
      <c r="BZ15" s="277"/>
      <c r="CA15" s="277"/>
      <c r="CB15" s="277"/>
      <c r="CC15" s="277"/>
      <c r="CD15" s="277"/>
      <c r="CE15" s="277"/>
      <c r="CF15" s="277"/>
      <c r="CG15" s="277"/>
      <c r="CH15" s="303"/>
      <c r="CI15" s="304"/>
      <c r="CJ15" s="277"/>
      <c r="CK15" s="277"/>
      <c r="CL15" s="277"/>
      <c r="CM15" s="277"/>
      <c r="CN15" s="277"/>
      <c r="CO15" s="277"/>
      <c r="CP15" s="277"/>
      <c r="CQ15" s="305"/>
      <c r="CR15" s="305"/>
      <c r="CS15" s="305"/>
      <c r="CT15" s="305"/>
      <c r="CU15" s="305"/>
      <c r="CV15" s="305"/>
      <c r="CW15" s="305"/>
      <c r="CX15" s="305"/>
      <c r="CY15" s="305"/>
      <c r="CZ15" s="305"/>
      <c r="DA15" s="305"/>
      <c r="DB15" s="305"/>
      <c r="DC15" s="306"/>
      <c r="DD15" s="306"/>
      <c r="DE15" s="306"/>
      <c r="DF15" s="306"/>
      <c r="DG15" s="306"/>
      <c r="DH15" s="306"/>
      <c r="DI15" s="306"/>
      <c r="DJ15" s="306"/>
      <c r="DK15" s="306"/>
      <c r="DL15" s="306"/>
      <c r="DM15" s="306"/>
      <c r="DN15" s="306"/>
      <c r="DO15" s="306"/>
      <c r="DP15" s="306"/>
      <c r="DQ15" s="306"/>
    </row>
    <row r="16" spans="1:121" ht="17.45" customHeight="1">
      <c r="A16" s="291" t="s">
        <v>232</v>
      </c>
      <c r="B16" s="307" t="s">
        <v>233</v>
      </c>
      <c r="C16" s="308" t="s">
        <v>233</v>
      </c>
      <c r="D16" s="308" t="s">
        <v>233</v>
      </c>
      <c r="E16" s="308" t="s">
        <v>233</v>
      </c>
      <c r="F16" s="307" t="s">
        <v>233</v>
      </c>
      <c r="G16" s="308" t="s">
        <v>234</v>
      </c>
      <c r="H16" s="308" t="s">
        <v>234</v>
      </c>
      <c r="I16" s="308" t="s">
        <v>234</v>
      </c>
      <c r="J16" s="308" t="s">
        <v>234</v>
      </c>
      <c r="K16" s="308" t="s">
        <v>234</v>
      </c>
      <c r="L16" s="308" t="s">
        <v>234</v>
      </c>
      <c r="M16" s="308" t="s">
        <v>234</v>
      </c>
      <c r="N16" s="307" t="s">
        <v>234</v>
      </c>
      <c r="O16" s="308" t="s">
        <v>234</v>
      </c>
      <c r="P16" s="308" t="s">
        <v>235</v>
      </c>
      <c r="Q16" s="307" t="s">
        <v>234</v>
      </c>
      <c r="R16" s="308" t="s">
        <v>234</v>
      </c>
      <c r="S16" s="308" t="s">
        <v>234</v>
      </c>
      <c r="T16" s="309" t="s">
        <v>234</v>
      </c>
      <c r="U16" s="309" t="s">
        <v>234</v>
      </c>
      <c r="V16" s="309" t="s">
        <v>234</v>
      </c>
      <c r="W16" s="309" t="s">
        <v>234</v>
      </c>
      <c r="X16" s="309" t="s">
        <v>234</v>
      </c>
      <c r="Y16" s="309" t="s">
        <v>234</v>
      </c>
      <c r="Z16" s="309" t="s">
        <v>236</v>
      </c>
      <c r="AA16" s="309" t="s">
        <v>237</v>
      </c>
      <c r="AB16" s="309" t="s">
        <v>238</v>
      </c>
      <c r="AC16" s="309" t="s">
        <v>239</v>
      </c>
      <c r="AD16" s="309" t="s">
        <v>239</v>
      </c>
      <c r="AE16" s="310" t="s">
        <v>240</v>
      </c>
      <c r="AF16" s="310" t="s">
        <v>240</v>
      </c>
      <c r="AG16" s="310" t="s">
        <v>239</v>
      </c>
      <c r="AH16" s="310" t="s">
        <v>241</v>
      </c>
      <c r="AI16" s="310" t="s">
        <v>242</v>
      </c>
      <c r="AJ16" s="310" t="s">
        <v>243</v>
      </c>
      <c r="AK16" s="310" t="s">
        <v>243</v>
      </c>
      <c r="AL16" s="310" t="s">
        <v>243</v>
      </c>
      <c r="AM16" s="310" t="s">
        <v>244</v>
      </c>
      <c r="AN16" s="310" t="s">
        <v>245</v>
      </c>
      <c r="AO16" s="310" t="s">
        <v>245</v>
      </c>
      <c r="AP16" s="310" t="s">
        <v>246</v>
      </c>
      <c r="AQ16" s="310" t="s">
        <v>247</v>
      </c>
      <c r="AR16" s="310" t="s">
        <v>247</v>
      </c>
      <c r="AS16" s="310" t="s">
        <v>247</v>
      </c>
      <c r="AT16" s="310" t="s">
        <v>247</v>
      </c>
      <c r="AU16" s="310" t="s">
        <v>247</v>
      </c>
      <c r="AV16" s="310" t="s">
        <v>247</v>
      </c>
      <c r="AW16" s="310" t="s">
        <v>247</v>
      </c>
      <c r="AX16" s="310" t="s">
        <v>247</v>
      </c>
      <c r="AY16" s="310" t="s">
        <v>247</v>
      </c>
      <c r="AZ16" s="310" t="s">
        <v>247</v>
      </c>
      <c r="BA16" s="310" t="s">
        <v>247</v>
      </c>
      <c r="BB16" s="310" t="s">
        <v>247</v>
      </c>
      <c r="BC16" s="310" t="s">
        <v>247</v>
      </c>
      <c r="BD16" s="310" t="s">
        <v>247</v>
      </c>
      <c r="BE16" s="310" t="s">
        <v>247</v>
      </c>
      <c r="BF16" s="310" t="s">
        <v>247</v>
      </c>
      <c r="BG16" s="310" t="s">
        <v>247</v>
      </c>
      <c r="BH16" s="310" t="s">
        <v>247</v>
      </c>
      <c r="BI16" s="310" t="s">
        <v>247</v>
      </c>
      <c r="BJ16" s="310" t="s">
        <v>247</v>
      </c>
      <c r="BK16" s="310" t="s">
        <v>247</v>
      </c>
      <c r="BL16" s="310" t="s">
        <v>247</v>
      </c>
      <c r="BM16" s="310" t="s">
        <v>248</v>
      </c>
      <c r="BN16" s="310" t="s">
        <v>248</v>
      </c>
      <c r="BO16" s="310" t="s">
        <v>248</v>
      </c>
      <c r="BP16" s="310" t="s">
        <v>248</v>
      </c>
      <c r="BQ16" s="310" t="s">
        <v>248</v>
      </c>
      <c r="BR16" s="310" t="s">
        <v>248</v>
      </c>
      <c r="BS16" s="310" t="s">
        <v>248</v>
      </c>
      <c r="BT16" s="310" t="s">
        <v>248</v>
      </c>
      <c r="BU16" s="310" t="s">
        <v>248</v>
      </c>
      <c r="BV16" s="310" t="s">
        <v>249</v>
      </c>
      <c r="BW16" s="310" t="s">
        <v>246</v>
      </c>
      <c r="BX16" s="310" t="s">
        <v>246</v>
      </c>
      <c r="BY16" s="310" t="s">
        <v>250</v>
      </c>
      <c r="BZ16" s="310" t="s">
        <v>251</v>
      </c>
      <c r="CA16" s="310" t="s">
        <v>252</v>
      </c>
      <c r="CB16" s="310" t="s">
        <v>253</v>
      </c>
      <c r="CC16" s="310" t="s">
        <v>254</v>
      </c>
      <c r="CD16" s="310" t="s">
        <v>255</v>
      </c>
      <c r="CE16" s="310" t="s">
        <v>256</v>
      </c>
      <c r="CF16" s="310" t="s">
        <v>257</v>
      </c>
      <c r="CG16" s="310" t="s">
        <v>258</v>
      </c>
      <c r="CH16" s="311" t="s">
        <v>258</v>
      </c>
      <c r="CI16" s="312" t="s">
        <v>259</v>
      </c>
      <c r="CJ16" s="310" t="s">
        <v>260</v>
      </c>
      <c r="CK16" s="310" t="s">
        <v>257</v>
      </c>
      <c r="CL16" s="310" t="s">
        <v>257</v>
      </c>
      <c r="CM16" s="310" t="s">
        <v>261</v>
      </c>
      <c r="CN16" s="310" t="s">
        <v>262</v>
      </c>
      <c r="CO16" s="310" t="s">
        <v>263</v>
      </c>
      <c r="CP16" s="310" t="s">
        <v>264</v>
      </c>
      <c r="CQ16" s="313" t="s">
        <v>265</v>
      </c>
      <c r="CR16" s="313" t="s">
        <v>266</v>
      </c>
      <c r="CS16" s="313" t="s">
        <v>267</v>
      </c>
      <c r="CT16" s="313" t="s">
        <v>268</v>
      </c>
      <c r="CU16" s="313" t="s">
        <v>269</v>
      </c>
      <c r="CV16" s="313" t="s">
        <v>270</v>
      </c>
      <c r="CW16" s="313" t="s">
        <v>271</v>
      </c>
      <c r="CX16" s="313" t="s">
        <v>272</v>
      </c>
      <c r="CY16" s="313" t="s">
        <v>273</v>
      </c>
      <c r="CZ16" s="313" t="s">
        <v>274</v>
      </c>
      <c r="DA16" s="313" t="s">
        <v>275</v>
      </c>
      <c r="DB16" s="313" t="s">
        <v>266</v>
      </c>
      <c r="DC16" s="314" t="s">
        <v>276</v>
      </c>
      <c r="DD16" s="314" t="s">
        <v>277</v>
      </c>
      <c r="DE16" s="314" t="s">
        <v>278</v>
      </c>
      <c r="DF16" s="314" t="s">
        <v>279</v>
      </c>
      <c r="DG16" s="314" t="s">
        <v>280</v>
      </c>
      <c r="DH16" s="314" t="s">
        <v>281</v>
      </c>
      <c r="DI16" s="314" t="s">
        <v>282</v>
      </c>
      <c r="DJ16" s="314" t="s">
        <v>283</v>
      </c>
      <c r="DK16" s="314" t="s">
        <v>284</v>
      </c>
      <c r="DL16" s="314" t="s">
        <v>285</v>
      </c>
      <c r="DM16" s="314" t="s">
        <v>286</v>
      </c>
      <c r="DN16" s="314" t="s">
        <v>287</v>
      </c>
      <c r="DO16" s="314" t="s">
        <v>288</v>
      </c>
      <c r="DP16" s="314" t="s">
        <v>289</v>
      </c>
      <c r="DQ16" s="314" t="s">
        <v>290</v>
      </c>
    </row>
    <row r="17" spans="1:121" ht="17.45" customHeight="1">
      <c r="A17" s="291" t="s">
        <v>291</v>
      </c>
      <c r="B17" s="315"/>
      <c r="C17" s="316"/>
      <c r="D17" s="316"/>
      <c r="E17" s="316"/>
      <c r="F17" s="315"/>
      <c r="G17" s="316"/>
      <c r="H17" s="316"/>
      <c r="I17" s="316"/>
      <c r="J17" s="316"/>
      <c r="K17" s="316"/>
      <c r="L17" s="316"/>
      <c r="M17" s="316"/>
      <c r="N17" s="315"/>
      <c r="O17" s="316"/>
      <c r="P17" s="316"/>
      <c r="Q17" s="315"/>
      <c r="R17" s="316"/>
      <c r="S17" s="316"/>
      <c r="T17" s="317"/>
      <c r="U17" s="317"/>
      <c r="V17" s="317"/>
      <c r="W17" s="317"/>
      <c r="X17" s="317"/>
      <c r="Y17" s="317"/>
      <c r="Z17" s="317"/>
      <c r="AA17" s="317"/>
      <c r="AB17" s="317"/>
      <c r="AC17" s="317"/>
      <c r="AD17" s="317"/>
      <c r="AE17" s="318"/>
      <c r="AF17" s="318"/>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c r="BO17" s="319"/>
      <c r="BP17" s="319"/>
      <c r="BQ17" s="319"/>
      <c r="BR17" s="319"/>
      <c r="BS17" s="319"/>
      <c r="BT17" s="319"/>
      <c r="BU17" s="319"/>
      <c r="BV17" s="319"/>
      <c r="BW17" s="319"/>
      <c r="BX17" s="319"/>
      <c r="BY17" s="319"/>
      <c r="BZ17" s="319"/>
      <c r="CA17" s="319"/>
      <c r="CB17" s="319"/>
      <c r="CC17" s="319"/>
      <c r="CD17" s="319"/>
      <c r="CE17" s="319"/>
      <c r="CF17" s="319"/>
      <c r="CG17" s="319"/>
      <c r="CH17" s="320"/>
      <c r="CI17" s="321"/>
      <c r="CJ17" s="319"/>
      <c r="CK17" s="319"/>
      <c r="CL17" s="319"/>
      <c r="CM17" s="319"/>
      <c r="CN17" s="319"/>
      <c r="CO17" s="319"/>
      <c r="CP17" s="319"/>
      <c r="CQ17" s="322"/>
      <c r="CR17" s="322"/>
      <c r="CS17" s="322"/>
      <c r="CT17" s="322"/>
      <c r="CU17" s="322"/>
      <c r="CV17" s="322"/>
      <c r="CW17" s="322"/>
      <c r="CX17" s="322"/>
      <c r="CY17" s="322"/>
      <c r="CZ17" s="322"/>
      <c r="DA17" s="322"/>
      <c r="DB17" s="322"/>
      <c r="DC17" s="323"/>
      <c r="DD17" s="323"/>
      <c r="DE17" s="323"/>
      <c r="DF17" s="323"/>
      <c r="DG17" s="323"/>
      <c r="DH17" s="323"/>
      <c r="DI17" s="323"/>
      <c r="DJ17" s="323"/>
      <c r="DK17" s="323"/>
      <c r="DL17" s="323"/>
      <c r="DM17" s="323"/>
      <c r="DN17" s="323"/>
      <c r="DO17" s="323"/>
      <c r="DP17" s="323"/>
      <c r="DQ17" s="323"/>
    </row>
    <row r="18" spans="1:121" ht="17.45" customHeight="1">
      <c r="A18" s="324" t="s">
        <v>292</v>
      </c>
      <c r="B18" s="325" t="s">
        <v>293</v>
      </c>
      <c r="C18" s="326" t="s">
        <v>293</v>
      </c>
      <c r="D18" s="326" t="s">
        <v>294</v>
      </c>
      <c r="E18" s="326" t="s">
        <v>294</v>
      </c>
      <c r="F18" s="325" t="s">
        <v>233</v>
      </c>
      <c r="G18" s="326" t="s">
        <v>295</v>
      </c>
      <c r="H18" s="326" t="s">
        <v>234</v>
      </c>
      <c r="I18" s="326" t="s">
        <v>295</v>
      </c>
      <c r="J18" s="326" t="s">
        <v>234</v>
      </c>
      <c r="K18" s="326" t="s">
        <v>234</v>
      </c>
      <c r="L18" s="326" t="s">
        <v>295</v>
      </c>
      <c r="M18" s="326" t="s">
        <v>295</v>
      </c>
      <c r="N18" s="325" t="s">
        <v>295</v>
      </c>
      <c r="O18" s="326" t="s">
        <v>295</v>
      </c>
      <c r="P18" s="326" t="s">
        <v>296</v>
      </c>
      <c r="Q18" s="325" t="s">
        <v>296</v>
      </c>
      <c r="R18" s="326" t="s">
        <v>296</v>
      </c>
      <c r="S18" s="326" t="s">
        <v>296</v>
      </c>
      <c r="T18" s="327" t="s">
        <v>296</v>
      </c>
      <c r="U18" s="327" t="s">
        <v>296</v>
      </c>
      <c r="V18" s="327" t="s">
        <v>296</v>
      </c>
      <c r="W18" s="327" t="s">
        <v>296</v>
      </c>
      <c r="X18" s="327" t="s">
        <v>234</v>
      </c>
      <c r="Y18" s="327" t="s">
        <v>234</v>
      </c>
      <c r="Z18" s="327" t="s">
        <v>296</v>
      </c>
      <c r="AA18" s="327" t="s">
        <v>296</v>
      </c>
      <c r="AB18" s="327" t="s">
        <v>296</v>
      </c>
      <c r="AC18" s="327" t="s">
        <v>296</v>
      </c>
      <c r="AD18" s="327" t="s">
        <v>296</v>
      </c>
      <c r="AE18" s="328" t="s">
        <v>296</v>
      </c>
      <c r="AF18" s="328" t="s">
        <v>296</v>
      </c>
      <c r="AG18" s="328" t="s">
        <v>296</v>
      </c>
      <c r="AH18" s="328" t="s">
        <v>297</v>
      </c>
      <c r="AI18" s="328" t="s">
        <v>247</v>
      </c>
      <c r="AJ18" s="328" t="s">
        <v>247</v>
      </c>
      <c r="AK18" s="328" t="s">
        <v>247</v>
      </c>
      <c r="AL18" s="328" t="s">
        <v>247</v>
      </c>
      <c r="AM18" s="328" t="s">
        <v>243</v>
      </c>
      <c r="AN18" s="328" t="s">
        <v>243</v>
      </c>
      <c r="AO18" s="328" t="s">
        <v>243</v>
      </c>
      <c r="AP18" s="328" t="s">
        <v>298</v>
      </c>
      <c r="AQ18" s="328" t="s">
        <v>247</v>
      </c>
      <c r="AR18" s="328" t="s">
        <v>247</v>
      </c>
      <c r="AS18" s="328" t="s">
        <v>247</v>
      </c>
      <c r="AT18" s="328" t="s">
        <v>247</v>
      </c>
      <c r="AU18" s="328" t="s">
        <v>247</v>
      </c>
      <c r="AV18" s="328" t="s">
        <v>247</v>
      </c>
      <c r="AW18" s="328" t="s">
        <v>247</v>
      </c>
      <c r="AX18" s="328" t="s">
        <v>247</v>
      </c>
      <c r="AY18" s="328" t="s">
        <v>247</v>
      </c>
      <c r="AZ18" s="328" t="s">
        <v>247</v>
      </c>
      <c r="BA18" s="328" t="s">
        <v>247</v>
      </c>
      <c r="BB18" s="328" t="s">
        <v>247</v>
      </c>
      <c r="BC18" s="328" t="s">
        <v>247</v>
      </c>
      <c r="BD18" s="328" t="s">
        <v>297</v>
      </c>
      <c r="BE18" s="328" t="s">
        <v>297</v>
      </c>
      <c r="BF18" s="328" t="s">
        <v>297</v>
      </c>
      <c r="BG18" s="328" t="s">
        <v>297</v>
      </c>
      <c r="BH18" s="328" t="s">
        <v>297</v>
      </c>
      <c r="BI18" s="328" t="s">
        <v>297</v>
      </c>
      <c r="BJ18" s="328" t="s">
        <v>297</v>
      </c>
      <c r="BK18" s="328" t="s">
        <v>297</v>
      </c>
      <c r="BL18" s="328" t="s">
        <v>297</v>
      </c>
      <c r="BM18" s="328" t="s">
        <v>299</v>
      </c>
      <c r="BN18" s="328" t="s">
        <v>300</v>
      </c>
      <c r="BO18" s="328" t="s">
        <v>300</v>
      </c>
      <c r="BP18" s="328" t="s">
        <v>300</v>
      </c>
      <c r="BQ18" s="328" t="s">
        <v>300</v>
      </c>
      <c r="BR18" s="328" t="s">
        <v>300</v>
      </c>
      <c r="BS18" s="328" t="s">
        <v>301</v>
      </c>
      <c r="BT18" s="328" t="s">
        <v>301</v>
      </c>
      <c r="BU18" s="328" t="s">
        <v>302</v>
      </c>
      <c r="BV18" s="328" t="s">
        <v>303</v>
      </c>
      <c r="BW18" s="328" t="s">
        <v>304</v>
      </c>
      <c r="BX18" s="328" t="s">
        <v>305</v>
      </c>
      <c r="BY18" s="328" t="s">
        <v>305</v>
      </c>
      <c r="BZ18" s="328" t="s">
        <v>306</v>
      </c>
      <c r="CA18" s="328" t="s">
        <v>306</v>
      </c>
      <c r="CB18" s="328" t="s">
        <v>307</v>
      </c>
      <c r="CC18" s="328" t="s">
        <v>308</v>
      </c>
      <c r="CD18" s="328" t="s">
        <v>309</v>
      </c>
      <c r="CE18" s="328" t="s">
        <v>310</v>
      </c>
      <c r="CF18" s="328" t="s">
        <v>311</v>
      </c>
      <c r="CG18" s="328" t="s">
        <v>311</v>
      </c>
      <c r="CH18" s="329" t="s">
        <v>311</v>
      </c>
      <c r="CI18" s="330" t="s">
        <v>312</v>
      </c>
      <c r="CJ18" s="328" t="s">
        <v>311</v>
      </c>
      <c r="CK18" s="328" t="s">
        <v>313</v>
      </c>
      <c r="CL18" s="328" t="s">
        <v>313</v>
      </c>
      <c r="CM18" s="328" t="s">
        <v>313</v>
      </c>
      <c r="CN18" s="328" t="s">
        <v>314</v>
      </c>
      <c r="CO18" s="328" t="s">
        <v>315</v>
      </c>
      <c r="CP18" s="328" t="s">
        <v>316</v>
      </c>
      <c r="CQ18" s="313" t="s">
        <v>317</v>
      </c>
      <c r="CR18" s="313" t="s">
        <v>317</v>
      </c>
      <c r="CS18" s="313" t="s">
        <v>318</v>
      </c>
      <c r="CT18" s="313" t="s">
        <v>319</v>
      </c>
      <c r="CU18" s="313" t="s">
        <v>320</v>
      </c>
      <c r="CV18" s="313" t="s">
        <v>321</v>
      </c>
      <c r="CW18" s="313" t="s">
        <v>322</v>
      </c>
      <c r="CX18" s="313" t="s">
        <v>320</v>
      </c>
      <c r="CY18" s="313" t="s">
        <v>319</v>
      </c>
      <c r="CZ18" s="313" t="s">
        <v>323</v>
      </c>
      <c r="DA18" s="313" t="s">
        <v>320</v>
      </c>
      <c r="DB18" s="313" t="s">
        <v>324</v>
      </c>
      <c r="DC18" s="313" t="s">
        <v>324</v>
      </c>
      <c r="DD18" s="313" t="s">
        <v>324</v>
      </c>
      <c r="DE18" s="313" t="s">
        <v>325</v>
      </c>
      <c r="DF18" s="313" t="s">
        <v>326</v>
      </c>
      <c r="DG18" s="313" t="s">
        <v>327</v>
      </c>
      <c r="DH18" s="313" t="s">
        <v>328</v>
      </c>
      <c r="DI18" s="313" t="s">
        <v>329</v>
      </c>
      <c r="DJ18" s="313" t="s">
        <v>330</v>
      </c>
      <c r="DK18" s="313" t="s">
        <v>331</v>
      </c>
      <c r="DL18" s="313" t="s">
        <v>332</v>
      </c>
      <c r="DM18" s="313" t="s">
        <v>333</v>
      </c>
      <c r="DN18" s="313" t="s">
        <v>334</v>
      </c>
      <c r="DO18" s="313" t="s">
        <v>334</v>
      </c>
      <c r="DP18" s="313" t="s">
        <v>335</v>
      </c>
      <c r="DQ18" s="313" t="s">
        <v>335</v>
      </c>
    </row>
    <row r="19" spans="1:121" ht="17.45" customHeight="1">
      <c r="A19" s="291" t="s">
        <v>336</v>
      </c>
      <c r="B19" s="307" t="s">
        <v>337</v>
      </c>
      <c r="C19" s="308" t="s">
        <v>337</v>
      </c>
      <c r="D19" s="308" t="s">
        <v>338</v>
      </c>
      <c r="E19" s="308" t="s">
        <v>339</v>
      </c>
      <c r="F19" s="307" t="s">
        <v>340</v>
      </c>
      <c r="G19" s="308" t="s">
        <v>341</v>
      </c>
      <c r="H19" s="308" t="s">
        <v>341</v>
      </c>
      <c r="I19" s="308" t="s">
        <v>341</v>
      </c>
      <c r="J19" s="308" t="s">
        <v>341</v>
      </c>
      <c r="K19" s="308" t="s">
        <v>341</v>
      </c>
      <c r="L19" s="308" t="s">
        <v>341</v>
      </c>
      <c r="M19" s="308" t="s">
        <v>341</v>
      </c>
      <c r="N19" s="307" t="s">
        <v>341</v>
      </c>
      <c r="O19" s="308" t="s">
        <v>341</v>
      </c>
      <c r="P19" s="308" t="s">
        <v>342</v>
      </c>
      <c r="Q19" s="307" t="s">
        <v>343</v>
      </c>
      <c r="R19" s="308" t="s">
        <v>341</v>
      </c>
      <c r="S19" s="308" t="s">
        <v>344</v>
      </c>
      <c r="T19" s="309" t="s">
        <v>345</v>
      </c>
      <c r="U19" s="309" t="s">
        <v>341</v>
      </c>
      <c r="V19" s="309" t="s">
        <v>346</v>
      </c>
      <c r="W19" s="309" t="s">
        <v>347</v>
      </c>
      <c r="X19" s="309" t="s">
        <v>344</v>
      </c>
      <c r="Y19" s="309" t="s">
        <v>348</v>
      </c>
      <c r="Z19" s="309" t="s">
        <v>349</v>
      </c>
      <c r="AA19" s="309" t="s">
        <v>350</v>
      </c>
      <c r="AB19" s="309" t="s">
        <v>351</v>
      </c>
      <c r="AC19" s="309" t="s">
        <v>351</v>
      </c>
      <c r="AD19" s="309" t="s">
        <v>350</v>
      </c>
      <c r="AE19" s="310" t="s">
        <v>350</v>
      </c>
      <c r="AF19" s="310" t="s">
        <v>352</v>
      </c>
      <c r="AG19" s="310" t="s">
        <v>353</v>
      </c>
      <c r="AH19" s="310" t="s">
        <v>354</v>
      </c>
      <c r="AI19" s="310" t="s">
        <v>355</v>
      </c>
      <c r="AJ19" s="310" t="s">
        <v>356</v>
      </c>
      <c r="AK19" s="310" t="s">
        <v>357</v>
      </c>
      <c r="AL19" s="310" t="s">
        <v>358</v>
      </c>
      <c r="AM19" s="310" t="s">
        <v>359</v>
      </c>
      <c r="AN19" s="310" t="s">
        <v>359</v>
      </c>
      <c r="AO19" s="310" t="s">
        <v>359</v>
      </c>
      <c r="AP19" s="310" t="s">
        <v>360</v>
      </c>
      <c r="AQ19" s="310" t="s">
        <v>361</v>
      </c>
      <c r="AR19" s="310" t="s">
        <v>361</v>
      </c>
      <c r="AS19" s="310" t="s">
        <v>361</v>
      </c>
      <c r="AT19" s="310" t="s">
        <v>362</v>
      </c>
      <c r="AU19" s="310" t="s">
        <v>363</v>
      </c>
      <c r="AV19" s="310" t="s">
        <v>364</v>
      </c>
      <c r="AW19" s="310" t="s">
        <v>364</v>
      </c>
      <c r="AX19" s="310" t="s">
        <v>365</v>
      </c>
      <c r="AY19" s="310" t="s">
        <v>365</v>
      </c>
      <c r="AZ19" s="310" t="s">
        <v>365</v>
      </c>
      <c r="BA19" s="310" t="s">
        <v>365</v>
      </c>
      <c r="BB19" s="310" t="s">
        <v>365</v>
      </c>
      <c r="BC19" s="310" t="s">
        <v>365</v>
      </c>
      <c r="BD19" s="310" t="s">
        <v>365</v>
      </c>
      <c r="BE19" s="310" t="s">
        <v>366</v>
      </c>
      <c r="BF19" s="310" t="s">
        <v>366</v>
      </c>
      <c r="BG19" s="310" t="s">
        <v>366</v>
      </c>
      <c r="BH19" s="310" t="s">
        <v>366</v>
      </c>
      <c r="BI19" s="310" t="s">
        <v>366</v>
      </c>
      <c r="BJ19" s="310" t="s">
        <v>366</v>
      </c>
      <c r="BK19" s="310" t="s">
        <v>366</v>
      </c>
      <c r="BL19" s="310" t="s">
        <v>367</v>
      </c>
      <c r="BM19" s="310" t="s">
        <v>367</v>
      </c>
      <c r="BN19" s="310" t="s">
        <v>367</v>
      </c>
      <c r="BO19" s="310" t="s">
        <v>367</v>
      </c>
      <c r="BP19" s="310" t="s">
        <v>367</v>
      </c>
      <c r="BQ19" s="310" t="s">
        <v>367</v>
      </c>
      <c r="BR19" s="310" t="s">
        <v>367</v>
      </c>
      <c r="BS19" s="310" t="s">
        <v>367</v>
      </c>
      <c r="BT19" s="310" t="s">
        <v>368</v>
      </c>
      <c r="BU19" s="310" t="s">
        <v>368</v>
      </c>
      <c r="BV19" s="310" t="s">
        <v>369</v>
      </c>
      <c r="BW19" s="310" t="s">
        <v>368</v>
      </c>
      <c r="BX19" s="310" t="s">
        <v>368</v>
      </c>
      <c r="BY19" s="310" t="s">
        <v>370</v>
      </c>
      <c r="BZ19" s="310" t="s">
        <v>370</v>
      </c>
      <c r="CA19" s="310" t="s">
        <v>370</v>
      </c>
      <c r="CB19" s="310" t="s">
        <v>371</v>
      </c>
      <c r="CC19" s="310" t="s">
        <v>372</v>
      </c>
      <c r="CD19" s="310" t="s">
        <v>373</v>
      </c>
      <c r="CE19" s="310" t="s">
        <v>374</v>
      </c>
      <c r="CF19" s="310" t="s">
        <v>375</v>
      </c>
      <c r="CG19" s="310" t="s">
        <v>376</v>
      </c>
      <c r="CH19" s="311" t="s">
        <v>376</v>
      </c>
      <c r="CI19" s="312" t="s">
        <v>377</v>
      </c>
      <c r="CJ19" s="310" t="s">
        <v>378</v>
      </c>
      <c r="CK19" s="310" t="s">
        <v>379</v>
      </c>
      <c r="CL19" s="310" t="s">
        <v>380</v>
      </c>
      <c r="CM19" s="310" t="s">
        <v>381</v>
      </c>
      <c r="CN19" s="310" t="s">
        <v>382</v>
      </c>
      <c r="CO19" s="310" t="s">
        <v>383</v>
      </c>
      <c r="CP19" s="310" t="s">
        <v>373</v>
      </c>
      <c r="CQ19" s="313" t="s">
        <v>384</v>
      </c>
      <c r="CR19" s="313" t="s">
        <v>381</v>
      </c>
      <c r="CS19" s="313" t="s">
        <v>385</v>
      </c>
      <c r="CT19" s="313" t="s">
        <v>271</v>
      </c>
      <c r="CU19" s="313" t="s">
        <v>386</v>
      </c>
      <c r="CV19" s="313" t="s">
        <v>387</v>
      </c>
      <c r="CW19" s="313" t="s">
        <v>388</v>
      </c>
      <c r="CX19" s="313" t="s">
        <v>389</v>
      </c>
      <c r="CY19" s="313" t="s">
        <v>386</v>
      </c>
      <c r="CZ19" s="313" t="s">
        <v>390</v>
      </c>
      <c r="DA19" s="313" t="s">
        <v>385</v>
      </c>
      <c r="DB19" s="313" t="s">
        <v>391</v>
      </c>
      <c r="DC19" s="313" t="s">
        <v>390</v>
      </c>
      <c r="DD19" s="313" t="s">
        <v>392</v>
      </c>
      <c r="DE19" s="313" t="s">
        <v>393</v>
      </c>
      <c r="DF19" s="313" t="s">
        <v>394</v>
      </c>
      <c r="DG19" s="313" t="s">
        <v>395</v>
      </c>
      <c r="DH19" s="313" t="s">
        <v>396</v>
      </c>
      <c r="DI19" s="313" t="s">
        <v>394</v>
      </c>
      <c r="DJ19" s="313" t="s">
        <v>397</v>
      </c>
      <c r="DK19" s="313" t="s">
        <v>398</v>
      </c>
      <c r="DL19" s="313" t="s">
        <v>399</v>
      </c>
      <c r="DM19" s="313" t="s">
        <v>400</v>
      </c>
      <c r="DN19" s="313" t="s">
        <v>401</v>
      </c>
      <c r="DO19" s="313" t="s">
        <v>402</v>
      </c>
      <c r="DP19" s="313" t="s">
        <v>403</v>
      </c>
      <c r="DQ19" s="313" t="s">
        <v>404</v>
      </c>
    </row>
    <row r="20" spans="1:121" ht="17.45" customHeight="1">
      <c r="A20" s="291" t="s">
        <v>291</v>
      </c>
      <c r="B20" s="315"/>
      <c r="C20" s="316"/>
      <c r="D20" s="316"/>
      <c r="E20" s="316"/>
      <c r="F20" s="315"/>
      <c r="G20" s="316"/>
      <c r="H20" s="316"/>
      <c r="I20" s="316"/>
      <c r="J20" s="316"/>
      <c r="K20" s="316"/>
      <c r="L20" s="316"/>
      <c r="M20" s="316"/>
      <c r="N20" s="315"/>
      <c r="O20" s="316"/>
      <c r="P20" s="316"/>
      <c r="Q20" s="315"/>
      <c r="R20" s="316"/>
      <c r="S20" s="316"/>
      <c r="T20" s="317"/>
      <c r="U20" s="317"/>
      <c r="V20" s="317"/>
      <c r="W20" s="317"/>
      <c r="X20" s="317"/>
      <c r="Y20" s="317"/>
      <c r="Z20" s="317"/>
      <c r="AA20" s="317"/>
      <c r="AB20" s="317"/>
      <c r="AC20" s="317"/>
      <c r="AD20" s="317"/>
      <c r="AE20" s="317"/>
      <c r="AF20" s="317"/>
      <c r="AG20" s="317"/>
      <c r="AH20" s="317"/>
      <c r="AI20" s="317"/>
      <c r="AJ20" s="317"/>
      <c r="AK20" s="317"/>
      <c r="AL20" s="317"/>
      <c r="AM20" s="317"/>
      <c r="AN20" s="317"/>
      <c r="AO20" s="317"/>
      <c r="AP20" s="317"/>
      <c r="AQ20" s="317"/>
      <c r="AR20" s="317"/>
      <c r="AS20" s="317"/>
      <c r="AT20" s="317"/>
      <c r="AU20" s="317"/>
      <c r="AV20" s="317"/>
      <c r="AW20" s="317"/>
      <c r="AX20" s="317"/>
      <c r="AY20" s="317"/>
      <c r="AZ20" s="317"/>
      <c r="BA20" s="317"/>
      <c r="BB20" s="317"/>
      <c r="BC20" s="317"/>
      <c r="BD20" s="317"/>
      <c r="BE20" s="317"/>
      <c r="BF20" s="317"/>
      <c r="BG20" s="317"/>
      <c r="BH20" s="317"/>
      <c r="BI20" s="317"/>
      <c r="BJ20" s="317"/>
      <c r="BK20" s="317"/>
      <c r="BL20" s="317"/>
      <c r="BM20" s="317"/>
      <c r="BN20" s="317"/>
      <c r="BO20" s="317"/>
      <c r="BP20" s="317"/>
      <c r="BQ20" s="317"/>
      <c r="BR20" s="317"/>
      <c r="BS20" s="317"/>
      <c r="BT20" s="317"/>
      <c r="BU20" s="317"/>
      <c r="BV20" s="317"/>
      <c r="BW20" s="317"/>
      <c r="BX20" s="317"/>
      <c r="BY20" s="317"/>
      <c r="BZ20" s="318"/>
      <c r="CA20" s="317"/>
      <c r="CB20" s="317"/>
      <c r="CC20" s="317"/>
      <c r="CD20" s="317"/>
      <c r="CE20" s="317"/>
      <c r="CF20" s="317"/>
      <c r="CG20" s="317"/>
      <c r="CH20" s="317"/>
      <c r="CI20" s="317"/>
      <c r="CJ20" s="317"/>
      <c r="CK20" s="317"/>
      <c r="CL20" s="317"/>
      <c r="CM20" s="317"/>
      <c r="CN20" s="317"/>
      <c r="CO20" s="317"/>
      <c r="CP20" s="317"/>
      <c r="CQ20" s="313"/>
      <c r="CR20" s="331"/>
      <c r="CS20" s="331"/>
      <c r="CT20" s="331"/>
      <c r="CU20" s="331"/>
      <c r="CV20" s="331"/>
      <c r="CW20" s="331"/>
      <c r="CX20" s="331"/>
      <c r="CY20" s="331"/>
      <c r="CZ20" s="331"/>
      <c r="DA20" s="331"/>
      <c r="DB20" s="331"/>
      <c r="DC20" s="332"/>
      <c r="DD20" s="332"/>
      <c r="DE20" s="332"/>
      <c r="DF20" s="332"/>
      <c r="DG20" s="332"/>
      <c r="DH20" s="332"/>
      <c r="DI20" s="332"/>
      <c r="DJ20" s="332"/>
      <c r="DK20" s="332"/>
      <c r="DL20" s="332"/>
      <c r="DM20" s="332"/>
      <c r="DN20" s="332"/>
      <c r="DO20" s="332"/>
      <c r="DP20" s="332"/>
      <c r="DQ20" s="332"/>
    </row>
    <row r="21" spans="1:121" ht="17.45" customHeight="1">
      <c r="A21" s="324" t="s">
        <v>405</v>
      </c>
      <c r="B21" s="325" t="s">
        <v>339</v>
      </c>
      <c r="C21" s="326" t="s">
        <v>406</v>
      </c>
      <c r="D21" s="326" t="s">
        <v>406</v>
      </c>
      <c r="E21" s="326" t="s">
        <v>339</v>
      </c>
      <c r="F21" s="325" t="s">
        <v>406</v>
      </c>
      <c r="G21" s="326" t="s">
        <v>407</v>
      </c>
      <c r="H21" s="326" t="s">
        <v>407</v>
      </c>
      <c r="I21" s="326" t="s">
        <v>407</v>
      </c>
      <c r="J21" s="326" t="s">
        <v>408</v>
      </c>
      <c r="K21" s="326" t="s">
        <v>407</v>
      </c>
      <c r="L21" s="326" t="s">
        <v>407</v>
      </c>
      <c r="M21" s="326" t="s">
        <v>408</v>
      </c>
      <c r="N21" s="325" t="s">
        <v>409</v>
      </c>
      <c r="O21" s="326" t="s">
        <v>409</v>
      </c>
      <c r="P21" s="326" t="s">
        <v>410</v>
      </c>
      <c r="Q21" s="325" t="s">
        <v>411</v>
      </c>
      <c r="R21" s="326" t="s">
        <v>411</v>
      </c>
      <c r="S21" s="326" t="s">
        <v>411</v>
      </c>
      <c r="T21" s="327" t="s">
        <v>412</v>
      </c>
      <c r="U21" s="327" t="s">
        <v>412</v>
      </c>
      <c r="V21" s="327" t="s">
        <v>413</v>
      </c>
      <c r="W21" s="327" t="s">
        <v>412</v>
      </c>
      <c r="X21" s="327" t="s">
        <v>414</v>
      </c>
      <c r="Y21" s="327" t="s">
        <v>412</v>
      </c>
      <c r="Z21" s="327" t="s">
        <v>415</v>
      </c>
      <c r="AA21" s="327" t="s">
        <v>416</v>
      </c>
      <c r="AB21" s="327" t="s">
        <v>417</v>
      </c>
      <c r="AC21" s="327" t="s">
        <v>418</v>
      </c>
      <c r="AD21" s="327" t="s">
        <v>419</v>
      </c>
      <c r="AE21" s="327" t="s">
        <v>420</v>
      </c>
      <c r="AF21" s="327" t="s">
        <v>421</v>
      </c>
      <c r="AG21" s="327" t="s">
        <v>422</v>
      </c>
      <c r="AH21" s="327" t="s">
        <v>416</v>
      </c>
      <c r="AI21" s="327" t="s">
        <v>416</v>
      </c>
      <c r="AJ21" s="327" t="s">
        <v>423</v>
      </c>
      <c r="AK21" s="327" t="s">
        <v>423</v>
      </c>
      <c r="AL21" s="327" t="s">
        <v>424</v>
      </c>
      <c r="AM21" s="327" t="s">
        <v>425</v>
      </c>
      <c r="AN21" s="327" t="s">
        <v>425</v>
      </c>
      <c r="AO21" s="327" t="s">
        <v>425</v>
      </c>
      <c r="AP21" s="327" t="s">
        <v>425</v>
      </c>
      <c r="AQ21" s="327" t="s">
        <v>425</v>
      </c>
      <c r="AR21" s="327" t="s">
        <v>425</v>
      </c>
      <c r="AS21" s="327" t="s">
        <v>425</v>
      </c>
      <c r="AT21" s="327" t="s">
        <v>426</v>
      </c>
      <c r="AU21" s="327" t="s">
        <v>406</v>
      </c>
      <c r="AV21" s="327" t="s">
        <v>406</v>
      </c>
      <c r="AW21" s="327" t="s">
        <v>406</v>
      </c>
      <c r="AX21" s="327" t="s">
        <v>427</v>
      </c>
      <c r="AY21" s="327" t="s">
        <v>341</v>
      </c>
      <c r="AZ21" s="327" t="s">
        <v>428</v>
      </c>
      <c r="BA21" s="327" t="s">
        <v>428</v>
      </c>
      <c r="BB21" s="327" t="s">
        <v>428</v>
      </c>
      <c r="BC21" s="327" t="s">
        <v>428</v>
      </c>
      <c r="BD21" s="327" t="s">
        <v>428</v>
      </c>
      <c r="BE21" s="327" t="s">
        <v>429</v>
      </c>
      <c r="BF21" s="327" t="s">
        <v>429</v>
      </c>
      <c r="BG21" s="327" t="s">
        <v>429</v>
      </c>
      <c r="BH21" s="327" t="s">
        <v>429</v>
      </c>
      <c r="BI21" s="327" t="s">
        <v>429</v>
      </c>
      <c r="BJ21" s="327" t="s">
        <v>430</v>
      </c>
      <c r="BK21" s="327" t="s">
        <v>430</v>
      </c>
      <c r="BL21" s="327" t="s">
        <v>431</v>
      </c>
      <c r="BM21" s="327" t="s">
        <v>432</v>
      </c>
      <c r="BN21" s="327" t="s">
        <v>432</v>
      </c>
      <c r="BO21" s="327" t="s">
        <v>433</v>
      </c>
      <c r="BP21" s="327" t="s">
        <v>432</v>
      </c>
      <c r="BQ21" s="327" t="s">
        <v>432</v>
      </c>
      <c r="BR21" s="327" t="s">
        <v>432</v>
      </c>
      <c r="BS21" s="327" t="s">
        <v>434</v>
      </c>
      <c r="BT21" s="327" t="s">
        <v>434</v>
      </c>
      <c r="BU21" s="327" t="s">
        <v>435</v>
      </c>
      <c r="BV21" s="327" t="s">
        <v>435</v>
      </c>
      <c r="BW21" s="327" t="s">
        <v>436</v>
      </c>
      <c r="BX21" s="327" t="s">
        <v>437</v>
      </c>
      <c r="BY21" s="327" t="s">
        <v>437</v>
      </c>
      <c r="BZ21" s="328" t="s">
        <v>437</v>
      </c>
      <c r="CA21" s="327" t="s">
        <v>437</v>
      </c>
      <c r="CB21" s="327" t="s">
        <v>438</v>
      </c>
      <c r="CC21" s="327" t="s">
        <v>439</v>
      </c>
      <c r="CD21" s="327" t="s">
        <v>440</v>
      </c>
      <c r="CE21" s="327" t="s">
        <v>441</v>
      </c>
      <c r="CF21" s="327" t="s">
        <v>442</v>
      </c>
      <c r="CG21" s="327" t="s">
        <v>440</v>
      </c>
      <c r="CH21" s="327" t="s">
        <v>443</v>
      </c>
      <c r="CI21" s="327" t="s">
        <v>443</v>
      </c>
      <c r="CJ21" s="327" t="s">
        <v>443</v>
      </c>
      <c r="CK21" s="327" t="s">
        <v>444</v>
      </c>
      <c r="CL21" s="327" t="s">
        <v>445</v>
      </c>
      <c r="CM21" s="327" t="s">
        <v>445</v>
      </c>
      <c r="CN21" s="327" t="s">
        <v>445</v>
      </c>
      <c r="CO21" s="327" t="s">
        <v>446</v>
      </c>
      <c r="CP21" s="327" t="s">
        <v>381</v>
      </c>
      <c r="CQ21" s="313" t="s">
        <v>447</v>
      </c>
      <c r="CR21" s="313" t="s">
        <v>448</v>
      </c>
      <c r="CS21" s="313" t="s">
        <v>449</v>
      </c>
      <c r="CT21" s="313" t="s">
        <v>450</v>
      </c>
      <c r="CU21" s="313" t="s">
        <v>322</v>
      </c>
      <c r="CV21" s="313" t="s">
        <v>322</v>
      </c>
      <c r="CW21" s="313" t="s">
        <v>451</v>
      </c>
      <c r="CX21" s="313" t="s">
        <v>451</v>
      </c>
      <c r="CY21" s="313" t="s">
        <v>452</v>
      </c>
      <c r="CZ21" s="313" t="s">
        <v>451</v>
      </c>
      <c r="DA21" s="313" t="s">
        <v>451</v>
      </c>
      <c r="DB21" s="313" t="s">
        <v>453</v>
      </c>
      <c r="DC21" s="313" t="s">
        <v>454</v>
      </c>
      <c r="DD21" s="313" t="s">
        <v>453</v>
      </c>
      <c r="DE21" s="313" t="s">
        <v>453</v>
      </c>
      <c r="DF21" s="313" t="s">
        <v>453</v>
      </c>
      <c r="DG21" s="313" t="s">
        <v>453</v>
      </c>
      <c r="DH21" s="313" t="s">
        <v>453</v>
      </c>
      <c r="DI21" s="313" t="s">
        <v>453</v>
      </c>
      <c r="DJ21" s="313" t="s">
        <v>453</v>
      </c>
      <c r="DK21" s="313" t="s">
        <v>453</v>
      </c>
      <c r="DL21" s="313" t="s">
        <v>455</v>
      </c>
      <c r="DM21" s="313" t="s">
        <v>456</v>
      </c>
      <c r="DN21" s="313" t="s">
        <v>456</v>
      </c>
      <c r="DO21" s="313" t="s">
        <v>457</v>
      </c>
      <c r="DP21" s="313" t="s">
        <v>458</v>
      </c>
      <c r="DQ21" s="313" t="s">
        <v>457</v>
      </c>
    </row>
    <row r="22" spans="1:121" ht="17.45" customHeight="1">
      <c r="A22" s="291" t="s">
        <v>459</v>
      </c>
      <c r="B22" s="307" t="s">
        <v>460</v>
      </c>
      <c r="C22" s="308" t="s">
        <v>461</v>
      </c>
      <c r="D22" s="308" t="s">
        <v>462</v>
      </c>
      <c r="E22" s="308" t="s">
        <v>462</v>
      </c>
      <c r="F22" s="307" t="s">
        <v>462</v>
      </c>
      <c r="G22" s="308" t="s">
        <v>234</v>
      </c>
      <c r="H22" s="308" t="s">
        <v>463</v>
      </c>
      <c r="I22" s="308" t="s">
        <v>463</v>
      </c>
      <c r="J22" s="308" t="s">
        <v>463</v>
      </c>
      <c r="K22" s="308" t="s">
        <v>339</v>
      </c>
      <c r="L22" s="308" t="s">
        <v>339</v>
      </c>
      <c r="M22" s="308" t="s">
        <v>339</v>
      </c>
      <c r="N22" s="307" t="s">
        <v>339</v>
      </c>
      <c r="O22" s="308" t="s">
        <v>464</v>
      </c>
      <c r="P22" s="308" t="s">
        <v>465</v>
      </c>
      <c r="Q22" s="307" t="s">
        <v>346</v>
      </c>
      <c r="R22" s="308" t="s">
        <v>343</v>
      </c>
      <c r="S22" s="308" t="s">
        <v>348</v>
      </c>
      <c r="T22" s="309" t="s">
        <v>343</v>
      </c>
      <c r="U22" s="309" t="s">
        <v>466</v>
      </c>
      <c r="V22" s="309" t="s">
        <v>346</v>
      </c>
      <c r="W22" s="309" t="s">
        <v>467</v>
      </c>
      <c r="X22" s="309" t="s">
        <v>468</v>
      </c>
      <c r="Y22" s="309" t="s">
        <v>346</v>
      </c>
      <c r="Z22" s="309" t="s">
        <v>469</v>
      </c>
      <c r="AA22" s="309" t="s">
        <v>350</v>
      </c>
      <c r="AB22" s="309" t="s">
        <v>349</v>
      </c>
      <c r="AC22" s="309" t="s">
        <v>350</v>
      </c>
      <c r="AD22" s="309" t="s">
        <v>352</v>
      </c>
      <c r="AE22" s="309" t="s">
        <v>470</v>
      </c>
      <c r="AF22" s="309" t="s">
        <v>471</v>
      </c>
      <c r="AG22" s="309" t="s">
        <v>472</v>
      </c>
      <c r="AH22" s="309" t="s">
        <v>473</v>
      </c>
      <c r="AI22" s="309" t="s">
        <v>474</v>
      </c>
      <c r="AJ22" s="309" t="s">
        <v>475</v>
      </c>
      <c r="AK22" s="309" t="s">
        <v>476</v>
      </c>
      <c r="AL22" s="309" t="s">
        <v>477</v>
      </c>
      <c r="AM22" s="309" t="s">
        <v>478</v>
      </c>
      <c r="AN22" s="309" t="s">
        <v>479</v>
      </c>
      <c r="AO22" s="309" t="s">
        <v>480</v>
      </c>
      <c r="AP22" s="309" t="s">
        <v>481</v>
      </c>
      <c r="AQ22" s="309" t="s">
        <v>460</v>
      </c>
      <c r="AR22" s="309" t="s">
        <v>460</v>
      </c>
      <c r="AS22" s="309" t="s">
        <v>460</v>
      </c>
      <c r="AT22" s="309" t="s">
        <v>460</v>
      </c>
      <c r="AU22" s="309" t="s">
        <v>482</v>
      </c>
      <c r="AV22" s="309" t="s">
        <v>483</v>
      </c>
      <c r="AW22" s="309" t="s">
        <v>483</v>
      </c>
      <c r="AX22" s="309" t="s">
        <v>483</v>
      </c>
      <c r="AY22" s="309" t="s">
        <v>483</v>
      </c>
      <c r="AZ22" s="309" t="s">
        <v>483</v>
      </c>
      <c r="BA22" s="309" t="s">
        <v>483</v>
      </c>
      <c r="BB22" s="309" t="s">
        <v>483</v>
      </c>
      <c r="BC22" s="309" t="s">
        <v>483</v>
      </c>
      <c r="BD22" s="309" t="s">
        <v>483</v>
      </c>
      <c r="BE22" s="309" t="s">
        <v>483</v>
      </c>
      <c r="BF22" s="309" t="s">
        <v>483</v>
      </c>
      <c r="BG22" s="309" t="s">
        <v>483</v>
      </c>
      <c r="BH22" s="309" t="s">
        <v>483</v>
      </c>
      <c r="BI22" s="309" t="s">
        <v>483</v>
      </c>
      <c r="BJ22" s="309" t="s">
        <v>483</v>
      </c>
      <c r="BK22" s="309" t="s">
        <v>483</v>
      </c>
      <c r="BL22" s="309" t="s">
        <v>483</v>
      </c>
      <c r="BM22" s="309" t="s">
        <v>484</v>
      </c>
      <c r="BN22" s="309" t="s">
        <v>484</v>
      </c>
      <c r="BO22" s="309" t="s">
        <v>484</v>
      </c>
      <c r="BP22" s="309" t="s">
        <v>484</v>
      </c>
      <c r="BQ22" s="309" t="s">
        <v>484</v>
      </c>
      <c r="BR22" s="309" t="s">
        <v>484</v>
      </c>
      <c r="BS22" s="309" t="s">
        <v>485</v>
      </c>
      <c r="BT22" s="309" t="s">
        <v>485</v>
      </c>
      <c r="BU22" s="309" t="s">
        <v>486</v>
      </c>
      <c r="BV22" s="309" t="s">
        <v>486</v>
      </c>
      <c r="BW22" s="309" t="s">
        <v>486</v>
      </c>
      <c r="BX22" s="309" t="s">
        <v>487</v>
      </c>
      <c r="BY22" s="309" t="s">
        <v>301</v>
      </c>
      <c r="BZ22" s="310" t="s">
        <v>301</v>
      </c>
      <c r="CA22" s="309" t="s">
        <v>301</v>
      </c>
      <c r="CB22" s="309" t="s">
        <v>301</v>
      </c>
      <c r="CC22" s="309" t="s">
        <v>488</v>
      </c>
      <c r="CD22" s="309" t="s">
        <v>489</v>
      </c>
      <c r="CE22" s="309" t="s">
        <v>490</v>
      </c>
      <c r="CF22" s="309" t="s">
        <v>491</v>
      </c>
      <c r="CG22" s="333" t="s">
        <v>492</v>
      </c>
      <c r="CH22" s="309" t="s">
        <v>492</v>
      </c>
      <c r="CI22" s="309" t="s">
        <v>493</v>
      </c>
      <c r="CJ22" s="309" t="s">
        <v>494</v>
      </c>
      <c r="CK22" s="309" t="s">
        <v>495</v>
      </c>
      <c r="CL22" s="309" t="s">
        <v>494</v>
      </c>
      <c r="CM22" s="309" t="s">
        <v>496</v>
      </c>
      <c r="CN22" s="309" t="s">
        <v>496</v>
      </c>
      <c r="CO22" s="309" t="s">
        <v>496</v>
      </c>
      <c r="CP22" s="309" t="s">
        <v>497</v>
      </c>
      <c r="CQ22" s="313" t="s">
        <v>498</v>
      </c>
      <c r="CR22" s="313" t="s">
        <v>499</v>
      </c>
      <c r="CS22" s="313" t="s">
        <v>500</v>
      </c>
      <c r="CT22" s="313" t="s">
        <v>501</v>
      </c>
      <c r="CU22" s="313" t="s">
        <v>490</v>
      </c>
      <c r="CV22" s="313" t="s">
        <v>502</v>
      </c>
      <c r="CW22" s="313" t="s">
        <v>503</v>
      </c>
      <c r="CX22" s="313" t="s">
        <v>504</v>
      </c>
      <c r="CY22" s="313" t="s">
        <v>504</v>
      </c>
      <c r="CZ22" s="313" t="s">
        <v>505</v>
      </c>
      <c r="DA22" s="313" t="s">
        <v>506</v>
      </c>
      <c r="DB22" s="313" t="s">
        <v>507</v>
      </c>
      <c r="DC22" s="313" t="s">
        <v>508</v>
      </c>
      <c r="DD22" s="313" t="s">
        <v>502</v>
      </c>
      <c r="DE22" s="313" t="s">
        <v>509</v>
      </c>
      <c r="DF22" s="313" t="s">
        <v>510</v>
      </c>
      <c r="DG22" s="313" t="s">
        <v>511</v>
      </c>
      <c r="DH22" s="313" t="s">
        <v>512</v>
      </c>
      <c r="DI22" s="313" t="s">
        <v>513</v>
      </c>
      <c r="DJ22" s="313" t="s">
        <v>514</v>
      </c>
      <c r="DK22" s="313" t="s">
        <v>515</v>
      </c>
      <c r="DL22" s="313" t="s">
        <v>516</v>
      </c>
      <c r="DM22" s="313" t="s">
        <v>517</v>
      </c>
      <c r="DN22" s="313" t="s">
        <v>518</v>
      </c>
      <c r="DO22" s="313" t="s">
        <v>519</v>
      </c>
      <c r="DP22" s="313" t="s">
        <v>520</v>
      </c>
      <c r="DQ22" s="313" t="s">
        <v>521</v>
      </c>
    </row>
    <row r="23" spans="1:121" ht="17.45" customHeight="1">
      <c r="A23" s="291" t="s">
        <v>291</v>
      </c>
      <c r="B23" s="315"/>
      <c r="C23" s="316"/>
      <c r="D23" s="316"/>
      <c r="E23" s="316"/>
      <c r="F23" s="315"/>
      <c r="G23" s="316"/>
      <c r="H23" s="316"/>
      <c r="I23" s="316"/>
      <c r="J23" s="316"/>
      <c r="K23" s="316"/>
      <c r="L23" s="316"/>
      <c r="M23" s="316"/>
      <c r="N23" s="315"/>
      <c r="O23" s="316"/>
      <c r="P23" s="316"/>
      <c r="Q23" s="315"/>
      <c r="R23" s="316"/>
      <c r="S23" s="316"/>
      <c r="T23" s="317"/>
      <c r="U23" s="317"/>
      <c r="V23" s="317"/>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17"/>
      <c r="BA23" s="317"/>
      <c r="BB23" s="317"/>
      <c r="BC23" s="317"/>
      <c r="BD23" s="317"/>
      <c r="BE23" s="317"/>
      <c r="BF23" s="317"/>
      <c r="BG23" s="317"/>
      <c r="BH23" s="317"/>
      <c r="BI23" s="317"/>
      <c r="BJ23" s="317"/>
      <c r="BK23" s="317"/>
      <c r="BL23" s="317"/>
      <c r="BM23" s="317"/>
      <c r="BN23" s="317"/>
      <c r="BO23" s="317"/>
      <c r="BP23" s="317"/>
      <c r="BQ23" s="317"/>
      <c r="BR23" s="317"/>
      <c r="BS23" s="317"/>
      <c r="BT23" s="317"/>
      <c r="BU23" s="317"/>
      <c r="BV23" s="317"/>
      <c r="BW23" s="317"/>
      <c r="BX23" s="317"/>
      <c r="BY23" s="317"/>
      <c r="BZ23" s="318"/>
      <c r="CA23" s="317"/>
      <c r="CB23" s="317"/>
      <c r="CC23" s="317"/>
      <c r="CD23" s="317"/>
      <c r="CE23" s="317"/>
      <c r="CF23" s="317"/>
      <c r="CG23" s="317"/>
      <c r="CH23" s="317"/>
      <c r="CI23" s="317"/>
      <c r="CJ23" s="317"/>
      <c r="CK23" s="317"/>
      <c r="CL23" s="317"/>
      <c r="CM23" s="317"/>
      <c r="CN23" s="317"/>
      <c r="CO23" s="317"/>
      <c r="CP23" s="317"/>
      <c r="CQ23" s="334"/>
      <c r="CR23" s="331"/>
      <c r="CS23" s="331"/>
      <c r="CT23" s="331"/>
      <c r="CU23" s="331"/>
      <c r="CV23" s="331"/>
      <c r="CW23" s="331"/>
      <c r="CX23" s="331"/>
      <c r="CY23" s="331"/>
      <c r="CZ23" s="331"/>
      <c r="DA23" s="331"/>
      <c r="DB23" s="331"/>
      <c r="DC23" s="332"/>
      <c r="DD23" s="332"/>
      <c r="DE23" s="332"/>
      <c r="DF23" s="332"/>
      <c r="DG23" s="332"/>
      <c r="DH23" s="332"/>
      <c r="DI23" s="332"/>
      <c r="DJ23" s="332"/>
      <c r="DK23" s="332"/>
      <c r="DL23" s="332"/>
      <c r="DM23" s="332"/>
      <c r="DN23" s="332"/>
      <c r="DO23" s="332"/>
      <c r="DP23" s="332"/>
      <c r="DQ23" s="332"/>
    </row>
    <row r="24" spans="1:121" ht="17.45" customHeight="1">
      <c r="A24" s="324" t="s">
        <v>522</v>
      </c>
      <c r="B24" s="325" t="s">
        <v>460</v>
      </c>
      <c r="C24" s="326" t="s">
        <v>462</v>
      </c>
      <c r="D24" s="326" t="s">
        <v>462</v>
      </c>
      <c r="E24" s="326" t="s">
        <v>462</v>
      </c>
      <c r="F24" s="325" t="s">
        <v>462</v>
      </c>
      <c r="G24" s="326" t="s">
        <v>523</v>
      </c>
      <c r="H24" s="326" t="s">
        <v>523</v>
      </c>
      <c r="I24" s="326" t="s">
        <v>523</v>
      </c>
      <c r="J24" s="326" t="s">
        <v>523</v>
      </c>
      <c r="K24" s="326" t="s">
        <v>523</v>
      </c>
      <c r="L24" s="326" t="s">
        <v>523</v>
      </c>
      <c r="M24" s="326" t="s">
        <v>523</v>
      </c>
      <c r="N24" s="325" t="s">
        <v>523</v>
      </c>
      <c r="O24" s="326" t="s">
        <v>523</v>
      </c>
      <c r="P24" s="326" t="s">
        <v>465</v>
      </c>
      <c r="Q24" s="325" t="s">
        <v>346</v>
      </c>
      <c r="R24" s="326" t="s">
        <v>346</v>
      </c>
      <c r="S24" s="326" t="s">
        <v>346</v>
      </c>
      <c r="T24" s="327" t="s">
        <v>343</v>
      </c>
      <c r="U24" s="327" t="s">
        <v>357</v>
      </c>
      <c r="V24" s="327" t="s">
        <v>524</v>
      </c>
      <c r="W24" s="327" t="s">
        <v>523</v>
      </c>
      <c r="X24" s="327" t="s">
        <v>523</v>
      </c>
      <c r="Y24" s="327" t="s">
        <v>523</v>
      </c>
      <c r="Z24" s="327" t="s">
        <v>341</v>
      </c>
      <c r="AA24" s="327" t="s">
        <v>350</v>
      </c>
      <c r="AB24" s="327" t="s">
        <v>349</v>
      </c>
      <c r="AC24" s="327" t="s">
        <v>350</v>
      </c>
      <c r="AD24" s="327" t="s">
        <v>352</v>
      </c>
      <c r="AE24" s="327" t="s">
        <v>341</v>
      </c>
      <c r="AF24" s="327" t="s">
        <v>350</v>
      </c>
      <c r="AG24" s="327" t="s">
        <v>472</v>
      </c>
      <c r="AH24" s="327" t="s">
        <v>473</v>
      </c>
      <c r="AI24" s="327" t="s">
        <v>234</v>
      </c>
      <c r="AJ24" s="327" t="s">
        <v>525</v>
      </c>
      <c r="AK24" s="327" t="s">
        <v>525</v>
      </c>
      <c r="AL24" s="327" t="s">
        <v>526</v>
      </c>
      <c r="AM24" s="327" t="s">
        <v>527</v>
      </c>
      <c r="AN24" s="327" t="s">
        <v>480</v>
      </c>
      <c r="AO24" s="327" t="s">
        <v>233</v>
      </c>
      <c r="AP24" s="327" t="s">
        <v>528</v>
      </c>
      <c r="AQ24" s="327" t="s">
        <v>528</v>
      </c>
      <c r="AR24" s="327" t="s">
        <v>528</v>
      </c>
      <c r="AS24" s="327" t="s">
        <v>529</v>
      </c>
      <c r="AT24" s="327" t="s">
        <v>529</v>
      </c>
      <c r="AU24" s="327" t="s">
        <v>530</v>
      </c>
      <c r="AV24" s="327" t="s">
        <v>531</v>
      </c>
      <c r="AW24" s="327" t="s">
        <v>531</v>
      </c>
      <c r="AX24" s="327" t="s">
        <v>531</v>
      </c>
      <c r="AY24" s="327" t="s">
        <v>531</v>
      </c>
      <c r="AZ24" s="327" t="s">
        <v>531</v>
      </c>
      <c r="BA24" s="327" t="s">
        <v>531</v>
      </c>
      <c r="BB24" s="327" t="s">
        <v>531</v>
      </c>
      <c r="BC24" s="327" t="s">
        <v>531</v>
      </c>
      <c r="BD24" s="327" t="s">
        <v>531</v>
      </c>
      <c r="BE24" s="327" t="s">
        <v>531</v>
      </c>
      <c r="BF24" s="327" t="s">
        <v>531</v>
      </c>
      <c r="BG24" s="327" t="s">
        <v>531</v>
      </c>
      <c r="BH24" s="327" t="s">
        <v>531</v>
      </c>
      <c r="BI24" s="327" t="s">
        <v>531</v>
      </c>
      <c r="BJ24" s="327" t="s">
        <v>531</v>
      </c>
      <c r="BK24" s="327" t="s">
        <v>531</v>
      </c>
      <c r="BL24" s="327" t="s">
        <v>531</v>
      </c>
      <c r="BM24" s="327" t="s">
        <v>532</v>
      </c>
      <c r="BN24" s="327" t="s">
        <v>532</v>
      </c>
      <c r="BO24" s="327" t="s">
        <v>532</v>
      </c>
      <c r="BP24" s="327" t="s">
        <v>532</v>
      </c>
      <c r="BQ24" s="327" t="s">
        <v>532</v>
      </c>
      <c r="BR24" s="327" t="s">
        <v>532</v>
      </c>
      <c r="BS24" s="327" t="s">
        <v>533</v>
      </c>
      <c r="BT24" s="327" t="s">
        <v>533</v>
      </c>
      <c r="BU24" s="327" t="s">
        <v>534</v>
      </c>
      <c r="BV24" s="327" t="s">
        <v>534</v>
      </c>
      <c r="BW24" s="327" t="s">
        <v>534</v>
      </c>
      <c r="BX24" s="327" t="s">
        <v>535</v>
      </c>
      <c r="BY24" s="327" t="s">
        <v>536</v>
      </c>
      <c r="BZ24" s="328" t="s">
        <v>536</v>
      </c>
      <c r="CA24" s="327" t="s">
        <v>537</v>
      </c>
      <c r="CB24" s="327" t="s">
        <v>537</v>
      </c>
      <c r="CC24" s="327" t="s">
        <v>538</v>
      </c>
      <c r="CD24" s="327" t="s">
        <v>539</v>
      </c>
      <c r="CE24" s="327" t="s">
        <v>540</v>
      </c>
      <c r="CF24" s="327" t="s">
        <v>541</v>
      </c>
      <c r="CG24" s="327" t="s">
        <v>541</v>
      </c>
      <c r="CH24" s="327" t="s">
        <v>492</v>
      </c>
      <c r="CI24" s="327" t="s">
        <v>492</v>
      </c>
      <c r="CJ24" s="327" t="s">
        <v>541</v>
      </c>
      <c r="CK24" s="327" t="s">
        <v>541</v>
      </c>
      <c r="CL24" s="327" t="s">
        <v>542</v>
      </c>
      <c r="CM24" s="327" t="s">
        <v>543</v>
      </c>
      <c r="CN24" s="327" t="s">
        <v>544</v>
      </c>
      <c r="CO24" s="327" t="s">
        <v>495</v>
      </c>
      <c r="CP24" s="327" t="s">
        <v>545</v>
      </c>
      <c r="CQ24" s="313" t="s">
        <v>546</v>
      </c>
      <c r="CR24" s="335" t="s">
        <v>547</v>
      </c>
      <c r="CS24" s="335" t="s">
        <v>548</v>
      </c>
      <c r="CT24" s="335" t="s">
        <v>547</v>
      </c>
      <c r="CU24" s="335" t="s">
        <v>548</v>
      </c>
      <c r="CV24" s="335" t="s">
        <v>549</v>
      </c>
      <c r="CW24" s="335" t="s">
        <v>550</v>
      </c>
      <c r="CX24" s="335" t="s">
        <v>551</v>
      </c>
      <c r="CY24" s="335" t="s">
        <v>552</v>
      </c>
      <c r="CZ24" s="335" t="s">
        <v>553</v>
      </c>
      <c r="DA24" s="335" t="s">
        <v>554</v>
      </c>
      <c r="DB24" s="335" t="s">
        <v>555</v>
      </c>
      <c r="DC24" s="336" t="s">
        <v>548</v>
      </c>
      <c r="DD24" s="336" t="s">
        <v>556</v>
      </c>
      <c r="DE24" s="336" t="s">
        <v>557</v>
      </c>
      <c r="DF24" s="336" t="s">
        <v>557</v>
      </c>
      <c r="DG24" s="336" t="s">
        <v>552</v>
      </c>
      <c r="DH24" s="336" t="s">
        <v>555</v>
      </c>
      <c r="DI24" s="336" t="s">
        <v>555</v>
      </c>
      <c r="DJ24" s="336" t="s">
        <v>552</v>
      </c>
      <c r="DK24" s="336" t="s">
        <v>558</v>
      </c>
      <c r="DL24" s="336" t="s">
        <v>559</v>
      </c>
      <c r="DM24" s="336" t="s">
        <v>560</v>
      </c>
      <c r="DN24" s="336" t="s">
        <v>561</v>
      </c>
      <c r="DO24" s="336" t="s">
        <v>562</v>
      </c>
      <c r="DP24" s="336" t="s">
        <v>561</v>
      </c>
      <c r="DQ24" s="336" t="s">
        <v>563</v>
      </c>
    </row>
    <row r="25" spans="1:121" ht="17.45" customHeight="1">
      <c r="A25" s="291" t="s">
        <v>564</v>
      </c>
      <c r="B25" s="307" t="s">
        <v>339</v>
      </c>
      <c r="C25" s="308" t="s">
        <v>339</v>
      </c>
      <c r="D25" s="308" t="s">
        <v>340</v>
      </c>
      <c r="E25" s="308" t="s">
        <v>339</v>
      </c>
      <c r="F25" s="307" t="s">
        <v>339</v>
      </c>
      <c r="G25" s="308" t="s">
        <v>339</v>
      </c>
      <c r="H25" s="308" t="s">
        <v>339</v>
      </c>
      <c r="I25" s="308" t="s">
        <v>339</v>
      </c>
      <c r="J25" s="308" t="s">
        <v>339</v>
      </c>
      <c r="K25" s="308" t="s">
        <v>339</v>
      </c>
      <c r="L25" s="308" t="s">
        <v>339</v>
      </c>
      <c r="M25" s="308" t="s">
        <v>339</v>
      </c>
      <c r="N25" s="307" t="s">
        <v>339</v>
      </c>
      <c r="O25" s="308" t="s">
        <v>339</v>
      </c>
      <c r="P25" s="308" t="s">
        <v>565</v>
      </c>
      <c r="Q25" s="307" t="s">
        <v>565</v>
      </c>
      <c r="R25" s="308" t="s">
        <v>565</v>
      </c>
      <c r="S25" s="308" t="s">
        <v>565</v>
      </c>
      <c r="T25" s="309" t="s">
        <v>566</v>
      </c>
      <c r="U25" s="309" t="s">
        <v>565</v>
      </c>
      <c r="V25" s="309" t="s">
        <v>567</v>
      </c>
      <c r="W25" s="309" t="s">
        <v>565</v>
      </c>
      <c r="X25" s="309" t="s">
        <v>568</v>
      </c>
      <c r="Y25" s="309" t="s">
        <v>569</v>
      </c>
      <c r="Z25" s="309" t="s">
        <v>570</v>
      </c>
      <c r="AA25" s="309" t="s">
        <v>571</v>
      </c>
      <c r="AB25" s="309" t="s">
        <v>571</v>
      </c>
      <c r="AC25" s="309" t="s">
        <v>572</v>
      </c>
      <c r="AD25" s="309" t="s">
        <v>573</v>
      </c>
      <c r="AE25" s="309" t="s">
        <v>573</v>
      </c>
      <c r="AF25" s="309" t="s">
        <v>574</v>
      </c>
      <c r="AG25" s="309" t="s">
        <v>575</v>
      </c>
      <c r="AH25" s="309" t="s">
        <v>576</v>
      </c>
      <c r="AI25" s="309" t="s">
        <v>577</v>
      </c>
      <c r="AJ25" s="309" t="s">
        <v>578</v>
      </c>
      <c r="AK25" s="309" t="s">
        <v>579</v>
      </c>
      <c r="AL25" s="309" t="s">
        <v>579</v>
      </c>
      <c r="AM25" s="309" t="s">
        <v>580</v>
      </c>
      <c r="AN25" s="309" t="s">
        <v>581</v>
      </c>
      <c r="AO25" s="309" t="s">
        <v>581</v>
      </c>
      <c r="AP25" s="309" t="s">
        <v>582</v>
      </c>
      <c r="AQ25" s="309" t="s">
        <v>408</v>
      </c>
      <c r="AR25" s="309" t="s">
        <v>408</v>
      </c>
      <c r="AS25" s="309" t="s">
        <v>408</v>
      </c>
      <c r="AT25" s="309" t="s">
        <v>583</v>
      </c>
      <c r="AU25" s="309" t="s">
        <v>584</v>
      </c>
      <c r="AV25" s="309" t="s">
        <v>585</v>
      </c>
      <c r="AW25" s="309" t="s">
        <v>585</v>
      </c>
      <c r="AX25" s="309" t="s">
        <v>586</v>
      </c>
      <c r="AY25" s="309" t="s">
        <v>586</v>
      </c>
      <c r="AZ25" s="309" t="s">
        <v>586</v>
      </c>
      <c r="BA25" s="309" t="s">
        <v>586</v>
      </c>
      <c r="BB25" s="309" t="s">
        <v>586</v>
      </c>
      <c r="BC25" s="309" t="s">
        <v>586</v>
      </c>
      <c r="BD25" s="309" t="s">
        <v>586</v>
      </c>
      <c r="BE25" s="309" t="s">
        <v>587</v>
      </c>
      <c r="BF25" s="309" t="s">
        <v>587</v>
      </c>
      <c r="BG25" s="309" t="s">
        <v>587</v>
      </c>
      <c r="BH25" s="309" t="s">
        <v>588</v>
      </c>
      <c r="BI25" s="309" t="s">
        <v>588</v>
      </c>
      <c r="BJ25" s="309" t="s">
        <v>589</v>
      </c>
      <c r="BK25" s="309" t="s">
        <v>589</v>
      </c>
      <c r="BL25" s="309" t="s">
        <v>590</v>
      </c>
      <c r="BM25" s="309" t="s">
        <v>591</v>
      </c>
      <c r="BN25" s="309" t="s">
        <v>591</v>
      </c>
      <c r="BO25" s="309" t="s">
        <v>591</v>
      </c>
      <c r="BP25" s="309" t="s">
        <v>591</v>
      </c>
      <c r="BQ25" s="309" t="s">
        <v>591</v>
      </c>
      <c r="BR25" s="309" t="s">
        <v>591</v>
      </c>
      <c r="BS25" s="309" t="s">
        <v>592</v>
      </c>
      <c r="BT25" s="309" t="s">
        <v>592</v>
      </c>
      <c r="BU25" s="309" t="s">
        <v>592</v>
      </c>
      <c r="BV25" s="309" t="s">
        <v>592</v>
      </c>
      <c r="BW25" s="309" t="s">
        <v>593</v>
      </c>
      <c r="BX25" s="309" t="s">
        <v>593</v>
      </c>
      <c r="BY25" s="309" t="s">
        <v>594</v>
      </c>
      <c r="BZ25" s="310" t="s">
        <v>594</v>
      </c>
      <c r="CA25" s="309" t="s">
        <v>593</v>
      </c>
      <c r="CB25" s="309" t="s">
        <v>593</v>
      </c>
      <c r="CC25" s="309" t="s">
        <v>595</v>
      </c>
      <c r="CD25" s="309" t="s">
        <v>596</v>
      </c>
      <c r="CE25" s="309" t="s">
        <v>597</v>
      </c>
      <c r="CF25" s="309" t="s">
        <v>598</v>
      </c>
      <c r="CG25" s="309" t="s">
        <v>599</v>
      </c>
      <c r="CH25" s="309" t="s">
        <v>600</v>
      </c>
      <c r="CI25" s="309" t="s">
        <v>601</v>
      </c>
      <c r="CJ25" s="309" t="s">
        <v>600</v>
      </c>
      <c r="CK25" s="309" t="s">
        <v>599</v>
      </c>
      <c r="CL25" s="309" t="s">
        <v>599</v>
      </c>
      <c r="CM25" s="309" t="s">
        <v>602</v>
      </c>
      <c r="CN25" s="309" t="s">
        <v>603</v>
      </c>
      <c r="CO25" s="309" t="s">
        <v>604</v>
      </c>
      <c r="CP25" s="309" t="s">
        <v>605</v>
      </c>
      <c r="CQ25" s="313" t="s">
        <v>606</v>
      </c>
      <c r="CR25" s="335" t="s">
        <v>607</v>
      </c>
      <c r="CS25" s="335" t="s">
        <v>608</v>
      </c>
      <c r="CT25" s="335" t="s">
        <v>609</v>
      </c>
      <c r="CU25" s="335" t="s">
        <v>255</v>
      </c>
      <c r="CV25" s="335" t="s">
        <v>610</v>
      </c>
      <c r="CW25" s="335" t="s">
        <v>611</v>
      </c>
      <c r="CX25" s="335" t="s">
        <v>612</v>
      </c>
      <c r="CY25" s="335" t="s">
        <v>613</v>
      </c>
      <c r="CZ25" s="335" t="s">
        <v>608</v>
      </c>
      <c r="DA25" s="335" t="s">
        <v>614</v>
      </c>
      <c r="DB25" s="335" t="s">
        <v>615</v>
      </c>
      <c r="DC25" s="336" t="s">
        <v>616</v>
      </c>
      <c r="DD25" s="336" t="s">
        <v>617</v>
      </c>
      <c r="DE25" s="336" t="s">
        <v>618</v>
      </c>
      <c r="DF25" s="336" t="s">
        <v>619</v>
      </c>
      <c r="DG25" s="336" t="s">
        <v>620</v>
      </c>
      <c r="DH25" s="336" t="s">
        <v>621</v>
      </c>
      <c r="DI25" s="336" t="s">
        <v>622</v>
      </c>
      <c r="DJ25" s="336" t="s">
        <v>623</v>
      </c>
      <c r="DK25" s="336" t="s">
        <v>624</v>
      </c>
      <c r="DL25" s="336" t="s">
        <v>625</v>
      </c>
      <c r="DM25" s="336" t="s">
        <v>626</v>
      </c>
      <c r="DN25" s="336" t="s">
        <v>627</v>
      </c>
      <c r="DO25" s="336" t="s">
        <v>628</v>
      </c>
      <c r="DP25" s="336" t="s">
        <v>627</v>
      </c>
      <c r="DQ25" s="336" t="s">
        <v>629</v>
      </c>
    </row>
    <row r="26" spans="1:121" ht="17.45" customHeight="1">
      <c r="A26" s="291" t="s">
        <v>630</v>
      </c>
      <c r="B26" s="307" t="s">
        <v>631</v>
      </c>
      <c r="C26" s="308" t="s">
        <v>632</v>
      </c>
      <c r="D26" s="308" t="s">
        <v>632</v>
      </c>
      <c r="E26" s="308" t="s">
        <v>631</v>
      </c>
      <c r="F26" s="307" t="s">
        <v>632</v>
      </c>
      <c r="G26" s="308" t="s">
        <v>633</v>
      </c>
      <c r="H26" s="308" t="s">
        <v>633</v>
      </c>
      <c r="I26" s="308" t="s">
        <v>633</v>
      </c>
      <c r="J26" s="308" t="s">
        <v>633</v>
      </c>
      <c r="K26" s="308" t="s">
        <v>634</v>
      </c>
      <c r="L26" s="308" t="s">
        <v>634</v>
      </c>
      <c r="M26" s="308" t="s">
        <v>634</v>
      </c>
      <c r="N26" s="307" t="s">
        <v>634</v>
      </c>
      <c r="O26" s="308" t="s">
        <v>634</v>
      </c>
      <c r="P26" s="308" t="s">
        <v>634</v>
      </c>
      <c r="Q26" s="307" t="s">
        <v>634</v>
      </c>
      <c r="R26" s="308" t="s">
        <v>633</v>
      </c>
      <c r="S26" s="308" t="s">
        <v>635</v>
      </c>
      <c r="T26" s="309" t="s">
        <v>636</v>
      </c>
      <c r="U26" s="309" t="s">
        <v>635</v>
      </c>
      <c r="V26" s="309" t="s">
        <v>635</v>
      </c>
      <c r="W26" s="309" t="s">
        <v>635</v>
      </c>
      <c r="X26" s="309" t="s">
        <v>637</v>
      </c>
      <c r="Y26" s="309" t="s">
        <v>635</v>
      </c>
      <c r="Z26" s="309" t="s">
        <v>638</v>
      </c>
      <c r="AA26" s="309" t="s">
        <v>639</v>
      </c>
      <c r="AB26" s="309" t="s">
        <v>640</v>
      </c>
      <c r="AC26" s="309" t="s">
        <v>641</v>
      </c>
      <c r="AD26" s="309" t="s">
        <v>640</v>
      </c>
      <c r="AE26" s="309" t="s">
        <v>640</v>
      </c>
      <c r="AF26" s="309" t="s">
        <v>642</v>
      </c>
      <c r="AG26" s="309" t="s">
        <v>641</v>
      </c>
      <c r="AH26" s="309" t="s">
        <v>643</v>
      </c>
      <c r="AI26" s="309" t="s">
        <v>644</v>
      </c>
      <c r="AJ26" s="309" t="s">
        <v>645</v>
      </c>
      <c r="AK26" s="309" t="s">
        <v>646</v>
      </c>
      <c r="AL26" s="309" t="s">
        <v>647</v>
      </c>
      <c r="AM26" s="309" t="s">
        <v>648</v>
      </c>
      <c r="AN26" s="309" t="s">
        <v>649</v>
      </c>
      <c r="AO26" s="309" t="s">
        <v>649</v>
      </c>
      <c r="AP26" s="309" t="s">
        <v>650</v>
      </c>
      <c r="AQ26" s="309" t="s">
        <v>651</v>
      </c>
      <c r="AR26" s="309" t="s">
        <v>651</v>
      </c>
      <c r="AS26" s="309" t="s">
        <v>651</v>
      </c>
      <c r="AT26" s="309" t="s">
        <v>651</v>
      </c>
      <c r="AU26" s="309" t="s">
        <v>652</v>
      </c>
      <c r="AV26" s="309" t="s">
        <v>652</v>
      </c>
      <c r="AW26" s="309" t="s">
        <v>652</v>
      </c>
      <c r="AX26" s="309" t="s">
        <v>652</v>
      </c>
      <c r="AY26" s="309" t="s">
        <v>652</v>
      </c>
      <c r="AZ26" s="309" t="s">
        <v>653</v>
      </c>
      <c r="BA26" s="309" t="s">
        <v>653</v>
      </c>
      <c r="BB26" s="309" t="s">
        <v>653</v>
      </c>
      <c r="BC26" s="309" t="s">
        <v>653</v>
      </c>
      <c r="BD26" s="309" t="s">
        <v>653</v>
      </c>
      <c r="BE26" s="309" t="s">
        <v>653</v>
      </c>
      <c r="BF26" s="309" t="s">
        <v>653</v>
      </c>
      <c r="BG26" s="309" t="s">
        <v>653</v>
      </c>
      <c r="BH26" s="309" t="s">
        <v>653</v>
      </c>
      <c r="BI26" s="309" t="s">
        <v>653</v>
      </c>
      <c r="BJ26" s="309" t="s">
        <v>653</v>
      </c>
      <c r="BK26" s="309" t="s">
        <v>653</v>
      </c>
      <c r="BL26" s="309" t="s">
        <v>653</v>
      </c>
      <c r="BM26" s="309" t="s">
        <v>654</v>
      </c>
      <c r="BN26" s="309" t="s">
        <v>654</v>
      </c>
      <c r="BO26" s="309" t="s">
        <v>654</v>
      </c>
      <c r="BP26" s="309" t="s">
        <v>654</v>
      </c>
      <c r="BQ26" s="309" t="s">
        <v>654</v>
      </c>
      <c r="BR26" s="309" t="s">
        <v>654</v>
      </c>
      <c r="BS26" s="309" t="s">
        <v>654</v>
      </c>
      <c r="BT26" s="309" t="s">
        <v>654</v>
      </c>
      <c r="BU26" s="309" t="s">
        <v>654</v>
      </c>
      <c r="BV26" s="309" t="s">
        <v>654</v>
      </c>
      <c r="BW26" s="309" t="s">
        <v>654</v>
      </c>
      <c r="BX26" s="309" t="s">
        <v>654</v>
      </c>
      <c r="BY26" s="309" t="s">
        <v>655</v>
      </c>
      <c r="BZ26" s="310" t="s">
        <v>656</v>
      </c>
      <c r="CA26" s="309" t="s">
        <v>657</v>
      </c>
      <c r="CB26" s="309" t="s">
        <v>657</v>
      </c>
      <c r="CC26" s="309" t="s">
        <v>658</v>
      </c>
      <c r="CD26" s="309" t="s">
        <v>655</v>
      </c>
      <c r="CE26" s="309" t="s">
        <v>655</v>
      </c>
      <c r="CF26" s="309" t="s">
        <v>655</v>
      </c>
      <c r="CG26" s="309" t="s">
        <v>655</v>
      </c>
      <c r="CH26" s="309" t="s">
        <v>655</v>
      </c>
      <c r="CI26" s="309" t="s">
        <v>658</v>
      </c>
      <c r="CJ26" s="309" t="s">
        <v>658</v>
      </c>
      <c r="CK26" s="309" t="s">
        <v>655</v>
      </c>
      <c r="CL26" s="309" t="s">
        <v>655</v>
      </c>
      <c r="CM26" s="309" t="s">
        <v>655</v>
      </c>
      <c r="CN26" s="309" t="s">
        <v>658</v>
      </c>
      <c r="CO26" s="309" t="s">
        <v>659</v>
      </c>
      <c r="CP26" s="309" t="s">
        <v>659</v>
      </c>
      <c r="CQ26" s="313" t="s">
        <v>659</v>
      </c>
      <c r="CR26" s="335" t="s">
        <v>659</v>
      </c>
      <c r="CS26" s="335" t="s">
        <v>659</v>
      </c>
      <c r="CT26" s="335" t="s">
        <v>659</v>
      </c>
      <c r="CU26" s="335" t="s">
        <v>659</v>
      </c>
      <c r="CV26" s="335" t="s">
        <v>659</v>
      </c>
      <c r="CW26" s="335" t="s">
        <v>660</v>
      </c>
      <c r="CX26" s="335" t="s">
        <v>655</v>
      </c>
      <c r="CY26" s="335" t="s">
        <v>661</v>
      </c>
      <c r="CZ26" s="335" t="s">
        <v>655</v>
      </c>
      <c r="DA26" s="335" t="s">
        <v>655</v>
      </c>
      <c r="DB26" s="335" t="s">
        <v>655</v>
      </c>
      <c r="DC26" s="336" t="s">
        <v>655</v>
      </c>
      <c r="DD26" s="336" t="s">
        <v>655</v>
      </c>
      <c r="DE26" s="336" t="s">
        <v>655</v>
      </c>
      <c r="DF26" s="336" t="s">
        <v>655</v>
      </c>
      <c r="DG26" s="336" t="s">
        <v>662</v>
      </c>
      <c r="DH26" s="336" t="s">
        <v>663</v>
      </c>
      <c r="DI26" s="336" t="s">
        <v>655</v>
      </c>
      <c r="DJ26" s="336" t="s">
        <v>655</v>
      </c>
      <c r="DK26" s="336" t="s">
        <v>655</v>
      </c>
      <c r="DL26" s="336" t="s">
        <v>655</v>
      </c>
      <c r="DM26" s="336" t="s">
        <v>655</v>
      </c>
      <c r="DN26" s="336" t="s">
        <v>655</v>
      </c>
      <c r="DO26" s="336" t="s">
        <v>655</v>
      </c>
      <c r="DP26" s="336" t="s">
        <v>655</v>
      </c>
      <c r="DQ26" s="336" t="s">
        <v>664</v>
      </c>
    </row>
    <row r="27" spans="1:121" ht="17.45" customHeight="1">
      <c r="A27" s="291" t="s">
        <v>291</v>
      </c>
      <c r="B27" s="315"/>
      <c r="C27" s="316"/>
      <c r="D27" s="316"/>
      <c r="E27" s="316"/>
      <c r="F27" s="315"/>
      <c r="G27" s="316"/>
      <c r="H27" s="316"/>
      <c r="I27" s="316"/>
      <c r="J27" s="316"/>
      <c r="K27" s="316"/>
      <c r="L27" s="316"/>
      <c r="M27" s="316"/>
      <c r="N27" s="315"/>
      <c r="O27" s="316"/>
      <c r="P27" s="316"/>
      <c r="Q27" s="315"/>
      <c r="R27" s="316"/>
      <c r="S27" s="316"/>
      <c r="T27" s="317"/>
      <c r="U27" s="317"/>
      <c r="V27" s="317"/>
      <c r="W27" s="317"/>
      <c r="X27" s="317"/>
      <c r="Y27" s="317"/>
      <c r="Z27" s="317"/>
      <c r="AA27" s="317"/>
      <c r="AB27" s="317"/>
      <c r="AC27" s="317"/>
      <c r="AD27" s="317"/>
      <c r="AE27" s="317"/>
      <c r="AF27" s="317"/>
      <c r="AG27" s="317"/>
      <c r="AH27" s="317"/>
      <c r="AI27" s="317"/>
      <c r="AJ27" s="317"/>
      <c r="AK27" s="317"/>
      <c r="AL27" s="317"/>
      <c r="AM27" s="317"/>
      <c r="AN27" s="317"/>
      <c r="AO27" s="317"/>
      <c r="AP27" s="317"/>
      <c r="AQ27" s="317"/>
      <c r="AR27" s="317"/>
      <c r="AS27" s="317"/>
      <c r="AT27" s="317"/>
      <c r="AU27" s="317"/>
      <c r="AV27" s="317"/>
      <c r="AW27" s="317"/>
      <c r="AX27" s="317"/>
      <c r="AY27" s="317"/>
      <c r="AZ27" s="317"/>
      <c r="BA27" s="317"/>
      <c r="BB27" s="317"/>
      <c r="BC27" s="317"/>
      <c r="BD27" s="317"/>
      <c r="BE27" s="317"/>
      <c r="BF27" s="317"/>
      <c r="BG27" s="317"/>
      <c r="BH27" s="317"/>
      <c r="BI27" s="317"/>
      <c r="BJ27" s="317"/>
      <c r="BK27" s="317"/>
      <c r="BL27" s="317"/>
      <c r="BM27" s="317"/>
      <c r="BN27" s="317"/>
      <c r="BO27" s="317"/>
      <c r="BP27" s="317"/>
      <c r="BQ27" s="317"/>
      <c r="BR27" s="317"/>
      <c r="BS27" s="317"/>
      <c r="BT27" s="317"/>
      <c r="BU27" s="317"/>
      <c r="BV27" s="317"/>
      <c r="BW27" s="317"/>
      <c r="BX27" s="317"/>
      <c r="BY27" s="317"/>
      <c r="BZ27" s="318"/>
      <c r="CA27" s="317"/>
      <c r="CB27" s="317"/>
      <c r="CC27" s="317"/>
      <c r="CD27" s="317"/>
      <c r="CE27" s="317"/>
      <c r="CF27" s="317"/>
      <c r="CG27" s="317"/>
      <c r="CH27" s="317"/>
      <c r="CI27" s="317"/>
      <c r="CJ27" s="317"/>
      <c r="CK27" s="317"/>
      <c r="CL27" s="317"/>
      <c r="CM27" s="317"/>
      <c r="CN27" s="317"/>
      <c r="CO27" s="317"/>
      <c r="CP27" s="317"/>
      <c r="CQ27" s="313"/>
      <c r="CR27" s="331"/>
      <c r="CS27" s="331"/>
      <c r="CT27" s="331"/>
      <c r="CU27" s="331"/>
      <c r="CV27" s="331"/>
      <c r="CW27" s="331"/>
      <c r="CX27" s="331"/>
      <c r="CY27" s="331"/>
      <c r="CZ27" s="331"/>
      <c r="DA27" s="331"/>
      <c r="DB27" s="331"/>
      <c r="DC27" s="332"/>
      <c r="DD27" s="332"/>
      <c r="DE27" s="332"/>
      <c r="DF27" s="332"/>
      <c r="DG27" s="332"/>
      <c r="DH27" s="332"/>
      <c r="DI27" s="332"/>
      <c r="DJ27" s="332"/>
      <c r="DK27" s="332"/>
      <c r="DL27" s="332"/>
      <c r="DM27" s="332"/>
      <c r="DN27" s="332"/>
      <c r="DO27" s="332"/>
      <c r="DP27" s="332"/>
      <c r="DQ27" s="332"/>
    </row>
    <row r="28" spans="1:121" ht="17.45" customHeight="1">
      <c r="A28" s="324" t="s">
        <v>665</v>
      </c>
      <c r="B28" s="325" t="s">
        <v>666</v>
      </c>
      <c r="C28" s="326" t="s">
        <v>667</v>
      </c>
      <c r="D28" s="326" t="s">
        <v>668</v>
      </c>
      <c r="E28" s="326" t="s">
        <v>668</v>
      </c>
      <c r="F28" s="325" t="s">
        <v>668</v>
      </c>
      <c r="G28" s="326" t="s">
        <v>668</v>
      </c>
      <c r="H28" s="326" t="s">
        <v>668</v>
      </c>
      <c r="I28" s="326" t="s">
        <v>668</v>
      </c>
      <c r="J28" s="326" t="s">
        <v>666</v>
      </c>
      <c r="K28" s="326" t="s">
        <v>668</v>
      </c>
      <c r="L28" s="326" t="s">
        <v>339</v>
      </c>
      <c r="M28" s="326" t="s">
        <v>339</v>
      </c>
      <c r="N28" s="325" t="s">
        <v>339</v>
      </c>
      <c r="O28" s="326" t="s">
        <v>339</v>
      </c>
      <c r="P28" s="326" t="s">
        <v>339</v>
      </c>
      <c r="Q28" s="325" t="s">
        <v>339</v>
      </c>
      <c r="R28" s="326" t="s">
        <v>339</v>
      </c>
      <c r="S28" s="326" t="s">
        <v>339</v>
      </c>
      <c r="T28" s="327" t="s">
        <v>667</v>
      </c>
      <c r="U28" s="327" t="s">
        <v>667</v>
      </c>
      <c r="V28" s="327" t="s">
        <v>667</v>
      </c>
      <c r="W28" s="327" t="s">
        <v>667</v>
      </c>
      <c r="X28" s="327" t="s">
        <v>667</v>
      </c>
      <c r="Y28" s="327" t="s">
        <v>667</v>
      </c>
      <c r="Z28" s="327" t="s">
        <v>667</v>
      </c>
      <c r="AA28" s="327" t="s">
        <v>669</v>
      </c>
      <c r="AB28" s="327" t="s">
        <v>670</v>
      </c>
      <c r="AC28" s="327" t="s">
        <v>670</v>
      </c>
      <c r="AD28" s="327" t="s">
        <v>670</v>
      </c>
      <c r="AE28" s="327" t="s">
        <v>670</v>
      </c>
      <c r="AF28" s="327" t="s">
        <v>670</v>
      </c>
      <c r="AG28" s="327" t="s">
        <v>671</v>
      </c>
      <c r="AH28" s="327" t="s">
        <v>672</v>
      </c>
      <c r="AI28" s="327" t="s">
        <v>673</v>
      </c>
      <c r="AJ28" s="327" t="s">
        <v>674</v>
      </c>
      <c r="AK28" s="327" t="s">
        <v>674</v>
      </c>
      <c r="AL28" s="327" t="s">
        <v>674</v>
      </c>
      <c r="AM28" s="327" t="s">
        <v>673</v>
      </c>
      <c r="AN28" s="327" t="s">
        <v>673</v>
      </c>
      <c r="AO28" s="327" t="s">
        <v>673</v>
      </c>
      <c r="AP28" s="327" t="s">
        <v>675</v>
      </c>
      <c r="AQ28" s="327" t="s">
        <v>676</v>
      </c>
      <c r="AR28" s="327" t="s">
        <v>677</v>
      </c>
      <c r="AS28" s="327" t="s">
        <v>677</v>
      </c>
      <c r="AT28" s="327" t="s">
        <v>677</v>
      </c>
      <c r="AU28" s="327" t="s">
        <v>678</v>
      </c>
      <c r="AV28" s="327" t="s">
        <v>678</v>
      </c>
      <c r="AW28" s="327" t="s">
        <v>678</v>
      </c>
      <c r="AX28" s="327" t="s">
        <v>678</v>
      </c>
      <c r="AY28" s="327" t="s">
        <v>678</v>
      </c>
      <c r="AZ28" s="327" t="s">
        <v>678</v>
      </c>
      <c r="BA28" s="327" t="s">
        <v>678</v>
      </c>
      <c r="BB28" s="327" t="s">
        <v>678</v>
      </c>
      <c r="BC28" s="327" t="s">
        <v>678</v>
      </c>
      <c r="BD28" s="327" t="s">
        <v>678</v>
      </c>
      <c r="BE28" s="327" t="s">
        <v>678</v>
      </c>
      <c r="BF28" s="327" t="s">
        <v>678</v>
      </c>
      <c r="BG28" s="327" t="s">
        <v>678</v>
      </c>
      <c r="BH28" s="327" t="s">
        <v>678</v>
      </c>
      <c r="BI28" s="327" t="s">
        <v>678</v>
      </c>
      <c r="BJ28" s="327" t="s">
        <v>678</v>
      </c>
      <c r="BK28" s="327" t="s">
        <v>678</v>
      </c>
      <c r="BL28" s="327" t="s">
        <v>678</v>
      </c>
      <c r="BM28" s="327" t="s">
        <v>679</v>
      </c>
      <c r="BN28" s="327" t="s">
        <v>663</v>
      </c>
      <c r="BO28" s="327" t="s">
        <v>663</v>
      </c>
      <c r="BP28" s="327" t="s">
        <v>663</v>
      </c>
      <c r="BQ28" s="327" t="s">
        <v>663</v>
      </c>
      <c r="BR28" s="327" t="s">
        <v>663</v>
      </c>
      <c r="BS28" s="327" t="s">
        <v>663</v>
      </c>
      <c r="BT28" s="327" t="s">
        <v>663</v>
      </c>
      <c r="BU28" s="327" t="s">
        <v>663</v>
      </c>
      <c r="BV28" s="327" t="s">
        <v>663</v>
      </c>
      <c r="BW28" s="327" t="s">
        <v>663</v>
      </c>
      <c r="BX28" s="327" t="s">
        <v>663</v>
      </c>
      <c r="BY28" s="327" t="s">
        <v>663</v>
      </c>
      <c r="BZ28" s="328" t="s">
        <v>663</v>
      </c>
      <c r="CA28" s="327" t="s">
        <v>680</v>
      </c>
      <c r="CB28" s="327" t="s">
        <v>680</v>
      </c>
      <c r="CC28" s="327" t="s">
        <v>680</v>
      </c>
      <c r="CD28" s="327" t="s">
        <v>663</v>
      </c>
      <c r="CE28" s="327" t="s">
        <v>663</v>
      </c>
      <c r="CF28" s="327" t="s">
        <v>663</v>
      </c>
      <c r="CG28" s="327" t="s">
        <v>681</v>
      </c>
      <c r="CH28" s="327" t="s">
        <v>682</v>
      </c>
      <c r="CI28" s="327" t="s">
        <v>682</v>
      </c>
      <c r="CJ28" s="327" t="s">
        <v>682</v>
      </c>
      <c r="CK28" s="327" t="s">
        <v>683</v>
      </c>
      <c r="CL28" s="327" t="s">
        <v>683</v>
      </c>
      <c r="CM28" s="327" t="s">
        <v>683</v>
      </c>
      <c r="CN28" s="327" t="s">
        <v>684</v>
      </c>
      <c r="CO28" s="327" t="s">
        <v>684</v>
      </c>
      <c r="CP28" s="327" t="s">
        <v>685</v>
      </c>
      <c r="CQ28" s="313" t="s">
        <v>684</v>
      </c>
      <c r="CR28" s="335" t="s">
        <v>686</v>
      </c>
      <c r="CS28" s="335" t="s">
        <v>687</v>
      </c>
      <c r="CT28" s="335" t="s">
        <v>687</v>
      </c>
      <c r="CU28" s="335" t="s">
        <v>687</v>
      </c>
      <c r="CV28" s="335" t="s">
        <v>687</v>
      </c>
      <c r="CW28" s="335" t="s">
        <v>687</v>
      </c>
      <c r="CX28" s="335" t="s">
        <v>687</v>
      </c>
      <c r="CY28" s="335" t="s">
        <v>687</v>
      </c>
      <c r="CZ28" s="335" t="s">
        <v>687</v>
      </c>
      <c r="DA28" s="335" t="s">
        <v>687</v>
      </c>
      <c r="DB28" s="335" t="s">
        <v>687</v>
      </c>
      <c r="DC28" s="336" t="s">
        <v>687</v>
      </c>
      <c r="DD28" s="336" t="s">
        <v>688</v>
      </c>
      <c r="DE28" s="336" t="s">
        <v>688</v>
      </c>
      <c r="DF28" s="336" t="s">
        <v>687</v>
      </c>
      <c r="DG28" s="336" t="s">
        <v>689</v>
      </c>
      <c r="DH28" s="336" t="s">
        <v>687</v>
      </c>
      <c r="DI28" s="336" t="s">
        <v>687</v>
      </c>
      <c r="DJ28" s="336" t="s">
        <v>690</v>
      </c>
      <c r="DK28" s="336" t="s">
        <v>687</v>
      </c>
      <c r="DL28" s="336" t="s">
        <v>663</v>
      </c>
      <c r="DM28" s="336" t="s">
        <v>655</v>
      </c>
      <c r="DN28" s="336" t="s">
        <v>655</v>
      </c>
      <c r="DO28" s="336" t="s">
        <v>655</v>
      </c>
      <c r="DP28" s="336" t="s">
        <v>655</v>
      </c>
      <c r="DQ28" s="336" t="s">
        <v>664</v>
      </c>
    </row>
    <row r="29" spans="1:121" ht="17.45" customHeight="1">
      <c r="A29" s="291" t="s">
        <v>691</v>
      </c>
      <c r="B29" s="307" t="s">
        <v>337</v>
      </c>
      <c r="C29" s="308" t="s">
        <v>692</v>
      </c>
      <c r="D29" s="308" t="s">
        <v>692</v>
      </c>
      <c r="E29" s="308" t="s">
        <v>692</v>
      </c>
      <c r="F29" s="307" t="s">
        <v>692</v>
      </c>
      <c r="G29" s="308" t="s">
        <v>693</v>
      </c>
      <c r="H29" s="308" t="s">
        <v>693</v>
      </c>
      <c r="I29" s="308" t="s">
        <v>693</v>
      </c>
      <c r="J29" s="308" t="s">
        <v>693</v>
      </c>
      <c r="K29" s="308" t="s">
        <v>693</v>
      </c>
      <c r="L29" s="308" t="s">
        <v>694</v>
      </c>
      <c r="M29" s="308" t="s">
        <v>693</v>
      </c>
      <c r="N29" s="307" t="s">
        <v>695</v>
      </c>
      <c r="O29" s="308" t="s">
        <v>695</v>
      </c>
      <c r="P29" s="308" t="s">
        <v>696</v>
      </c>
      <c r="Q29" s="307" t="s">
        <v>696</v>
      </c>
      <c r="R29" s="308" t="s">
        <v>696</v>
      </c>
      <c r="S29" s="308" t="s">
        <v>696</v>
      </c>
      <c r="T29" s="309" t="s">
        <v>696</v>
      </c>
      <c r="U29" s="309" t="s">
        <v>697</v>
      </c>
      <c r="V29" s="309" t="s">
        <v>697</v>
      </c>
      <c r="W29" s="309" t="s">
        <v>697</v>
      </c>
      <c r="X29" s="309" t="s">
        <v>698</v>
      </c>
      <c r="Y29" s="309" t="s">
        <v>568</v>
      </c>
      <c r="Z29" s="309" t="s">
        <v>699</v>
      </c>
      <c r="AA29" s="309" t="s">
        <v>700</v>
      </c>
      <c r="AB29" s="309" t="s">
        <v>701</v>
      </c>
      <c r="AC29" s="309" t="s">
        <v>702</v>
      </c>
      <c r="AD29" s="309" t="s">
        <v>703</v>
      </c>
      <c r="AE29" s="309" t="s">
        <v>703</v>
      </c>
      <c r="AF29" s="309" t="s">
        <v>703</v>
      </c>
      <c r="AG29" s="309" t="s">
        <v>704</v>
      </c>
      <c r="AH29" s="309" t="s">
        <v>705</v>
      </c>
      <c r="AI29" s="309" t="s">
        <v>706</v>
      </c>
      <c r="AJ29" s="309" t="s">
        <v>707</v>
      </c>
      <c r="AK29" s="309" t="s">
        <v>707</v>
      </c>
      <c r="AL29" s="309" t="s">
        <v>708</v>
      </c>
      <c r="AM29" s="309" t="s">
        <v>705</v>
      </c>
      <c r="AN29" s="309" t="s">
        <v>705</v>
      </c>
      <c r="AO29" s="309" t="s">
        <v>408</v>
      </c>
      <c r="AP29" s="309" t="s">
        <v>408</v>
      </c>
      <c r="AQ29" s="309" t="s">
        <v>709</v>
      </c>
      <c r="AR29" s="309" t="s">
        <v>709</v>
      </c>
      <c r="AS29" s="309" t="s">
        <v>427</v>
      </c>
      <c r="AT29" s="309" t="s">
        <v>585</v>
      </c>
      <c r="AU29" s="309" t="s">
        <v>710</v>
      </c>
      <c r="AV29" s="309" t="s">
        <v>710</v>
      </c>
      <c r="AW29" s="309" t="s">
        <v>711</v>
      </c>
      <c r="AX29" s="309" t="s">
        <v>595</v>
      </c>
      <c r="AY29" s="309" t="s">
        <v>595</v>
      </c>
      <c r="AZ29" s="309" t="s">
        <v>712</v>
      </c>
      <c r="BA29" s="309" t="s">
        <v>713</v>
      </c>
      <c r="BB29" s="309" t="s">
        <v>713</v>
      </c>
      <c r="BC29" s="309" t="s">
        <v>713</v>
      </c>
      <c r="BD29" s="309" t="s">
        <v>714</v>
      </c>
      <c r="BE29" s="309" t="s">
        <v>714</v>
      </c>
      <c r="BF29" s="309" t="s">
        <v>714</v>
      </c>
      <c r="BG29" s="309" t="s">
        <v>714</v>
      </c>
      <c r="BH29" s="309" t="s">
        <v>715</v>
      </c>
      <c r="BI29" s="309" t="s">
        <v>715</v>
      </c>
      <c r="BJ29" s="309" t="s">
        <v>715</v>
      </c>
      <c r="BK29" s="309" t="s">
        <v>715</v>
      </c>
      <c r="BL29" s="309" t="s">
        <v>715</v>
      </c>
      <c r="BM29" s="309" t="s">
        <v>716</v>
      </c>
      <c r="BN29" s="309" t="s">
        <v>716</v>
      </c>
      <c r="BO29" s="309" t="s">
        <v>716</v>
      </c>
      <c r="BP29" s="309" t="s">
        <v>716</v>
      </c>
      <c r="BQ29" s="309" t="s">
        <v>716</v>
      </c>
      <c r="BR29" s="309" t="s">
        <v>716</v>
      </c>
      <c r="BS29" s="309" t="s">
        <v>594</v>
      </c>
      <c r="BT29" s="309" t="s">
        <v>594</v>
      </c>
      <c r="BU29" s="309" t="s">
        <v>717</v>
      </c>
      <c r="BV29" s="309" t="s">
        <v>717</v>
      </c>
      <c r="BW29" s="309" t="s">
        <v>717</v>
      </c>
      <c r="BX29" s="309" t="s">
        <v>717</v>
      </c>
      <c r="BY29" s="309" t="s">
        <v>718</v>
      </c>
      <c r="BZ29" s="310" t="s">
        <v>719</v>
      </c>
      <c r="CA29" s="309" t="s">
        <v>719</v>
      </c>
      <c r="CB29" s="309" t="s">
        <v>720</v>
      </c>
      <c r="CC29" s="309" t="s">
        <v>720</v>
      </c>
      <c r="CD29" s="309" t="s">
        <v>721</v>
      </c>
      <c r="CE29" s="309" t="s">
        <v>721</v>
      </c>
      <c r="CF29" s="309" t="s">
        <v>722</v>
      </c>
      <c r="CG29" s="309" t="s">
        <v>722</v>
      </c>
      <c r="CH29" s="309" t="s">
        <v>722</v>
      </c>
      <c r="CI29" s="309" t="s">
        <v>722</v>
      </c>
      <c r="CJ29" s="309" t="s">
        <v>722</v>
      </c>
      <c r="CK29" s="309" t="s">
        <v>723</v>
      </c>
      <c r="CL29" s="309" t="s">
        <v>724</v>
      </c>
      <c r="CM29" s="309" t="s">
        <v>725</v>
      </c>
      <c r="CN29" s="309" t="s">
        <v>725</v>
      </c>
      <c r="CO29" s="309" t="s">
        <v>726</v>
      </c>
      <c r="CP29" s="309" t="s">
        <v>727</v>
      </c>
      <c r="CQ29" s="313" t="s">
        <v>728</v>
      </c>
      <c r="CR29" s="335" t="s">
        <v>729</v>
      </c>
      <c r="CS29" s="335" t="s">
        <v>730</v>
      </c>
      <c r="CT29" s="335" t="s">
        <v>731</v>
      </c>
      <c r="CU29" s="335" t="s">
        <v>732</v>
      </c>
      <c r="CV29" s="335" t="s">
        <v>733</v>
      </c>
      <c r="CW29" s="335" t="s">
        <v>734</v>
      </c>
      <c r="CX29" s="335" t="s">
        <v>735</v>
      </c>
      <c r="CY29" s="335" t="s">
        <v>730</v>
      </c>
      <c r="CZ29" s="335" t="s">
        <v>736</v>
      </c>
      <c r="DA29" s="335" t="s">
        <v>737</v>
      </c>
      <c r="DB29" s="335" t="s">
        <v>738</v>
      </c>
      <c r="DC29" s="336" t="s">
        <v>739</v>
      </c>
      <c r="DD29" s="336" t="s">
        <v>740</v>
      </c>
      <c r="DE29" s="336" t="s">
        <v>741</v>
      </c>
      <c r="DF29" s="336" t="s">
        <v>742</v>
      </c>
      <c r="DG29" s="336" t="s">
        <v>743</v>
      </c>
      <c r="DH29" s="336" t="s">
        <v>398</v>
      </c>
      <c r="DI29" s="336" t="s">
        <v>744</v>
      </c>
      <c r="DJ29" s="336" t="s">
        <v>745</v>
      </c>
      <c r="DK29" s="336" t="s">
        <v>746</v>
      </c>
      <c r="DL29" s="336" t="s">
        <v>747</v>
      </c>
      <c r="DM29" s="336" t="s">
        <v>748</v>
      </c>
      <c r="DN29" s="336" t="s">
        <v>749</v>
      </c>
      <c r="DO29" s="336" t="s">
        <v>750</v>
      </c>
      <c r="DP29" s="336" t="s">
        <v>751</v>
      </c>
      <c r="DQ29" s="336" t="s">
        <v>663</v>
      </c>
    </row>
    <row r="30" spans="1:121" ht="17.45" customHeight="1">
      <c r="A30" s="291" t="s">
        <v>752</v>
      </c>
      <c r="B30" s="307" t="s">
        <v>339</v>
      </c>
      <c r="C30" s="308" t="s">
        <v>339</v>
      </c>
      <c r="D30" s="308" t="s">
        <v>339</v>
      </c>
      <c r="E30" s="308" t="s">
        <v>753</v>
      </c>
      <c r="F30" s="307" t="s">
        <v>339</v>
      </c>
      <c r="G30" s="308" t="s">
        <v>341</v>
      </c>
      <c r="H30" s="308" t="s">
        <v>754</v>
      </c>
      <c r="I30" s="308" t="s">
        <v>754</v>
      </c>
      <c r="J30" s="308" t="s">
        <v>754</v>
      </c>
      <c r="K30" s="308" t="s">
        <v>754</v>
      </c>
      <c r="L30" s="308" t="s">
        <v>754</v>
      </c>
      <c r="M30" s="308" t="s">
        <v>754</v>
      </c>
      <c r="N30" s="307" t="s">
        <v>755</v>
      </c>
      <c r="O30" s="308" t="s">
        <v>756</v>
      </c>
      <c r="P30" s="308" t="s">
        <v>757</v>
      </c>
      <c r="Q30" s="307" t="s">
        <v>425</v>
      </c>
      <c r="R30" s="308" t="s">
        <v>758</v>
      </c>
      <c r="S30" s="308" t="s">
        <v>759</v>
      </c>
      <c r="T30" s="309" t="s">
        <v>760</v>
      </c>
      <c r="U30" s="309" t="s">
        <v>760</v>
      </c>
      <c r="V30" s="309" t="s">
        <v>760</v>
      </c>
      <c r="W30" s="309" t="s">
        <v>760</v>
      </c>
      <c r="X30" s="309" t="s">
        <v>761</v>
      </c>
      <c r="Y30" s="309" t="s">
        <v>762</v>
      </c>
      <c r="Z30" s="309" t="s">
        <v>763</v>
      </c>
      <c r="AA30" s="309" t="s">
        <v>576</v>
      </c>
      <c r="AB30" s="309" t="s">
        <v>576</v>
      </c>
      <c r="AC30" s="309" t="s">
        <v>764</v>
      </c>
      <c r="AD30" s="309" t="s">
        <v>575</v>
      </c>
      <c r="AE30" s="309" t="s">
        <v>760</v>
      </c>
      <c r="AF30" s="309" t="s">
        <v>765</v>
      </c>
      <c r="AG30" s="309" t="s">
        <v>764</v>
      </c>
      <c r="AH30" s="309" t="s">
        <v>766</v>
      </c>
      <c r="AI30" s="309" t="s">
        <v>767</v>
      </c>
      <c r="AJ30" s="309" t="s">
        <v>768</v>
      </c>
      <c r="AK30" s="309" t="s">
        <v>769</v>
      </c>
      <c r="AL30" s="309" t="s">
        <v>770</v>
      </c>
      <c r="AM30" s="309" t="s">
        <v>771</v>
      </c>
      <c r="AN30" s="309" t="s">
        <v>771</v>
      </c>
      <c r="AO30" s="309" t="s">
        <v>771</v>
      </c>
      <c r="AP30" s="309" t="s">
        <v>772</v>
      </c>
      <c r="AQ30" s="309" t="s">
        <v>773</v>
      </c>
      <c r="AR30" s="309" t="s">
        <v>773</v>
      </c>
      <c r="AS30" s="309" t="s">
        <v>774</v>
      </c>
      <c r="AT30" s="309" t="s">
        <v>775</v>
      </c>
      <c r="AU30" s="309" t="s">
        <v>585</v>
      </c>
      <c r="AV30" s="309" t="s">
        <v>585</v>
      </c>
      <c r="AW30" s="309" t="s">
        <v>585</v>
      </c>
      <c r="AX30" s="309" t="s">
        <v>585</v>
      </c>
      <c r="AY30" s="309" t="s">
        <v>585</v>
      </c>
      <c r="AZ30" s="309" t="s">
        <v>585</v>
      </c>
      <c r="BA30" s="309" t="s">
        <v>585</v>
      </c>
      <c r="BB30" s="309" t="s">
        <v>585</v>
      </c>
      <c r="BC30" s="309" t="s">
        <v>585</v>
      </c>
      <c r="BD30" s="309" t="s">
        <v>585</v>
      </c>
      <c r="BE30" s="309" t="s">
        <v>585</v>
      </c>
      <c r="BF30" s="309" t="s">
        <v>585</v>
      </c>
      <c r="BG30" s="309" t="s">
        <v>585</v>
      </c>
      <c r="BH30" s="309" t="s">
        <v>585</v>
      </c>
      <c r="BI30" s="309" t="s">
        <v>585</v>
      </c>
      <c r="BJ30" s="309" t="s">
        <v>585</v>
      </c>
      <c r="BK30" s="309" t="s">
        <v>585</v>
      </c>
      <c r="BL30" s="309" t="s">
        <v>585</v>
      </c>
      <c r="BM30" s="309" t="s">
        <v>776</v>
      </c>
      <c r="BN30" s="309" t="s">
        <v>776</v>
      </c>
      <c r="BO30" s="309" t="s">
        <v>776</v>
      </c>
      <c r="BP30" s="309" t="s">
        <v>776</v>
      </c>
      <c r="BQ30" s="309" t="s">
        <v>776</v>
      </c>
      <c r="BR30" s="309" t="s">
        <v>776</v>
      </c>
      <c r="BS30" s="309" t="s">
        <v>777</v>
      </c>
      <c r="BT30" s="309" t="s">
        <v>777</v>
      </c>
      <c r="BU30" s="309" t="s">
        <v>777</v>
      </c>
      <c r="BV30" s="309" t="s">
        <v>777</v>
      </c>
      <c r="BW30" s="309" t="s">
        <v>667</v>
      </c>
      <c r="BX30" s="309" t="s">
        <v>667</v>
      </c>
      <c r="BY30" s="309" t="s">
        <v>778</v>
      </c>
      <c r="BZ30" s="310" t="s">
        <v>779</v>
      </c>
      <c r="CA30" s="309" t="s">
        <v>780</v>
      </c>
      <c r="CB30" s="309" t="s">
        <v>781</v>
      </c>
      <c r="CC30" s="309" t="s">
        <v>782</v>
      </c>
      <c r="CD30" s="309" t="s">
        <v>604</v>
      </c>
      <c r="CE30" s="309" t="s">
        <v>783</v>
      </c>
      <c r="CF30" s="309" t="s">
        <v>600</v>
      </c>
      <c r="CG30" s="309" t="s">
        <v>601</v>
      </c>
      <c r="CH30" s="309" t="s">
        <v>784</v>
      </c>
      <c r="CI30" s="309" t="s">
        <v>601</v>
      </c>
      <c r="CJ30" s="309" t="s">
        <v>601</v>
      </c>
      <c r="CK30" s="309" t="s">
        <v>600</v>
      </c>
      <c r="CL30" s="309" t="s">
        <v>600</v>
      </c>
      <c r="CM30" s="309" t="s">
        <v>785</v>
      </c>
      <c r="CN30" s="309" t="s">
        <v>602</v>
      </c>
      <c r="CO30" s="309" t="s">
        <v>786</v>
      </c>
      <c r="CP30" s="309" t="s">
        <v>787</v>
      </c>
      <c r="CQ30" s="313" t="s">
        <v>788</v>
      </c>
      <c r="CR30" s="335" t="s">
        <v>789</v>
      </c>
      <c r="CS30" s="335" t="s">
        <v>790</v>
      </c>
      <c r="CT30" s="335" t="s">
        <v>791</v>
      </c>
      <c r="CU30" s="335" t="s">
        <v>792</v>
      </c>
      <c r="CV30" s="335" t="s">
        <v>793</v>
      </c>
      <c r="CW30" s="335" t="s">
        <v>794</v>
      </c>
      <c r="CX30" s="335" t="s">
        <v>795</v>
      </c>
      <c r="CY30" s="335" t="s">
        <v>792</v>
      </c>
      <c r="CZ30" s="335" t="s">
        <v>795</v>
      </c>
      <c r="DA30" s="335" t="s">
        <v>796</v>
      </c>
      <c r="DB30" s="335" t="s">
        <v>797</v>
      </c>
      <c r="DC30" s="336" t="s">
        <v>798</v>
      </c>
      <c r="DD30" s="336" t="s">
        <v>799</v>
      </c>
      <c r="DE30" s="336" t="s">
        <v>800</v>
      </c>
      <c r="DF30" s="336" t="s">
        <v>801</v>
      </c>
      <c r="DG30" s="336" t="s">
        <v>802</v>
      </c>
      <c r="DH30" s="336" t="s">
        <v>803</v>
      </c>
      <c r="DI30" s="336" t="s">
        <v>804</v>
      </c>
      <c r="DJ30" s="336" t="s">
        <v>805</v>
      </c>
      <c r="DK30" s="336" t="s">
        <v>806</v>
      </c>
      <c r="DL30" s="336" t="s">
        <v>807</v>
      </c>
      <c r="DM30" s="336" t="s">
        <v>808</v>
      </c>
      <c r="DN30" s="336" t="s">
        <v>809</v>
      </c>
      <c r="DO30" s="336" t="s">
        <v>810</v>
      </c>
      <c r="DP30" s="336" t="s">
        <v>257</v>
      </c>
      <c r="DQ30" s="336" t="s">
        <v>811</v>
      </c>
    </row>
    <row r="31" spans="1:121" ht="17.45" customHeight="1">
      <c r="A31" s="291" t="s">
        <v>812</v>
      </c>
      <c r="B31" s="307" t="s">
        <v>233</v>
      </c>
      <c r="C31" s="308" t="s">
        <v>233</v>
      </c>
      <c r="D31" s="308" t="s">
        <v>233</v>
      </c>
      <c r="E31" s="308" t="s">
        <v>233</v>
      </c>
      <c r="F31" s="307" t="s">
        <v>233</v>
      </c>
      <c r="G31" s="308" t="s">
        <v>233</v>
      </c>
      <c r="H31" s="308" t="s">
        <v>233</v>
      </c>
      <c r="I31" s="308" t="s">
        <v>233</v>
      </c>
      <c r="J31" s="308" t="s">
        <v>233</v>
      </c>
      <c r="K31" s="308" t="s">
        <v>233</v>
      </c>
      <c r="L31" s="308" t="s">
        <v>233</v>
      </c>
      <c r="M31" s="308" t="s">
        <v>233</v>
      </c>
      <c r="N31" s="307" t="s">
        <v>233</v>
      </c>
      <c r="O31" s="308" t="s">
        <v>233</v>
      </c>
      <c r="P31" s="308" t="s">
        <v>813</v>
      </c>
      <c r="Q31" s="307" t="s">
        <v>814</v>
      </c>
      <c r="R31" s="308" t="s">
        <v>815</v>
      </c>
      <c r="S31" s="308" t="s">
        <v>233</v>
      </c>
      <c r="T31" s="309" t="s">
        <v>233</v>
      </c>
      <c r="U31" s="309" t="s">
        <v>233</v>
      </c>
      <c r="V31" s="309" t="s">
        <v>233</v>
      </c>
      <c r="W31" s="309" t="s">
        <v>816</v>
      </c>
      <c r="X31" s="309" t="s">
        <v>233</v>
      </c>
      <c r="Y31" s="309" t="s">
        <v>817</v>
      </c>
      <c r="Z31" s="309" t="s">
        <v>817</v>
      </c>
      <c r="AA31" s="309" t="s">
        <v>233</v>
      </c>
      <c r="AB31" s="309" t="s">
        <v>817</v>
      </c>
      <c r="AC31" s="309" t="s">
        <v>350</v>
      </c>
      <c r="AD31" s="309" t="s">
        <v>350</v>
      </c>
      <c r="AE31" s="309" t="s">
        <v>346</v>
      </c>
      <c r="AF31" s="309" t="s">
        <v>818</v>
      </c>
      <c r="AG31" s="309" t="s">
        <v>819</v>
      </c>
      <c r="AH31" s="309" t="s">
        <v>820</v>
      </c>
      <c r="AI31" s="309" t="s">
        <v>821</v>
      </c>
      <c r="AJ31" s="309" t="s">
        <v>822</v>
      </c>
      <c r="AK31" s="309" t="s">
        <v>476</v>
      </c>
      <c r="AL31" s="309" t="s">
        <v>823</v>
      </c>
      <c r="AM31" s="309" t="s">
        <v>824</v>
      </c>
      <c r="AN31" s="309" t="s">
        <v>825</v>
      </c>
      <c r="AO31" s="309" t="s">
        <v>337</v>
      </c>
      <c r="AP31" s="309" t="s">
        <v>826</v>
      </c>
      <c r="AQ31" s="309" t="s">
        <v>827</v>
      </c>
      <c r="AR31" s="309" t="s">
        <v>827</v>
      </c>
      <c r="AS31" s="309" t="s">
        <v>827</v>
      </c>
      <c r="AT31" s="309" t="s">
        <v>828</v>
      </c>
      <c r="AU31" s="309" t="s">
        <v>585</v>
      </c>
      <c r="AV31" s="309" t="s">
        <v>585</v>
      </c>
      <c r="AW31" s="309" t="s">
        <v>585</v>
      </c>
      <c r="AX31" s="309" t="s">
        <v>585</v>
      </c>
      <c r="AY31" s="309" t="s">
        <v>585</v>
      </c>
      <c r="AZ31" s="309" t="s">
        <v>585</v>
      </c>
      <c r="BA31" s="309" t="s">
        <v>585</v>
      </c>
      <c r="BB31" s="309" t="s">
        <v>585</v>
      </c>
      <c r="BC31" s="309" t="s">
        <v>585</v>
      </c>
      <c r="BD31" s="309" t="s">
        <v>585</v>
      </c>
      <c r="BE31" s="309" t="s">
        <v>585</v>
      </c>
      <c r="BF31" s="309" t="s">
        <v>585</v>
      </c>
      <c r="BG31" s="309" t="s">
        <v>585</v>
      </c>
      <c r="BH31" s="309" t="s">
        <v>585</v>
      </c>
      <c r="BI31" s="309" t="s">
        <v>667</v>
      </c>
      <c r="BJ31" s="309" t="s">
        <v>667</v>
      </c>
      <c r="BK31" s="309" t="s">
        <v>667</v>
      </c>
      <c r="BL31" s="309" t="s">
        <v>667</v>
      </c>
      <c r="BM31" s="309" t="s">
        <v>776</v>
      </c>
      <c r="BN31" s="309" t="s">
        <v>776</v>
      </c>
      <c r="BO31" s="309" t="s">
        <v>776</v>
      </c>
      <c r="BP31" s="309" t="s">
        <v>776</v>
      </c>
      <c r="BQ31" s="309" t="s">
        <v>776</v>
      </c>
      <c r="BR31" s="309" t="s">
        <v>776</v>
      </c>
      <c r="BS31" s="309" t="s">
        <v>777</v>
      </c>
      <c r="BT31" s="309" t="s">
        <v>777</v>
      </c>
      <c r="BU31" s="309" t="s">
        <v>829</v>
      </c>
      <c r="BV31" s="309" t="s">
        <v>829</v>
      </c>
      <c r="BW31" s="309" t="s">
        <v>369</v>
      </c>
      <c r="BX31" s="309" t="s">
        <v>830</v>
      </c>
      <c r="BY31" s="309" t="s">
        <v>830</v>
      </c>
      <c r="BZ31" s="310" t="s">
        <v>487</v>
      </c>
      <c r="CA31" s="309" t="s">
        <v>831</v>
      </c>
      <c r="CB31" s="309" t="s">
        <v>831</v>
      </c>
      <c r="CC31" s="309" t="s">
        <v>832</v>
      </c>
      <c r="CD31" s="309" t="s">
        <v>833</v>
      </c>
      <c r="CE31" s="309" t="s">
        <v>740</v>
      </c>
      <c r="CF31" s="309" t="s">
        <v>834</v>
      </c>
      <c r="CG31" s="309" t="s">
        <v>835</v>
      </c>
      <c r="CH31" s="309" t="s">
        <v>740</v>
      </c>
      <c r="CI31" s="309" t="s">
        <v>836</v>
      </c>
      <c r="CJ31" s="309" t="s">
        <v>836</v>
      </c>
      <c r="CK31" s="309" t="s">
        <v>837</v>
      </c>
      <c r="CL31" s="309" t="s">
        <v>837</v>
      </c>
      <c r="CM31" s="309" t="s">
        <v>838</v>
      </c>
      <c r="CN31" s="309" t="s">
        <v>839</v>
      </c>
      <c r="CO31" s="309" t="s">
        <v>840</v>
      </c>
      <c r="CP31" s="309" t="s">
        <v>840</v>
      </c>
      <c r="CQ31" s="313" t="s">
        <v>841</v>
      </c>
      <c r="CR31" s="335" t="s">
        <v>381</v>
      </c>
      <c r="CS31" s="335" t="s">
        <v>454</v>
      </c>
      <c r="CT31" s="335" t="s">
        <v>842</v>
      </c>
      <c r="CU31" s="335" t="s">
        <v>843</v>
      </c>
      <c r="CV31" s="335" t="s">
        <v>844</v>
      </c>
      <c r="CW31" s="335" t="s">
        <v>845</v>
      </c>
      <c r="CX31" s="335" t="s">
        <v>846</v>
      </c>
      <c r="CY31" s="335" t="s">
        <v>847</v>
      </c>
      <c r="CZ31" s="335" t="s">
        <v>848</v>
      </c>
      <c r="DA31" s="335" t="s">
        <v>849</v>
      </c>
      <c r="DB31" s="335" t="s">
        <v>400</v>
      </c>
      <c r="DC31" s="336" t="s">
        <v>394</v>
      </c>
      <c r="DD31" s="336" t="s">
        <v>850</v>
      </c>
      <c r="DE31" s="336" t="s">
        <v>851</v>
      </c>
      <c r="DF31" s="336" t="s">
        <v>852</v>
      </c>
      <c r="DG31" s="336" t="s">
        <v>853</v>
      </c>
      <c r="DH31" s="336" t="s">
        <v>854</v>
      </c>
      <c r="DI31" s="336" t="s">
        <v>855</v>
      </c>
      <c r="DJ31" s="336" t="s">
        <v>852</v>
      </c>
      <c r="DK31" s="336" t="s">
        <v>856</v>
      </c>
      <c r="DL31" s="336" t="s">
        <v>855</v>
      </c>
      <c r="DM31" s="336" t="s">
        <v>857</v>
      </c>
      <c r="DN31" s="336" t="s">
        <v>858</v>
      </c>
      <c r="DO31" s="336" t="s">
        <v>859</v>
      </c>
      <c r="DP31" s="336" t="s">
        <v>860</v>
      </c>
      <c r="DQ31" s="336" t="s">
        <v>861</v>
      </c>
    </row>
    <row r="32" spans="1:121" ht="17.45" customHeight="1">
      <c r="A32" s="291" t="s">
        <v>862</v>
      </c>
      <c r="B32" s="307" t="s">
        <v>593</v>
      </c>
      <c r="C32" s="308" t="s">
        <v>863</v>
      </c>
      <c r="D32" s="308" t="s">
        <v>864</v>
      </c>
      <c r="E32" s="308" t="s">
        <v>865</v>
      </c>
      <c r="F32" s="307" t="s">
        <v>295</v>
      </c>
      <c r="G32" s="308" t="s">
        <v>753</v>
      </c>
      <c r="H32" s="308" t="s">
        <v>777</v>
      </c>
      <c r="I32" s="308" t="s">
        <v>777</v>
      </c>
      <c r="J32" s="308" t="s">
        <v>777</v>
      </c>
      <c r="K32" s="308" t="s">
        <v>777</v>
      </c>
      <c r="L32" s="308" t="s">
        <v>777</v>
      </c>
      <c r="M32" s="308" t="s">
        <v>777</v>
      </c>
      <c r="N32" s="307" t="s">
        <v>866</v>
      </c>
      <c r="O32" s="308" t="s">
        <v>867</v>
      </c>
      <c r="P32" s="308" t="s">
        <v>867</v>
      </c>
      <c r="Q32" s="307" t="s">
        <v>867</v>
      </c>
      <c r="R32" s="308" t="s">
        <v>867</v>
      </c>
      <c r="S32" s="308" t="s">
        <v>867</v>
      </c>
      <c r="T32" s="309" t="s">
        <v>868</v>
      </c>
      <c r="U32" s="309" t="s">
        <v>867</v>
      </c>
      <c r="V32" s="309" t="s">
        <v>867</v>
      </c>
      <c r="W32" s="309" t="s">
        <v>867</v>
      </c>
      <c r="X32" s="309" t="s">
        <v>867</v>
      </c>
      <c r="Y32" s="309" t="s">
        <v>869</v>
      </c>
      <c r="Z32" s="309" t="s">
        <v>755</v>
      </c>
      <c r="AA32" s="309" t="s">
        <v>755</v>
      </c>
      <c r="AB32" s="309" t="s">
        <v>755</v>
      </c>
      <c r="AC32" s="309" t="s">
        <v>870</v>
      </c>
      <c r="AD32" s="309" t="s">
        <v>870</v>
      </c>
      <c r="AE32" s="309" t="s">
        <v>870</v>
      </c>
      <c r="AF32" s="309" t="s">
        <v>870</v>
      </c>
      <c r="AG32" s="309" t="s">
        <v>871</v>
      </c>
      <c r="AH32" s="309" t="s">
        <v>871</v>
      </c>
      <c r="AI32" s="309" t="s">
        <v>872</v>
      </c>
      <c r="AJ32" s="309" t="s">
        <v>873</v>
      </c>
      <c r="AK32" s="309" t="s">
        <v>873</v>
      </c>
      <c r="AL32" s="309" t="s">
        <v>874</v>
      </c>
      <c r="AM32" s="309" t="s">
        <v>875</v>
      </c>
      <c r="AN32" s="309" t="s">
        <v>876</v>
      </c>
      <c r="AO32" s="309" t="s">
        <v>876</v>
      </c>
      <c r="AP32" s="309" t="s">
        <v>877</v>
      </c>
      <c r="AQ32" s="309" t="s">
        <v>878</v>
      </c>
      <c r="AR32" s="309" t="s">
        <v>878</v>
      </c>
      <c r="AS32" s="309" t="s">
        <v>878</v>
      </c>
      <c r="AT32" s="309" t="s">
        <v>587</v>
      </c>
      <c r="AU32" s="309" t="s">
        <v>587</v>
      </c>
      <c r="AV32" s="309" t="s">
        <v>587</v>
      </c>
      <c r="AW32" s="309" t="s">
        <v>587</v>
      </c>
      <c r="AX32" s="309" t="s">
        <v>587</v>
      </c>
      <c r="AY32" s="309" t="s">
        <v>587</v>
      </c>
      <c r="AZ32" s="309" t="s">
        <v>587</v>
      </c>
      <c r="BA32" s="309" t="s">
        <v>587</v>
      </c>
      <c r="BB32" s="309" t="s">
        <v>587</v>
      </c>
      <c r="BC32" s="309" t="s">
        <v>587</v>
      </c>
      <c r="BD32" s="309" t="s">
        <v>587</v>
      </c>
      <c r="BE32" s="309" t="s">
        <v>587</v>
      </c>
      <c r="BF32" s="309" t="s">
        <v>587</v>
      </c>
      <c r="BG32" s="309" t="s">
        <v>587</v>
      </c>
      <c r="BH32" s="309" t="s">
        <v>587</v>
      </c>
      <c r="BI32" s="309" t="s">
        <v>587</v>
      </c>
      <c r="BJ32" s="309" t="s">
        <v>718</v>
      </c>
      <c r="BK32" s="309" t="s">
        <v>718</v>
      </c>
      <c r="BL32" s="309" t="s">
        <v>718</v>
      </c>
      <c r="BM32" s="309" t="s">
        <v>879</v>
      </c>
      <c r="BN32" s="309" t="s">
        <v>718</v>
      </c>
      <c r="BO32" s="309" t="s">
        <v>718</v>
      </c>
      <c r="BP32" s="309" t="s">
        <v>593</v>
      </c>
      <c r="BQ32" s="309" t="s">
        <v>593</v>
      </c>
      <c r="BR32" s="309" t="s">
        <v>593</v>
      </c>
      <c r="BS32" s="309" t="s">
        <v>594</v>
      </c>
      <c r="BT32" s="309" t="s">
        <v>594</v>
      </c>
      <c r="BU32" s="309" t="s">
        <v>718</v>
      </c>
      <c r="BV32" s="309" t="s">
        <v>718</v>
      </c>
      <c r="BW32" s="309" t="s">
        <v>301</v>
      </c>
      <c r="BX32" s="309" t="s">
        <v>247</v>
      </c>
      <c r="BY32" s="309" t="s">
        <v>247</v>
      </c>
      <c r="BZ32" s="310" t="s">
        <v>247</v>
      </c>
      <c r="CA32" s="309" t="s">
        <v>247</v>
      </c>
      <c r="CB32" s="309" t="s">
        <v>247</v>
      </c>
      <c r="CC32" s="309" t="s">
        <v>247</v>
      </c>
      <c r="CD32" s="309" t="s">
        <v>880</v>
      </c>
      <c r="CE32" s="309" t="s">
        <v>880</v>
      </c>
      <c r="CF32" s="309" t="s">
        <v>881</v>
      </c>
      <c r="CG32" s="309" t="s">
        <v>881</v>
      </c>
      <c r="CH32" s="309" t="s">
        <v>881</v>
      </c>
      <c r="CI32" s="309" t="s">
        <v>881</v>
      </c>
      <c r="CJ32" s="309" t="s">
        <v>882</v>
      </c>
      <c r="CK32" s="309" t="s">
        <v>883</v>
      </c>
      <c r="CL32" s="309" t="s">
        <v>884</v>
      </c>
      <c r="CM32" s="309" t="s">
        <v>884</v>
      </c>
      <c r="CN32" s="309" t="s">
        <v>884</v>
      </c>
      <c r="CO32" s="309" t="s">
        <v>884</v>
      </c>
      <c r="CP32" s="309" t="s">
        <v>885</v>
      </c>
      <c r="CQ32" s="313" t="s">
        <v>885</v>
      </c>
      <c r="CR32" s="335" t="s">
        <v>886</v>
      </c>
      <c r="CS32" s="335" t="s">
        <v>887</v>
      </c>
      <c r="CT32" s="335" t="s">
        <v>888</v>
      </c>
      <c r="CU32" s="335" t="s">
        <v>889</v>
      </c>
      <c r="CV32" s="335" t="s">
        <v>889</v>
      </c>
      <c r="CW32" s="335" t="s">
        <v>890</v>
      </c>
      <c r="CX32" s="335" t="s">
        <v>891</v>
      </c>
      <c r="CY32" s="335" t="s">
        <v>892</v>
      </c>
      <c r="CZ32" s="335" t="s">
        <v>556</v>
      </c>
      <c r="DA32" s="335" t="s">
        <v>893</v>
      </c>
      <c r="DB32" s="335" t="s">
        <v>887</v>
      </c>
      <c r="DC32" s="336" t="s">
        <v>894</v>
      </c>
      <c r="DD32" s="336" t="s">
        <v>894</v>
      </c>
      <c r="DE32" s="336" t="s">
        <v>895</v>
      </c>
      <c r="DF32" s="336" t="s">
        <v>896</v>
      </c>
      <c r="DG32" s="336" t="s">
        <v>897</v>
      </c>
      <c r="DH32" s="336" t="s">
        <v>898</v>
      </c>
      <c r="DI32" s="336" t="s">
        <v>899</v>
      </c>
      <c r="DJ32" s="336" t="s">
        <v>900</v>
      </c>
      <c r="DK32" s="336" t="s">
        <v>901</v>
      </c>
      <c r="DL32" s="336" t="s">
        <v>901</v>
      </c>
      <c r="DM32" s="336" t="s">
        <v>902</v>
      </c>
      <c r="DN32" s="336" t="s">
        <v>903</v>
      </c>
      <c r="DO32" s="336" t="s">
        <v>898</v>
      </c>
      <c r="DP32" s="336" t="s">
        <v>904</v>
      </c>
      <c r="DQ32" s="336" t="s">
        <v>905</v>
      </c>
    </row>
    <row r="33" spans="1:121" ht="17.45" customHeight="1">
      <c r="A33" s="291" t="s">
        <v>906</v>
      </c>
      <c r="B33" s="307">
        <v>11.75</v>
      </c>
      <c r="C33" s="308">
        <v>12.25</v>
      </c>
      <c r="D33" s="308">
        <v>12.25</v>
      </c>
      <c r="E33" s="308">
        <v>12.25</v>
      </c>
      <c r="F33" s="307" t="s">
        <v>907</v>
      </c>
      <c r="G33" s="308">
        <v>13.25</v>
      </c>
      <c r="H33" s="308">
        <v>13.25</v>
      </c>
      <c r="I33" s="308">
        <v>13.25</v>
      </c>
      <c r="J33" s="308">
        <v>13.25</v>
      </c>
      <c r="K33" s="308">
        <v>13.25</v>
      </c>
      <c r="L33" s="308" t="s">
        <v>908</v>
      </c>
      <c r="M33" s="308" t="s">
        <v>908</v>
      </c>
      <c r="N33" s="307" t="s">
        <v>909</v>
      </c>
      <c r="O33" s="308" t="s">
        <v>909</v>
      </c>
      <c r="P33" s="308" t="s">
        <v>910</v>
      </c>
      <c r="Q33" s="307" t="s">
        <v>910</v>
      </c>
      <c r="R33" s="308" t="s">
        <v>416</v>
      </c>
      <c r="S33" s="308" t="s">
        <v>416</v>
      </c>
      <c r="T33" s="309" t="s">
        <v>911</v>
      </c>
      <c r="U33" s="309" t="s">
        <v>416</v>
      </c>
      <c r="V33" s="309" t="s">
        <v>911</v>
      </c>
      <c r="W33" s="309" t="s">
        <v>911</v>
      </c>
      <c r="X33" s="309" t="s">
        <v>416</v>
      </c>
      <c r="Y33" s="309" t="s">
        <v>911</v>
      </c>
      <c r="Z33" s="309" t="s">
        <v>912</v>
      </c>
      <c r="AA33" s="309" t="s">
        <v>913</v>
      </c>
      <c r="AB33" s="309" t="s">
        <v>914</v>
      </c>
      <c r="AC33" s="309" t="s">
        <v>914</v>
      </c>
      <c r="AD33" s="309" t="s">
        <v>914</v>
      </c>
      <c r="AE33" s="309" t="s">
        <v>421</v>
      </c>
      <c r="AF33" s="309" t="s">
        <v>421</v>
      </c>
      <c r="AG33" s="309" t="s">
        <v>418</v>
      </c>
      <c r="AH33" s="309" t="s">
        <v>416</v>
      </c>
      <c r="AI33" s="309" t="s">
        <v>416</v>
      </c>
      <c r="AJ33" s="309" t="s">
        <v>423</v>
      </c>
      <c r="AK33" s="309" t="s">
        <v>915</v>
      </c>
      <c r="AL33" s="309" t="s">
        <v>916</v>
      </c>
      <c r="AM33" s="309" t="s">
        <v>917</v>
      </c>
      <c r="AN33" s="309" t="s">
        <v>917</v>
      </c>
      <c r="AO33" s="309" t="s">
        <v>918</v>
      </c>
      <c r="AP33" s="309" t="s">
        <v>919</v>
      </c>
      <c r="AQ33" s="309" t="s">
        <v>920</v>
      </c>
      <c r="AR33" s="309" t="s">
        <v>920</v>
      </c>
      <c r="AS33" s="309" t="s">
        <v>920</v>
      </c>
      <c r="AT33" s="309" t="s">
        <v>590</v>
      </c>
      <c r="AU33" s="309" t="s">
        <v>921</v>
      </c>
      <c r="AV33" s="309" t="s">
        <v>922</v>
      </c>
      <c r="AW33" s="309" t="s">
        <v>922</v>
      </c>
      <c r="AX33" s="309" t="s">
        <v>922</v>
      </c>
      <c r="AY33" s="309" t="s">
        <v>923</v>
      </c>
      <c r="AZ33" s="309" t="s">
        <v>923</v>
      </c>
      <c r="BA33" s="309" t="s">
        <v>923</v>
      </c>
      <c r="BB33" s="309" t="s">
        <v>923</v>
      </c>
      <c r="BC33" s="309" t="s">
        <v>923</v>
      </c>
      <c r="BD33" s="309" t="s">
        <v>922</v>
      </c>
      <c r="BE33" s="309" t="s">
        <v>922</v>
      </c>
      <c r="BF33" s="309" t="s">
        <v>922</v>
      </c>
      <c r="BG33" s="309" t="s">
        <v>922</v>
      </c>
      <c r="BH33" s="309" t="s">
        <v>922</v>
      </c>
      <c r="BI33" s="309" t="s">
        <v>922</v>
      </c>
      <c r="BJ33" s="309" t="s">
        <v>922</v>
      </c>
      <c r="BK33" s="309" t="s">
        <v>922</v>
      </c>
      <c r="BL33" s="309" t="s">
        <v>922</v>
      </c>
      <c r="BM33" s="309" t="s">
        <v>924</v>
      </c>
      <c r="BN33" s="309" t="s">
        <v>925</v>
      </c>
      <c r="BO33" s="309" t="s">
        <v>926</v>
      </c>
      <c r="BP33" s="309" t="s">
        <v>926</v>
      </c>
      <c r="BQ33" s="309" t="s">
        <v>926</v>
      </c>
      <c r="BR33" s="309" t="s">
        <v>926</v>
      </c>
      <c r="BS33" s="309" t="s">
        <v>927</v>
      </c>
      <c r="BT33" s="309" t="s">
        <v>927</v>
      </c>
      <c r="BU33" s="309" t="s">
        <v>928</v>
      </c>
      <c r="BV33" s="309" t="s">
        <v>928</v>
      </c>
      <c r="BW33" s="309" t="s">
        <v>435</v>
      </c>
      <c r="BX33" s="309" t="s">
        <v>435</v>
      </c>
      <c r="BY33" s="309" t="s">
        <v>929</v>
      </c>
      <c r="BZ33" s="310" t="s">
        <v>435</v>
      </c>
      <c r="CA33" s="309" t="s">
        <v>930</v>
      </c>
      <c r="CB33" s="309" t="s">
        <v>930</v>
      </c>
      <c r="CC33" s="309" t="s">
        <v>931</v>
      </c>
      <c r="CD33" s="309" t="s">
        <v>932</v>
      </c>
      <c r="CE33" s="309" t="s">
        <v>932</v>
      </c>
      <c r="CF33" s="309" t="s">
        <v>932</v>
      </c>
      <c r="CG33" s="309" t="s">
        <v>932</v>
      </c>
      <c r="CH33" s="309" t="s">
        <v>932</v>
      </c>
      <c r="CI33" s="309" t="s">
        <v>932</v>
      </c>
      <c r="CJ33" s="309" t="s">
        <v>932</v>
      </c>
      <c r="CK33" s="309" t="s">
        <v>932</v>
      </c>
      <c r="CL33" s="309" t="s">
        <v>933</v>
      </c>
      <c r="CM33" s="309" t="s">
        <v>932</v>
      </c>
      <c r="CN33" s="309" t="s">
        <v>444</v>
      </c>
      <c r="CO33" s="309" t="s">
        <v>933</v>
      </c>
      <c r="CP33" s="309" t="s">
        <v>934</v>
      </c>
      <c r="CQ33" s="313" t="s">
        <v>935</v>
      </c>
      <c r="CR33" s="335" t="s">
        <v>932</v>
      </c>
      <c r="CS33" s="335" t="s">
        <v>936</v>
      </c>
      <c r="CT33" s="335" t="s">
        <v>937</v>
      </c>
      <c r="CU33" s="335" t="s">
        <v>938</v>
      </c>
      <c r="CV33" s="335" t="s">
        <v>939</v>
      </c>
      <c r="CW33" s="335" t="s">
        <v>936</v>
      </c>
      <c r="CX33" s="335" t="s">
        <v>936</v>
      </c>
      <c r="CY33" s="335" t="s">
        <v>940</v>
      </c>
      <c r="CZ33" s="335" t="s">
        <v>938</v>
      </c>
      <c r="DA33" s="335" t="s">
        <v>941</v>
      </c>
      <c r="DB33" s="335" t="s">
        <v>936</v>
      </c>
      <c r="DC33" s="336" t="s">
        <v>941</v>
      </c>
      <c r="DD33" s="336" t="s">
        <v>938</v>
      </c>
      <c r="DE33" s="336" t="s">
        <v>942</v>
      </c>
      <c r="DF33" s="336" t="s">
        <v>942</v>
      </c>
      <c r="DG33" s="336" t="s">
        <v>943</v>
      </c>
      <c r="DH33" s="336" t="s">
        <v>942</v>
      </c>
      <c r="DI33" s="336" t="s">
        <v>944</v>
      </c>
      <c r="DJ33" s="336" t="s">
        <v>945</v>
      </c>
      <c r="DK33" s="336" t="s">
        <v>942</v>
      </c>
      <c r="DL33" s="336" t="s">
        <v>942</v>
      </c>
      <c r="DM33" s="336" t="s">
        <v>942</v>
      </c>
      <c r="DN33" s="336" t="s">
        <v>942</v>
      </c>
      <c r="DO33" s="336" t="s">
        <v>943</v>
      </c>
      <c r="DP33" s="336" t="s">
        <v>946</v>
      </c>
      <c r="DQ33" s="336" t="s">
        <v>947</v>
      </c>
    </row>
    <row r="34" spans="1:121" ht="17.45" customHeight="1">
      <c r="A34" s="291" t="s">
        <v>948</v>
      </c>
      <c r="B34" s="307" t="s">
        <v>949</v>
      </c>
      <c r="C34" s="308" t="s">
        <v>950</v>
      </c>
      <c r="D34" s="308" t="s">
        <v>951</v>
      </c>
      <c r="E34" s="308" t="s">
        <v>951</v>
      </c>
      <c r="F34" s="307" t="s">
        <v>951</v>
      </c>
      <c r="G34" s="308" t="s">
        <v>870</v>
      </c>
      <c r="H34" s="308" t="s">
        <v>952</v>
      </c>
      <c r="I34" s="308" t="s">
        <v>755</v>
      </c>
      <c r="J34" s="308" t="s">
        <v>870</v>
      </c>
      <c r="K34" s="308" t="s">
        <v>755</v>
      </c>
      <c r="L34" s="308" t="s">
        <v>953</v>
      </c>
      <c r="M34" s="308" t="s">
        <v>954</v>
      </c>
      <c r="N34" s="307" t="s">
        <v>955</v>
      </c>
      <c r="O34" s="308" t="s">
        <v>954</v>
      </c>
      <c r="P34" s="308" t="s">
        <v>956</v>
      </c>
      <c r="Q34" s="307" t="s">
        <v>957</v>
      </c>
      <c r="R34" s="308" t="s">
        <v>957</v>
      </c>
      <c r="S34" s="308" t="s">
        <v>956</v>
      </c>
      <c r="T34" s="309" t="s">
        <v>956</v>
      </c>
      <c r="U34" s="309" t="s">
        <v>956</v>
      </c>
      <c r="V34" s="309" t="s">
        <v>957</v>
      </c>
      <c r="W34" s="309" t="s">
        <v>957</v>
      </c>
      <c r="X34" s="309" t="s">
        <v>957</v>
      </c>
      <c r="Y34" s="309" t="s">
        <v>957</v>
      </c>
      <c r="Z34" s="309" t="s">
        <v>957</v>
      </c>
      <c r="AA34" s="309" t="s">
        <v>957</v>
      </c>
      <c r="AB34" s="309" t="s">
        <v>957</v>
      </c>
      <c r="AC34" s="309" t="s">
        <v>957</v>
      </c>
      <c r="AD34" s="309" t="s">
        <v>956</v>
      </c>
      <c r="AE34" s="309" t="s">
        <v>956</v>
      </c>
      <c r="AF34" s="309" t="s">
        <v>956</v>
      </c>
      <c r="AG34" s="309" t="s">
        <v>958</v>
      </c>
      <c r="AH34" s="309" t="s">
        <v>416</v>
      </c>
      <c r="AI34" s="309" t="s">
        <v>959</v>
      </c>
      <c r="AJ34" s="309" t="s">
        <v>960</v>
      </c>
      <c r="AK34" s="309" t="s">
        <v>960</v>
      </c>
      <c r="AL34" s="309">
        <v>14.25</v>
      </c>
      <c r="AM34" s="309" t="s">
        <v>917</v>
      </c>
      <c r="AN34" s="309" t="s">
        <v>961</v>
      </c>
      <c r="AO34" s="309" t="s">
        <v>961</v>
      </c>
      <c r="AP34" s="309" t="s">
        <v>962</v>
      </c>
      <c r="AQ34" s="309" t="s">
        <v>963</v>
      </c>
      <c r="AR34" s="309" t="s">
        <v>963</v>
      </c>
      <c r="AS34" s="309" t="s">
        <v>963</v>
      </c>
      <c r="AT34" s="309" t="s">
        <v>964</v>
      </c>
      <c r="AU34" s="309">
        <v>11.88</v>
      </c>
      <c r="AV34" s="309">
        <v>11.88</v>
      </c>
      <c r="AW34" s="309" t="s">
        <v>923</v>
      </c>
      <c r="AX34" s="309" t="s">
        <v>923</v>
      </c>
      <c r="AY34" s="309" t="s">
        <v>923</v>
      </c>
      <c r="AZ34" s="309" t="s">
        <v>965</v>
      </c>
      <c r="BA34" s="309">
        <v>11.88</v>
      </c>
      <c r="BB34" s="309">
        <v>11.88</v>
      </c>
      <c r="BC34" s="309">
        <v>11.88</v>
      </c>
      <c r="BD34" s="309" t="s">
        <v>923</v>
      </c>
      <c r="BE34" s="309">
        <v>11.88</v>
      </c>
      <c r="BF34" s="309">
        <v>11.88</v>
      </c>
      <c r="BG34" s="309" t="s">
        <v>966</v>
      </c>
      <c r="BH34" s="309" t="s">
        <v>966</v>
      </c>
      <c r="BI34" s="309" t="s">
        <v>966</v>
      </c>
      <c r="BJ34" s="309">
        <v>11.88</v>
      </c>
      <c r="BK34" s="309">
        <v>11.88</v>
      </c>
      <c r="BL34" s="309" t="s">
        <v>923</v>
      </c>
      <c r="BM34" s="337">
        <v>0</v>
      </c>
      <c r="BN34" s="337">
        <v>0</v>
      </c>
      <c r="BO34" s="338">
        <v>11</v>
      </c>
      <c r="BP34" s="338">
        <v>11</v>
      </c>
      <c r="BQ34" s="338">
        <v>11</v>
      </c>
      <c r="BR34" s="338">
        <v>11</v>
      </c>
      <c r="BS34" s="338">
        <v>11.5</v>
      </c>
      <c r="BT34" s="338">
        <v>11.5</v>
      </c>
      <c r="BU34" s="309" t="s">
        <v>967</v>
      </c>
      <c r="BV34" s="309">
        <v>11.75</v>
      </c>
      <c r="BW34" s="309" t="s">
        <v>968</v>
      </c>
      <c r="BX34" s="309" t="s">
        <v>968</v>
      </c>
      <c r="BY34" s="309" t="s">
        <v>968</v>
      </c>
      <c r="BZ34" s="310" t="s">
        <v>968</v>
      </c>
      <c r="CA34" s="309">
        <v>11.75</v>
      </c>
      <c r="CB34" s="309">
        <v>11.65</v>
      </c>
      <c r="CC34" s="309">
        <v>11.65</v>
      </c>
      <c r="CD34" s="309">
        <v>11.15</v>
      </c>
      <c r="CE34" s="309">
        <v>11.15</v>
      </c>
      <c r="CF34" s="309" t="s">
        <v>969</v>
      </c>
      <c r="CG34" s="309" t="s">
        <v>969</v>
      </c>
      <c r="CH34" s="309" t="s">
        <v>969</v>
      </c>
      <c r="CI34" s="309" t="s">
        <v>969</v>
      </c>
      <c r="CJ34" s="309" t="s">
        <v>969</v>
      </c>
      <c r="CK34" s="309" t="s">
        <v>969</v>
      </c>
      <c r="CL34" s="309" t="s">
        <v>969</v>
      </c>
      <c r="CM34" s="309" t="s">
        <v>969</v>
      </c>
      <c r="CN34" s="309" t="s">
        <v>970</v>
      </c>
      <c r="CO34" s="309" t="s">
        <v>969</v>
      </c>
      <c r="CP34" s="309" t="s">
        <v>969</v>
      </c>
      <c r="CQ34" s="313" t="s">
        <v>969</v>
      </c>
      <c r="CR34" s="335" t="s">
        <v>969</v>
      </c>
      <c r="CS34" s="335" t="s">
        <v>971</v>
      </c>
      <c r="CT34" s="335" t="s">
        <v>971</v>
      </c>
      <c r="CU34" s="335" t="s">
        <v>971</v>
      </c>
      <c r="CV34" s="335" t="s">
        <v>971</v>
      </c>
      <c r="CW34" s="335" t="s">
        <v>971</v>
      </c>
      <c r="CX34" s="335" t="s">
        <v>971</v>
      </c>
      <c r="CY34" s="335" t="s">
        <v>972</v>
      </c>
      <c r="CZ34" s="335" t="s">
        <v>973</v>
      </c>
      <c r="DA34" s="335" t="s">
        <v>971</v>
      </c>
      <c r="DB34" s="335" t="s">
        <v>971</v>
      </c>
      <c r="DC34" s="336" t="s">
        <v>971</v>
      </c>
      <c r="DD34" s="336" t="s">
        <v>971</v>
      </c>
      <c r="DE34" s="336" t="s">
        <v>974</v>
      </c>
      <c r="DF34" s="336" t="s">
        <v>974</v>
      </c>
      <c r="DG34" s="336" t="s">
        <v>974</v>
      </c>
      <c r="DH34" s="336" t="s">
        <v>974</v>
      </c>
      <c r="DI34" s="336" t="s">
        <v>974</v>
      </c>
      <c r="DJ34" s="339">
        <v>9.5</v>
      </c>
      <c r="DK34" s="339" t="s">
        <v>60</v>
      </c>
      <c r="DL34" s="339" t="s">
        <v>60</v>
      </c>
      <c r="DM34" s="339" t="s">
        <v>60</v>
      </c>
      <c r="DN34" s="339" t="s">
        <v>60</v>
      </c>
      <c r="DO34" s="339" t="s">
        <v>60</v>
      </c>
      <c r="DP34" s="339" t="s">
        <v>60</v>
      </c>
      <c r="DQ34" s="339" t="s">
        <v>60</v>
      </c>
    </row>
    <row r="35" spans="1:121" ht="17.45" customHeight="1">
      <c r="A35" s="291" t="s">
        <v>975</v>
      </c>
      <c r="B35" s="307" t="s">
        <v>234</v>
      </c>
      <c r="C35" s="308" t="s">
        <v>234</v>
      </c>
      <c r="D35" s="308" t="s">
        <v>234</v>
      </c>
      <c r="E35" s="308" t="s">
        <v>234</v>
      </c>
      <c r="F35" s="307" t="s">
        <v>976</v>
      </c>
      <c r="G35" s="308" t="s">
        <v>234</v>
      </c>
      <c r="H35" s="308" t="s">
        <v>977</v>
      </c>
      <c r="I35" s="308" t="s">
        <v>978</v>
      </c>
      <c r="J35" s="308" t="s">
        <v>341</v>
      </c>
      <c r="K35" s="308" t="s">
        <v>341</v>
      </c>
      <c r="L35" s="308" t="s">
        <v>979</v>
      </c>
      <c r="M35" s="308" t="s">
        <v>341</v>
      </c>
      <c r="N35" s="307" t="s">
        <v>341</v>
      </c>
      <c r="O35" s="308" t="s">
        <v>341</v>
      </c>
      <c r="P35" s="308" t="s">
        <v>341</v>
      </c>
      <c r="Q35" s="307" t="s">
        <v>341</v>
      </c>
      <c r="R35" s="308" t="s">
        <v>425</v>
      </c>
      <c r="S35" s="308" t="s">
        <v>341</v>
      </c>
      <c r="T35" s="309" t="s">
        <v>425</v>
      </c>
      <c r="U35" s="309" t="s">
        <v>425</v>
      </c>
      <c r="V35" s="309" t="s">
        <v>425</v>
      </c>
      <c r="W35" s="309" t="s">
        <v>425</v>
      </c>
      <c r="X35" s="309" t="s">
        <v>425</v>
      </c>
      <c r="Y35" s="309" t="s">
        <v>425</v>
      </c>
      <c r="Z35" s="309" t="s">
        <v>760</v>
      </c>
      <c r="AA35" s="309" t="s">
        <v>760</v>
      </c>
      <c r="AB35" s="309" t="s">
        <v>760</v>
      </c>
      <c r="AC35" s="309" t="s">
        <v>416</v>
      </c>
      <c r="AD35" s="309" t="s">
        <v>980</v>
      </c>
      <c r="AE35" s="309" t="s">
        <v>416</v>
      </c>
      <c r="AF35" s="309" t="s">
        <v>416</v>
      </c>
      <c r="AG35" s="309" t="s">
        <v>981</v>
      </c>
      <c r="AH35" s="309" t="s">
        <v>981</v>
      </c>
      <c r="AI35" s="309" t="s">
        <v>423</v>
      </c>
      <c r="AJ35" s="309" t="s">
        <v>982</v>
      </c>
      <c r="AK35" s="309" t="s">
        <v>982</v>
      </c>
      <c r="AL35" s="309" t="s">
        <v>755</v>
      </c>
      <c r="AM35" s="309" t="s">
        <v>755</v>
      </c>
      <c r="AN35" s="309" t="s">
        <v>423</v>
      </c>
      <c r="AO35" s="309" t="s">
        <v>423</v>
      </c>
      <c r="AP35" s="309" t="s">
        <v>983</v>
      </c>
      <c r="AQ35" s="309" t="s">
        <v>984</v>
      </c>
      <c r="AR35" s="309" t="s">
        <v>955</v>
      </c>
      <c r="AS35" s="309" t="s">
        <v>955</v>
      </c>
      <c r="AT35" s="309" t="s">
        <v>585</v>
      </c>
      <c r="AU35" s="309" t="s">
        <v>985</v>
      </c>
      <c r="AV35" s="309" t="s">
        <v>985</v>
      </c>
      <c r="AW35" s="309" t="s">
        <v>985</v>
      </c>
      <c r="AX35" s="309" t="s">
        <v>985</v>
      </c>
      <c r="AY35" s="309">
        <v>11.88</v>
      </c>
      <c r="AZ35" s="309" t="s">
        <v>986</v>
      </c>
      <c r="BA35" s="309" t="s">
        <v>986</v>
      </c>
      <c r="BB35" s="309" t="s">
        <v>986</v>
      </c>
      <c r="BC35" s="309" t="s">
        <v>986</v>
      </c>
      <c r="BD35" s="309" t="s">
        <v>986</v>
      </c>
      <c r="BE35" s="309" t="s">
        <v>986</v>
      </c>
      <c r="BF35" s="309" t="s">
        <v>986</v>
      </c>
      <c r="BG35" s="309" t="s">
        <v>986</v>
      </c>
      <c r="BH35" s="309" t="s">
        <v>986</v>
      </c>
      <c r="BI35" s="309" t="s">
        <v>987</v>
      </c>
      <c r="BJ35" s="309" t="s">
        <v>987</v>
      </c>
      <c r="BK35" s="309" t="s">
        <v>987</v>
      </c>
      <c r="BL35" s="309" t="s">
        <v>987</v>
      </c>
      <c r="BM35" s="309" t="s">
        <v>988</v>
      </c>
      <c r="BN35" s="309" t="s">
        <v>989</v>
      </c>
      <c r="BO35" s="309" t="s">
        <v>988</v>
      </c>
      <c r="BP35" s="309" t="s">
        <v>988</v>
      </c>
      <c r="BQ35" s="309" t="s">
        <v>988</v>
      </c>
      <c r="BR35" s="309" t="s">
        <v>988</v>
      </c>
      <c r="BS35" s="309" t="s">
        <v>990</v>
      </c>
      <c r="BT35" s="309" t="s">
        <v>990</v>
      </c>
      <c r="BU35" s="309" t="s">
        <v>928</v>
      </c>
      <c r="BV35" s="309" t="s">
        <v>928</v>
      </c>
      <c r="BW35" s="309" t="s">
        <v>991</v>
      </c>
      <c r="BX35" s="309" t="s">
        <v>928</v>
      </c>
      <c r="BY35" s="309" t="s">
        <v>992</v>
      </c>
      <c r="BZ35" s="310" t="s">
        <v>928</v>
      </c>
      <c r="CA35" s="309" t="s">
        <v>928</v>
      </c>
      <c r="CB35" s="309" t="s">
        <v>993</v>
      </c>
      <c r="CC35" s="309" t="s">
        <v>994</v>
      </c>
      <c r="CD35" s="309" t="s">
        <v>995</v>
      </c>
      <c r="CE35" s="309" t="s">
        <v>996</v>
      </c>
      <c r="CF35" s="309" t="s">
        <v>996</v>
      </c>
      <c r="CG35" s="309" t="s">
        <v>997</v>
      </c>
      <c r="CH35" s="309" t="s">
        <v>998</v>
      </c>
      <c r="CI35" s="309" t="s">
        <v>998</v>
      </c>
      <c r="CJ35" s="309" t="s">
        <v>997</v>
      </c>
      <c r="CK35" s="309" t="s">
        <v>999</v>
      </c>
      <c r="CL35" s="309" t="s">
        <v>999</v>
      </c>
      <c r="CM35" s="309" t="s">
        <v>1000</v>
      </c>
      <c r="CN35" s="309" t="s">
        <v>1001</v>
      </c>
      <c r="CO35" s="309" t="s">
        <v>1000</v>
      </c>
      <c r="CP35" s="309" t="s">
        <v>1000</v>
      </c>
      <c r="CQ35" s="313" t="s">
        <v>1002</v>
      </c>
      <c r="CR35" s="335" t="s">
        <v>1003</v>
      </c>
      <c r="CS35" s="335" t="s">
        <v>1004</v>
      </c>
      <c r="CT35" s="335" t="s">
        <v>1005</v>
      </c>
      <c r="CU35" s="335" t="s">
        <v>1006</v>
      </c>
      <c r="CV35" s="335" t="s">
        <v>1005</v>
      </c>
      <c r="CW35" s="335" t="s">
        <v>1005</v>
      </c>
      <c r="CX35" s="335" t="s">
        <v>1007</v>
      </c>
      <c r="CY35" s="335" t="s">
        <v>1007</v>
      </c>
      <c r="CZ35" s="335" t="s">
        <v>1007</v>
      </c>
      <c r="DA35" s="335" t="s">
        <v>1008</v>
      </c>
      <c r="DB35" s="335" t="s">
        <v>1008</v>
      </c>
      <c r="DC35" s="336" t="s">
        <v>1009</v>
      </c>
      <c r="DD35" s="336" t="s">
        <v>1010</v>
      </c>
      <c r="DE35" s="336" t="s">
        <v>1011</v>
      </c>
      <c r="DF35" s="336" t="s">
        <v>1011</v>
      </c>
      <c r="DG35" s="336" t="s">
        <v>1011</v>
      </c>
      <c r="DH35" s="336" t="s">
        <v>1012</v>
      </c>
      <c r="DI35" s="336" t="s">
        <v>1013</v>
      </c>
      <c r="DJ35" s="336" t="s">
        <v>1011</v>
      </c>
      <c r="DK35" s="336" t="s">
        <v>1014</v>
      </c>
      <c r="DL35" s="336" t="s">
        <v>1011</v>
      </c>
      <c r="DM35" s="336" t="s">
        <v>1011</v>
      </c>
      <c r="DN35" s="336" t="s">
        <v>1011</v>
      </c>
      <c r="DO35" s="336" t="s">
        <v>1011</v>
      </c>
      <c r="DP35" s="336" t="s">
        <v>1015</v>
      </c>
      <c r="DQ35" s="336" t="s">
        <v>1016</v>
      </c>
    </row>
    <row r="36" spans="1:121" ht="17.45" customHeight="1">
      <c r="A36" s="291" t="s">
        <v>1017</v>
      </c>
      <c r="B36" s="307" t="s">
        <v>295</v>
      </c>
      <c r="C36" s="308" t="s">
        <v>295</v>
      </c>
      <c r="D36" s="308" t="s">
        <v>929</v>
      </c>
      <c r="E36" s="308" t="s">
        <v>929</v>
      </c>
      <c r="F36" s="307" t="s">
        <v>929</v>
      </c>
      <c r="G36" s="308" t="s">
        <v>1018</v>
      </c>
      <c r="H36" s="308" t="s">
        <v>1018</v>
      </c>
      <c r="I36" s="308" t="s">
        <v>1018</v>
      </c>
      <c r="J36" s="308" t="s">
        <v>1018</v>
      </c>
      <c r="K36" s="308" t="s">
        <v>1018</v>
      </c>
      <c r="L36" s="308" t="s">
        <v>1018</v>
      </c>
      <c r="M36" s="308" t="s">
        <v>1018</v>
      </c>
      <c r="N36" s="307" t="s">
        <v>1019</v>
      </c>
      <c r="O36" s="308" t="s">
        <v>1020</v>
      </c>
      <c r="P36" s="308" t="s">
        <v>1021</v>
      </c>
      <c r="Q36" s="307" t="s">
        <v>1021</v>
      </c>
      <c r="R36" s="308" t="s">
        <v>1021</v>
      </c>
      <c r="S36" s="308" t="s">
        <v>1021</v>
      </c>
      <c r="T36" s="309" t="s">
        <v>1021</v>
      </c>
      <c r="U36" s="309" t="s">
        <v>1022</v>
      </c>
      <c r="V36" s="309" t="s">
        <v>1023</v>
      </c>
      <c r="W36" s="309" t="s">
        <v>1023</v>
      </c>
      <c r="X36" s="309" t="s">
        <v>1023</v>
      </c>
      <c r="Y36" s="309" t="s">
        <v>1024</v>
      </c>
      <c r="Z36" s="309" t="s">
        <v>1025</v>
      </c>
      <c r="AA36" s="309" t="s">
        <v>1026</v>
      </c>
      <c r="AB36" s="309" t="s">
        <v>1027</v>
      </c>
      <c r="AC36" s="309" t="s">
        <v>754</v>
      </c>
      <c r="AD36" s="309" t="s">
        <v>754</v>
      </c>
      <c r="AE36" s="309" t="s">
        <v>754</v>
      </c>
      <c r="AF36" s="309" t="s">
        <v>1028</v>
      </c>
      <c r="AG36" s="309" t="s">
        <v>1029</v>
      </c>
      <c r="AH36" s="309" t="s">
        <v>1030</v>
      </c>
      <c r="AI36" s="309" t="s">
        <v>1031</v>
      </c>
      <c r="AJ36" s="309" t="s">
        <v>234</v>
      </c>
      <c r="AK36" s="309" t="s">
        <v>1032</v>
      </c>
      <c r="AL36" s="309" t="s">
        <v>1032</v>
      </c>
      <c r="AM36" s="309" t="s">
        <v>1033</v>
      </c>
      <c r="AN36" s="309" t="s">
        <v>1033</v>
      </c>
      <c r="AO36" s="309" t="s">
        <v>1033</v>
      </c>
      <c r="AP36" s="309" t="s">
        <v>1034</v>
      </c>
      <c r="AQ36" s="309" t="s">
        <v>443</v>
      </c>
      <c r="AR36" s="309" t="s">
        <v>443</v>
      </c>
      <c r="AS36" s="309" t="s">
        <v>443</v>
      </c>
      <c r="AT36" s="309" t="s">
        <v>443</v>
      </c>
      <c r="AU36" s="309" t="s">
        <v>1035</v>
      </c>
      <c r="AV36" s="309" t="s">
        <v>1035</v>
      </c>
      <c r="AW36" s="309" t="s">
        <v>1035</v>
      </c>
      <c r="AX36" s="309" t="s">
        <v>1035</v>
      </c>
      <c r="AY36" s="309" t="s">
        <v>1035</v>
      </c>
      <c r="AZ36" s="309" t="s">
        <v>1035</v>
      </c>
      <c r="BA36" s="309" t="s">
        <v>1035</v>
      </c>
      <c r="BB36" s="309" t="s">
        <v>1035</v>
      </c>
      <c r="BC36" s="309" t="s">
        <v>1035</v>
      </c>
      <c r="BD36" s="309" t="s">
        <v>1036</v>
      </c>
      <c r="BE36" s="309" t="s">
        <v>1036</v>
      </c>
      <c r="BF36" s="309" t="s">
        <v>1036</v>
      </c>
      <c r="BG36" s="309" t="s">
        <v>1036</v>
      </c>
      <c r="BH36" s="309" t="s">
        <v>1036</v>
      </c>
      <c r="BI36" s="309" t="s">
        <v>1036</v>
      </c>
      <c r="BJ36" s="309" t="s">
        <v>1036</v>
      </c>
      <c r="BK36" s="309" t="s">
        <v>1036</v>
      </c>
      <c r="BL36" s="309" t="s">
        <v>1036</v>
      </c>
      <c r="BM36" s="309" t="s">
        <v>1037</v>
      </c>
      <c r="BN36" s="309" t="s">
        <v>1037</v>
      </c>
      <c r="BO36" s="309" t="s">
        <v>1037</v>
      </c>
      <c r="BP36" s="309" t="s">
        <v>1037</v>
      </c>
      <c r="BQ36" s="309" t="s">
        <v>1037</v>
      </c>
      <c r="BR36" s="309" t="s">
        <v>1037</v>
      </c>
      <c r="BS36" s="309" t="s">
        <v>1038</v>
      </c>
      <c r="BT36" s="309" t="s">
        <v>1038</v>
      </c>
      <c r="BU36" s="309" t="s">
        <v>928</v>
      </c>
      <c r="BV36" s="309" t="s">
        <v>928</v>
      </c>
      <c r="BW36" s="309" t="s">
        <v>1039</v>
      </c>
      <c r="BX36" s="309" t="s">
        <v>1040</v>
      </c>
      <c r="BY36" s="309" t="s">
        <v>1041</v>
      </c>
      <c r="BZ36" s="310" t="s">
        <v>435</v>
      </c>
      <c r="CA36" s="309" t="s">
        <v>435</v>
      </c>
      <c r="CB36" s="309" t="s">
        <v>1042</v>
      </c>
      <c r="CC36" s="309" t="s">
        <v>1042</v>
      </c>
      <c r="CD36" s="309" t="s">
        <v>445</v>
      </c>
      <c r="CE36" s="309" t="s">
        <v>445</v>
      </c>
      <c r="CF36" s="309" t="s">
        <v>445</v>
      </c>
      <c r="CG36" s="309" t="s">
        <v>1043</v>
      </c>
      <c r="CH36" s="309" t="s">
        <v>444</v>
      </c>
      <c r="CI36" s="309" t="s">
        <v>999</v>
      </c>
      <c r="CJ36" s="309" t="s">
        <v>999</v>
      </c>
      <c r="CK36" s="309" t="s">
        <v>999</v>
      </c>
      <c r="CL36" s="309" t="s">
        <v>999</v>
      </c>
      <c r="CM36" s="309" t="s">
        <v>1044</v>
      </c>
      <c r="CN36" s="309" t="s">
        <v>1045</v>
      </c>
      <c r="CO36" s="309" t="s">
        <v>1046</v>
      </c>
      <c r="CP36" s="309" t="s">
        <v>999</v>
      </c>
      <c r="CQ36" s="313" t="s">
        <v>999</v>
      </c>
      <c r="CR36" s="335" t="s">
        <v>1047</v>
      </c>
      <c r="CS36" s="335" t="s">
        <v>1048</v>
      </c>
      <c r="CT36" s="335" t="s">
        <v>1049</v>
      </c>
      <c r="CU36" s="335" t="s">
        <v>1050</v>
      </c>
      <c r="CV36" s="335" t="s">
        <v>888</v>
      </c>
      <c r="CW36" s="335" t="s">
        <v>1051</v>
      </c>
      <c r="CX36" s="335" t="s">
        <v>1051</v>
      </c>
      <c r="CY36" s="335" t="s">
        <v>1052</v>
      </c>
      <c r="CZ36" s="335" t="s">
        <v>939</v>
      </c>
      <c r="DA36" s="335" t="s">
        <v>938</v>
      </c>
      <c r="DB36" s="335" t="s">
        <v>1053</v>
      </c>
      <c r="DC36" s="336" t="s">
        <v>941</v>
      </c>
      <c r="DD36" s="336" t="s">
        <v>457</v>
      </c>
      <c r="DE36" s="336" t="s">
        <v>458</v>
      </c>
      <c r="DF36" s="336" t="s">
        <v>1054</v>
      </c>
      <c r="DG36" s="336" t="s">
        <v>1055</v>
      </c>
      <c r="DH36" s="336" t="s">
        <v>1056</v>
      </c>
      <c r="DI36" s="336" t="s">
        <v>1057</v>
      </c>
      <c r="DJ36" s="336" t="s">
        <v>1058</v>
      </c>
      <c r="DK36" s="336" t="s">
        <v>1059</v>
      </c>
      <c r="DL36" s="336" t="s">
        <v>1060</v>
      </c>
      <c r="DM36" s="336" t="s">
        <v>1061</v>
      </c>
      <c r="DN36" s="336" t="s">
        <v>1062</v>
      </c>
      <c r="DO36" s="336" t="s">
        <v>1063</v>
      </c>
      <c r="DP36" s="336" t="s">
        <v>1064</v>
      </c>
      <c r="DQ36" s="336" t="s">
        <v>1065</v>
      </c>
    </row>
    <row r="37" spans="1:121" ht="17.45" customHeight="1">
      <c r="A37" s="291" t="s">
        <v>1066</v>
      </c>
      <c r="B37" s="307" t="s">
        <v>406</v>
      </c>
      <c r="C37" s="308" t="s">
        <v>754</v>
      </c>
      <c r="D37" s="308" t="s">
        <v>754</v>
      </c>
      <c r="E37" s="308" t="s">
        <v>1067</v>
      </c>
      <c r="F37" s="307" t="s">
        <v>754</v>
      </c>
      <c r="G37" s="308" t="s">
        <v>982</v>
      </c>
      <c r="H37" s="308" t="s">
        <v>982</v>
      </c>
      <c r="I37" s="308" t="s">
        <v>755</v>
      </c>
      <c r="J37" s="308" t="s">
        <v>755</v>
      </c>
      <c r="K37" s="308" t="s">
        <v>1068</v>
      </c>
      <c r="L37" s="308" t="s">
        <v>755</v>
      </c>
      <c r="M37" s="308" t="s">
        <v>755</v>
      </c>
      <c r="N37" s="307" t="s">
        <v>425</v>
      </c>
      <c r="O37" s="308" t="s">
        <v>425</v>
      </c>
      <c r="P37" s="308" t="s">
        <v>982</v>
      </c>
      <c r="Q37" s="307" t="s">
        <v>982</v>
      </c>
      <c r="R37" s="308" t="s">
        <v>982</v>
      </c>
      <c r="S37" s="308" t="s">
        <v>982</v>
      </c>
      <c r="T37" s="309" t="s">
        <v>982</v>
      </c>
      <c r="U37" s="309" t="s">
        <v>982</v>
      </c>
      <c r="V37" s="309" t="s">
        <v>982</v>
      </c>
      <c r="W37" s="309" t="s">
        <v>1069</v>
      </c>
      <c r="X37" s="309" t="s">
        <v>1069</v>
      </c>
      <c r="Y37" s="309" t="s">
        <v>982</v>
      </c>
      <c r="Z37" s="309" t="s">
        <v>1070</v>
      </c>
      <c r="AA37" s="309" t="s">
        <v>1071</v>
      </c>
      <c r="AB37" s="309" t="s">
        <v>1072</v>
      </c>
      <c r="AC37" s="309" t="s">
        <v>1073</v>
      </c>
      <c r="AD37" s="309" t="s">
        <v>415</v>
      </c>
      <c r="AE37" s="309" t="s">
        <v>1074</v>
      </c>
      <c r="AF37" s="309" t="s">
        <v>1075</v>
      </c>
      <c r="AG37" s="309" t="s">
        <v>1076</v>
      </c>
      <c r="AH37" s="309" t="s">
        <v>1077</v>
      </c>
      <c r="AI37" s="309" t="s">
        <v>1078</v>
      </c>
      <c r="AJ37" s="309" t="s">
        <v>1079</v>
      </c>
      <c r="AK37" s="309" t="s">
        <v>1080</v>
      </c>
      <c r="AL37" s="309" t="s">
        <v>1080</v>
      </c>
      <c r="AM37" s="309" t="s">
        <v>1081</v>
      </c>
      <c r="AN37" s="309" t="s">
        <v>1082</v>
      </c>
      <c r="AO37" s="309" t="s">
        <v>1082</v>
      </c>
      <c r="AP37" s="309" t="s">
        <v>1083</v>
      </c>
      <c r="AQ37" s="309" t="s">
        <v>1084</v>
      </c>
      <c r="AR37" s="309" t="s">
        <v>1085</v>
      </c>
      <c r="AS37" s="309" t="s">
        <v>1086</v>
      </c>
      <c r="AT37" s="309" t="s">
        <v>1086</v>
      </c>
      <c r="AU37" s="309" t="s">
        <v>1087</v>
      </c>
      <c r="AV37" s="309" t="s">
        <v>1087</v>
      </c>
      <c r="AW37" s="309" t="s">
        <v>1088</v>
      </c>
      <c r="AX37" s="309" t="s">
        <v>426</v>
      </c>
      <c r="AY37" s="309" t="s">
        <v>755</v>
      </c>
      <c r="AZ37" s="309" t="s">
        <v>415</v>
      </c>
      <c r="BA37" s="309" t="s">
        <v>1089</v>
      </c>
      <c r="BB37" s="309" t="s">
        <v>1089</v>
      </c>
      <c r="BC37" s="309" t="s">
        <v>1089</v>
      </c>
      <c r="BD37" s="309" t="s">
        <v>1090</v>
      </c>
      <c r="BE37" s="309" t="s">
        <v>1090</v>
      </c>
      <c r="BF37" s="309" t="s">
        <v>1090</v>
      </c>
      <c r="BG37" s="309" t="s">
        <v>1090</v>
      </c>
      <c r="BH37" s="309" t="s">
        <v>1090</v>
      </c>
      <c r="BI37" s="309" t="s">
        <v>1090</v>
      </c>
      <c r="BJ37" s="309" t="s">
        <v>1091</v>
      </c>
      <c r="BK37" s="309" t="s">
        <v>1091</v>
      </c>
      <c r="BL37" s="309" t="s">
        <v>1092</v>
      </c>
      <c r="BM37" s="309" t="s">
        <v>1093</v>
      </c>
      <c r="BN37" s="309" t="s">
        <v>1094</v>
      </c>
      <c r="BO37" s="309" t="s">
        <v>1095</v>
      </c>
      <c r="BP37" s="309" t="s">
        <v>1095</v>
      </c>
      <c r="BQ37" s="309" t="s">
        <v>1095</v>
      </c>
      <c r="BR37" s="309" t="s">
        <v>1095</v>
      </c>
      <c r="BS37" s="309" t="s">
        <v>1096</v>
      </c>
      <c r="BT37" s="309" t="s">
        <v>1096</v>
      </c>
      <c r="BU37" s="309" t="s">
        <v>1097</v>
      </c>
      <c r="BV37" s="309" t="s">
        <v>1097</v>
      </c>
      <c r="BW37" s="309" t="s">
        <v>1098</v>
      </c>
      <c r="BX37" s="309" t="s">
        <v>1099</v>
      </c>
      <c r="BY37" s="309" t="s">
        <v>1099</v>
      </c>
      <c r="BZ37" s="310" t="s">
        <v>1099</v>
      </c>
      <c r="CA37" s="309" t="s">
        <v>1100</v>
      </c>
      <c r="CB37" s="309" t="s">
        <v>1099</v>
      </c>
      <c r="CC37" s="309" t="s">
        <v>1099</v>
      </c>
      <c r="CD37" s="309" t="s">
        <v>1101</v>
      </c>
      <c r="CE37" s="309" t="s">
        <v>1102</v>
      </c>
      <c r="CF37" s="309" t="s">
        <v>1103</v>
      </c>
      <c r="CG37" s="309" t="s">
        <v>1104</v>
      </c>
      <c r="CH37" s="309" t="s">
        <v>1104</v>
      </c>
      <c r="CI37" s="309" t="s">
        <v>1104</v>
      </c>
      <c r="CJ37" s="309" t="s">
        <v>1104</v>
      </c>
      <c r="CK37" s="309" t="s">
        <v>1104</v>
      </c>
      <c r="CL37" s="309" t="s">
        <v>1104</v>
      </c>
      <c r="CM37" s="309" t="s">
        <v>1104</v>
      </c>
      <c r="CN37" s="309" t="s">
        <v>1105</v>
      </c>
      <c r="CO37" s="309" t="s">
        <v>1105</v>
      </c>
      <c r="CP37" s="309" t="s">
        <v>1105</v>
      </c>
      <c r="CQ37" s="313" t="s">
        <v>1106</v>
      </c>
      <c r="CR37" s="335" t="s">
        <v>1106</v>
      </c>
      <c r="CS37" s="335" t="s">
        <v>440</v>
      </c>
      <c r="CT37" s="335" t="s">
        <v>440</v>
      </c>
      <c r="CU37" s="335" t="s">
        <v>1107</v>
      </c>
      <c r="CV37" s="335" t="s">
        <v>440</v>
      </c>
      <c r="CW37" s="335" t="s">
        <v>440</v>
      </c>
      <c r="CX37" s="335" t="s">
        <v>440</v>
      </c>
      <c r="CY37" s="335" t="s">
        <v>1108</v>
      </c>
      <c r="CZ37" s="335" t="s">
        <v>1108</v>
      </c>
      <c r="DA37" s="335" t="s">
        <v>445</v>
      </c>
      <c r="DB37" s="335" t="s">
        <v>1014</v>
      </c>
      <c r="DC37" s="336" t="s">
        <v>1109</v>
      </c>
      <c r="DD37" s="336" t="s">
        <v>1110</v>
      </c>
      <c r="DE37" s="336" t="s">
        <v>1111</v>
      </c>
      <c r="DF37" s="336" t="s">
        <v>1112</v>
      </c>
      <c r="DG37" s="336" t="s">
        <v>1111</v>
      </c>
      <c r="DH37" s="336" t="s">
        <v>1111</v>
      </c>
      <c r="DI37" s="336" t="s">
        <v>1111</v>
      </c>
      <c r="DJ37" s="336" t="s">
        <v>1111</v>
      </c>
      <c r="DK37" s="336" t="s">
        <v>1111</v>
      </c>
      <c r="DL37" s="336" t="s">
        <v>1113</v>
      </c>
      <c r="DM37" s="336" t="s">
        <v>1113</v>
      </c>
      <c r="DN37" s="336" t="s">
        <v>1113</v>
      </c>
      <c r="DO37" s="336" t="s">
        <v>1113</v>
      </c>
      <c r="DP37" s="336" t="s">
        <v>1113</v>
      </c>
      <c r="DQ37" s="336" t="s">
        <v>1114</v>
      </c>
    </row>
    <row r="38" spans="1:121" ht="17.45" customHeight="1">
      <c r="A38" s="291" t="s">
        <v>1115</v>
      </c>
      <c r="B38" s="307">
        <v>9.5</v>
      </c>
      <c r="C38" s="308">
        <v>10</v>
      </c>
      <c r="D38" s="308">
        <v>10</v>
      </c>
      <c r="E38" s="308">
        <v>10</v>
      </c>
      <c r="F38" s="307">
        <v>10</v>
      </c>
      <c r="G38" s="308"/>
      <c r="H38" s="308">
        <v>11</v>
      </c>
      <c r="I38" s="308"/>
      <c r="J38" s="308"/>
      <c r="K38" s="308"/>
      <c r="L38" s="308"/>
      <c r="M38" s="308"/>
      <c r="N38" s="307"/>
      <c r="O38" s="308">
        <v>17</v>
      </c>
      <c r="P38" s="308" t="s">
        <v>1116</v>
      </c>
      <c r="Q38" s="307">
        <v>18</v>
      </c>
      <c r="R38" s="308">
        <v>18</v>
      </c>
      <c r="S38" s="308">
        <v>18</v>
      </c>
      <c r="T38" s="309" t="s">
        <v>1116</v>
      </c>
      <c r="U38" s="309">
        <v>18</v>
      </c>
      <c r="V38" s="309" t="s">
        <v>1116</v>
      </c>
      <c r="W38" s="340">
        <v>18</v>
      </c>
      <c r="X38" s="309" t="s">
        <v>1116</v>
      </c>
      <c r="Y38" s="309">
        <v>18</v>
      </c>
      <c r="Z38" s="309" t="s">
        <v>1117</v>
      </c>
      <c r="AA38" s="309" t="s">
        <v>1117</v>
      </c>
      <c r="AB38" s="309">
        <v>18.25</v>
      </c>
      <c r="AC38" s="309" t="s">
        <v>1118</v>
      </c>
      <c r="AD38" s="309">
        <v>18.75</v>
      </c>
      <c r="AE38" s="309" t="s">
        <v>1119</v>
      </c>
      <c r="AF38" s="309">
        <v>18.75</v>
      </c>
      <c r="AG38" s="309">
        <v>18.5</v>
      </c>
      <c r="AH38" s="309">
        <v>12</v>
      </c>
      <c r="AI38" s="309">
        <v>11.5</v>
      </c>
      <c r="AJ38" s="309">
        <v>10.75</v>
      </c>
      <c r="AK38" s="309" t="s">
        <v>1120</v>
      </c>
      <c r="AL38" s="309" t="s">
        <v>1121</v>
      </c>
      <c r="AM38" s="309" t="s">
        <v>1122</v>
      </c>
      <c r="AN38" s="309" t="s">
        <v>1122</v>
      </c>
      <c r="AO38" s="309" t="s">
        <v>1123</v>
      </c>
      <c r="AP38" s="309" t="s">
        <v>1124</v>
      </c>
      <c r="AQ38" s="309">
        <v>10.65</v>
      </c>
      <c r="AR38" s="309">
        <v>10.65</v>
      </c>
      <c r="AS38" s="309">
        <v>9.65</v>
      </c>
      <c r="AT38" s="309">
        <v>9.65</v>
      </c>
      <c r="AU38" s="309">
        <v>9.65</v>
      </c>
      <c r="AV38" s="341">
        <v>0</v>
      </c>
      <c r="AW38" s="341">
        <v>0</v>
      </c>
      <c r="AX38" s="342">
        <v>9.65</v>
      </c>
      <c r="AY38" s="309" t="s">
        <v>1125</v>
      </c>
      <c r="AZ38" s="337">
        <v>0</v>
      </c>
      <c r="BA38" s="337">
        <v>0</v>
      </c>
      <c r="BB38" s="337">
        <v>0</v>
      </c>
      <c r="BC38" s="338">
        <v>9.75</v>
      </c>
      <c r="BD38" s="338">
        <v>0</v>
      </c>
      <c r="BE38" s="338">
        <v>0</v>
      </c>
      <c r="BF38" s="338">
        <v>0</v>
      </c>
      <c r="BG38" s="338">
        <v>9.75</v>
      </c>
      <c r="BH38" s="338">
        <v>0</v>
      </c>
      <c r="BI38" s="338">
        <v>0</v>
      </c>
      <c r="BJ38" s="338">
        <v>0</v>
      </c>
      <c r="BK38" s="338">
        <v>9.75</v>
      </c>
      <c r="BL38" s="338">
        <v>9.75</v>
      </c>
      <c r="BM38" s="338">
        <v>8.85</v>
      </c>
      <c r="BN38" s="338">
        <v>8.85</v>
      </c>
      <c r="BO38" s="338">
        <v>8.85</v>
      </c>
      <c r="BP38" s="338">
        <v>8.85</v>
      </c>
      <c r="BQ38" s="338">
        <v>8.85</v>
      </c>
      <c r="BR38" s="338">
        <v>8.85</v>
      </c>
      <c r="BS38" s="338">
        <v>9.25</v>
      </c>
      <c r="BT38" s="338">
        <v>9.25</v>
      </c>
      <c r="BU38" s="309" t="s">
        <v>1126</v>
      </c>
      <c r="BV38" s="309">
        <v>9.5</v>
      </c>
      <c r="BW38" s="309" t="s">
        <v>1127</v>
      </c>
      <c r="BX38" s="309" t="s">
        <v>1127</v>
      </c>
      <c r="BY38" s="309" t="s">
        <v>1127</v>
      </c>
      <c r="BZ38" s="310" t="s">
        <v>1127</v>
      </c>
      <c r="CA38" s="309" t="s">
        <v>1127</v>
      </c>
      <c r="CB38" s="309" t="s">
        <v>1128</v>
      </c>
      <c r="CC38" s="309" t="s">
        <v>1128</v>
      </c>
      <c r="CD38" s="309" t="s">
        <v>1129</v>
      </c>
      <c r="CE38" s="309" t="s">
        <v>1130</v>
      </c>
      <c r="CF38" s="309" t="s">
        <v>1131</v>
      </c>
      <c r="CG38" s="309" t="s">
        <v>1132</v>
      </c>
      <c r="CH38" s="309" t="s">
        <v>1133</v>
      </c>
      <c r="CI38" s="309" t="s">
        <v>1133</v>
      </c>
      <c r="CJ38" s="309" t="s">
        <v>1133</v>
      </c>
      <c r="CK38" s="309" t="s">
        <v>1133</v>
      </c>
      <c r="CL38" s="309" t="s">
        <v>1133</v>
      </c>
      <c r="CM38" s="309" t="s">
        <v>1133</v>
      </c>
      <c r="CN38" s="309" t="s">
        <v>1133</v>
      </c>
      <c r="CO38" s="309" t="s">
        <v>1133</v>
      </c>
      <c r="CP38" s="309" t="s">
        <v>1133</v>
      </c>
      <c r="CQ38" s="313" t="s">
        <v>1133</v>
      </c>
      <c r="CR38" s="335" t="s">
        <v>1133</v>
      </c>
      <c r="CS38" s="335" t="s">
        <v>1133</v>
      </c>
      <c r="CT38" s="335" t="s">
        <v>1134</v>
      </c>
      <c r="CU38" s="335" t="s">
        <v>1135</v>
      </c>
      <c r="CV38" s="335" t="s">
        <v>1135</v>
      </c>
      <c r="CW38" s="335" t="s">
        <v>1135</v>
      </c>
      <c r="CX38" s="335" t="s">
        <v>1135</v>
      </c>
      <c r="CY38" s="335" t="s">
        <v>1135</v>
      </c>
      <c r="CZ38" s="335" t="s">
        <v>1135</v>
      </c>
      <c r="DA38" s="335" t="s">
        <v>1135</v>
      </c>
      <c r="DB38" s="335" t="s">
        <v>1135</v>
      </c>
      <c r="DC38" s="336" t="s">
        <v>1135</v>
      </c>
      <c r="DD38" s="336" t="s">
        <v>1135</v>
      </c>
      <c r="DE38" s="336" t="s">
        <v>1136</v>
      </c>
      <c r="DF38" s="336" t="s">
        <v>1135</v>
      </c>
      <c r="DG38" s="336" t="s">
        <v>1135</v>
      </c>
      <c r="DH38" s="336" t="s">
        <v>1135</v>
      </c>
      <c r="DI38" s="336" t="s">
        <v>1135</v>
      </c>
      <c r="DJ38" s="336" t="s">
        <v>1135</v>
      </c>
      <c r="DK38" s="336" t="s">
        <v>1135</v>
      </c>
      <c r="DL38" s="336" t="s">
        <v>1135</v>
      </c>
      <c r="DM38" s="336" t="s">
        <v>1137</v>
      </c>
      <c r="DN38" s="336" t="s">
        <v>1135</v>
      </c>
      <c r="DO38" s="336" t="s">
        <v>1135</v>
      </c>
      <c r="DP38" s="336" t="s">
        <v>1138</v>
      </c>
      <c r="DQ38" s="336" t="s">
        <v>1139</v>
      </c>
    </row>
    <row r="39" spans="1:121" ht="17.45" customHeight="1">
      <c r="A39" s="291" t="s">
        <v>1140</v>
      </c>
      <c r="B39" s="307" t="s">
        <v>777</v>
      </c>
      <c r="C39" s="308" t="s">
        <v>777</v>
      </c>
      <c r="D39" s="308" t="s">
        <v>753</v>
      </c>
      <c r="E39" s="308" t="s">
        <v>753</v>
      </c>
      <c r="F39" s="307" t="s">
        <v>753</v>
      </c>
      <c r="G39" s="308" t="s">
        <v>753</v>
      </c>
      <c r="H39" s="308" t="s">
        <v>753</v>
      </c>
      <c r="I39" s="308" t="s">
        <v>753</v>
      </c>
      <c r="J39" s="308" t="s">
        <v>339</v>
      </c>
      <c r="K39" s="308" t="s">
        <v>339</v>
      </c>
      <c r="L39" s="308" t="s">
        <v>339</v>
      </c>
      <c r="M39" s="308" t="s">
        <v>565</v>
      </c>
      <c r="N39" s="307" t="s">
        <v>339</v>
      </c>
      <c r="O39" s="308" t="s">
        <v>339</v>
      </c>
      <c r="P39" s="308" t="s">
        <v>339</v>
      </c>
      <c r="Q39" s="307" t="s">
        <v>339</v>
      </c>
      <c r="R39" s="308" t="s">
        <v>339</v>
      </c>
      <c r="S39" s="308" t="s">
        <v>339</v>
      </c>
      <c r="T39" s="309" t="s">
        <v>339</v>
      </c>
      <c r="U39" s="309" t="s">
        <v>339</v>
      </c>
      <c r="V39" s="309" t="s">
        <v>339</v>
      </c>
      <c r="W39" s="309" t="s">
        <v>339</v>
      </c>
      <c r="X39" s="309" t="s">
        <v>339</v>
      </c>
      <c r="Y39" s="309" t="s">
        <v>339</v>
      </c>
      <c r="Z39" s="309" t="s">
        <v>339</v>
      </c>
      <c r="AA39" s="309" t="s">
        <v>339</v>
      </c>
      <c r="AB39" s="309" t="s">
        <v>339</v>
      </c>
      <c r="AC39" s="309" t="s">
        <v>339</v>
      </c>
      <c r="AD39" s="309" t="s">
        <v>339</v>
      </c>
      <c r="AE39" s="309" t="s">
        <v>339</v>
      </c>
      <c r="AF39" s="309" t="s">
        <v>339</v>
      </c>
      <c r="AG39" s="309" t="s">
        <v>753</v>
      </c>
      <c r="AH39" s="309" t="s">
        <v>1141</v>
      </c>
      <c r="AI39" s="309" t="s">
        <v>1142</v>
      </c>
      <c r="AJ39" s="309" t="s">
        <v>1143</v>
      </c>
      <c r="AK39" s="309" t="s">
        <v>1144</v>
      </c>
      <c r="AL39" s="309" t="s">
        <v>1145</v>
      </c>
      <c r="AM39" s="309" t="s">
        <v>1146</v>
      </c>
      <c r="AN39" s="309" t="s">
        <v>1147</v>
      </c>
      <c r="AO39" s="309" t="s">
        <v>1146</v>
      </c>
      <c r="AP39" s="309" t="s">
        <v>1148</v>
      </c>
      <c r="AQ39" s="309" t="s">
        <v>1149</v>
      </c>
      <c r="AR39" s="309" t="s">
        <v>1149</v>
      </c>
      <c r="AS39" s="309" t="s">
        <v>1149</v>
      </c>
      <c r="AT39" s="309" t="s">
        <v>1150</v>
      </c>
      <c r="AU39" s="309" t="s">
        <v>1151</v>
      </c>
      <c r="AV39" s="309" t="s">
        <v>1152</v>
      </c>
      <c r="AW39" s="309" t="s">
        <v>1153</v>
      </c>
      <c r="AX39" s="309" t="s">
        <v>1153</v>
      </c>
      <c r="AY39" s="309" t="s">
        <v>1154</v>
      </c>
      <c r="AZ39" s="309" t="s">
        <v>1155</v>
      </c>
      <c r="BA39" s="309" t="s">
        <v>1155</v>
      </c>
      <c r="BB39" s="309" t="s">
        <v>1155</v>
      </c>
      <c r="BC39" s="309" t="s">
        <v>1155</v>
      </c>
      <c r="BD39" s="309" t="s">
        <v>1155</v>
      </c>
      <c r="BE39" s="309" t="s">
        <v>684</v>
      </c>
      <c r="BF39" s="309" t="s">
        <v>684</v>
      </c>
      <c r="BG39" s="309" t="s">
        <v>684</v>
      </c>
      <c r="BH39" s="309" t="s">
        <v>684</v>
      </c>
      <c r="BI39" s="309" t="s">
        <v>684</v>
      </c>
      <c r="BJ39" s="309" t="s">
        <v>684</v>
      </c>
      <c r="BK39" s="309" t="s">
        <v>684</v>
      </c>
      <c r="BL39" s="309" t="s">
        <v>684</v>
      </c>
      <c r="BM39" s="309" t="s">
        <v>684</v>
      </c>
      <c r="BN39" s="309" t="s">
        <v>684</v>
      </c>
      <c r="BO39" s="309" t="s">
        <v>1156</v>
      </c>
      <c r="BP39" s="309" t="s">
        <v>1156</v>
      </c>
      <c r="BQ39" s="309" t="s">
        <v>1156</v>
      </c>
      <c r="BR39" s="309" t="s">
        <v>1156</v>
      </c>
      <c r="BS39" s="309" t="s">
        <v>1157</v>
      </c>
      <c r="BT39" s="309" t="s">
        <v>1157</v>
      </c>
      <c r="BU39" s="309" t="s">
        <v>1158</v>
      </c>
      <c r="BV39" s="309" t="s">
        <v>1158</v>
      </c>
      <c r="BW39" s="309" t="s">
        <v>1158</v>
      </c>
      <c r="BX39" s="309" t="s">
        <v>1159</v>
      </c>
      <c r="BY39" s="309" t="s">
        <v>1159</v>
      </c>
      <c r="BZ39" s="310" t="s">
        <v>1159</v>
      </c>
      <c r="CA39" s="309" t="s">
        <v>1159</v>
      </c>
      <c r="CB39" s="309" t="s">
        <v>1160</v>
      </c>
      <c r="CC39" s="309" t="s">
        <v>1160</v>
      </c>
      <c r="CD39" s="309" t="s">
        <v>1161</v>
      </c>
      <c r="CE39" s="309" t="s">
        <v>1162</v>
      </c>
      <c r="CF39" s="309" t="s">
        <v>1162</v>
      </c>
      <c r="CG39" s="309" t="s">
        <v>1162</v>
      </c>
      <c r="CH39" s="309" t="s">
        <v>1163</v>
      </c>
      <c r="CI39" s="309" t="s">
        <v>1163</v>
      </c>
      <c r="CJ39" s="309" t="s">
        <v>1163</v>
      </c>
      <c r="CK39" s="309" t="s">
        <v>1163</v>
      </c>
      <c r="CL39" s="309" t="s">
        <v>1163</v>
      </c>
      <c r="CM39" s="309" t="s">
        <v>1163</v>
      </c>
      <c r="CN39" s="309" t="s">
        <v>1163</v>
      </c>
      <c r="CO39" s="309" t="s">
        <v>653</v>
      </c>
      <c r="CP39" s="309" t="s">
        <v>1164</v>
      </c>
      <c r="CQ39" s="313" t="s">
        <v>658</v>
      </c>
      <c r="CR39" s="335" t="s">
        <v>1165</v>
      </c>
      <c r="CS39" s="335" t="s">
        <v>1166</v>
      </c>
      <c r="CT39" s="335" t="s">
        <v>1167</v>
      </c>
      <c r="CU39" s="335" t="s">
        <v>1168</v>
      </c>
      <c r="CV39" s="335" t="s">
        <v>655</v>
      </c>
      <c r="CW39" s="335" t="s">
        <v>1169</v>
      </c>
      <c r="CX39" s="335" t="s">
        <v>1170</v>
      </c>
      <c r="CY39" s="335" t="s">
        <v>1171</v>
      </c>
      <c r="CZ39" s="335" t="s">
        <v>1172</v>
      </c>
      <c r="DA39" s="335" t="s">
        <v>1173</v>
      </c>
      <c r="DB39" s="335" t="s">
        <v>1174</v>
      </c>
      <c r="DC39" s="336" t="s">
        <v>1175</v>
      </c>
      <c r="DD39" s="336" t="s">
        <v>1176</v>
      </c>
      <c r="DE39" s="336" t="s">
        <v>1164</v>
      </c>
      <c r="DF39" s="336" t="s">
        <v>652</v>
      </c>
      <c r="DG39" s="336" t="s">
        <v>1177</v>
      </c>
      <c r="DH39" s="336" t="s">
        <v>1178</v>
      </c>
      <c r="DI39" s="336" t="s">
        <v>1167</v>
      </c>
      <c r="DJ39" s="336" t="s">
        <v>1179</v>
      </c>
      <c r="DK39" s="336" t="s">
        <v>1180</v>
      </c>
      <c r="DL39" s="336" t="s">
        <v>1181</v>
      </c>
      <c r="DM39" s="336" t="s">
        <v>1182</v>
      </c>
      <c r="DN39" s="336" t="s">
        <v>1183</v>
      </c>
      <c r="DO39" s="336" t="s">
        <v>1184</v>
      </c>
      <c r="DP39" s="336" t="s">
        <v>1184</v>
      </c>
      <c r="DQ39" s="336" t="s">
        <v>1184</v>
      </c>
    </row>
    <row r="40" spans="1:121" ht="17.45" customHeight="1">
      <c r="A40" s="291" t="s">
        <v>1185</v>
      </c>
      <c r="B40" s="307" t="s">
        <v>339</v>
      </c>
      <c r="C40" s="308" t="s">
        <v>339</v>
      </c>
      <c r="D40" s="308" t="s">
        <v>339</v>
      </c>
      <c r="E40" s="308" t="s">
        <v>339</v>
      </c>
      <c r="F40" s="307" t="s">
        <v>339</v>
      </c>
      <c r="G40" s="308" t="s">
        <v>565</v>
      </c>
      <c r="H40" s="308" t="s">
        <v>339</v>
      </c>
      <c r="I40" s="308" t="s">
        <v>339</v>
      </c>
      <c r="J40" s="308" t="s">
        <v>339</v>
      </c>
      <c r="K40" s="308" t="s">
        <v>339</v>
      </c>
      <c r="L40" s="308" t="s">
        <v>339</v>
      </c>
      <c r="M40" s="308" t="s">
        <v>339</v>
      </c>
      <c r="N40" s="307" t="s">
        <v>339</v>
      </c>
      <c r="O40" s="308" t="s">
        <v>339</v>
      </c>
      <c r="P40" s="308" t="s">
        <v>339</v>
      </c>
      <c r="Q40" s="307" t="s">
        <v>339</v>
      </c>
      <c r="R40" s="308" t="s">
        <v>339</v>
      </c>
      <c r="S40" s="308" t="s">
        <v>339</v>
      </c>
      <c r="T40" s="309" t="s">
        <v>339</v>
      </c>
      <c r="U40" s="309" t="s">
        <v>339</v>
      </c>
      <c r="V40" s="309" t="s">
        <v>339</v>
      </c>
      <c r="W40" s="309" t="s">
        <v>339</v>
      </c>
      <c r="X40" s="309" t="s">
        <v>339</v>
      </c>
      <c r="Y40" s="309" t="s">
        <v>339</v>
      </c>
      <c r="Z40" s="309" t="s">
        <v>339</v>
      </c>
      <c r="AA40" s="309" t="s">
        <v>339</v>
      </c>
      <c r="AB40" s="309" t="s">
        <v>339</v>
      </c>
      <c r="AC40" s="309" t="s">
        <v>339</v>
      </c>
      <c r="AD40" s="309" t="s">
        <v>339</v>
      </c>
      <c r="AE40" s="309" t="s">
        <v>339</v>
      </c>
      <c r="AF40" s="309" t="s">
        <v>339</v>
      </c>
      <c r="AG40" s="309" t="s">
        <v>1186</v>
      </c>
      <c r="AH40" s="309" t="s">
        <v>753</v>
      </c>
      <c r="AI40" s="309" t="s">
        <v>337</v>
      </c>
      <c r="AJ40" s="309" t="s">
        <v>1187</v>
      </c>
      <c r="AK40" s="309" t="s">
        <v>1143</v>
      </c>
      <c r="AL40" s="309" t="s">
        <v>1188</v>
      </c>
      <c r="AM40" s="309" t="s">
        <v>1189</v>
      </c>
      <c r="AN40" s="309" t="s">
        <v>1189</v>
      </c>
      <c r="AO40" s="309" t="s">
        <v>1189</v>
      </c>
      <c r="AP40" s="309" t="s">
        <v>1190</v>
      </c>
      <c r="AQ40" s="309" t="s">
        <v>1191</v>
      </c>
      <c r="AR40" s="309" t="s">
        <v>1191</v>
      </c>
      <c r="AS40" s="309" t="s">
        <v>1191</v>
      </c>
      <c r="AT40" s="309" t="s">
        <v>1192</v>
      </c>
      <c r="AU40" s="309" t="s">
        <v>1193</v>
      </c>
      <c r="AV40" s="309" t="s">
        <v>1193</v>
      </c>
      <c r="AW40" s="309" t="s">
        <v>1193</v>
      </c>
      <c r="AX40" s="309" t="s">
        <v>1194</v>
      </c>
      <c r="AY40" s="309" t="s">
        <v>1194</v>
      </c>
      <c r="AZ40" s="309" t="s">
        <v>1194</v>
      </c>
      <c r="BA40" s="309" t="s">
        <v>1194</v>
      </c>
      <c r="BB40" s="309" t="s">
        <v>1194</v>
      </c>
      <c r="BC40" s="309" t="s">
        <v>1194</v>
      </c>
      <c r="BD40" s="309" t="s">
        <v>1194</v>
      </c>
      <c r="BE40" s="309" t="s">
        <v>1194</v>
      </c>
      <c r="BF40" s="309" t="s">
        <v>1194</v>
      </c>
      <c r="BG40" s="309" t="s">
        <v>1194</v>
      </c>
      <c r="BH40" s="309" t="s">
        <v>1194</v>
      </c>
      <c r="BI40" s="309" t="s">
        <v>1194</v>
      </c>
      <c r="BJ40" s="309" t="s">
        <v>1194</v>
      </c>
      <c r="BK40" s="309" t="s">
        <v>1194</v>
      </c>
      <c r="BL40" s="309" t="s">
        <v>1195</v>
      </c>
      <c r="BM40" s="309" t="s">
        <v>1196</v>
      </c>
      <c r="BN40" s="309" t="s">
        <v>1197</v>
      </c>
      <c r="BO40" s="309" t="s">
        <v>1198</v>
      </c>
      <c r="BP40" s="309" t="s">
        <v>1197</v>
      </c>
      <c r="BQ40" s="309" t="s">
        <v>1197</v>
      </c>
      <c r="BR40" s="309" t="s">
        <v>1197</v>
      </c>
      <c r="BS40" s="309" t="s">
        <v>1199</v>
      </c>
      <c r="BT40" s="309" t="s">
        <v>1199</v>
      </c>
      <c r="BU40" s="309" t="s">
        <v>1200</v>
      </c>
      <c r="BV40" s="309" t="s">
        <v>1200</v>
      </c>
      <c r="BW40" s="309" t="s">
        <v>1201</v>
      </c>
      <c r="BX40" s="309" t="s">
        <v>1202</v>
      </c>
      <c r="BY40" s="309" t="s">
        <v>1203</v>
      </c>
      <c r="BZ40" s="310" t="s">
        <v>1204</v>
      </c>
      <c r="CA40" s="309" t="s">
        <v>1204</v>
      </c>
      <c r="CB40" s="309" t="s">
        <v>1205</v>
      </c>
      <c r="CC40" s="309" t="s">
        <v>1205</v>
      </c>
      <c r="CD40" s="309" t="s">
        <v>1206</v>
      </c>
      <c r="CE40" s="309" t="s">
        <v>1206</v>
      </c>
      <c r="CF40" s="309" t="s">
        <v>1207</v>
      </c>
      <c r="CG40" s="309" t="s">
        <v>933</v>
      </c>
      <c r="CH40" s="309" t="s">
        <v>933</v>
      </c>
      <c r="CI40" s="309" t="s">
        <v>1208</v>
      </c>
      <c r="CJ40" s="309" t="s">
        <v>1209</v>
      </c>
      <c r="CK40" s="309" t="s">
        <v>1209</v>
      </c>
      <c r="CL40" s="309" t="s">
        <v>1210</v>
      </c>
      <c r="CM40" s="309" t="s">
        <v>1211</v>
      </c>
      <c r="CN40" s="309" t="s">
        <v>1212</v>
      </c>
      <c r="CO40" s="309" t="s">
        <v>1213</v>
      </c>
      <c r="CP40" s="309" t="s">
        <v>1214</v>
      </c>
      <c r="CQ40" s="313" t="s">
        <v>1215</v>
      </c>
      <c r="CR40" s="335" t="s">
        <v>1216</v>
      </c>
      <c r="CS40" s="335" t="s">
        <v>1217</v>
      </c>
      <c r="CT40" s="335" t="s">
        <v>1218</v>
      </c>
      <c r="CU40" s="335" t="s">
        <v>1219</v>
      </c>
      <c r="CV40" s="335" t="s">
        <v>362</v>
      </c>
      <c r="CW40" s="335" t="s">
        <v>1220</v>
      </c>
      <c r="CX40" s="335" t="s">
        <v>525</v>
      </c>
      <c r="CY40" s="335" t="s">
        <v>1221</v>
      </c>
      <c r="CZ40" s="335" t="s">
        <v>525</v>
      </c>
      <c r="DA40" s="335" t="s">
        <v>795</v>
      </c>
      <c r="DB40" s="335" t="s">
        <v>1222</v>
      </c>
      <c r="DC40" s="336" t="s">
        <v>1223</v>
      </c>
      <c r="DD40" s="336" t="s">
        <v>1224</v>
      </c>
      <c r="DE40" s="336" t="s">
        <v>1225</v>
      </c>
      <c r="DF40" s="336" t="s">
        <v>1226</v>
      </c>
      <c r="DG40" s="336" t="s">
        <v>1227</v>
      </c>
      <c r="DH40" s="336" t="s">
        <v>1228</v>
      </c>
      <c r="DI40" s="336" t="s">
        <v>1229</v>
      </c>
      <c r="DJ40" s="336" t="s">
        <v>1230</v>
      </c>
      <c r="DK40" s="336" t="s">
        <v>1222</v>
      </c>
      <c r="DL40" s="336" t="s">
        <v>1231</v>
      </c>
      <c r="DM40" s="336" t="s">
        <v>1231</v>
      </c>
      <c r="DN40" s="336" t="s">
        <v>1232</v>
      </c>
      <c r="DO40" s="336" t="s">
        <v>1233</v>
      </c>
      <c r="DP40" s="336" t="s">
        <v>1234</v>
      </c>
      <c r="DQ40" s="336" t="s">
        <v>1234</v>
      </c>
    </row>
    <row r="41" spans="1:121" ht="17.45" customHeight="1">
      <c r="A41" s="291" t="s">
        <v>1235</v>
      </c>
      <c r="B41" s="307" t="s">
        <v>1236</v>
      </c>
      <c r="C41" s="308" t="s">
        <v>1237</v>
      </c>
      <c r="D41" s="308" t="s">
        <v>1237</v>
      </c>
      <c r="E41" s="308" t="s">
        <v>1237</v>
      </c>
      <c r="F41" s="307" t="s">
        <v>1237</v>
      </c>
      <c r="G41" s="308" t="s">
        <v>1238</v>
      </c>
      <c r="H41" s="308" t="s">
        <v>1238</v>
      </c>
      <c r="I41" s="308"/>
      <c r="J41" s="308"/>
      <c r="K41" s="308"/>
      <c r="L41" s="308"/>
      <c r="M41" s="308"/>
      <c r="N41" s="307"/>
      <c r="O41" s="308"/>
      <c r="P41" s="308"/>
      <c r="Q41" s="307"/>
      <c r="R41" s="308"/>
      <c r="S41" s="308"/>
      <c r="T41" s="309"/>
      <c r="U41" s="309"/>
      <c r="V41" s="309"/>
      <c r="W41" s="309"/>
      <c r="X41" s="309"/>
      <c r="Y41" s="309"/>
      <c r="Z41" s="309"/>
      <c r="AA41" s="309"/>
      <c r="AB41" s="309"/>
      <c r="AC41" s="309"/>
      <c r="AD41" s="309"/>
      <c r="AE41" s="309"/>
      <c r="AF41" s="309"/>
      <c r="AG41" s="309">
        <v>20.399999999999999</v>
      </c>
      <c r="AH41" s="309">
        <v>19.5</v>
      </c>
      <c r="AI41" s="309">
        <v>19.5</v>
      </c>
      <c r="AJ41" s="309">
        <v>19.5</v>
      </c>
      <c r="AK41" s="309">
        <v>19.5</v>
      </c>
      <c r="AL41" s="309">
        <v>19.5</v>
      </c>
      <c r="AM41" s="309">
        <v>19.5</v>
      </c>
      <c r="AN41" s="309">
        <v>19.5</v>
      </c>
      <c r="AO41" s="309">
        <v>19.5</v>
      </c>
      <c r="AP41" s="309">
        <v>19.5</v>
      </c>
      <c r="AQ41" s="309">
        <v>19.5</v>
      </c>
      <c r="AR41" s="309">
        <v>19.5</v>
      </c>
      <c r="AS41" s="309">
        <v>19.5</v>
      </c>
      <c r="AT41" s="309">
        <v>13.6</v>
      </c>
      <c r="AU41" s="309" t="s">
        <v>1239</v>
      </c>
      <c r="AV41" s="309" t="s">
        <v>1240</v>
      </c>
      <c r="AW41" s="309" t="s">
        <v>1241</v>
      </c>
      <c r="AX41" s="309" t="s">
        <v>1240</v>
      </c>
      <c r="AY41" s="309" t="s">
        <v>1240</v>
      </c>
      <c r="AZ41" s="309" t="s">
        <v>1240</v>
      </c>
      <c r="BA41" s="309" t="s">
        <v>1240</v>
      </c>
      <c r="BB41" s="309" t="s">
        <v>1240</v>
      </c>
      <c r="BC41" s="309" t="s">
        <v>1240</v>
      </c>
      <c r="BD41" s="309" t="s">
        <v>1242</v>
      </c>
      <c r="BE41" s="309" t="s">
        <v>1242</v>
      </c>
      <c r="BF41" s="309" t="s">
        <v>1242</v>
      </c>
      <c r="BG41" s="309" t="s">
        <v>1242</v>
      </c>
      <c r="BH41" s="309" t="s">
        <v>1243</v>
      </c>
      <c r="BI41" s="309" t="s">
        <v>1243</v>
      </c>
      <c r="BJ41" s="309" t="s">
        <v>1243</v>
      </c>
      <c r="BK41" s="309" t="s">
        <v>1243</v>
      </c>
      <c r="BL41" s="309" t="s">
        <v>1244</v>
      </c>
      <c r="BM41" s="309" t="s">
        <v>1245</v>
      </c>
      <c r="BN41" s="309" t="s">
        <v>1246</v>
      </c>
      <c r="BO41" s="309" t="s">
        <v>1246</v>
      </c>
      <c r="BP41" s="309" t="s">
        <v>1247</v>
      </c>
      <c r="BQ41" s="309" t="s">
        <v>1246</v>
      </c>
      <c r="BR41" s="309" t="s">
        <v>1247</v>
      </c>
      <c r="BS41" s="309" t="s">
        <v>1248</v>
      </c>
      <c r="BT41" s="309" t="s">
        <v>1248</v>
      </c>
      <c r="BU41" s="309" t="s">
        <v>1249</v>
      </c>
      <c r="BV41" s="309">
        <v>12.29</v>
      </c>
      <c r="BW41" s="309" t="s">
        <v>1250</v>
      </c>
      <c r="BX41" s="309">
        <v>12.2</v>
      </c>
      <c r="BY41" s="309">
        <v>16.84</v>
      </c>
      <c r="BZ41" s="310">
        <v>17.11</v>
      </c>
      <c r="CA41" s="309">
        <v>17.12</v>
      </c>
      <c r="CB41" s="309">
        <v>17.12</v>
      </c>
      <c r="CC41" s="309" t="s">
        <v>1251</v>
      </c>
      <c r="CD41" s="309" t="s">
        <v>1252</v>
      </c>
      <c r="CE41" s="309" t="s">
        <v>882</v>
      </c>
      <c r="CF41" s="309" t="s">
        <v>884</v>
      </c>
      <c r="CG41" s="309" t="s">
        <v>884</v>
      </c>
      <c r="CH41" s="309" t="s">
        <v>1253</v>
      </c>
      <c r="CI41" s="309" t="s">
        <v>1254</v>
      </c>
      <c r="CJ41" s="309" t="s">
        <v>1254</v>
      </c>
      <c r="CK41" s="309" t="s">
        <v>1254</v>
      </c>
      <c r="CL41" s="309" t="s">
        <v>1254</v>
      </c>
      <c r="CM41" s="309" t="s">
        <v>1254</v>
      </c>
      <c r="CN41" s="309" t="s">
        <v>1254</v>
      </c>
      <c r="CO41" s="309" t="s">
        <v>1254</v>
      </c>
      <c r="CP41" s="309" t="s">
        <v>1254</v>
      </c>
      <c r="CQ41" s="313" t="s">
        <v>1254</v>
      </c>
      <c r="CR41" s="335" t="s">
        <v>1254</v>
      </c>
      <c r="CS41" s="335" t="s">
        <v>884</v>
      </c>
      <c r="CT41" s="335" t="s">
        <v>884</v>
      </c>
      <c r="CU41" s="335" t="s">
        <v>884</v>
      </c>
      <c r="CV41" s="335" t="s">
        <v>884</v>
      </c>
      <c r="CW41" s="335" t="s">
        <v>884</v>
      </c>
      <c r="CX41" s="335" t="s">
        <v>884</v>
      </c>
      <c r="CY41" s="335" t="s">
        <v>596</v>
      </c>
      <c r="CZ41" s="335" t="s">
        <v>596</v>
      </c>
      <c r="DA41" s="335" t="s">
        <v>596</v>
      </c>
      <c r="DB41" s="335" t="s">
        <v>596</v>
      </c>
      <c r="DC41" s="336" t="s">
        <v>596</v>
      </c>
      <c r="DD41" s="336" t="s">
        <v>596</v>
      </c>
      <c r="DE41" s="336" t="s">
        <v>1255</v>
      </c>
      <c r="DF41" s="336" t="s">
        <v>1255</v>
      </c>
      <c r="DG41" s="336" t="s">
        <v>1255</v>
      </c>
      <c r="DH41" s="336" t="s">
        <v>1256</v>
      </c>
      <c r="DI41" s="336" t="s">
        <v>1257</v>
      </c>
      <c r="DJ41" s="336" t="s">
        <v>1257</v>
      </c>
      <c r="DK41" s="336" t="s">
        <v>1257</v>
      </c>
      <c r="DL41" s="336" t="s">
        <v>1257</v>
      </c>
      <c r="DM41" s="339" t="s">
        <v>60</v>
      </c>
      <c r="DN41" s="339" t="s">
        <v>60</v>
      </c>
      <c r="DO41" s="336" t="s">
        <v>1258</v>
      </c>
      <c r="DP41" s="339" t="s">
        <v>60</v>
      </c>
      <c r="DQ41" s="339" t="s">
        <v>60</v>
      </c>
    </row>
    <row r="42" spans="1:121" ht="17.45" customHeight="1">
      <c r="A42" s="291" t="s">
        <v>1259</v>
      </c>
      <c r="B42" s="307" t="s">
        <v>717</v>
      </c>
      <c r="C42" s="308" t="s">
        <v>1260</v>
      </c>
      <c r="D42" s="308" t="s">
        <v>406</v>
      </c>
      <c r="E42" s="308" t="s">
        <v>1260</v>
      </c>
      <c r="F42" s="307" t="s">
        <v>406</v>
      </c>
      <c r="G42" s="308" t="s">
        <v>426</v>
      </c>
      <c r="H42" s="308" t="s">
        <v>426</v>
      </c>
      <c r="I42" s="308" t="s">
        <v>426</v>
      </c>
      <c r="J42" s="308" t="s">
        <v>1261</v>
      </c>
      <c r="K42" s="308" t="s">
        <v>426</v>
      </c>
      <c r="L42" s="308" t="s">
        <v>1262</v>
      </c>
      <c r="M42" s="308" t="s">
        <v>1263</v>
      </c>
      <c r="N42" s="307" t="s">
        <v>1263</v>
      </c>
      <c r="O42" s="308" t="s">
        <v>1264</v>
      </c>
      <c r="P42" s="308" t="s">
        <v>1265</v>
      </c>
      <c r="Q42" s="307" t="s">
        <v>1266</v>
      </c>
      <c r="R42" s="308" t="s">
        <v>1267</v>
      </c>
      <c r="S42" s="308" t="s">
        <v>1267</v>
      </c>
      <c r="T42" s="309" t="s">
        <v>1268</v>
      </c>
      <c r="U42" s="309" t="s">
        <v>1267</v>
      </c>
      <c r="V42" s="309" t="s">
        <v>1267</v>
      </c>
      <c r="W42" s="309" t="s">
        <v>1266</v>
      </c>
      <c r="X42" s="309" t="s">
        <v>1266</v>
      </c>
      <c r="Y42" s="309" t="s">
        <v>1267</v>
      </c>
      <c r="Z42" s="309" t="s">
        <v>754</v>
      </c>
      <c r="AA42" s="309" t="s">
        <v>754</v>
      </c>
      <c r="AB42" s="309" t="s">
        <v>1269</v>
      </c>
      <c r="AC42" s="309" t="s">
        <v>1270</v>
      </c>
      <c r="AD42" s="309" t="s">
        <v>1269</v>
      </c>
      <c r="AE42" s="309" t="s">
        <v>1269</v>
      </c>
      <c r="AF42" s="309" t="s">
        <v>1269</v>
      </c>
      <c r="AG42" s="309" t="s">
        <v>1269</v>
      </c>
      <c r="AH42" s="309" t="s">
        <v>1269</v>
      </c>
      <c r="AI42" s="309" t="s">
        <v>1269</v>
      </c>
      <c r="AJ42" s="309" t="s">
        <v>1269</v>
      </c>
      <c r="AK42" s="309" t="s">
        <v>1269</v>
      </c>
      <c r="AL42" s="309" t="s">
        <v>1269</v>
      </c>
      <c r="AM42" s="309" t="s">
        <v>1269</v>
      </c>
      <c r="AN42" s="309" t="s">
        <v>1269</v>
      </c>
      <c r="AO42" s="309" t="s">
        <v>1269</v>
      </c>
      <c r="AP42" s="309" t="s">
        <v>1269</v>
      </c>
      <c r="AQ42" s="309" t="s">
        <v>1269</v>
      </c>
      <c r="AR42" s="309" t="s">
        <v>1269</v>
      </c>
      <c r="AS42" s="309" t="s">
        <v>1269</v>
      </c>
      <c r="AT42" s="309" t="s">
        <v>1269</v>
      </c>
      <c r="AU42" s="309" t="s">
        <v>1271</v>
      </c>
      <c r="AV42" s="309" t="s">
        <v>714</v>
      </c>
      <c r="AW42" s="309" t="s">
        <v>714</v>
      </c>
      <c r="AX42" s="309" t="s">
        <v>714</v>
      </c>
      <c r="AY42" s="309" t="s">
        <v>714</v>
      </c>
      <c r="AZ42" s="309" t="s">
        <v>714</v>
      </c>
      <c r="BA42" s="309" t="s">
        <v>714</v>
      </c>
      <c r="BB42" s="309" t="s">
        <v>714</v>
      </c>
      <c r="BC42" s="309" t="s">
        <v>714</v>
      </c>
      <c r="BD42" s="309" t="s">
        <v>714</v>
      </c>
      <c r="BE42" s="309" t="s">
        <v>714</v>
      </c>
      <c r="BF42" s="309" t="s">
        <v>714</v>
      </c>
      <c r="BG42" s="309" t="s">
        <v>714</v>
      </c>
      <c r="BH42" s="309" t="s">
        <v>714</v>
      </c>
      <c r="BI42" s="309" t="s">
        <v>714</v>
      </c>
      <c r="BJ42" s="309" t="s">
        <v>714</v>
      </c>
      <c r="BK42" s="309" t="s">
        <v>714</v>
      </c>
      <c r="BL42" s="309" t="s">
        <v>714</v>
      </c>
      <c r="BM42" s="309" t="s">
        <v>712</v>
      </c>
      <c r="BN42" s="309" t="s">
        <v>1272</v>
      </c>
      <c r="BO42" s="309" t="s">
        <v>1272</v>
      </c>
      <c r="BP42" s="309" t="s">
        <v>1272</v>
      </c>
      <c r="BQ42" s="309" t="s">
        <v>1272</v>
      </c>
      <c r="BR42" s="309" t="s">
        <v>1272</v>
      </c>
      <c r="BS42" s="309" t="s">
        <v>1273</v>
      </c>
      <c r="BT42" s="309" t="s">
        <v>1273</v>
      </c>
      <c r="BU42" s="309" t="s">
        <v>1273</v>
      </c>
      <c r="BV42" s="309" t="s">
        <v>1273</v>
      </c>
      <c r="BW42" s="309" t="s">
        <v>1274</v>
      </c>
      <c r="BX42" s="309" t="s">
        <v>1275</v>
      </c>
      <c r="BY42" s="309" t="s">
        <v>1275</v>
      </c>
      <c r="BZ42" s="310" t="s">
        <v>1276</v>
      </c>
      <c r="CA42" s="309" t="s">
        <v>294</v>
      </c>
      <c r="CB42" s="309" t="s">
        <v>1277</v>
      </c>
      <c r="CC42" s="309" t="s">
        <v>1278</v>
      </c>
      <c r="CD42" s="309" t="s">
        <v>1279</v>
      </c>
      <c r="CE42" s="309" t="s">
        <v>1279</v>
      </c>
      <c r="CF42" s="309" t="s">
        <v>1279</v>
      </c>
      <c r="CG42" s="309" t="s">
        <v>1279</v>
      </c>
      <c r="CH42" s="309" t="s">
        <v>1279</v>
      </c>
      <c r="CI42" s="309" t="s">
        <v>1279</v>
      </c>
      <c r="CJ42" s="309" t="s">
        <v>1279</v>
      </c>
      <c r="CK42" s="309" t="s">
        <v>1279</v>
      </c>
      <c r="CL42" s="309" t="s">
        <v>1279</v>
      </c>
      <c r="CM42" s="309" t="s">
        <v>1279</v>
      </c>
      <c r="CN42" s="309" t="s">
        <v>1279</v>
      </c>
      <c r="CO42" s="309" t="s">
        <v>1279</v>
      </c>
      <c r="CP42" s="309" t="s">
        <v>1279</v>
      </c>
      <c r="CQ42" s="313" t="s">
        <v>1280</v>
      </c>
      <c r="CR42" s="335" t="s">
        <v>1281</v>
      </c>
      <c r="CS42" s="335" t="s">
        <v>1282</v>
      </c>
      <c r="CT42" s="335" t="s">
        <v>1283</v>
      </c>
      <c r="CU42" s="335" t="s">
        <v>1283</v>
      </c>
      <c r="CV42" s="335" t="s">
        <v>1284</v>
      </c>
      <c r="CW42" s="335" t="s">
        <v>840</v>
      </c>
      <c r="CX42" s="335" t="s">
        <v>1285</v>
      </c>
      <c r="CY42" s="335" t="s">
        <v>1286</v>
      </c>
      <c r="CZ42" s="335" t="s">
        <v>1287</v>
      </c>
      <c r="DA42" s="335" t="s">
        <v>835</v>
      </c>
      <c r="DB42" s="335" t="s">
        <v>1288</v>
      </c>
      <c r="DC42" s="336" t="s">
        <v>1289</v>
      </c>
      <c r="DD42" s="336" t="s">
        <v>1290</v>
      </c>
      <c r="DE42" s="336" t="s">
        <v>1287</v>
      </c>
      <c r="DF42" s="336" t="s">
        <v>837</v>
      </c>
      <c r="DG42" s="336" t="s">
        <v>1287</v>
      </c>
      <c r="DH42" s="336" t="s">
        <v>626</v>
      </c>
      <c r="DI42" s="336" t="s">
        <v>1291</v>
      </c>
      <c r="DJ42" s="336" t="s">
        <v>1291</v>
      </c>
      <c r="DK42" s="336" t="s">
        <v>1292</v>
      </c>
      <c r="DL42" s="336" t="s">
        <v>517</v>
      </c>
      <c r="DM42" s="336" t="s">
        <v>1292</v>
      </c>
      <c r="DN42" s="336" t="s">
        <v>623</v>
      </c>
      <c r="DO42" s="336" t="s">
        <v>626</v>
      </c>
      <c r="DP42" s="336" t="s">
        <v>1293</v>
      </c>
      <c r="DQ42" s="336" t="s">
        <v>1294</v>
      </c>
    </row>
    <row r="43" spans="1:121" ht="17.45" customHeight="1">
      <c r="A43" s="291" t="s">
        <v>1295</v>
      </c>
      <c r="B43" s="307" t="s">
        <v>233</v>
      </c>
      <c r="C43" s="308" t="s">
        <v>1296</v>
      </c>
      <c r="D43" s="308" t="s">
        <v>233</v>
      </c>
      <c r="E43" s="308" t="s">
        <v>233</v>
      </c>
      <c r="F43" s="307" t="s">
        <v>233</v>
      </c>
      <c r="G43" s="308" t="s">
        <v>233</v>
      </c>
      <c r="H43" s="308" t="s">
        <v>233</v>
      </c>
      <c r="I43" s="308" t="s">
        <v>233</v>
      </c>
      <c r="J43" s="308" t="s">
        <v>233</v>
      </c>
      <c r="K43" s="308" t="s">
        <v>233</v>
      </c>
      <c r="L43" s="308" t="s">
        <v>233</v>
      </c>
      <c r="M43" s="308" t="s">
        <v>233</v>
      </c>
      <c r="N43" s="307" t="s">
        <v>233</v>
      </c>
      <c r="O43" s="308" t="s">
        <v>233</v>
      </c>
      <c r="P43" s="308" t="s">
        <v>233</v>
      </c>
      <c r="Q43" s="307" t="s">
        <v>233</v>
      </c>
      <c r="R43" s="308" t="s">
        <v>233</v>
      </c>
      <c r="S43" s="308" t="s">
        <v>673</v>
      </c>
      <c r="T43" s="309" t="s">
        <v>673</v>
      </c>
      <c r="U43" s="309" t="s">
        <v>425</v>
      </c>
      <c r="V43" s="309" t="s">
        <v>1297</v>
      </c>
      <c r="W43" s="309" t="s">
        <v>1297</v>
      </c>
      <c r="X43" s="309" t="s">
        <v>1298</v>
      </c>
      <c r="Y43" s="309" t="s">
        <v>425</v>
      </c>
      <c r="Z43" s="309" t="s">
        <v>1299</v>
      </c>
      <c r="AA43" s="309" t="s">
        <v>1300</v>
      </c>
      <c r="AB43" s="309" t="s">
        <v>1301</v>
      </c>
      <c r="AC43" s="309" t="s">
        <v>1300</v>
      </c>
      <c r="AD43" s="309" t="s">
        <v>1302</v>
      </c>
      <c r="AE43" s="309" t="s">
        <v>417</v>
      </c>
      <c r="AF43" s="309" t="s">
        <v>1303</v>
      </c>
      <c r="AG43" s="309" t="s">
        <v>425</v>
      </c>
      <c r="AH43" s="309" t="s">
        <v>1304</v>
      </c>
      <c r="AI43" s="309" t="s">
        <v>1297</v>
      </c>
      <c r="AJ43" s="309" t="s">
        <v>1305</v>
      </c>
      <c r="AK43" s="309" t="s">
        <v>1305</v>
      </c>
      <c r="AL43" s="309" t="s">
        <v>1306</v>
      </c>
      <c r="AM43" s="309" t="s">
        <v>870</v>
      </c>
      <c r="AN43" s="309" t="s">
        <v>870</v>
      </c>
      <c r="AO43" s="309" t="s">
        <v>870</v>
      </c>
      <c r="AP43" s="309" t="s">
        <v>1307</v>
      </c>
      <c r="AQ43" s="309" t="s">
        <v>1308</v>
      </c>
      <c r="AR43" s="309" t="s">
        <v>1308</v>
      </c>
      <c r="AS43" s="309" t="s">
        <v>1308</v>
      </c>
      <c r="AT43" s="309" t="s">
        <v>585</v>
      </c>
      <c r="AU43" s="309" t="s">
        <v>585</v>
      </c>
      <c r="AV43" s="309" t="s">
        <v>585</v>
      </c>
      <c r="AW43" s="309" t="s">
        <v>585</v>
      </c>
      <c r="AX43" s="309" t="s">
        <v>585</v>
      </c>
      <c r="AY43" s="309" t="s">
        <v>585</v>
      </c>
      <c r="AZ43" s="309" t="s">
        <v>585</v>
      </c>
      <c r="BA43" s="309" t="s">
        <v>585</v>
      </c>
      <c r="BB43" s="309" t="s">
        <v>585</v>
      </c>
      <c r="BC43" s="309" t="s">
        <v>585</v>
      </c>
      <c r="BD43" s="309" t="s">
        <v>585</v>
      </c>
      <c r="BE43" s="309" t="s">
        <v>585</v>
      </c>
      <c r="BF43" s="309" t="s">
        <v>585</v>
      </c>
      <c r="BG43" s="309" t="s">
        <v>585</v>
      </c>
      <c r="BH43" s="309" t="s">
        <v>585</v>
      </c>
      <c r="BI43" s="309" t="s">
        <v>1309</v>
      </c>
      <c r="BJ43" s="309" t="s">
        <v>1309</v>
      </c>
      <c r="BK43" s="309" t="s">
        <v>1309</v>
      </c>
      <c r="BL43" s="309" t="s">
        <v>585</v>
      </c>
      <c r="BM43" s="309" t="s">
        <v>879</v>
      </c>
      <c r="BN43" s="309" t="s">
        <v>776</v>
      </c>
      <c r="BO43" s="309" t="s">
        <v>776</v>
      </c>
      <c r="BP43" s="309" t="s">
        <v>776</v>
      </c>
      <c r="BQ43" s="309" t="s">
        <v>776</v>
      </c>
      <c r="BR43" s="309" t="s">
        <v>776</v>
      </c>
      <c r="BS43" s="309" t="s">
        <v>777</v>
      </c>
      <c r="BT43" s="309" t="s">
        <v>777</v>
      </c>
      <c r="BU43" s="309" t="s">
        <v>1310</v>
      </c>
      <c r="BV43" s="309" t="s">
        <v>1310</v>
      </c>
      <c r="BW43" s="309" t="s">
        <v>1310</v>
      </c>
      <c r="BX43" s="309" t="s">
        <v>780</v>
      </c>
      <c r="BY43" s="309" t="s">
        <v>779</v>
      </c>
      <c r="BZ43" s="310" t="s">
        <v>779</v>
      </c>
      <c r="CA43" s="309" t="s">
        <v>779</v>
      </c>
      <c r="CB43" s="309" t="s">
        <v>1311</v>
      </c>
      <c r="CC43" s="309" t="s">
        <v>1312</v>
      </c>
      <c r="CD43" s="309" t="s">
        <v>1034</v>
      </c>
      <c r="CE43" s="309" t="s">
        <v>933</v>
      </c>
      <c r="CF43" s="309" t="s">
        <v>933</v>
      </c>
      <c r="CG43" s="309" t="s">
        <v>933</v>
      </c>
      <c r="CH43" s="309" t="s">
        <v>1206</v>
      </c>
      <c r="CI43" s="309" t="s">
        <v>1206</v>
      </c>
      <c r="CJ43" s="309" t="s">
        <v>1313</v>
      </c>
      <c r="CK43" s="309" t="s">
        <v>1314</v>
      </c>
      <c r="CL43" s="309" t="s">
        <v>1315</v>
      </c>
      <c r="CM43" s="309" t="s">
        <v>1208</v>
      </c>
      <c r="CN43" s="309" t="s">
        <v>1316</v>
      </c>
      <c r="CO43" s="309" t="s">
        <v>1317</v>
      </c>
      <c r="CP43" s="309" t="s">
        <v>1318</v>
      </c>
      <c r="CQ43" s="313" t="s">
        <v>1319</v>
      </c>
      <c r="CR43" s="335" t="s">
        <v>1320</v>
      </c>
      <c r="CS43" s="335" t="s">
        <v>1321</v>
      </c>
      <c r="CT43" s="335" t="s">
        <v>1322</v>
      </c>
      <c r="CU43" s="335" t="s">
        <v>1323</v>
      </c>
      <c r="CV43" s="335" t="s">
        <v>1324</v>
      </c>
      <c r="CW43" s="335" t="s">
        <v>1325</v>
      </c>
      <c r="CX43" s="335" t="s">
        <v>1324</v>
      </c>
      <c r="CY43" s="335" t="s">
        <v>1326</v>
      </c>
      <c r="CZ43" s="335" t="s">
        <v>1327</v>
      </c>
      <c r="DA43" s="335" t="s">
        <v>1328</v>
      </c>
      <c r="DB43" s="335" t="s">
        <v>1329</v>
      </c>
      <c r="DC43" s="336" t="s">
        <v>1330</v>
      </c>
      <c r="DD43" s="336" t="s">
        <v>1327</v>
      </c>
      <c r="DE43" s="336" t="s">
        <v>792</v>
      </c>
      <c r="DF43" s="336" t="s">
        <v>1331</v>
      </c>
      <c r="DG43" s="336" t="s">
        <v>795</v>
      </c>
      <c r="DH43" s="336" t="s">
        <v>1328</v>
      </c>
      <c r="DI43" s="336" t="s">
        <v>1326</v>
      </c>
      <c r="DJ43" s="336" t="s">
        <v>1332</v>
      </c>
      <c r="DK43" s="336" t="s">
        <v>795</v>
      </c>
      <c r="DL43" s="336" t="s">
        <v>1330</v>
      </c>
      <c r="DM43" s="336" t="s">
        <v>1324</v>
      </c>
      <c r="DN43" s="336" t="s">
        <v>795</v>
      </c>
      <c r="DO43" s="336" t="s">
        <v>1327</v>
      </c>
      <c r="DP43" s="336" t="s">
        <v>626</v>
      </c>
      <c r="DQ43" s="336" t="s">
        <v>1333</v>
      </c>
    </row>
    <row r="44" spans="1:121" ht="17.45" customHeight="1">
      <c r="A44" s="291" t="s">
        <v>1334</v>
      </c>
      <c r="B44" s="307" t="s">
        <v>1335</v>
      </c>
      <c r="C44" s="308" t="s">
        <v>1336</v>
      </c>
      <c r="D44" s="308" t="s">
        <v>1336</v>
      </c>
      <c r="E44" s="308" t="s">
        <v>340</v>
      </c>
      <c r="F44" s="307" t="s">
        <v>1336</v>
      </c>
      <c r="G44" s="308" t="s">
        <v>1337</v>
      </c>
      <c r="H44" s="308" t="s">
        <v>1337</v>
      </c>
      <c r="I44" s="308" t="s">
        <v>1337</v>
      </c>
      <c r="J44" s="308" t="s">
        <v>1337</v>
      </c>
      <c r="K44" s="308" t="s">
        <v>1337</v>
      </c>
      <c r="L44" s="308" t="s">
        <v>1337</v>
      </c>
      <c r="M44" s="308" t="s">
        <v>1337</v>
      </c>
      <c r="N44" s="307" t="s">
        <v>1338</v>
      </c>
      <c r="O44" s="308" t="s">
        <v>1339</v>
      </c>
      <c r="P44" s="308" t="s">
        <v>1340</v>
      </c>
      <c r="Q44" s="307" t="s">
        <v>1341</v>
      </c>
      <c r="R44" s="308" t="s">
        <v>1341</v>
      </c>
      <c r="S44" s="308" t="s">
        <v>1341</v>
      </c>
      <c r="T44" s="309" t="s">
        <v>1341</v>
      </c>
      <c r="U44" s="309" t="s">
        <v>1341</v>
      </c>
      <c r="V44" s="309" t="s">
        <v>1341</v>
      </c>
      <c r="W44" s="309" t="s">
        <v>1341</v>
      </c>
      <c r="X44" s="309" t="s">
        <v>1341</v>
      </c>
      <c r="Y44" s="309" t="s">
        <v>1341</v>
      </c>
      <c r="Z44" s="309" t="s">
        <v>1342</v>
      </c>
      <c r="AA44" s="309" t="s">
        <v>755</v>
      </c>
      <c r="AB44" s="309" t="s">
        <v>1343</v>
      </c>
      <c r="AC44" s="309" t="s">
        <v>1344</v>
      </c>
      <c r="AD44" s="309" t="s">
        <v>1345</v>
      </c>
      <c r="AE44" s="309" t="s">
        <v>1346</v>
      </c>
      <c r="AF44" s="309" t="s">
        <v>1347</v>
      </c>
      <c r="AG44" s="309" t="s">
        <v>1348</v>
      </c>
      <c r="AH44" s="309" t="s">
        <v>1349</v>
      </c>
      <c r="AI44" s="309" t="s">
        <v>1350</v>
      </c>
      <c r="AJ44" s="309" t="s">
        <v>1351</v>
      </c>
      <c r="AK44" s="309" t="s">
        <v>408</v>
      </c>
      <c r="AL44" s="309" t="s">
        <v>1351</v>
      </c>
      <c r="AM44" s="309" t="s">
        <v>1352</v>
      </c>
      <c r="AN44" s="309" t="s">
        <v>1353</v>
      </c>
      <c r="AO44" s="309" t="s">
        <v>1353</v>
      </c>
      <c r="AP44" s="309" t="s">
        <v>1354</v>
      </c>
      <c r="AQ44" s="309" t="s">
        <v>1058</v>
      </c>
      <c r="AR44" s="309" t="s">
        <v>1058</v>
      </c>
      <c r="AS44" s="309" t="s">
        <v>1058</v>
      </c>
      <c r="AT44" s="309" t="s">
        <v>1355</v>
      </c>
      <c r="AU44" s="309" t="s">
        <v>1356</v>
      </c>
      <c r="AV44" s="309" t="s">
        <v>1356</v>
      </c>
      <c r="AW44" s="309" t="s">
        <v>1356</v>
      </c>
      <c r="AX44" s="309" t="s">
        <v>1356</v>
      </c>
      <c r="AY44" s="309" t="s">
        <v>1356</v>
      </c>
      <c r="AZ44" s="309" t="s">
        <v>1356</v>
      </c>
      <c r="BA44" s="309" t="s">
        <v>1357</v>
      </c>
      <c r="BB44" s="309" t="s">
        <v>1357</v>
      </c>
      <c r="BC44" s="309" t="s">
        <v>1357</v>
      </c>
      <c r="BD44" s="309" t="s">
        <v>1357</v>
      </c>
      <c r="BE44" s="309" t="s">
        <v>1357</v>
      </c>
      <c r="BF44" s="309" t="s">
        <v>1357</v>
      </c>
      <c r="BG44" s="309" t="s">
        <v>1357</v>
      </c>
      <c r="BH44" s="309" t="s">
        <v>1358</v>
      </c>
      <c r="BI44" s="309" t="s">
        <v>1358</v>
      </c>
      <c r="BJ44" s="309" t="s">
        <v>1358</v>
      </c>
      <c r="BK44" s="309" t="s">
        <v>1358</v>
      </c>
      <c r="BL44" s="309" t="s">
        <v>1358</v>
      </c>
      <c r="BM44" s="309" t="s">
        <v>591</v>
      </c>
      <c r="BN44" s="309" t="s">
        <v>591</v>
      </c>
      <c r="BO44" s="309" t="s">
        <v>591</v>
      </c>
      <c r="BP44" s="309" t="s">
        <v>591</v>
      </c>
      <c r="BQ44" s="309" t="s">
        <v>591</v>
      </c>
      <c r="BR44" s="309" t="s">
        <v>591</v>
      </c>
      <c r="BS44" s="309" t="s">
        <v>777</v>
      </c>
      <c r="BT44" s="309" t="s">
        <v>777</v>
      </c>
      <c r="BU44" s="309" t="s">
        <v>777</v>
      </c>
      <c r="BV44" s="309" t="s">
        <v>777</v>
      </c>
      <c r="BW44" s="309" t="s">
        <v>1141</v>
      </c>
      <c r="BX44" s="309" t="s">
        <v>296</v>
      </c>
      <c r="BY44" s="309" t="s">
        <v>793</v>
      </c>
      <c r="BZ44" s="310" t="s">
        <v>1359</v>
      </c>
      <c r="CA44" s="309" t="s">
        <v>1359</v>
      </c>
      <c r="CB44" s="309" t="s">
        <v>1360</v>
      </c>
      <c r="CC44" s="309" t="s">
        <v>1360</v>
      </c>
      <c r="CD44" s="309" t="s">
        <v>1361</v>
      </c>
      <c r="CE44" s="309" t="s">
        <v>1362</v>
      </c>
      <c r="CF44" s="309" t="s">
        <v>1362</v>
      </c>
      <c r="CG44" s="309" t="s">
        <v>1362</v>
      </c>
      <c r="CH44" s="309" t="s">
        <v>1362</v>
      </c>
      <c r="CI44" s="309" t="s">
        <v>1362</v>
      </c>
      <c r="CJ44" s="309" t="s">
        <v>1362</v>
      </c>
      <c r="CK44" s="309" t="s">
        <v>1362</v>
      </c>
      <c r="CL44" s="309" t="s">
        <v>1362</v>
      </c>
      <c r="CM44" s="309" t="s">
        <v>1362</v>
      </c>
      <c r="CN44" s="309" t="s">
        <v>1362</v>
      </c>
      <c r="CO44" s="309" t="s">
        <v>1362</v>
      </c>
      <c r="CP44" s="309" t="s">
        <v>1363</v>
      </c>
      <c r="CQ44" s="313" t="s">
        <v>881</v>
      </c>
      <c r="CR44" s="335" t="s">
        <v>1364</v>
      </c>
      <c r="CS44" s="335" t="s">
        <v>1365</v>
      </c>
      <c r="CT44" s="335" t="s">
        <v>621</v>
      </c>
      <c r="CU44" s="335" t="s">
        <v>621</v>
      </c>
      <c r="CV44" s="335" t="s">
        <v>1366</v>
      </c>
      <c r="CW44" s="335" t="s">
        <v>1367</v>
      </c>
      <c r="CX44" s="335" t="s">
        <v>1368</v>
      </c>
      <c r="CY44" s="335" t="s">
        <v>740</v>
      </c>
      <c r="CZ44" s="335" t="s">
        <v>1287</v>
      </c>
      <c r="DA44" s="335" t="s">
        <v>1287</v>
      </c>
      <c r="DB44" s="335" t="s">
        <v>1369</v>
      </c>
      <c r="DC44" s="336" t="s">
        <v>1370</v>
      </c>
      <c r="DD44" s="336" t="s">
        <v>1287</v>
      </c>
      <c r="DE44" s="336" t="s">
        <v>837</v>
      </c>
      <c r="DF44" s="336" t="s">
        <v>1369</v>
      </c>
      <c r="DG44" s="336" t="s">
        <v>836</v>
      </c>
      <c r="DH44" s="336" t="s">
        <v>1371</v>
      </c>
      <c r="DI44" s="336" t="s">
        <v>1372</v>
      </c>
      <c r="DJ44" s="336" t="s">
        <v>1373</v>
      </c>
      <c r="DK44" s="336" t="s">
        <v>1374</v>
      </c>
      <c r="DL44" s="336" t="s">
        <v>1374</v>
      </c>
      <c r="DM44" s="336" t="s">
        <v>1375</v>
      </c>
      <c r="DN44" s="336" t="s">
        <v>1376</v>
      </c>
      <c r="DO44" s="336" t="s">
        <v>1377</v>
      </c>
      <c r="DP44" s="336" t="s">
        <v>1378</v>
      </c>
      <c r="DQ44" s="336" t="s">
        <v>1379</v>
      </c>
    </row>
    <row r="45" spans="1:121" ht="17.45" customHeight="1">
      <c r="A45" s="291"/>
      <c r="B45" s="270"/>
      <c r="C45" s="271"/>
      <c r="D45" s="271"/>
      <c r="E45" s="271"/>
      <c r="F45" s="270"/>
      <c r="G45" s="271"/>
      <c r="H45" s="271"/>
      <c r="I45" s="271"/>
      <c r="J45" s="271"/>
      <c r="K45" s="271"/>
      <c r="L45" s="271"/>
      <c r="M45" s="271"/>
      <c r="N45" s="270"/>
      <c r="O45" s="271"/>
      <c r="P45" s="271"/>
      <c r="Q45" s="270"/>
      <c r="R45" s="271"/>
      <c r="S45" s="271"/>
      <c r="T45" s="343"/>
      <c r="U45" s="343"/>
      <c r="V45" s="343"/>
      <c r="W45" s="343"/>
      <c r="X45" s="343"/>
      <c r="Y45" s="343"/>
      <c r="Z45" s="343"/>
      <c r="AA45" s="343"/>
      <c r="AB45" s="343"/>
      <c r="AC45" s="343"/>
      <c r="AD45" s="343"/>
      <c r="AE45" s="343"/>
      <c r="AF45" s="343"/>
      <c r="AG45" s="343"/>
      <c r="AH45" s="343"/>
      <c r="AI45" s="343"/>
      <c r="AJ45" s="343"/>
      <c r="AK45" s="343"/>
      <c r="AL45" s="343"/>
      <c r="AM45" s="343"/>
      <c r="AN45" s="343"/>
      <c r="AO45" s="343"/>
      <c r="AP45" s="343"/>
      <c r="AQ45" s="343"/>
      <c r="AR45" s="343"/>
      <c r="AS45" s="343"/>
      <c r="AT45" s="343"/>
      <c r="AU45" s="343"/>
      <c r="AV45" s="343"/>
      <c r="AW45" s="343"/>
      <c r="AX45" s="343"/>
      <c r="AY45" s="343"/>
      <c r="AZ45" s="343"/>
      <c r="BA45" s="343"/>
      <c r="BB45" s="343"/>
      <c r="BC45" s="343"/>
      <c r="BD45" s="343"/>
      <c r="BE45" s="343"/>
      <c r="BF45" s="343"/>
      <c r="BG45" s="343"/>
      <c r="BH45" s="343"/>
      <c r="BI45" s="343"/>
      <c r="BJ45" s="343"/>
      <c r="BK45" s="343"/>
      <c r="BL45" s="343"/>
      <c r="BM45" s="343"/>
      <c r="BN45" s="343"/>
      <c r="BO45" s="343"/>
      <c r="BP45" s="344"/>
      <c r="BQ45" s="344"/>
      <c r="BR45" s="344"/>
      <c r="BS45" s="344"/>
      <c r="BT45" s="344"/>
      <c r="BU45" s="344"/>
      <c r="BV45" s="344"/>
      <c r="BW45" s="344"/>
      <c r="BX45" s="344"/>
      <c r="BY45" s="344"/>
      <c r="BZ45" s="277"/>
      <c r="CA45" s="344"/>
      <c r="CB45" s="344"/>
      <c r="CC45" s="344"/>
      <c r="CD45" s="344"/>
      <c r="CE45" s="344"/>
      <c r="CF45" s="344"/>
      <c r="CG45" s="344"/>
      <c r="CH45" s="344"/>
      <c r="CI45" s="344"/>
      <c r="CJ45" s="344"/>
      <c r="CK45" s="344"/>
      <c r="CL45" s="344"/>
      <c r="CM45" s="344"/>
      <c r="CN45" s="344"/>
      <c r="CO45" s="344"/>
      <c r="CP45" s="344"/>
      <c r="CQ45" s="313"/>
      <c r="CR45" s="345"/>
      <c r="CS45" s="345"/>
      <c r="CT45" s="345"/>
      <c r="CU45" s="345"/>
      <c r="CV45" s="345"/>
      <c r="CW45" s="345"/>
      <c r="CX45" s="345"/>
      <c r="CY45" s="345"/>
      <c r="CZ45" s="345"/>
      <c r="DA45" s="345"/>
      <c r="DB45" s="345"/>
      <c r="DC45" s="346"/>
      <c r="DD45" s="346"/>
      <c r="DE45" s="346"/>
      <c r="DF45" s="346"/>
      <c r="DG45" s="346"/>
      <c r="DH45" s="346"/>
      <c r="DI45" s="346"/>
      <c r="DJ45" s="346"/>
      <c r="DK45" s="346"/>
      <c r="DL45" s="346"/>
      <c r="DM45" s="346"/>
      <c r="DN45" s="346"/>
      <c r="DO45" s="346"/>
      <c r="DP45" s="346"/>
      <c r="DQ45" s="346"/>
    </row>
    <row r="46" spans="1:121" ht="17.45" customHeight="1">
      <c r="A46" s="294" t="s">
        <v>1380</v>
      </c>
      <c r="B46" s="270"/>
      <c r="C46" s="271"/>
      <c r="D46" s="271"/>
      <c r="E46" s="271"/>
      <c r="F46" s="270"/>
      <c r="G46" s="271"/>
      <c r="H46" s="271"/>
      <c r="I46" s="271"/>
      <c r="J46" s="271"/>
      <c r="K46" s="271"/>
      <c r="L46" s="271"/>
      <c r="M46" s="271"/>
      <c r="N46" s="270"/>
      <c r="O46" s="271"/>
      <c r="P46" s="271"/>
      <c r="Q46" s="270"/>
      <c r="R46" s="271"/>
      <c r="S46" s="271"/>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4"/>
      <c r="BQ46" s="344"/>
      <c r="BR46" s="344"/>
      <c r="BS46" s="344"/>
      <c r="BT46" s="344"/>
      <c r="BU46" s="344"/>
      <c r="BV46" s="344"/>
      <c r="BW46" s="344"/>
      <c r="BX46" s="344"/>
      <c r="BY46" s="344"/>
      <c r="BZ46" s="277"/>
      <c r="CA46" s="344"/>
      <c r="CB46" s="344"/>
      <c r="CC46" s="344"/>
      <c r="CD46" s="344"/>
      <c r="CE46" s="344"/>
      <c r="CF46" s="344"/>
      <c r="CG46" s="344"/>
      <c r="CH46" s="344"/>
      <c r="CI46" s="344"/>
      <c r="CJ46" s="344"/>
      <c r="CK46" s="344"/>
      <c r="CL46" s="344"/>
      <c r="CM46" s="344"/>
      <c r="CN46" s="344"/>
      <c r="CO46" s="344"/>
      <c r="CP46" s="344"/>
      <c r="CQ46" s="305"/>
      <c r="CR46" s="345"/>
      <c r="CS46" s="345"/>
      <c r="CT46" s="345"/>
      <c r="CU46" s="345"/>
      <c r="CV46" s="345"/>
      <c r="CW46" s="345"/>
      <c r="CX46" s="345"/>
      <c r="CY46" s="345"/>
      <c r="CZ46" s="345"/>
      <c r="DA46" s="345"/>
      <c r="DB46" s="345"/>
      <c r="DC46" s="346"/>
      <c r="DD46" s="346"/>
      <c r="DE46" s="346"/>
      <c r="DF46" s="346"/>
      <c r="DG46" s="346"/>
      <c r="DH46" s="346"/>
      <c r="DI46" s="346"/>
      <c r="DJ46" s="346"/>
      <c r="DK46" s="346"/>
      <c r="DL46" s="346"/>
      <c r="DM46" s="346"/>
      <c r="DN46" s="346"/>
      <c r="DO46" s="346"/>
      <c r="DP46" s="346"/>
      <c r="DQ46" s="346"/>
    </row>
    <row r="47" spans="1:121" ht="17.45" customHeight="1">
      <c r="A47" s="291" t="s">
        <v>1381</v>
      </c>
      <c r="B47" s="347" t="s">
        <v>1382</v>
      </c>
      <c r="C47" s="348">
        <v>5</v>
      </c>
      <c r="D47" s="348">
        <v>5</v>
      </c>
      <c r="E47" s="348">
        <v>5</v>
      </c>
      <c r="F47" s="347">
        <v>5</v>
      </c>
      <c r="G47" s="348" t="s">
        <v>1383</v>
      </c>
      <c r="H47" s="348" t="s">
        <v>1383</v>
      </c>
      <c r="I47" s="348" t="s">
        <v>1383</v>
      </c>
      <c r="J47" s="348" t="s">
        <v>1383</v>
      </c>
      <c r="K47" s="348" t="s">
        <v>1383</v>
      </c>
      <c r="L47" s="348" t="s">
        <v>1383</v>
      </c>
      <c r="M47" s="348" t="s">
        <v>1383</v>
      </c>
      <c r="N47" s="347" t="s">
        <v>1384</v>
      </c>
      <c r="O47" s="348" t="s">
        <v>1384</v>
      </c>
      <c r="P47" s="348" t="s">
        <v>1385</v>
      </c>
      <c r="Q47" s="347" t="s">
        <v>1385</v>
      </c>
      <c r="R47" s="348" t="s">
        <v>1385</v>
      </c>
      <c r="S47" s="348" t="s">
        <v>1385</v>
      </c>
      <c r="T47" s="349" t="s">
        <v>1385</v>
      </c>
      <c r="U47" s="349" t="s">
        <v>1385</v>
      </c>
      <c r="V47" s="349" t="s">
        <v>1385</v>
      </c>
      <c r="W47" s="349" t="s">
        <v>1385</v>
      </c>
      <c r="X47" s="349" t="s">
        <v>1385</v>
      </c>
      <c r="Y47" s="349" t="s">
        <v>1385</v>
      </c>
      <c r="Z47" s="349" t="s">
        <v>1386</v>
      </c>
      <c r="AA47" s="349" t="s">
        <v>1386</v>
      </c>
      <c r="AB47" s="349" t="s">
        <v>1386</v>
      </c>
      <c r="AC47" s="349" t="s">
        <v>1386</v>
      </c>
      <c r="AD47" s="349" t="s">
        <v>1386</v>
      </c>
      <c r="AE47" s="349" t="s">
        <v>1386</v>
      </c>
      <c r="AF47" s="349" t="s">
        <v>1386</v>
      </c>
      <c r="AG47" s="349" t="s">
        <v>1387</v>
      </c>
      <c r="AH47" s="349" t="s">
        <v>1388</v>
      </c>
      <c r="AI47" s="349" t="s">
        <v>1389</v>
      </c>
      <c r="AJ47" s="349" t="s">
        <v>1390</v>
      </c>
      <c r="AK47" s="349" t="s">
        <v>1390</v>
      </c>
      <c r="AL47" s="349" t="s">
        <v>1391</v>
      </c>
      <c r="AM47" s="349" t="s">
        <v>1391</v>
      </c>
      <c r="AN47" s="349" t="s">
        <v>1391</v>
      </c>
      <c r="AO47" s="349" t="s">
        <v>1391</v>
      </c>
      <c r="AP47" s="349" t="s">
        <v>1392</v>
      </c>
      <c r="AQ47" s="349" t="s">
        <v>1393</v>
      </c>
      <c r="AR47" s="349" t="s">
        <v>1393</v>
      </c>
      <c r="AS47" s="349" t="s">
        <v>1393</v>
      </c>
      <c r="AT47" s="349" t="s">
        <v>1394</v>
      </c>
      <c r="AU47" s="349" t="s">
        <v>1395</v>
      </c>
      <c r="AV47" s="349" t="s">
        <v>1395</v>
      </c>
      <c r="AW47" s="349" t="s">
        <v>1395</v>
      </c>
      <c r="AX47" s="349" t="s">
        <v>1395</v>
      </c>
      <c r="AY47" s="349" t="s">
        <v>1395</v>
      </c>
      <c r="AZ47" s="349" t="s">
        <v>1395</v>
      </c>
      <c r="BA47" s="349" t="s">
        <v>1395</v>
      </c>
      <c r="BB47" s="349" t="s">
        <v>1395</v>
      </c>
      <c r="BC47" s="349" t="s">
        <v>1395</v>
      </c>
      <c r="BD47" s="349" t="s">
        <v>1395</v>
      </c>
      <c r="BE47" s="349" t="s">
        <v>1395</v>
      </c>
      <c r="BF47" s="349" t="s">
        <v>1395</v>
      </c>
      <c r="BG47" s="349" t="s">
        <v>1395</v>
      </c>
      <c r="BH47" s="349" t="s">
        <v>1395</v>
      </c>
      <c r="BI47" s="349" t="s">
        <v>1395</v>
      </c>
      <c r="BJ47" s="349" t="s">
        <v>1395</v>
      </c>
      <c r="BK47" s="349" t="s">
        <v>1395</v>
      </c>
      <c r="BL47" s="349" t="s">
        <v>1396</v>
      </c>
      <c r="BM47" s="349" t="s">
        <v>1397</v>
      </c>
      <c r="BN47" s="349" t="s">
        <v>1397</v>
      </c>
      <c r="BO47" s="349" t="s">
        <v>1397</v>
      </c>
      <c r="BP47" s="349" t="s">
        <v>1397</v>
      </c>
      <c r="BQ47" s="349" t="s">
        <v>1397</v>
      </c>
      <c r="BR47" s="349" t="s">
        <v>1397</v>
      </c>
      <c r="BS47" s="349" t="s">
        <v>1397</v>
      </c>
      <c r="BT47" s="349" t="s">
        <v>1397</v>
      </c>
      <c r="BU47" s="349" t="s">
        <v>1398</v>
      </c>
      <c r="BV47" s="349" t="s">
        <v>1398</v>
      </c>
      <c r="BW47" s="349" t="s">
        <v>1398</v>
      </c>
      <c r="BX47" s="349" t="s">
        <v>1398</v>
      </c>
      <c r="BY47" s="349" t="s">
        <v>1398</v>
      </c>
      <c r="BZ47" s="350" t="s">
        <v>1398</v>
      </c>
      <c r="CA47" s="349" t="s">
        <v>1398</v>
      </c>
      <c r="CB47" s="349" t="s">
        <v>1398</v>
      </c>
      <c r="CC47" s="349" t="s">
        <v>1398</v>
      </c>
      <c r="CD47" s="349" t="s">
        <v>1399</v>
      </c>
      <c r="CE47" s="349" t="s">
        <v>1400</v>
      </c>
      <c r="CF47" s="349" t="s">
        <v>1400</v>
      </c>
      <c r="CG47" s="349" t="s">
        <v>1400</v>
      </c>
      <c r="CH47" s="349" t="s">
        <v>1400</v>
      </c>
      <c r="CI47" s="349" t="s">
        <v>1400</v>
      </c>
      <c r="CJ47" s="349" t="s">
        <v>1400</v>
      </c>
      <c r="CK47" s="349" t="s">
        <v>1400</v>
      </c>
      <c r="CL47" s="349" t="s">
        <v>1400</v>
      </c>
      <c r="CM47" s="349" t="s">
        <v>1400</v>
      </c>
      <c r="CN47" s="349" t="s">
        <v>1400</v>
      </c>
      <c r="CO47" s="349" t="s">
        <v>1400</v>
      </c>
      <c r="CP47" s="349" t="s">
        <v>1400</v>
      </c>
      <c r="CQ47" s="351" t="s">
        <v>1400</v>
      </c>
      <c r="CR47" s="352" t="s">
        <v>1400</v>
      </c>
      <c r="CS47" s="352" t="s">
        <v>1401</v>
      </c>
      <c r="CT47" s="352" t="s">
        <v>1402</v>
      </c>
      <c r="CU47" s="352" t="s">
        <v>1402</v>
      </c>
      <c r="CV47" s="352" t="s">
        <v>1402</v>
      </c>
      <c r="CW47" s="352" t="s">
        <v>1403</v>
      </c>
      <c r="CX47" s="352" t="s">
        <v>1403</v>
      </c>
      <c r="CY47" s="352" t="s">
        <v>1403</v>
      </c>
      <c r="CZ47" s="352" t="s">
        <v>1403</v>
      </c>
      <c r="DA47" s="352" t="s">
        <v>1403</v>
      </c>
      <c r="DB47" s="352" t="s">
        <v>1404</v>
      </c>
      <c r="DC47" s="352" t="s">
        <v>1404</v>
      </c>
      <c r="DD47" s="352" t="s">
        <v>1404</v>
      </c>
      <c r="DE47" s="352" t="s">
        <v>1404</v>
      </c>
      <c r="DF47" s="352" t="s">
        <v>1404</v>
      </c>
      <c r="DG47" s="352" t="s">
        <v>1404</v>
      </c>
      <c r="DH47" s="352" t="s">
        <v>1404</v>
      </c>
      <c r="DI47" s="352" t="s">
        <v>1404</v>
      </c>
      <c r="DJ47" s="352" t="s">
        <v>1404</v>
      </c>
      <c r="DK47" s="352" t="s">
        <v>1405</v>
      </c>
      <c r="DL47" s="352" t="s">
        <v>1406</v>
      </c>
      <c r="DM47" s="352" t="s">
        <v>1406</v>
      </c>
      <c r="DN47" s="352" t="s">
        <v>1406</v>
      </c>
      <c r="DO47" s="352" t="s">
        <v>1406</v>
      </c>
      <c r="DP47" s="352" t="s">
        <v>1406</v>
      </c>
      <c r="DQ47" s="352" t="s">
        <v>1406</v>
      </c>
    </row>
    <row r="48" spans="1:121" ht="17.45" customHeight="1">
      <c r="A48" s="291" t="s">
        <v>1407</v>
      </c>
      <c r="B48" s="315"/>
      <c r="C48" s="316"/>
      <c r="D48" s="316"/>
      <c r="E48" s="316"/>
      <c r="F48" s="315"/>
      <c r="G48" s="316"/>
      <c r="H48" s="316"/>
      <c r="I48" s="316"/>
      <c r="J48" s="316"/>
      <c r="K48" s="316"/>
      <c r="L48" s="316"/>
      <c r="M48" s="316"/>
      <c r="N48" s="315"/>
      <c r="O48" s="316"/>
      <c r="P48" s="316"/>
      <c r="Q48" s="315"/>
      <c r="R48" s="316"/>
      <c r="S48" s="316"/>
      <c r="T48" s="317"/>
      <c r="U48" s="317"/>
      <c r="V48" s="317"/>
      <c r="W48" s="317"/>
      <c r="X48" s="317"/>
      <c r="Y48" s="317"/>
      <c r="Z48" s="317"/>
      <c r="AA48" s="317"/>
      <c r="AB48" s="317"/>
      <c r="AC48" s="317"/>
      <c r="AD48" s="317"/>
      <c r="AE48" s="317"/>
      <c r="AF48" s="317"/>
      <c r="AG48" s="317"/>
      <c r="AH48" s="317"/>
      <c r="AI48" s="317"/>
      <c r="AJ48" s="317"/>
      <c r="AK48" s="317"/>
      <c r="AL48" s="317"/>
      <c r="AM48" s="317"/>
      <c r="AN48" s="317"/>
      <c r="AO48" s="317"/>
      <c r="AP48" s="317"/>
      <c r="AQ48" s="317"/>
      <c r="AR48" s="317"/>
      <c r="AS48" s="317"/>
      <c r="AT48" s="317"/>
      <c r="AU48" s="317"/>
      <c r="AV48" s="317"/>
      <c r="AW48" s="317"/>
      <c r="AX48" s="317"/>
      <c r="AY48" s="317"/>
      <c r="AZ48" s="317"/>
      <c r="BA48" s="317"/>
      <c r="BB48" s="317"/>
      <c r="BC48" s="317"/>
      <c r="BD48" s="317"/>
      <c r="BE48" s="317"/>
      <c r="BF48" s="317"/>
      <c r="BG48" s="317"/>
      <c r="BH48" s="317"/>
      <c r="BI48" s="317"/>
      <c r="BJ48" s="317"/>
      <c r="BK48" s="317"/>
      <c r="BL48" s="317"/>
      <c r="BM48" s="317"/>
      <c r="BN48" s="317"/>
      <c r="BO48" s="317"/>
      <c r="BP48" s="353"/>
      <c r="BQ48" s="353"/>
      <c r="BR48" s="353"/>
      <c r="BS48" s="353"/>
      <c r="BT48" s="353"/>
      <c r="BU48" s="353"/>
      <c r="BV48" s="353"/>
      <c r="BW48" s="353"/>
      <c r="BX48" s="353"/>
      <c r="BY48" s="353"/>
      <c r="BZ48" s="354"/>
      <c r="CA48" s="353"/>
      <c r="CB48" s="353"/>
      <c r="CC48" s="353"/>
      <c r="CD48" s="353"/>
      <c r="CE48" s="353"/>
      <c r="CF48" s="353"/>
      <c r="CG48" s="353"/>
      <c r="CH48" s="353"/>
      <c r="CI48" s="353"/>
      <c r="CJ48" s="353"/>
      <c r="CK48" s="353"/>
      <c r="CL48" s="353"/>
      <c r="CM48" s="353"/>
      <c r="CN48" s="353"/>
      <c r="CO48" s="353"/>
      <c r="CP48" s="353"/>
      <c r="CQ48" s="305"/>
      <c r="CR48" s="345"/>
      <c r="CS48" s="345"/>
      <c r="CT48" s="345"/>
      <c r="CU48" s="345"/>
      <c r="CV48" s="345"/>
      <c r="CW48" s="345"/>
      <c r="CX48" s="345"/>
      <c r="CY48" s="345"/>
      <c r="CZ48" s="345"/>
      <c r="DA48" s="345"/>
      <c r="DB48" s="345"/>
      <c r="DC48" s="346"/>
      <c r="DD48" s="346"/>
      <c r="DE48" s="346"/>
      <c r="DF48" s="346"/>
      <c r="DG48" s="346"/>
      <c r="DH48" s="346"/>
      <c r="DI48" s="346"/>
      <c r="DJ48" s="346"/>
      <c r="DK48" s="346"/>
      <c r="DL48" s="346"/>
      <c r="DM48" s="346"/>
      <c r="DN48" s="346"/>
      <c r="DO48" s="346"/>
      <c r="DP48" s="346"/>
      <c r="DQ48" s="346"/>
    </row>
    <row r="49" spans="1:121" ht="17.45" customHeight="1">
      <c r="A49" s="291" t="s">
        <v>1408</v>
      </c>
      <c r="B49" s="307" t="s">
        <v>1409</v>
      </c>
      <c r="C49" s="308" t="s">
        <v>1410</v>
      </c>
      <c r="D49" s="308" t="s">
        <v>1411</v>
      </c>
      <c r="E49" s="308" t="s">
        <v>1411</v>
      </c>
      <c r="F49" s="307" t="s">
        <v>1411</v>
      </c>
      <c r="G49" s="308" t="s">
        <v>1412</v>
      </c>
      <c r="H49" s="308" t="s">
        <v>1413</v>
      </c>
      <c r="I49" s="308" t="s">
        <v>1413</v>
      </c>
      <c r="J49" s="308" t="s">
        <v>1414</v>
      </c>
      <c r="K49" s="308" t="s">
        <v>1414</v>
      </c>
      <c r="L49" s="308" t="s">
        <v>1413</v>
      </c>
      <c r="M49" s="308" t="s">
        <v>1415</v>
      </c>
      <c r="N49" s="307" t="s">
        <v>1416</v>
      </c>
      <c r="O49" s="308" t="s">
        <v>1416</v>
      </c>
      <c r="P49" s="308" t="s">
        <v>1417</v>
      </c>
      <c r="Q49" s="307" t="s">
        <v>1417</v>
      </c>
      <c r="R49" s="308" t="s">
        <v>1417</v>
      </c>
      <c r="S49" s="308" t="s">
        <v>1417</v>
      </c>
      <c r="T49" s="309" t="s">
        <v>1417</v>
      </c>
      <c r="U49" s="309" t="s">
        <v>1417</v>
      </c>
      <c r="V49" s="309" t="s">
        <v>1417</v>
      </c>
      <c r="W49" s="309" t="s">
        <v>1417</v>
      </c>
      <c r="X49" s="309" t="s">
        <v>1418</v>
      </c>
      <c r="Y49" s="309" t="s">
        <v>1418</v>
      </c>
      <c r="Z49" s="309" t="s">
        <v>1419</v>
      </c>
      <c r="AA49" s="309" t="s">
        <v>1419</v>
      </c>
      <c r="AB49" s="309" t="s">
        <v>1419</v>
      </c>
      <c r="AC49" s="309" t="s">
        <v>1419</v>
      </c>
      <c r="AD49" s="309" t="s">
        <v>1419</v>
      </c>
      <c r="AE49" s="309" t="s">
        <v>1419</v>
      </c>
      <c r="AF49" s="309" t="s">
        <v>1419</v>
      </c>
      <c r="AG49" s="309" t="s">
        <v>1420</v>
      </c>
      <c r="AH49" s="309" t="s">
        <v>1391</v>
      </c>
      <c r="AI49" s="309" t="s">
        <v>1421</v>
      </c>
      <c r="AJ49" s="309" t="s">
        <v>1422</v>
      </c>
      <c r="AK49" s="309" t="s">
        <v>1422</v>
      </c>
      <c r="AL49" s="309" t="s">
        <v>1423</v>
      </c>
      <c r="AM49" s="309" t="s">
        <v>1424</v>
      </c>
      <c r="AN49" s="309" t="s">
        <v>1424</v>
      </c>
      <c r="AO49" s="309">
        <v>6</v>
      </c>
      <c r="AP49" s="309">
        <v>6</v>
      </c>
      <c r="AQ49" s="309">
        <v>6</v>
      </c>
      <c r="AR49" s="309">
        <v>6</v>
      </c>
      <c r="AS49" s="309">
        <v>6</v>
      </c>
      <c r="AT49" s="309">
        <v>6</v>
      </c>
      <c r="AU49" s="309">
        <v>2.5</v>
      </c>
      <c r="AV49" s="309">
        <v>2.5</v>
      </c>
      <c r="AW49" s="309" t="s">
        <v>1425</v>
      </c>
      <c r="AX49" s="309" t="s">
        <v>1425</v>
      </c>
      <c r="AY49" s="309" t="s">
        <v>1426</v>
      </c>
      <c r="AZ49" s="309">
        <v>2.5</v>
      </c>
      <c r="BA49" s="309">
        <v>2.5</v>
      </c>
      <c r="BB49" s="309">
        <v>2.5</v>
      </c>
      <c r="BC49" s="309">
        <v>2.5</v>
      </c>
      <c r="BD49" s="309" t="s">
        <v>1427</v>
      </c>
      <c r="BE49" s="309" t="s">
        <v>1427</v>
      </c>
      <c r="BF49" s="309" t="s">
        <v>1427</v>
      </c>
      <c r="BG49" s="309" t="s">
        <v>1427</v>
      </c>
      <c r="BH49" s="309" t="s">
        <v>1427</v>
      </c>
      <c r="BI49" s="309" t="s">
        <v>1427</v>
      </c>
      <c r="BJ49" s="309" t="s">
        <v>1428</v>
      </c>
      <c r="BK49" s="309" t="s">
        <v>1428</v>
      </c>
      <c r="BL49" s="309" t="s">
        <v>1428</v>
      </c>
      <c r="BM49" s="309">
        <v>2.5</v>
      </c>
      <c r="BN49" s="309" t="s">
        <v>1425</v>
      </c>
      <c r="BO49" s="309" t="s">
        <v>1425</v>
      </c>
      <c r="BP49" s="309">
        <v>2.5</v>
      </c>
      <c r="BQ49" s="309">
        <v>2.5</v>
      </c>
      <c r="BR49" s="309">
        <v>2.5</v>
      </c>
      <c r="BS49" s="309">
        <v>2.5</v>
      </c>
      <c r="BT49" s="309">
        <v>2.5</v>
      </c>
      <c r="BU49" s="309">
        <v>2.5</v>
      </c>
      <c r="BV49" s="309">
        <v>2.5</v>
      </c>
      <c r="BW49" s="309" t="s">
        <v>1429</v>
      </c>
      <c r="BX49" s="309" t="s">
        <v>1429</v>
      </c>
      <c r="BY49" s="309" t="s">
        <v>1429</v>
      </c>
      <c r="BZ49" s="310" t="s">
        <v>1429</v>
      </c>
      <c r="CA49" s="309" t="s">
        <v>1430</v>
      </c>
      <c r="CB49" s="309" t="s">
        <v>1431</v>
      </c>
      <c r="CC49" s="309" t="s">
        <v>1431</v>
      </c>
      <c r="CD49" s="309" t="s">
        <v>1432</v>
      </c>
      <c r="CE49" s="309" t="s">
        <v>1433</v>
      </c>
      <c r="CF49" s="309" t="s">
        <v>1434</v>
      </c>
      <c r="CG49" s="309" t="s">
        <v>1434</v>
      </c>
      <c r="CH49" s="309" t="s">
        <v>1435</v>
      </c>
      <c r="CI49" s="309" t="s">
        <v>1435</v>
      </c>
      <c r="CJ49" s="309" t="s">
        <v>1435</v>
      </c>
      <c r="CK49" s="309" t="s">
        <v>1436</v>
      </c>
      <c r="CL49" s="309" t="s">
        <v>1437</v>
      </c>
      <c r="CM49" s="309" t="s">
        <v>1438</v>
      </c>
      <c r="CN49" s="309" t="s">
        <v>1438</v>
      </c>
      <c r="CO49" s="309" t="s">
        <v>1438</v>
      </c>
      <c r="CP49" s="309" t="s">
        <v>1439</v>
      </c>
      <c r="CQ49" s="313" t="s">
        <v>1440</v>
      </c>
      <c r="CR49" s="335" t="s">
        <v>1441</v>
      </c>
      <c r="CS49" s="335" t="s">
        <v>1442</v>
      </c>
      <c r="CT49" s="335" t="s">
        <v>1442</v>
      </c>
      <c r="CU49" s="335" t="s">
        <v>1443</v>
      </c>
      <c r="CV49" s="335" t="s">
        <v>1444</v>
      </c>
      <c r="CW49" s="335" t="s">
        <v>1444</v>
      </c>
      <c r="CX49" s="335" t="s">
        <v>1444</v>
      </c>
      <c r="CY49" s="335" t="s">
        <v>1444</v>
      </c>
      <c r="CZ49" s="335" t="s">
        <v>1444</v>
      </c>
      <c r="DA49" s="335" t="s">
        <v>1444</v>
      </c>
      <c r="DB49" s="335" t="s">
        <v>1444</v>
      </c>
      <c r="DC49" s="336" t="s">
        <v>1444</v>
      </c>
      <c r="DD49" s="336" t="s">
        <v>1444</v>
      </c>
      <c r="DE49" s="336" t="s">
        <v>1445</v>
      </c>
      <c r="DF49" s="336" t="s">
        <v>1445</v>
      </c>
      <c r="DG49" s="336" t="s">
        <v>1445</v>
      </c>
      <c r="DH49" s="336" t="s">
        <v>1445</v>
      </c>
      <c r="DI49" s="336" t="s">
        <v>1445</v>
      </c>
      <c r="DJ49" s="336" t="s">
        <v>1445</v>
      </c>
      <c r="DK49" s="336" t="s">
        <v>1446</v>
      </c>
      <c r="DL49" s="336" t="s">
        <v>1446</v>
      </c>
      <c r="DM49" s="336" t="s">
        <v>1445</v>
      </c>
      <c r="DN49" s="336" t="s">
        <v>1445</v>
      </c>
      <c r="DO49" s="336" t="s">
        <v>1445</v>
      </c>
      <c r="DP49" s="336" t="s">
        <v>1447</v>
      </c>
      <c r="DQ49" s="336" t="s">
        <v>1447</v>
      </c>
    </row>
    <row r="50" spans="1:121" ht="17.45" customHeight="1">
      <c r="A50" s="291" t="s">
        <v>1448</v>
      </c>
      <c r="B50" s="307" t="s">
        <v>1449</v>
      </c>
      <c r="C50" s="308" t="s">
        <v>1450</v>
      </c>
      <c r="D50" s="308" t="s">
        <v>1450</v>
      </c>
      <c r="E50" s="308" t="s">
        <v>1450</v>
      </c>
      <c r="F50" s="307" t="s">
        <v>1450</v>
      </c>
      <c r="G50" s="308" t="s">
        <v>1451</v>
      </c>
      <c r="H50" s="308" t="s">
        <v>1451</v>
      </c>
      <c r="I50" s="308" t="s">
        <v>1451</v>
      </c>
      <c r="J50" s="308" t="s">
        <v>1451</v>
      </c>
      <c r="K50" s="308" t="s">
        <v>1451</v>
      </c>
      <c r="L50" s="308" t="s">
        <v>1451</v>
      </c>
      <c r="M50" s="308" t="s">
        <v>1451</v>
      </c>
      <c r="N50" s="307" t="s">
        <v>1452</v>
      </c>
      <c r="O50" s="308" t="s">
        <v>1452</v>
      </c>
      <c r="P50" s="308" t="s">
        <v>1453</v>
      </c>
      <c r="Q50" s="307" t="s">
        <v>1454</v>
      </c>
      <c r="R50" s="308" t="s">
        <v>1454</v>
      </c>
      <c r="S50" s="308" t="s">
        <v>1454</v>
      </c>
      <c r="T50" s="309" t="s">
        <v>989</v>
      </c>
      <c r="U50" s="309" t="s">
        <v>989</v>
      </c>
      <c r="V50" s="309" t="s">
        <v>1455</v>
      </c>
      <c r="W50" s="309" t="s">
        <v>1456</v>
      </c>
      <c r="X50" s="309" t="s">
        <v>1454</v>
      </c>
      <c r="Y50" s="309" t="s">
        <v>1457</v>
      </c>
      <c r="Z50" s="309" t="s">
        <v>1458</v>
      </c>
      <c r="AA50" s="309" t="s">
        <v>926</v>
      </c>
      <c r="AB50" s="309" t="s">
        <v>926</v>
      </c>
      <c r="AC50" s="309" t="s">
        <v>926</v>
      </c>
      <c r="AD50" s="309" t="s">
        <v>926</v>
      </c>
      <c r="AE50" s="309" t="s">
        <v>926</v>
      </c>
      <c r="AF50" s="309" t="s">
        <v>926</v>
      </c>
      <c r="AG50" s="309" t="s">
        <v>1459</v>
      </c>
      <c r="AH50" s="309" t="s">
        <v>1460</v>
      </c>
      <c r="AI50" s="309" t="s">
        <v>1460</v>
      </c>
      <c r="AJ50" s="309" t="s">
        <v>1461</v>
      </c>
      <c r="AK50" s="309" t="s">
        <v>1462</v>
      </c>
      <c r="AL50" s="309" t="s">
        <v>1463</v>
      </c>
      <c r="AM50" s="309" t="s">
        <v>1464</v>
      </c>
      <c r="AN50" s="309" t="s">
        <v>1464</v>
      </c>
      <c r="AO50" s="309" t="s">
        <v>1464</v>
      </c>
      <c r="AP50" s="309" t="s">
        <v>1465</v>
      </c>
      <c r="AQ50" s="309" t="s">
        <v>1466</v>
      </c>
      <c r="AR50" s="309" t="s">
        <v>1467</v>
      </c>
      <c r="AS50" s="309" t="s">
        <v>1467</v>
      </c>
      <c r="AT50" s="309" t="s">
        <v>1468</v>
      </c>
      <c r="AU50" s="309" t="s">
        <v>1468</v>
      </c>
      <c r="AV50" s="309" t="s">
        <v>1468</v>
      </c>
      <c r="AW50" s="309" t="s">
        <v>1468</v>
      </c>
      <c r="AX50" s="309" t="s">
        <v>1468</v>
      </c>
      <c r="AY50" s="309" t="s">
        <v>1468</v>
      </c>
      <c r="AZ50" s="309" t="s">
        <v>1468</v>
      </c>
      <c r="BA50" s="309" t="s">
        <v>1468</v>
      </c>
      <c r="BB50" s="309" t="s">
        <v>1468</v>
      </c>
      <c r="BC50" s="309" t="s">
        <v>1468</v>
      </c>
      <c r="BD50" s="309" t="s">
        <v>1468</v>
      </c>
      <c r="BE50" s="309" t="s">
        <v>1469</v>
      </c>
      <c r="BF50" s="309" t="s">
        <v>1469</v>
      </c>
      <c r="BG50" s="309" t="s">
        <v>1469</v>
      </c>
      <c r="BH50" s="309" t="s">
        <v>1470</v>
      </c>
      <c r="BI50" s="309" t="s">
        <v>1471</v>
      </c>
      <c r="BJ50" s="309" t="s">
        <v>1471</v>
      </c>
      <c r="BK50" s="309" t="s">
        <v>1471</v>
      </c>
      <c r="BL50" s="309" t="s">
        <v>1471</v>
      </c>
      <c r="BM50" s="309" t="s">
        <v>1472</v>
      </c>
      <c r="BN50" s="309" t="s">
        <v>1473</v>
      </c>
      <c r="BO50" s="309" t="s">
        <v>1474</v>
      </c>
      <c r="BP50" s="309" t="s">
        <v>1474</v>
      </c>
      <c r="BQ50" s="309" t="s">
        <v>1475</v>
      </c>
      <c r="BR50" s="309" t="s">
        <v>1475</v>
      </c>
      <c r="BS50" s="309" t="s">
        <v>1476</v>
      </c>
      <c r="BT50" s="309" t="s">
        <v>1476</v>
      </c>
      <c r="BU50" s="309" t="s">
        <v>1477</v>
      </c>
      <c r="BV50" s="309" t="s">
        <v>1477</v>
      </c>
      <c r="BW50" s="309" t="s">
        <v>1477</v>
      </c>
      <c r="BX50" s="309" t="s">
        <v>1477</v>
      </c>
      <c r="BY50" s="309" t="s">
        <v>1477</v>
      </c>
      <c r="BZ50" s="310" t="s">
        <v>1477</v>
      </c>
      <c r="CA50" s="309" t="s">
        <v>1477</v>
      </c>
      <c r="CB50" s="309" t="s">
        <v>1478</v>
      </c>
      <c r="CC50" s="309" t="s">
        <v>1478</v>
      </c>
      <c r="CD50" s="309" t="s">
        <v>1479</v>
      </c>
      <c r="CE50" s="309" t="s">
        <v>1479</v>
      </c>
      <c r="CF50" s="309" t="s">
        <v>1479</v>
      </c>
      <c r="CG50" s="309" t="s">
        <v>1479</v>
      </c>
      <c r="CH50" s="309" t="s">
        <v>1479</v>
      </c>
      <c r="CI50" s="309" t="s">
        <v>1479</v>
      </c>
      <c r="CJ50" s="309" t="s">
        <v>1480</v>
      </c>
      <c r="CK50" s="309" t="s">
        <v>1479</v>
      </c>
      <c r="CL50" s="309" t="s">
        <v>1479</v>
      </c>
      <c r="CM50" s="309" t="s">
        <v>1479</v>
      </c>
      <c r="CN50" s="309" t="s">
        <v>1479</v>
      </c>
      <c r="CO50" s="309" t="s">
        <v>1479</v>
      </c>
      <c r="CP50" s="309" t="s">
        <v>1479</v>
      </c>
      <c r="CQ50" s="313" t="s">
        <v>1481</v>
      </c>
      <c r="CR50" s="335" t="s">
        <v>1482</v>
      </c>
      <c r="CS50" s="335" t="s">
        <v>1483</v>
      </c>
      <c r="CT50" s="335" t="s">
        <v>1484</v>
      </c>
      <c r="CU50" s="335" t="s">
        <v>1485</v>
      </c>
      <c r="CV50" s="335" t="s">
        <v>1485</v>
      </c>
      <c r="CW50" s="335" t="s">
        <v>1485</v>
      </c>
      <c r="CX50" s="335" t="s">
        <v>1486</v>
      </c>
      <c r="CY50" s="335" t="s">
        <v>1485</v>
      </c>
      <c r="CZ50" s="335" t="s">
        <v>1485</v>
      </c>
      <c r="DA50" s="335" t="s">
        <v>1484</v>
      </c>
      <c r="DB50" s="335" t="s">
        <v>1484</v>
      </c>
      <c r="DC50" s="336" t="s">
        <v>1487</v>
      </c>
      <c r="DD50" s="336" t="s">
        <v>1484</v>
      </c>
      <c r="DE50" s="336" t="s">
        <v>1488</v>
      </c>
      <c r="DF50" s="336" t="s">
        <v>1489</v>
      </c>
      <c r="DG50" s="336" t="s">
        <v>1490</v>
      </c>
      <c r="DH50" s="336" t="s">
        <v>1490</v>
      </c>
      <c r="DI50" s="336" t="s">
        <v>1490</v>
      </c>
      <c r="DJ50" s="336" t="s">
        <v>1490</v>
      </c>
      <c r="DK50" s="336" t="s">
        <v>1491</v>
      </c>
      <c r="DL50" s="336" t="s">
        <v>1490</v>
      </c>
      <c r="DM50" s="336" t="s">
        <v>1490</v>
      </c>
      <c r="DN50" s="336" t="s">
        <v>1490</v>
      </c>
      <c r="DO50" s="336" t="s">
        <v>1490</v>
      </c>
      <c r="DP50" s="336" t="s">
        <v>1492</v>
      </c>
      <c r="DQ50" s="336" t="s">
        <v>1492</v>
      </c>
    </row>
    <row r="51" spans="1:121" ht="17.45" customHeight="1">
      <c r="A51" s="291" t="s">
        <v>1493</v>
      </c>
      <c r="B51" s="307" t="s">
        <v>1494</v>
      </c>
      <c r="C51" s="308" t="s">
        <v>1495</v>
      </c>
      <c r="D51" s="308" t="s">
        <v>1496</v>
      </c>
      <c r="E51" s="308" t="s">
        <v>1497</v>
      </c>
      <c r="F51" s="307" t="s">
        <v>1498</v>
      </c>
      <c r="G51" s="308" t="s">
        <v>1499</v>
      </c>
      <c r="H51" s="308" t="s">
        <v>1500</v>
      </c>
      <c r="I51" s="308" t="s">
        <v>1501</v>
      </c>
      <c r="J51" s="308" t="s">
        <v>1501</v>
      </c>
      <c r="K51" s="308" t="s">
        <v>1502</v>
      </c>
      <c r="L51" s="308" t="s">
        <v>1502</v>
      </c>
      <c r="M51" s="308" t="s">
        <v>1500</v>
      </c>
      <c r="N51" s="307" t="s">
        <v>1503</v>
      </c>
      <c r="O51" s="308" t="s">
        <v>1504</v>
      </c>
      <c r="P51" s="308" t="s">
        <v>1505</v>
      </c>
      <c r="Q51" s="307" t="s">
        <v>1455</v>
      </c>
      <c r="R51" s="308" t="s">
        <v>1455</v>
      </c>
      <c r="S51" s="308" t="s">
        <v>1506</v>
      </c>
      <c r="T51" s="309" t="s">
        <v>949</v>
      </c>
      <c r="U51" s="309" t="s">
        <v>1507</v>
      </c>
      <c r="V51" s="309" t="s">
        <v>1508</v>
      </c>
      <c r="W51" s="309" t="s">
        <v>1507</v>
      </c>
      <c r="X51" s="309" t="s">
        <v>949</v>
      </c>
      <c r="Y51" s="309" t="s">
        <v>1507</v>
      </c>
      <c r="Z51" s="309" t="s">
        <v>1509</v>
      </c>
      <c r="AA51" s="309" t="s">
        <v>1510</v>
      </c>
      <c r="AB51" s="309" t="s">
        <v>1511</v>
      </c>
      <c r="AC51" s="309" t="s">
        <v>1512</v>
      </c>
      <c r="AD51" s="309" t="s">
        <v>1512</v>
      </c>
      <c r="AE51" s="309" t="s">
        <v>1512</v>
      </c>
      <c r="AF51" s="309" t="s">
        <v>1509</v>
      </c>
      <c r="AG51" s="309" t="s">
        <v>1513</v>
      </c>
      <c r="AH51" s="309" t="s">
        <v>1514</v>
      </c>
      <c r="AI51" s="309" t="s">
        <v>1514</v>
      </c>
      <c r="AJ51" s="309" t="s">
        <v>1420</v>
      </c>
      <c r="AK51" s="309" t="s">
        <v>1515</v>
      </c>
      <c r="AL51" s="309" t="s">
        <v>1516</v>
      </c>
      <c r="AM51" s="309" t="s">
        <v>1516</v>
      </c>
      <c r="AN51" s="309" t="s">
        <v>1516</v>
      </c>
      <c r="AO51" s="309" t="s">
        <v>1517</v>
      </c>
      <c r="AP51" s="309" t="s">
        <v>1518</v>
      </c>
      <c r="AQ51" s="309" t="s">
        <v>1519</v>
      </c>
      <c r="AR51" s="309" t="s">
        <v>1519</v>
      </c>
      <c r="AS51" s="309" t="s">
        <v>1520</v>
      </c>
      <c r="AT51" s="309" t="s">
        <v>1521</v>
      </c>
      <c r="AU51" s="309" t="s">
        <v>1522</v>
      </c>
      <c r="AV51" s="309" t="s">
        <v>1523</v>
      </c>
      <c r="AW51" s="309" t="s">
        <v>1523</v>
      </c>
      <c r="AX51" s="309" t="s">
        <v>1523</v>
      </c>
      <c r="AY51" s="309" t="s">
        <v>1523</v>
      </c>
      <c r="AZ51" s="309" t="s">
        <v>1524</v>
      </c>
      <c r="BA51" s="309" t="s">
        <v>1525</v>
      </c>
      <c r="BB51" s="309" t="s">
        <v>1525</v>
      </c>
      <c r="BC51" s="309" t="s">
        <v>1526</v>
      </c>
      <c r="BD51" s="309" t="s">
        <v>1526</v>
      </c>
      <c r="BE51" s="309" t="s">
        <v>1526</v>
      </c>
      <c r="BF51" s="309" t="s">
        <v>1526</v>
      </c>
      <c r="BG51" s="309" t="s">
        <v>1526</v>
      </c>
      <c r="BH51" s="309" t="s">
        <v>1526</v>
      </c>
      <c r="BI51" s="309" t="s">
        <v>1526</v>
      </c>
      <c r="BJ51" s="309" t="s">
        <v>1526</v>
      </c>
      <c r="BK51" s="309" t="s">
        <v>1526</v>
      </c>
      <c r="BL51" s="309" t="s">
        <v>1526</v>
      </c>
      <c r="BM51" s="309" t="s">
        <v>1527</v>
      </c>
      <c r="BN51" s="309" t="s">
        <v>1527</v>
      </c>
      <c r="BO51" s="309" t="s">
        <v>1527</v>
      </c>
      <c r="BP51" s="309" t="s">
        <v>1527</v>
      </c>
      <c r="BQ51" s="309" t="s">
        <v>1527</v>
      </c>
      <c r="BR51" s="309" t="s">
        <v>1527</v>
      </c>
      <c r="BS51" s="309" t="s">
        <v>1528</v>
      </c>
      <c r="BT51" s="309" t="s">
        <v>1528</v>
      </c>
      <c r="BU51" s="309" t="s">
        <v>1529</v>
      </c>
      <c r="BV51" s="309" t="s">
        <v>1529</v>
      </c>
      <c r="BW51" s="309" t="s">
        <v>1529</v>
      </c>
      <c r="BX51" s="309" t="s">
        <v>1530</v>
      </c>
      <c r="BY51" s="309" t="s">
        <v>1531</v>
      </c>
      <c r="BZ51" s="310" t="s">
        <v>1532</v>
      </c>
      <c r="CA51" s="309" t="s">
        <v>1533</v>
      </c>
      <c r="CB51" s="309" t="s">
        <v>1533</v>
      </c>
      <c r="CC51" s="309" t="s">
        <v>1534</v>
      </c>
      <c r="CD51" s="309" t="s">
        <v>1535</v>
      </c>
      <c r="CE51" s="309" t="s">
        <v>1536</v>
      </c>
      <c r="CF51" s="309" t="s">
        <v>1537</v>
      </c>
      <c r="CG51" s="309" t="s">
        <v>1537</v>
      </c>
      <c r="CH51" s="309" t="s">
        <v>1538</v>
      </c>
      <c r="CI51" s="309" t="s">
        <v>1539</v>
      </c>
      <c r="CJ51" s="309" t="s">
        <v>1539</v>
      </c>
      <c r="CK51" s="309" t="s">
        <v>1539</v>
      </c>
      <c r="CL51" s="309" t="s">
        <v>1540</v>
      </c>
      <c r="CM51" s="309" t="s">
        <v>1540</v>
      </c>
      <c r="CN51" s="309" t="s">
        <v>1537</v>
      </c>
      <c r="CO51" s="309" t="s">
        <v>1541</v>
      </c>
      <c r="CP51" s="309" t="s">
        <v>1542</v>
      </c>
      <c r="CQ51" s="313" t="s">
        <v>1543</v>
      </c>
      <c r="CR51" s="335" t="s">
        <v>1544</v>
      </c>
      <c r="CS51" s="335" t="s">
        <v>1545</v>
      </c>
      <c r="CT51" s="335" t="s">
        <v>1546</v>
      </c>
      <c r="CU51" s="335" t="s">
        <v>1547</v>
      </c>
      <c r="CV51" s="335" t="s">
        <v>1544</v>
      </c>
      <c r="CW51" s="335" t="s">
        <v>1548</v>
      </c>
      <c r="CX51" s="335" t="s">
        <v>1549</v>
      </c>
      <c r="CY51" s="335" t="s">
        <v>1550</v>
      </c>
      <c r="CZ51" s="335" t="s">
        <v>1550</v>
      </c>
      <c r="DA51" s="335" t="s">
        <v>1550</v>
      </c>
      <c r="DB51" s="335" t="s">
        <v>1551</v>
      </c>
      <c r="DC51" s="336" t="s">
        <v>1544</v>
      </c>
      <c r="DD51" s="336" t="s">
        <v>1552</v>
      </c>
      <c r="DE51" s="336" t="s">
        <v>1544</v>
      </c>
      <c r="DF51" s="336" t="s">
        <v>1553</v>
      </c>
      <c r="DG51" s="336" t="s">
        <v>1554</v>
      </c>
      <c r="DH51" s="336" t="s">
        <v>1555</v>
      </c>
      <c r="DI51" s="336" t="s">
        <v>1556</v>
      </c>
      <c r="DJ51" s="336" t="s">
        <v>1557</v>
      </c>
      <c r="DK51" s="336" t="s">
        <v>1558</v>
      </c>
      <c r="DL51" s="336" t="s">
        <v>1559</v>
      </c>
      <c r="DM51" s="336" t="s">
        <v>1560</v>
      </c>
      <c r="DN51" s="336" t="s">
        <v>1561</v>
      </c>
      <c r="DO51" s="336" t="s">
        <v>1562</v>
      </c>
      <c r="DP51" s="336" t="s">
        <v>1563</v>
      </c>
      <c r="DQ51" s="336" t="s">
        <v>1564</v>
      </c>
    </row>
    <row r="52" spans="1:121" ht="17.45" customHeight="1">
      <c r="A52" s="291" t="s">
        <v>1565</v>
      </c>
      <c r="B52" s="307" t="s">
        <v>1566</v>
      </c>
      <c r="C52" s="308" t="s">
        <v>1567</v>
      </c>
      <c r="D52" s="308" t="s">
        <v>1568</v>
      </c>
      <c r="E52" s="308" t="s">
        <v>1568</v>
      </c>
      <c r="F52" s="307" t="s">
        <v>1569</v>
      </c>
      <c r="G52" s="308" t="s">
        <v>1570</v>
      </c>
      <c r="H52" s="308" t="s">
        <v>1519</v>
      </c>
      <c r="I52" s="308" t="s">
        <v>1570</v>
      </c>
      <c r="J52" s="308" t="s">
        <v>1570</v>
      </c>
      <c r="K52" s="308" t="s">
        <v>1570</v>
      </c>
      <c r="L52" s="308" t="s">
        <v>1570</v>
      </c>
      <c r="M52" s="308" t="s">
        <v>1571</v>
      </c>
      <c r="N52" s="307" t="s">
        <v>1572</v>
      </c>
      <c r="O52" s="308" t="s">
        <v>1573</v>
      </c>
      <c r="P52" s="308" t="s">
        <v>1574</v>
      </c>
      <c r="Q52" s="307" t="s">
        <v>1575</v>
      </c>
      <c r="R52" s="308" t="s">
        <v>1576</v>
      </c>
      <c r="S52" s="308" t="s">
        <v>1577</v>
      </c>
      <c r="T52" s="309" t="s">
        <v>1507</v>
      </c>
      <c r="U52" s="309" t="s">
        <v>1578</v>
      </c>
      <c r="V52" s="309" t="s">
        <v>1579</v>
      </c>
      <c r="W52" s="309" t="s">
        <v>1580</v>
      </c>
      <c r="X52" s="309" t="s">
        <v>1507</v>
      </c>
      <c r="Y52" s="309" t="s">
        <v>950</v>
      </c>
      <c r="Z52" s="309" t="s">
        <v>1581</v>
      </c>
      <c r="AA52" s="309" t="s">
        <v>1582</v>
      </c>
      <c r="AB52" s="309" t="s">
        <v>1583</v>
      </c>
      <c r="AC52" s="309" t="s">
        <v>1583</v>
      </c>
      <c r="AD52" s="309" t="s">
        <v>1509</v>
      </c>
      <c r="AE52" s="309" t="s">
        <v>1509</v>
      </c>
      <c r="AF52" s="309" t="s">
        <v>1584</v>
      </c>
      <c r="AG52" s="309" t="s">
        <v>1585</v>
      </c>
      <c r="AH52" s="309" t="s">
        <v>1586</v>
      </c>
      <c r="AI52" s="309" t="s">
        <v>1587</v>
      </c>
      <c r="AJ52" s="309" t="s">
        <v>1588</v>
      </c>
      <c r="AK52" s="309" t="s">
        <v>1588</v>
      </c>
      <c r="AL52" s="309" t="s">
        <v>1589</v>
      </c>
      <c r="AM52" s="309" t="s">
        <v>1589</v>
      </c>
      <c r="AN52" s="309" t="s">
        <v>1590</v>
      </c>
      <c r="AO52" s="309" t="s">
        <v>1591</v>
      </c>
      <c r="AP52" s="309" t="s">
        <v>1592</v>
      </c>
      <c r="AQ52" s="309" t="s">
        <v>1593</v>
      </c>
      <c r="AR52" s="309" t="s">
        <v>1594</v>
      </c>
      <c r="AS52" s="309" t="s">
        <v>1521</v>
      </c>
      <c r="AT52" s="309" t="s">
        <v>1595</v>
      </c>
      <c r="AU52" s="309" t="s">
        <v>1525</v>
      </c>
      <c r="AV52" s="309" t="s">
        <v>1525</v>
      </c>
      <c r="AW52" s="309" t="s">
        <v>1525</v>
      </c>
      <c r="AX52" s="309" t="s">
        <v>1525</v>
      </c>
      <c r="AY52" s="309" t="s">
        <v>1525</v>
      </c>
      <c r="AZ52" s="309" t="s">
        <v>1596</v>
      </c>
      <c r="BA52" s="309" t="s">
        <v>1525</v>
      </c>
      <c r="BB52" s="309" t="s">
        <v>1525</v>
      </c>
      <c r="BC52" s="309" t="s">
        <v>1525</v>
      </c>
      <c r="BD52" s="309" t="s">
        <v>1525</v>
      </c>
      <c r="BE52" s="309" t="s">
        <v>1525</v>
      </c>
      <c r="BF52" s="309" t="s">
        <v>1525</v>
      </c>
      <c r="BG52" s="309" t="s">
        <v>1525</v>
      </c>
      <c r="BH52" s="309" t="s">
        <v>1525</v>
      </c>
      <c r="BI52" s="309" t="s">
        <v>1525</v>
      </c>
      <c r="BJ52" s="309" t="s">
        <v>1525</v>
      </c>
      <c r="BK52" s="309" t="s">
        <v>1525</v>
      </c>
      <c r="BL52" s="309" t="s">
        <v>1525</v>
      </c>
      <c r="BM52" s="309" t="s">
        <v>1527</v>
      </c>
      <c r="BN52" s="309" t="s">
        <v>1597</v>
      </c>
      <c r="BO52" s="309" t="s">
        <v>1597</v>
      </c>
      <c r="BP52" s="309" t="s">
        <v>1597</v>
      </c>
      <c r="BQ52" s="309" t="s">
        <v>1597</v>
      </c>
      <c r="BR52" s="309" t="s">
        <v>1597</v>
      </c>
      <c r="BS52" s="309" t="s">
        <v>1598</v>
      </c>
      <c r="BT52" s="309" t="s">
        <v>1598</v>
      </c>
      <c r="BU52" s="309" t="s">
        <v>1599</v>
      </c>
      <c r="BV52" s="309" t="s">
        <v>1600</v>
      </c>
      <c r="BW52" s="309" t="s">
        <v>1601</v>
      </c>
      <c r="BX52" s="309" t="s">
        <v>1602</v>
      </c>
      <c r="BY52" s="309" t="s">
        <v>1603</v>
      </c>
      <c r="BZ52" s="310" t="s">
        <v>1603</v>
      </c>
      <c r="CA52" s="309" t="s">
        <v>1604</v>
      </c>
      <c r="CB52" s="309" t="s">
        <v>1605</v>
      </c>
      <c r="CC52" s="309" t="s">
        <v>1494</v>
      </c>
      <c r="CD52" s="309" t="s">
        <v>1606</v>
      </c>
      <c r="CE52" s="309" t="s">
        <v>1607</v>
      </c>
      <c r="CF52" s="309" t="s">
        <v>1608</v>
      </c>
      <c r="CG52" s="309" t="s">
        <v>1608</v>
      </c>
      <c r="CH52" s="309" t="s">
        <v>1609</v>
      </c>
      <c r="CI52" s="309" t="s">
        <v>1474</v>
      </c>
      <c r="CJ52" s="309" t="s">
        <v>1474</v>
      </c>
      <c r="CK52" s="309" t="s">
        <v>1610</v>
      </c>
      <c r="CL52" s="309" t="s">
        <v>1611</v>
      </c>
      <c r="CM52" s="309" t="s">
        <v>1474</v>
      </c>
      <c r="CN52" s="309" t="s">
        <v>1474</v>
      </c>
      <c r="CO52" s="309" t="s">
        <v>1474</v>
      </c>
      <c r="CP52" s="309" t="s">
        <v>1612</v>
      </c>
      <c r="CQ52" s="313" t="s">
        <v>1613</v>
      </c>
      <c r="CR52" s="335" t="s">
        <v>1614</v>
      </c>
      <c r="CS52" s="335" t="s">
        <v>1614</v>
      </c>
      <c r="CT52" s="335" t="s">
        <v>1615</v>
      </c>
      <c r="CU52" s="335" t="s">
        <v>1616</v>
      </c>
      <c r="CV52" s="335" t="s">
        <v>1617</v>
      </c>
      <c r="CW52" s="335" t="s">
        <v>1618</v>
      </c>
      <c r="CX52" s="335" t="s">
        <v>1550</v>
      </c>
      <c r="CY52" s="335" t="s">
        <v>1550</v>
      </c>
      <c r="CZ52" s="335" t="s">
        <v>1550</v>
      </c>
      <c r="DA52" s="335" t="s">
        <v>1618</v>
      </c>
      <c r="DB52" s="335" t="s">
        <v>1552</v>
      </c>
      <c r="DC52" s="336" t="s">
        <v>1552</v>
      </c>
      <c r="DD52" s="336" t="s">
        <v>1619</v>
      </c>
      <c r="DE52" s="336" t="s">
        <v>1620</v>
      </c>
      <c r="DF52" s="336" t="s">
        <v>1621</v>
      </c>
      <c r="DG52" s="336" t="s">
        <v>1622</v>
      </c>
      <c r="DH52" s="336" t="s">
        <v>1623</v>
      </c>
      <c r="DI52" s="336" t="s">
        <v>1624</v>
      </c>
      <c r="DJ52" s="336" t="s">
        <v>1624</v>
      </c>
      <c r="DK52" s="336" t="s">
        <v>1625</v>
      </c>
      <c r="DL52" s="336" t="s">
        <v>1625</v>
      </c>
      <c r="DM52" s="336" t="s">
        <v>1626</v>
      </c>
      <c r="DN52" s="336" t="s">
        <v>1627</v>
      </c>
      <c r="DO52" s="336" t="s">
        <v>1627</v>
      </c>
      <c r="DP52" s="336" t="s">
        <v>1628</v>
      </c>
      <c r="DQ52" s="336" t="s">
        <v>1629</v>
      </c>
    </row>
    <row r="53" spans="1:121" ht="17.45" customHeight="1">
      <c r="A53" s="291" t="s">
        <v>1630</v>
      </c>
      <c r="B53" s="307" t="s">
        <v>1631</v>
      </c>
      <c r="C53" s="308" t="s">
        <v>1632</v>
      </c>
      <c r="D53" s="308" t="s">
        <v>1497</v>
      </c>
      <c r="E53" s="308" t="s">
        <v>1497</v>
      </c>
      <c r="F53" s="307" t="s">
        <v>1497</v>
      </c>
      <c r="G53" s="308" t="s">
        <v>1633</v>
      </c>
      <c r="H53" s="308" t="s">
        <v>1634</v>
      </c>
      <c r="I53" s="308" t="s">
        <v>1635</v>
      </c>
      <c r="J53" s="308" t="s">
        <v>1635</v>
      </c>
      <c r="K53" s="308" t="s">
        <v>1633</v>
      </c>
      <c r="L53" s="308" t="s">
        <v>1633</v>
      </c>
      <c r="M53" s="308" t="s">
        <v>1636</v>
      </c>
      <c r="N53" s="307" t="s">
        <v>1637</v>
      </c>
      <c r="O53" s="308" t="s">
        <v>1637</v>
      </c>
      <c r="P53" s="308" t="s">
        <v>1638</v>
      </c>
      <c r="Q53" s="307" t="s">
        <v>1639</v>
      </c>
      <c r="R53" s="308" t="s">
        <v>1639</v>
      </c>
      <c r="S53" s="308" t="s">
        <v>1640</v>
      </c>
      <c r="T53" s="309" t="s">
        <v>1641</v>
      </c>
      <c r="U53" s="309" t="s">
        <v>1642</v>
      </c>
      <c r="V53" s="309" t="s">
        <v>1643</v>
      </c>
      <c r="W53" s="309" t="s">
        <v>1644</v>
      </c>
      <c r="X53" s="309" t="s">
        <v>1644</v>
      </c>
      <c r="Y53" s="309" t="s">
        <v>1645</v>
      </c>
      <c r="Z53" s="309" t="s">
        <v>1646</v>
      </c>
      <c r="AA53" s="309" t="s">
        <v>1647</v>
      </c>
      <c r="AB53" s="309" t="s">
        <v>1648</v>
      </c>
      <c r="AC53" s="309" t="s">
        <v>1648</v>
      </c>
      <c r="AD53" s="309" t="s">
        <v>1648</v>
      </c>
      <c r="AE53" s="309" t="s">
        <v>1649</v>
      </c>
      <c r="AF53" s="309" t="s">
        <v>1649</v>
      </c>
      <c r="AG53" s="309" t="s">
        <v>1649</v>
      </c>
      <c r="AH53" s="309" t="s">
        <v>1649</v>
      </c>
      <c r="AI53" s="309" t="s">
        <v>1649</v>
      </c>
      <c r="AJ53" s="309" t="s">
        <v>1650</v>
      </c>
      <c r="AK53" s="309" t="s">
        <v>1651</v>
      </c>
      <c r="AL53" s="309" t="s">
        <v>1651</v>
      </c>
      <c r="AM53" s="309" t="s">
        <v>1652</v>
      </c>
      <c r="AN53" s="309" t="s">
        <v>1653</v>
      </c>
      <c r="AO53" s="309" t="s">
        <v>1653</v>
      </c>
      <c r="AP53" s="309" t="s">
        <v>1654</v>
      </c>
      <c r="AQ53" s="309" t="s">
        <v>1654</v>
      </c>
      <c r="AR53" s="309" t="s">
        <v>1655</v>
      </c>
      <c r="AS53" s="309" t="s">
        <v>1655</v>
      </c>
      <c r="AT53" s="309" t="s">
        <v>1655</v>
      </c>
      <c r="AU53" s="309" t="s">
        <v>1656</v>
      </c>
      <c r="AV53" s="309" t="s">
        <v>1657</v>
      </c>
      <c r="AW53" s="309" t="s">
        <v>1657</v>
      </c>
      <c r="AX53" s="309" t="s">
        <v>1657</v>
      </c>
      <c r="AY53" s="309" t="s">
        <v>1525</v>
      </c>
      <c r="AZ53" s="309" t="s">
        <v>1525</v>
      </c>
      <c r="BA53" s="309" t="s">
        <v>1525</v>
      </c>
      <c r="BB53" s="309" t="s">
        <v>1525</v>
      </c>
      <c r="BC53" s="309" t="s">
        <v>1525</v>
      </c>
      <c r="BD53" s="309" t="s">
        <v>1658</v>
      </c>
      <c r="BE53" s="309" t="s">
        <v>1525</v>
      </c>
      <c r="BF53" s="309" t="s">
        <v>1525</v>
      </c>
      <c r="BG53" s="309" t="s">
        <v>1525</v>
      </c>
      <c r="BH53" s="309" t="s">
        <v>1525</v>
      </c>
      <c r="BI53" s="309" t="s">
        <v>1658</v>
      </c>
      <c r="BJ53" s="309" t="s">
        <v>1658</v>
      </c>
      <c r="BK53" s="309" t="s">
        <v>1525</v>
      </c>
      <c r="BL53" s="309" t="s">
        <v>1659</v>
      </c>
      <c r="BM53" s="309" t="s">
        <v>1660</v>
      </c>
      <c r="BN53" s="309" t="s">
        <v>1661</v>
      </c>
      <c r="BO53" s="309" t="s">
        <v>1661</v>
      </c>
      <c r="BP53" s="309" t="s">
        <v>1661</v>
      </c>
      <c r="BQ53" s="309" t="s">
        <v>1661</v>
      </c>
      <c r="BR53" s="309" t="s">
        <v>1661</v>
      </c>
      <c r="BS53" s="309" t="s">
        <v>1662</v>
      </c>
      <c r="BT53" s="309" t="s">
        <v>1662</v>
      </c>
      <c r="BU53" s="309" t="s">
        <v>1662</v>
      </c>
      <c r="BV53" s="309" t="s">
        <v>1662</v>
      </c>
      <c r="BW53" s="309" t="s">
        <v>1663</v>
      </c>
      <c r="BX53" s="309" t="s">
        <v>1664</v>
      </c>
      <c r="BY53" s="309" t="s">
        <v>1665</v>
      </c>
      <c r="BZ53" s="310" t="s">
        <v>1665</v>
      </c>
      <c r="CA53" s="309" t="s">
        <v>1665</v>
      </c>
      <c r="CB53" s="309" t="s">
        <v>1665</v>
      </c>
      <c r="CC53" s="309" t="s">
        <v>1665</v>
      </c>
      <c r="CD53" s="309" t="s">
        <v>1666</v>
      </c>
      <c r="CE53" s="309" t="s">
        <v>1667</v>
      </c>
      <c r="CF53" s="309" t="s">
        <v>1667</v>
      </c>
      <c r="CG53" s="309" t="s">
        <v>1667</v>
      </c>
      <c r="CH53" s="309" t="s">
        <v>1668</v>
      </c>
      <c r="CI53" s="309" t="s">
        <v>1669</v>
      </c>
      <c r="CJ53" s="309" t="s">
        <v>1670</v>
      </c>
      <c r="CK53" s="309" t="s">
        <v>1671</v>
      </c>
      <c r="CL53" s="309" t="s">
        <v>1611</v>
      </c>
      <c r="CM53" s="309" t="s">
        <v>1473</v>
      </c>
      <c r="CN53" s="309" t="s">
        <v>1672</v>
      </c>
      <c r="CO53" s="309" t="s">
        <v>1673</v>
      </c>
      <c r="CP53" s="309" t="s">
        <v>1674</v>
      </c>
      <c r="CQ53" s="313" t="s">
        <v>1675</v>
      </c>
      <c r="CR53" s="335" t="s">
        <v>1676</v>
      </c>
      <c r="CS53" s="335" t="s">
        <v>1677</v>
      </c>
      <c r="CT53" s="335" t="s">
        <v>1678</v>
      </c>
      <c r="CU53" s="335" t="s">
        <v>1679</v>
      </c>
      <c r="CV53" s="335" t="s">
        <v>1550</v>
      </c>
      <c r="CW53" s="335" t="s">
        <v>1680</v>
      </c>
      <c r="CX53" s="335" t="s">
        <v>1680</v>
      </c>
      <c r="CY53" s="335" t="s">
        <v>1618</v>
      </c>
      <c r="CZ53" s="335" t="s">
        <v>1618</v>
      </c>
      <c r="DA53" s="335" t="s">
        <v>1681</v>
      </c>
      <c r="DB53" s="335" t="s">
        <v>1682</v>
      </c>
      <c r="DC53" s="336" t="s">
        <v>1683</v>
      </c>
      <c r="DD53" s="336" t="s">
        <v>1684</v>
      </c>
      <c r="DE53" s="336" t="s">
        <v>1685</v>
      </c>
      <c r="DF53" s="336" t="s">
        <v>1686</v>
      </c>
      <c r="DG53" s="336" t="s">
        <v>1687</v>
      </c>
      <c r="DH53" s="336" t="s">
        <v>1688</v>
      </c>
      <c r="DI53" s="336" t="s">
        <v>1689</v>
      </c>
      <c r="DJ53" s="336" t="s">
        <v>1690</v>
      </c>
      <c r="DK53" s="336" t="s">
        <v>1691</v>
      </c>
      <c r="DL53" s="336" t="s">
        <v>1692</v>
      </c>
      <c r="DM53" s="336" t="s">
        <v>1693</v>
      </c>
      <c r="DN53" s="336" t="s">
        <v>1694</v>
      </c>
      <c r="DO53" s="336" t="s">
        <v>1695</v>
      </c>
      <c r="DP53" s="336" t="s">
        <v>1696</v>
      </c>
      <c r="DQ53" s="336" t="s">
        <v>1697</v>
      </c>
    </row>
    <row r="54" spans="1:121" ht="17.45" customHeight="1">
      <c r="A54" s="291" t="s">
        <v>1698</v>
      </c>
      <c r="B54" s="307" t="s">
        <v>1699</v>
      </c>
      <c r="C54" s="308" t="s">
        <v>1632</v>
      </c>
      <c r="D54" s="308" t="s">
        <v>1700</v>
      </c>
      <c r="E54" s="308" t="s">
        <v>1700</v>
      </c>
      <c r="F54" s="307" t="s">
        <v>1700</v>
      </c>
      <c r="G54" s="308" t="s">
        <v>1701</v>
      </c>
      <c r="H54" s="308" t="s">
        <v>1702</v>
      </c>
      <c r="I54" s="308" t="s">
        <v>1703</v>
      </c>
      <c r="J54" s="308" t="s">
        <v>1703</v>
      </c>
      <c r="K54" s="308" t="s">
        <v>1703</v>
      </c>
      <c r="L54" s="308" t="s">
        <v>1703</v>
      </c>
      <c r="M54" s="308" t="s">
        <v>1704</v>
      </c>
      <c r="N54" s="307" t="s">
        <v>1702</v>
      </c>
      <c r="O54" s="308" t="s">
        <v>1705</v>
      </c>
      <c r="P54" s="308" t="s">
        <v>1706</v>
      </c>
      <c r="Q54" s="307" t="s">
        <v>1707</v>
      </c>
      <c r="R54" s="308" t="s">
        <v>1650</v>
      </c>
      <c r="S54" s="308" t="s">
        <v>1708</v>
      </c>
      <c r="T54" s="309" t="s">
        <v>1709</v>
      </c>
      <c r="U54" s="309" t="s">
        <v>1710</v>
      </c>
      <c r="V54" s="309" t="s">
        <v>1646</v>
      </c>
      <c r="W54" s="309" t="s">
        <v>1646</v>
      </c>
      <c r="X54" s="309" t="s">
        <v>1648</v>
      </c>
      <c r="Y54" s="309" t="s">
        <v>1648</v>
      </c>
      <c r="Z54" s="309" t="s">
        <v>1648</v>
      </c>
      <c r="AA54" s="309" t="s">
        <v>1711</v>
      </c>
      <c r="AB54" s="309" t="s">
        <v>1646</v>
      </c>
      <c r="AC54" s="309" t="s">
        <v>1646</v>
      </c>
      <c r="AD54" s="309" t="s">
        <v>1646</v>
      </c>
      <c r="AE54" s="309" t="s">
        <v>1712</v>
      </c>
      <c r="AF54" s="309" t="s">
        <v>1713</v>
      </c>
      <c r="AG54" s="309" t="s">
        <v>1714</v>
      </c>
      <c r="AH54" s="309" t="s">
        <v>1715</v>
      </c>
      <c r="AI54" s="309" t="s">
        <v>1715</v>
      </c>
      <c r="AJ54" s="309" t="s">
        <v>1716</v>
      </c>
      <c r="AK54" s="309" t="s">
        <v>1717</v>
      </c>
      <c r="AL54" s="309" t="s">
        <v>1717</v>
      </c>
      <c r="AM54" s="309" t="s">
        <v>1717</v>
      </c>
      <c r="AN54" s="309" t="s">
        <v>1718</v>
      </c>
      <c r="AO54" s="309" t="s">
        <v>1718</v>
      </c>
      <c r="AP54" s="309" t="s">
        <v>1718</v>
      </c>
      <c r="AQ54" s="309" t="s">
        <v>1654</v>
      </c>
      <c r="AR54" s="309" t="s">
        <v>1718</v>
      </c>
      <c r="AS54" s="309" t="s">
        <v>1719</v>
      </c>
      <c r="AT54" s="309" t="s">
        <v>1719</v>
      </c>
      <c r="AU54" s="309" t="s">
        <v>1720</v>
      </c>
      <c r="AV54" s="309" t="s">
        <v>1721</v>
      </c>
      <c r="AW54" s="309" t="s">
        <v>1721</v>
      </c>
      <c r="AX54" s="309" t="s">
        <v>1721</v>
      </c>
      <c r="AY54" s="309" t="s">
        <v>1525</v>
      </c>
      <c r="AZ54" s="309" t="s">
        <v>1525</v>
      </c>
      <c r="BA54" s="309" t="s">
        <v>1525</v>
      </c>
      <c r="BB54" s="309" t="s">
        <v>1525</v>
      </c>
      <c r="BC54" s="309" t="s">
        <v>1525</v>
      </c>
      <c r="BD54" s="309" t="s">
        <v>1526</v>
      </c>
      <c r="BE54" s="309" t="s">
        <v>1659</v>
      </c>
      <c r="BF54" s="309" t="s">
        <v>1659</v>
      </c>
      <c r="BG54" s="309" t="s">
        <v>1658</v>
      </c>
      <c r="BH54" s="309" t="s">
        <v>1658</v>
      </c>
      <c r="BI54" s="309" t="s">
        <v>1658</v>
      </c>
      <c r="BJ54" s="309" t="s">
        <v>1658</v>
      </c>
      <c r="BK54" s="309" t="s">
        <v>1658</v>
      </c>
      <c r="BL54" s="309" t="s">
        <v>1722</v>
      </c>
      <c r="BM54" s="309" t="s">
        <v>1723</v>
      </c>
      <c r="BN54" s="309" t="s">
        <v>1660</v>
      </c>
      <c r="BO54" s="309" t="s">
        <v>1525</v>
      </c>
      <c r="BP54" s="309" t="s">
        <v>1525</v>
      </c>
      <c r="BQ54" s="309" t="s">
        <v>1525</v>
      </c>
      <c r="BR54" s="309" t="s">
        <v>1525</v>
      </c>
      <c r="BS54" s="309" t="s">
        <v>1525</v>
      </c>
      <c r="BT54" s="309" t="s">
        <v>1525</v>
      </c>
      <c r="BU54" s="309" t="s">
        <v>1525</v>
      </c>
      <c r="BV54" s="309" t="s">
        <v>1658</v>
      </c>
      <c r="BW54" s="309" t="s">
        <v>1724</v>
      </c>
      <c r="BX54" s="309" t="s">
        <v>1725</v>
      </c>
      <c r="BY54" s="309" t="s">
        <v>1724</v>
      </c>
      <c r="BZ54" s="310" t="s">
        <v>1658</v>
      </c>
      <c r="CA54" s="309" t="s">
        <v>1658</v>
      </c>
      <c r="CB54" s="309" t="s">
        <v>1658</v>
      </c>
      <c r="CC54" s="309" t="s">
        <v>1658</v>
      </c>
      <c r="CD54" s="309" t="s">
        <v>1726</v>
      </c>
      <c r="CE54" s="309" t="s">
        <v>1726</v>
      </c>
      <c r="CF54" s="309" t="s">
        <v>1726</v>
      </c>
      <c r="CG54" s="309" t="s">
        <v>1726</v>
      </c>
      <c r="CH54" s="309" t="s">
        <v>1727</v>
      </c>
      <c r="CI54" s="333" t="s">
        <v>1728</v>
      </c>
      <c r="CJ54" s="333" t="s">
        <v>1728</v>
      </c>
      <c r="CK54" s="333" t="s">
        <v>1727</v>
      </c>
      <c r="CL54" s="333" t="s">
        <v>1727</v>
      </c>
      <c r="CM54" s="333" t="s">
        <v>1727</v>
      </c>
      <c r="CN54" s="333" t="s">
        <v>1727</v>
      </c>
      <c r="CO54" s="333" t="s">
        <v>1729</v>
      </c>
      <c r="CP54" s="333" t="s">
        <v>1729</v>
      </c>
      <c r="CQ54" s="313" t="s">
        <v>1729</v>
      </c>
      <c r="CR54" s="355" t="s">
        <v>1729</v>
      </c>
      <c r="CS54" s="355" t="s">
        <v>1730</v>
      </c>
      <c r="CT54" s="355" t="s">
        <v>1729</v>
      </c>
      <c r="CU54" s="355" t="s">
        <v>1731</v>
      </c>
      <c r="CV54" s="355" t="s">
        <v>1732</v>
      </c>
      <c r="CW54" s="355" t="s">
        <v>1733</v>
      </c>
      <c r="CX54" s="355" t="s">
        <v>1733</v>
      </c>
      <c r="CY54" s="355" t="s">
        <v>1734</v>
      </c>
      <c r="CZ54" s="355" t="s">
        <v>1734</v>
      </c>
      <c r="DA54" s="355" t="s">
        <v>1735</v>
      </c>
      <c r="DB54" s="355" t="s">
        <v>1687</v>
      </c>
      <c r="DC54" s="356" t="s">
        <v>1736</v>
      </c>
      <c r="DD54" s="356" t="s">
        <v>1737</v>
      </c>
      <c r="DE54" s="356" t="s">
        <v>1738</v>
      </c>
      <c r="DF54" s="356" t="s">
        <v>1738</v>
      </c>
      <c r="DG54" s="356" t="s">
        <v>1739</v>
      </c>
      <c r="DH54" s="356" t="s">
        <v>1740</v>
      </c>
      <c r="DI54" s="356" t="s">
        <v>1741</v>
      </c>
      <c r="DJ54" s="356" t="s">
        <v>1742</v>
      </c>
      <c r="DK54" s="356" t="s">
        <v>1743</v>
      </c>
      <c r="DL54" s="356" t="s">
        <v>1743</v>
      </c>
      <c r="DM54" s="356" t="s">
        <v>1744</v>
      </c>
      <c r="DN54" s="356" t="s">
        <v>1604</v>
      </c>
      <c r="DO54" s="356" t="s">
        <v>1745</v>
      </c>
      <c r="DP54" s="356" t="s">
        <v>1746</v>
      </c>
      <c r="DQ54" s="356" t="s">
        <v>1599</v>
      </c>
    </row>
    <row r="55" spans="1:121" ht="17.45" customHeight="1">
      <c r="A55" s="291" t="s">
        <v>1747</v>
      </c>
      <c r="B55" s="307" t="s">
        <v>1748</v>
      </c>
      <c r="C55" s="308" t="s">
        <v>1749</v>
      </c>
      <c r="D55" s="308" t="s">
        <v>1750</v>
      </c>
      <c r="E55" s="308" t="s">
        <v>1702</v>
      </c>
      <c r="F55" s="307" t="s">
        <v>1702</v>
      </c>
      <c r="G55" s="308" t="s">
        <v>1751</v>
      </c>
      <c r="H55" s="308" t="s">
        <v>1752</v>
      </c>
      <c r="I55" s="308" t="s">
        <v>1753</v>
      </c>
      <c r="J55" s="308" t="s">
        <v>1751</v>
      </c>
      <c r="K55" s="308" t="s">
        <v>1751</v>
      </c>
      <c r="L55" s="308" t="s">
        <v>1751</v>
      </c>
      <c r="M55" s="308" t="s">
        <v>1751</v>
      </c>
      <c r="N55" s="307" t="s">
        <v>1750</v>
      </c>
      <c r="O55" s="308" t="s">
        <v>1750</v>
      </c>
      <c r="P55" s="308" t="s">
        <v>1754</v>
      </c>
      <c r="Q55" s="307" t="s">
        <v>1645</v>
      </c>
      <c r="R55" s="308" t="s">
        <v>1645</v>
      </c>
      <c r="S55" s="308" t="s">
        <v>1755</v>
      </c>
      <c r="T55" s="309" t="s">
        <v>1646</v>
      </c>
      <c r="U55" s="309" t="s">
        <v>1648</v>
      </c>
      <c r="V55" s="309" t="s">
        <v>1648</v>
      </c>
      <c r="W55" s="309" t="s">
        <v>1648</v>
      </c>
      <c r="X55" s="309" t="s">
        <v>1756</v>
      </c>
      <c r="Y55" s="309" t="s">
        <v>1757</v>
      </c>
      <c r="Z55" s="309" t="s">
        <v>1757</v>
      </c>
      <c r="AA55" s="309" t="s">
        <v>1758</v>
      </c>
      <c r="AB55" s="309" t="s">
        <v>1646</v>
      </c>
      <c r="AC55" s="309" t="s">
        <v>1646</v>
      </c>
      <c r="AD55" s="309" t="s">
        <v>1646</v>
      </c>
      <c r="AE55" s="309" t="s">
        <v>1755</v>
      </c>
      <c r="AF55" s="309" t="s">
        <v>1755</v>
      </c>
      <c r="AG55" s="309" t="s">
        <v>1755</v>
      </c>
      <c r="AH55" s="309" t="s">
        <v>1755</v>
      </c>
      <c r="AI55" s="309" t="s">
        <v>1759</v>
      </c>
      <c r="AJ55" s="309" t="s">
        <v>1760</v>
      </c>
      <c r="AK55" s="309" t="s">
        <v>1761</v>
      </c>
      <c r="AL55" s="309" t="s">
        <v>1762</v>
      </c>
      <c r="AM55" s="309" t="s">
        <v>1763</v>
      </c>
      <c r="AN55" s="309" t="s">
        <v>1763</v>
      </c>
      <c r="AO55" s="309" t="s">
        <v>1763</v>
      </c>
      <c r="AP55" s="309" t="s">
        <v>1762</v>
      </c>
      <c r="AQ55" s="309" t="s">
        <v>1764</v>
      </c>
      <c r="AR55" s="309" t="s">
        <v>1765</v>
      </c>
      <c r="AS55" s="309" t="s">
        <v>1765</v>
      </c>
      <c r="AT55" s="309" t="s">
        <v>1765</v>
      </c>
      <c r="AU55" s="309" t="s">
        <v>1766</v>
      </c>
      <c r="AV55" s="309" t="s">
        <v>1766</v>
      </c>
      <c r="AW55" s="309" t="s">
        <v>1766</v>
      </c>
      <c r="AX55" s="309" t="s">
        <v>1766</v>
      </c>
      <c r="AY55" s="309" t="s">
        <v>1766</v>
      </c>
      <c r="AZ55" s="309" t="s">
        <v>1766</v>
      </c>
      <c r="BA55" s="309" t="s">
        <v>1766</v>
      </c>
      <c r="BB55" s="309" t="s">
        <v>1766</v>
      </c>
      <c r="BC55" s="309" t="s">
        <v>1766</v>
      </c>
      <c r="BD55" s="309" t="s">
        <v>1766</v>
      </c>
      <c r="BE55" s="309" t="s">
        <v>1725</v>
      </c>
      <c r="BF55" s="309" t="s">
        <v>1725</v>
      </c>
      <c r="BG55" s="309" t="s">
        <v>1767</v>
      </c>
      <c r="BH55" s="309" t="s">
        <v>1767</v>
      </c>
      <c r="BI55" s="309" t="s">
        <v>1525</v>
      </c>
      <c r="BJ55" s="309" t="s">
        <v>1525</v>
      </c>
      <c r="BK55" s="309" t="s">
        <v>1725</v>
      </c>
      <c r="BL55" s="309" t="s">
        <v>1725</v>
      </c>
      <c r="BM55" s="309" t="s">
        <v>1768</v>
      </c>
      <c r="BN55" s="309" t="s">
        <v>1769</v>
      </c>
      <c r="BO55" s="309" t="s">
        <v>1769</v>
      </c>
      <c r="BP55" s="309" t="s">
        <v>1770</v>
      </c>
      <c r="BQ55" s="309" t="s">
        <v>1771</v>
      </c>
      <c r="BR55" s="309" t="s">
        <v>1771</v>
      </c>
      <c r="BS55" s="309" t="s">
        <v>1771</v>
      </c>
      <c r="BT55" s="309" t="s">
        <v>1771</v>
      </c>
      <c r="BU55" s="309" t="s">
        <v>1768</v>
      </c>
      <c r="BV55" s="309" t="s">
        <v>1768</v>
      </c>
      <c r="BW55" s="309" t="s">
        <v>1772</v>
      </c>
      <c r="BX55" s="309" t="s">
        <v>1772</v>
      </c>
      <c r="BY55" s="309" t="s">
        <v>1772</v>
      </c>
      <c r="BZ55" s="310" t="s">
        <v>1773</v>
      </c>
      <c r="CA55" s="309" t="s">
        <v>1527</v>
      </c>
      <c r="CB55" s="309" t="s">
        <v>1527</v>
      </c>
      <c r="CC55" s="309" t="s">
        <v>1773</v>
      </c>
      <c r="CD55" s="309" t="s">
        <v>1527</v>
      </c>
      <c r="CE55" s="309" t="s">
        <v>1723</v>
      </c>
      <c r="CF55" s="309" t="s">
        <v>1774</v>
      </c>
      <c r="CG55" s="309" t="s">
        <v>1774</v>
      </c>
      <c r="CH55" s="309" t="s">
        <v>1775</v>
      </c>
      <c r="CI55" s="309" t="s">
        <v>1773</v>
      </c>
      <c r="CJ55" s="309" t="s">
        <v>1773</v>
      </c>
      <c r="CK55" s="309" t="s">
        <v>1775</v>
      </c>
      <c r="CL55" s="309" t="s">
        <v>1775</v>
      </c>
      <c r="CM55" s="309" t="s">
        <v>1597</v>
      </c>
      <c r="CN55" s="309" t="s">
        <v>1597</v>
      </c>
      <c r="CO55" s="309" t="s">
        <v>1776</v>
      </c>
      <c r="CP55" s="309" t="s">
        <v>1777</v>
      </c>
      <c r="CQ55" s="313" t="s">
        <v>1777</v>
      </c>
      <c r="CR55" s="335" t="s">
        <v>1778</v>
      </c>
      <c r="CS55" s="335" t="s">
        <v>1778</v>
      </c>
      <c r="CT55" s="335" t="s">
        <v>1779</v>
      </c>
      <c r="CU55" s="335" t="s">
        <v>1780</v>
      </c>
      <c r="CV55" s="335" t="s">
        <v>1734</v>
      </c>
      <c r="CW55" s="335" t="s">
        <v>1781</v>
      </c>
      <c r="CX55" s="335" t="s">
        <v>1735</v>
      </c>
      <c r="CY55" s="335" t="s">
        <v>1687</v>
      </c>
      <c r="CZ55" s="335" t="s">
        <v>1687</v>
      </c>
      <c r="DA55" s="335" t="s">
        <v>1736</v>
      </c>
      <c r="DB55" s="335" t="s">
        <v>1782</v>
      </c>
      <c r="DC55" s="336" t="s">
        <v>1738</v>
      </c>
      <c r="DD55" s="336" t="s">
        <v>1783</v>
      </c>
      <c r="DE55" s="336" t="s">
        <v>1739</v>
      </c>
      <c r="DF55" s="336" t="s">
        <v>1784</v>
      </c>
      <c r="DG55" s="336" t="s">
        <v>1785</v>
      </c>
      <c r="DH55" s="336" t="s">
        <v>1785</v>
      </c>
      <c r="DI55" s="336" t="s">
        <v>1786</v>
      </c>
      <c r="DJ55" s="336" t="s">
        <v>1787</v>
      </c>
      <c r="DK55" s="336" t="s">
        <v>1787</v>
      </c>
      <c r="DL55" s="336" t="s">
        <v>1785</v>
      </c>
      <c r="DM55" s="336" t="s">
        <v>1785</v>
      </c>
      <c r="DN55" s="336" t="s">
        <v>1785</v>
      </c>
      <c r="DO55" s="336" t="s">
        <v>1788</v>
      </c>
      <c r="DP55" s="336" t="s">
        <v>1789</v>
      </c>
      <c r="DQ55" s="336" t="s">
        <v>1482</v>
      </c>
    </row>
    <row r="56" spans="1:121" ht="17.45" customHeight="1">
      <c r="A56" s="291" t="s">
        <v>1790</v>
      </c>
      <c r="B56" s="307" t="s">
        <v>1791</v>
      </c>
      <c r="C56" s="308" t="s">
        <v>1791</v>
      </c>
      <c r="D56" s="308" t="s">
        <v>1792</v>
      </c>
      <c r="E56" s="308" t="s">
        <v>1792</v>
      </c>
      <c r="F56" s="307" t="s">
        <v>1792</v>
      </c>
      <c r="G56" s="308" t="s">
        <v>1793</v>
      </c>
      <c r="H56" s="308" t="s">
        <v>1794</v>
      </c>
      <c r="I56" s="308" t="s">
        <v>1655</v>
      </c>
      <c r="J56" s="308" t="s">
        <v>1792</v>
      </c>
      <c r="K56" s="308" t="s">
        <v>1792</v>
      </c>
      <c r="L56" s="308" t="s">
        <v>1792</v>
      </c>
      <c r="M56" s="308" t="s">
        <v>1792</v>
      </c>
      <c r="N56" s="307" t="s">
        <v>1795</v>
      </c>
      <c r="O56" s="308" t="s">
        <v>1792</v>
      </c>
      <c r="P56" s="308" t="s">
        <v>1654</v>
      </c>
      <c r="Q56" s="307" t="s">
        <v>1718</v>
      </c>
      <c r="R56" s="308" t="s">
        <v>1764</v>
      </c>
      <c r="S56" s="308" t="s">
        <v>1796</v>
      </c>
      <c r="T56" s="309" t="s">
        <v>1797</v>
      </c>
      <c r="U56" s="309" t="s">
        <v>1798</v>
      </c>
      <c r="V56" s="309" t="s">
        <v>1798</v>
      </c>
      <c r="W56" s="309" t="s">
        <v>1797</v>
      </c>
      <c r="X56" s="309" t="s">
        <v>1764</v>
      </c>
      <c r="Y56" s="309" t="s">
        <v>1764</v>
      </c>
      <c r="Z56" s="309" t="s">
        <v>1799</v>
      </c>
      <c r="AA56" s="309" t="s">
        <v>1800</v>
      </c>
      <c r="AB56" s="309" t="s">
        <v>1764</v>
      </c>
      <c r="AC56" s="309" t="s">
        <v>1764</v>
      </c>
      <c r="AD56" s="309" t="s">
        <v>1764</v>
      </c>
      <c r="AE56" s="309" t="s">
        <v>1801</v>
      </c>
      <c r="AF56" s="309" t="s">
        <v>1801</v>
      </c>
      <c r="AG56" s="309" t="s">
        <v>1802</v>
      </c>
      <c r="AH56" s="309" t="s">
        <v>1800</v>
      </c>
      <c r="AI56" s="309" t="s">
        <v>1764</v>
      </c>
      <c r="AJ56" s="309" t="s">
        <v>1764</v>
      </c>
      <c r="AK56" s="309" t="s">
        <v>1764</v>
      </c>
      <c r="AL56" s="309" t="s">
        <v>1803</v>
      </c>
      <c r="AM56" s="309" t="s">
        <v>1804</v>
      </c>
      <c r="AN56" s="309" t="s">
        <v>1805</v>
      </c>
      <c r="AO56" s="309" t="s">
        <v>1805</v>
      </c>
      <c r="AP56" s="309" t="s">
        <v>1806</v>
      </c>
      <c r="AQ56" s="309" t="s">
        <v>1807</v>
      </c>
      <c r="AR56" s="309" t="s">
        <v>1807</v>
      </c>
      <c r="AS56" s="309" t="s">
        <v>1808</v>
      </c>
      <c r="AT56" s="309" t="s">
        <v>1792</v>
      </c>
      <c r="AU56" s="309" t="s">
        <v>1809</v>
      </c>
      <c r="AV56" s="309" t="s">
        <v>1810</v>
      </c>
      <c r="AW56" s="309" t="s">
        <v>1810</v>
      </c>
      <c r="AX56" s="309" t="s">
        <v>1810</v>
      </c>
      <c r="AY56" s="309" t="s">
        <v>1810</v>
      </c>
      <c r="AZ56" s="309" t="s">
        <v>1811</v>
      </c>
      <c r="BA56" s="309" t="s">
        <v>1812</v>
      </c>
      <c r="BB56" s="309" t="s">
        <v>1813</v>
      </c>
      <c r="BC56" s="309" t="s">
        <v>1813</v>
      </c>
      <c r="BD56" s="309" t="s">
        <v>1814</v>
      </c>
      <c r="BE56" s="309" t="s">
        <v>1815</v>
      </c>
      <c r="BF56" s="309" t="s">
        <v>1815</v>
      </c>
      <c r="BG56" s="309" t="s">
        <v>1815</v>
      </c>
      <c r="BH56" s="309" t="s">
        <v>1814</v>
      </c>
      <c r="BI56" s="309" t="s">
        <v>1816</v>
      </c>
      <c r="BJ56" s="309" t="s">
        <v>1816</v>
      </c>
      <c r="BK56" s="309" t="s">
        <v>1721</v>
      </c>
      <c r="BL56" s="309" t="s">
        <v>1800</v>
      </c>
      <c r="BM56" s="309" t="s">
        <v>1817</v>
      </c>
      <c r="BN56" s="309" t="s">
        <v>1809</v>
      </c>
      <c r="BO56" s="309" t="s">
        <v>1809</v>
      </c>
      <c r="BP56" s="309" t="s">
        <v>1809</v>
      </c>
      <c r="BQ56" s="309" t="s">
        <v>1809</v>
      </c>
      <c r="BR56" s="309" t="s">
        <v>1809</v>
      </c>
      <c r="BS56" s="309" t="s">
        <v>1809</v>
      </c>
      <c r="BT56" s="309" t="s">
        <v>1809</v>
      </c>
      <c r="BU56" s="309" t="s">
        <v>1809</v>
      </c>
      <c r="BV56" s="309" t="s">
        <v>1809</v>
      </c>
      <c r="BW56" s="309" t="s">
        <v>1818</v>
      </c>
      <c r="BX56" s="309" t="s">
        <v>1818</v>
      </c>
      <c r="BY56" s="309" t="s">
        <v>1818</v>
      </c>
      <c r="BZ56" s="310" t="s">
        <v>1818</v>
      </c>
      <c r="CA56" s="309" t="s">
        <v>1818</v>
      </c>
      <c r="CB56" s="309" t="s">
        <v>1818</v>
      </c>
      <c r="CC56" s="309" t="s">
        <v>1818</v>
      </c>
      <c r="CD56" s="309" t="s">
        <v>1819</v>
      </c>
      <c r="CE56" s="309" t="s">
        <v>1820</v>
      </c>
      <c r="CF56" s="309" t="s">
        <v>1819</v>
      </c>
      <c r="CG56" s="309" t="s">
        <v>1819</v>
      </c>
      <c r="CH56" s="309" t="s">
        <v>1772</v>
      </c>
      <c r="CI56" s="309" t="s">
        <v>1772</v>
      </c>
      <c r="CJ56" s="309" t="s">
        <v>1772</v>
      </c>
      <c r="CK56" s="309" t="s">
        <v>1660</v>
      </c>
      <c r="CL56" s="309" t="s">
        <v>1527</v>
      </c>
      <c r="CM56" s="309" t="s">
        <v>1821</v>
      </c>
      <c r="CN56" s="309" t="s">
        <v>1821</v>
      </c>
      <c r="CO56" s="309" t="s">
        <v>1821</v>
      </c>
      <c r="CP56" s="309" t="s">
        <v>1821</v>
      </c>
      <c r="CQ56" s="313" t="s">
        <v>1821</v>
      </c>
      <c r="CR56" s="335" t="s">
        <v>1821</v>
      </c>
      <c r="CS56" s="335" t="s">
        <v>1821</v>
      </c>
      <c r="CT56" s="335" t="s">
        <v>1822</v>
      </c>
      <c r="CU56" s="335" t="s">
        <v>1822</v>
      </c>
      <c r="CV56" s="335" t="s">
        <v>1823</v>
      </c>
      <c r="CW56" s="335" t="s">
        <v>1823</v>
      </c>
      <c r="CX56" s="335" t="s">
        <v>1824</v>
      </c>
      <c r="CY56" s="335" t="s">
        <v>1825</v>
      </c>
      <c r="CZ56" s="335" t="s">
        <v>1825</v>
      </c>
      <c r="DA56" s="335" t="s">
        <v>1825</v>
      </c>
      <c r="DB56" s="335" t="s">
        <v>1825</v>
      </c>
      <c r="DC56" s="336" t="s">
        <v>1783</v>
      </c>
      <c r="DD56" s="336" t="s">
        <v>1731</v>
      </c>
      <c r="DE56" s="336" t="s">
        <v>1826</v>
      </c>
      <c r="DF56" s="336" t="s">
        <v>1827</v>
      </c>
      <c r="DG56" s="336" t="s">
        <v>1827</v>
      </c>
      <c r="DH56" s="336" t="s">
        <v>1828</v>
      </c>
      <c r="DI56" s="336" t="s">
        <v>1829</v>
      </c>
      <c r="DJ56" s="336" t="s">
        <v>1830</v>
      </c>
      <c r="DK56" s="336" t="s">
        <v>1831</v>
      </c>
      <c r="DL56" s="336" t="s">
        <v>1831</v>
      </c>
      <c r="DM56" s="336" t="s">
        <v>1832</v>
      </c>
      <c r="DN56" s="336" t="s">
        <v>1833</v>
      </c>
      <c r="DO56" s="336" t="s">
        <v>1833</v>
      </c>
      <c r="DP56" s="336" t="s">
        <v>1834</v>
      </c>
      <c r="DQ56" s="336" t="s">
        <v>1834</v>
      </c>
    </row>
    <row r="57" spans="1:121" ht="17.45" customHeight="1">
      <c r="A57" s="291" t="s">
        <v>1835</v>
      </c>
      <c r="B57" s="307" t="s">
        <v>1836</v>
      </c>
      <c r="C57" s="308" t="s">
        <v>1635</v>
      </c>
      <c r="D57" s="308" t="s">
        <v>1634</v>
      </c>
      <c r="E57" s="308" t="s">
        <v>1655</v>
      </c>
      <c r="F57" s="307" t="s">
        <v>1655</v>
      </c>
      <c r="G57" s="308" t="s">
        <v>1655</v>
      </c>
      <c r="H57" s="308" t="s">
        <v>1837</v>
      </c>
      <c r="I57" s="308" t="s">
        <v>1655</v>
      </c>
      <c r="J57" s="308" t="s">
        <v>1655</v>
      </c>
      <c r="K57" s="308" t="s">
        <v>1655</v>
      </c>
      <c r="L57" s="308" t="s">
        <v>1655</v>
      </c>
      <c r="M57" s="308" t="s">
        <v>1655</v>
      </c>
      <c r="N57" s="307" t="s">
        <v>1655</v>
      </c>
      <c r="O57" s="308" t="s">
        <v>1655</v>
      </c>
      <c r="P57" s="308" t="s">
        <v>1838</v>
      </c>
      <c r="Q57" s="307" t="s">
        <v>1765</v>
      </c>
      <c r="R57" s="308" t="s">
        <v>1765</v>
      </c>
      <c r="S57" s="308" t="s">
        <v>1839</v>
      </c>
      <c r="T57" s="309" t="s">
        <v>1798</v>
      </c>
      <c r="U57" s="309" t="s">
        <v>1840</v>
      </c>
      <c r="V57" s="309" t="s">
        <v>1798</v>
      </c>
      <c r="W57" s="309" t="s">
        <v>1798</v>
      </c>
      <c r="X57" s="309" t="s">
        <v>1798</v>
      </c>
      <c r="Y57" s="309" t="s">
        <v>1841</v>
      </c>
      <c r="Z57" s="309" t="s">
        <v>1842</v>
      </c>
      <c r="AA57" s="309" t="s">
        <v>1843</v>
      </c>
      <c r="AB57" s="309" t="s">
        <v>1843</v>
      </c>
      <c r="AC57" s="309" t="s">
        <v>1843</v>
      </c>
      <c r="AD57" s="309" t="s">
        <v>1843</v>
      </c>
      <c r="AE57" s="309" t="s">
        <v>1797</v>
      </c>
      <c r="AF57" s="309" t="s">
        <v>1797</v>
      </c>
      <c r="AG57" s="309" t="s">
        <v>1802</v>
      </c>
      <c r="AH57" s="309" t="s">
        <v>1802</v>
      </c>
      <c r="AI57" s="309" t="s">
        <v>1593</v>
      </c>
      <c r="AJ57" s="309" t="s">
        <v>1844</v>
      </c>
      <c r="AK57" s="309" t="s">
        <v>1844</v>
      </c>
      <c r="AL57" s="309" t="s">
        <v>1845</v>
      </c>
      <c r="AM57" s="309" t="s">
        <v>1845</v>
      </c>
      <c r="AN57" s="309" t="s">
        <v>1845</v>
      </c>
      <c r="AO57" s="309" t="s">
        <v>1845</v>
      </c>
      <c r="AP57" s="309" t="s">
        <v>1844</v>
      </c>
      <c r="AQ57" s="309" t="s">
        <v>1846</v>
      </c>
      <c r="AR57" s="309" t="s">
        <v>1846</v>
      </c>
      <c r="AS57" s="309" t="s">
        <v>1846</v>
      </c>
      <c r="AT57" s="309" t="s">
        <v>1846</v>
      </c>
      <c r="AU57" s="309" t="s">
        <v>1847</v>
      </c>
      <c r="AV57" s="309" t="s">
        <v>1847</v>
      </c>
      <c r="AW57" s="309" t="s">
        <v>1847</v>
      </c>
      <c r="AX57" s="309" t="s">
        <v>1847</v>
      </c>
      <c r="AY57" s="309" t="s">
        <v>1847</v>
      </c>
      <c r="AZ57" s="309" t="s">
        <v>1848</v>
      </c>
      <c r="BA57" s="309" t="s">
        <v>1848</v>
      </c>
      <c r="BB57" s="309" t="s">
        <v>1848</v>
      </c>
      <c r="BC57" s="309" t="s">
        <v>1848</v>
      </c>
      <c r="BD57" s="309" t="s">
        <v>1848</v>
      </c>
      <c r="BE57" s="309" t="s">
        <v>1656</v>
      </c>
      <c r="BF57" s="309" t="s">
        <v>1656</v>
      </c>
      <c r="BG57" s="309" t="s">
        <v>1656</v>
      </c>
      <c r="BH57" s="309" t="s">
        <v>1849</v>
      </c>
      <c r="BI57" s="309" t="s">
        <v>1850</v>
      </c>
      <c r="BJ57" s="309" t="s">
        <v>1519</v>
      </c>
      <c r="BK57" s="309" t="s">
        <v>1519</v>
      </c>
      <c r="BL57" s="309" t="s">
        <v>1519</v>
      </c>
      <c r="BM57" s="309" t="s">
        <v>1656</v>
      </c>
      <c r="BN57" s="309" t="s">
        <v>1519</v>
      </c>
      <c r="BO57" s="309" t="s">
        <v>1851</v>
      </c>
      <c r="BP57" s="309" t="s">
        <v>1852</v>
      </c>
      <c r="BQ57" s="309" t="s">
        <v>1852</v>
      </c>
      <c r="BR57" s="309" t="s">
        <v>1655</v>
      </c>
      <c r="BS57" s="309" t="s">
        <v>1655</v>
      </c>
      <c r="BT57" s="309" t="s">
        <v>1655</v>
      </c>
      <c r="BU57" s="309" t="s">
        <v>1655</v>
      </c>
      <c r="BV57" s="309" t="s">
        <v>1655</v>
      </c>
      <c r="BW57" s="309" t="s">
        <v>1853</v>
      </c>
      <c r="BX57" s="309" t="s">
        <v>1853</v>
      </c>
      <c r="BY57" s="309" t="s">
        <v>1853</v>
      </c>
      <c r="BZ57" s="310" t="s">
        <v>1853</v>
      </c>
      <c r="CA57" s="309" t="s">
        <v>1853</v>
      </c>
      <c r="CB57" s="309" t="s">
        <v>1853</v>
      </c>
      <c r="CC57" s="309" t="s">
        <v>1853</v>
      </c>
      <c r="CD57" s="309" t="s">
        <v>1850</v>
      </c>
      <c r="CE57" s="309" t="s">
        <v>1854</v>
      </c>
      <c r="CF57" s="309" t="s">
        <v>1854</v>
      </c>
      <c r="CG57" s="309" t="s">
        <v>1854</v>
      </c>
      <c r="CH57" s="309" t="s">
        <v>1818</v>
      </c>
      <c r="CI57" s="309" t="s">
        <v>1818</v>
      </c>
      <c r="CJ57" s="309" t="s">
        <v>1818</v>
      </c>
      <c r="CK57" s="309" t="s">
        <v>1661</v>
      </c>
      <c r="CL57" s="309" t="s">
        <v>1855</v>
      </c>
      <c r="CM57" s="309" t="s">
        <v>1856</v>
      </c>
      <c r="CN57" s="309" t="s">
        <v>1857</v>
      </c>
      <c r="CO57" s="309" t="s">
        <v>1858</v>
      </c>
      <c r="CP57" s="309" t="s">
        <v>1857</v>
      </c>
      <c r="CQ57" s="313" t="s">
        <v>1857</v>
      </c>
      <c r="CR57" s="335" t="s">
        <v>1856</v>
      </c>
      <c r="CS57" s="335" t="s">
        <v>1856</v>
      </c>
      <c r="CT57" s="335" t="s">
        <v>1859</v>
      </c>
      <c r="CU57" s="335" t="s">
        <v>1783</v>
      </c>
      <c r="CV57" s="335" t="s">
        <v>1825</v>
      </c>
      <c r="CW57" s="335" t="s">
        <v>1738</v>
      </c>
      <c r="CX57" s="335" t="s">
        <v>1738</v>
      </c>
      <c r="CY57" s="335" t="s">
        <v>1826</v>
      </c>
      <c r="CZ57" s="335" t="s">
        <v>1860</v>
      </c>
      <c r="DA57" s="335" t="s">
        <v>1861</v>
      </c>
      <c r="DB57" s="335" t="s">
        <v>1862</v>
      </c>
      <c r="DC57" s="336" t="s">
        <v>1828</v>
      </c>
      <c r="DD57" s="336" t="s">
        <v>1828</v>
      </c>
      <c r="DE57" s="336" t="s">
        <v>1830</v>
      </c>
      <c r="DF57" s="336" t="s">
        <v>1863</v>
      </c>
      <c r="DG57" s="336" t="s">
        <v>1832</v>
      </c>
      <c r="DH57" s="336" t="s">
        <v>1864</v>
      </c>
      <c r="DI57" s="336" t="s">
        <v>1865</v>
      </c>
      <c r="DJ57" s="336" t="s">
        <v>1832</v>
      </c>
      <c r="DK57" s="336" t="s">
        <v>1866</v>
      </c>
      <c r="DL57" s="336" t="s">
        <v>1867</v>
      </c>
      <c r="DM57" s="336" t="s">
        <v>1868</v>
      </c>
      <c r="DN57" s="336" t="s">
        <v>1869</v>
      </c>
      <c r="DO57" s="336" t="s">
        <v>1870</v>
      </c>
      <c r="DP57" s="336" t="s">
        <v>1871</v>
      </c>
      <c r="DQ57" s="336" t="s">
        <v>1872</v>
      </c>
    </row>
    <row r="58" spans="1:121" ht="17.45" customHeight="1">
      <c r="A58" s="291" t="s">
        <v>1873</v>
      </c>
      <c r="B58" s="307" t="s">
        <v>1874</v>
      </c>
      <c r="C58" s="308" t="s">
        <v>1764</v>
      </c>
      <c r="D58" s="308" t="s">
        <v>1719</v>
      </c>
      <c r="E58" s="308" t="s">
        <v>1719</v>
      </c>
      <c r="F58" s="307" t="s">
        <v>1719</v>
      </c>
      <c r="G58" s="308" t="s">
        <v>1801</v>
      </c>
      <c r="H58" s="308" t="s">
        <v>1801</v>
      </c>
      <c r="I58" s="308" t="s">
        <v>1801</v>
      </c>
      <c r="J58" s="308" t="s">
        <v>1801</v>
      </c>
      <c r="K58" s="308" t="s">
        <v>1801</v>
      </c>
      <c r="L58" s="308" t="s">
        <v>1801</v>
      </c>
      <c r="M58" s="308" t="s">
        <v>1801</v>
      </c>
      <c r="N58" s="307" t="s">
        <v>1802</v>
      </c>
      <c r="O58" s="308" t="s">
        <v>1802</v>
      </c>
      <c r="P58" s="308" t="s">
        <v>1759</v>
      </c>
      <c r="Q58" s="307" t="s">
        <v>1759</v>
      </c>
      <c r="R58" s="308" t="s">
        <v>1797</v>
      </c>
      <c r="S58" s="308" t="s">
        <v>1797</v>
      </c>
      <c r="T58" s="309" t="s">
        <v>1875</v>
      </c>
      <c r="U58" s="309" t="s">
        <v>1876</v>
      </c>
      <c r="V58" s="309" t="s">
        <v>1877</v>
      </c>
      <c r="W58" s="309" t="s">
        <v>1877</v>
      </c>
      <c r="X58" s="309" t="s">
        <v>1875</v>
      </c>
      <c r="Y58" s="309" t="s">
        <v>1877</v>
      </c>
      <c r="Z58" s="309" t="s">
        <v>1796</v>
      </c>
      <c r="AA58" s="309" t="s">
        <v>1796</v>
      </c>
      <c r="AB58" s="309" t="s">
        <v>1796</v>
      </c>
      <c r="AC58" s="309" t="s">
        <v>1796</v>
      </c>
      <c r="AD58" s="309" t="s">
        <v>1796</v>
      </c>
      <c r="AE58" s="309" t="s">
        <v>1843</v>
      </c>
      <c r="AF58" s="309" t="s">
        <v>1843</v>
      </c>
      <c r="AG58" s="309" t="s">
        <v>1798</v>
      </c>
      <c r="AH58" s="309" t="s">
        <v>1878</v>
      </c>
      <c r="AI58" s="309" t="s">
        <v>1879</v>
      </c>
      <c r="AJ58" s="309" t="s">
        <v>1880</v>
      </c>
      <c r="AK58" s="309" t="s">
        <v>1880</v>
      </c>
      <c r="AL58" s="309" t="s">
        <v>1881</v>
      </c>
      <c r="AM58" s="309" t="s">
        <v>1881</v>
      </c>
      <c r="AN58" s="309" t="s">
        <v>1881</v>
      </c>
      <c r="AO58" s="309" t="s">
        <v>1881</v>
      </c>
      <c r="AP58" s="309" t="s">
        <v>1882</v>
      </c>
      <c r="AQ58" s="309" t="s">
        <v>1883</v>
      </c>
      <c r="AR58" s="309" t="s">
        <v>1883</v>
      </c>
      <c r="AS58" s="309" t="s">
        <v>1883</v>
      </c>
      <c r="AT58" s="309" t="s">
        <v>1883</v>
      </c>
      <c r="AU58" s="309" t="s">
        <v>1884</v>
      </c>
      <c r="AV58" s="309" t="s">
        <v>1885</v>
      </c>
      <c r="AW58" s="309" t="s">
        <v>1885</v>
      </c>
      <c r="AX58" s="309" t="s">
        <v>1883</v>
      </c>
      <c r="AY58" s="309" t="s">
        <v>1883</v>
      </c>
      <c r="AZ58" s="309" t="s">
        <v>1883</v>
      </c>
      <c r="BA58" s="309" t="s">
        <v>1883</v>
      </c>
      <c r="BB58" s="309" t="s">
        <v>1883</v>
      </c>
      <c r="BC58" s="309" t="s">
        <v>1883</v>
      </c>
      <c r="BD58" s="309" t="s">
        <v>1886</v>
      </c>
      <c r="BE58" s="309" t="s">
        <v>1886</v>
      </c>
      <c r="BF58" s="309" t="s">
        <v>1886</v>
      </c>
      <c r="BG58" s="309" t="s">
        <v>1886</v>
      </c>
      <c r="BH58" s="309" t="s">
        <v>1886</v>
      </c>
      <c r="BI58" s="309" t="s">
        <v>1887</v>
      </c>
      <c r="BJ58" s="309" t="s">
        <v>1886</v>
      </c>
      <c r="BK58" s="309" t="s">
        <v>1886</v>
      </c>
      <c r="BL58" s="309" t="s">
        <v>1886</v>
      </c>
      <c r="BM58" s="309" t="s">
        <v>1888</v>
      </c>
      <c r="BN58" s="309" t="s">
        <v>1888</v>
      </c>
      <c r="BO58" s="309" t="s">
        <v>1889</v>
      </c>
      <c r="BP58" s="309" t="s">
        <v>1889</v>
      </c>
      <c r="BQ58" s="309" t="s">
        <v>1889</v>
      </c>
      <c r="BR58" s="309" t="s">
        <v>1889</v>
      </c>
      <c r="BS58" s="309" t="s">
        <v>1890</v>
      </c>
      <c r="BT58" s="309" t="s">
        <v>1890</v>
      </c>
      <c r="BU58" s="309" t="s">
        <v>1890</v>
      </c>
      <c r="BV58" s="309" t="s">
        <v>1890</v>
      </c>
      <c r="BW58" s="309" t="s">
        <v>1891</v>
      </c>
      <c r="BX58" s="309" t="s">
        <v>1891</v>
      </c>
      <c r="BY58" s="309" t="s">
        <v>1891</v>
      </c>
      <c r="BZ58" s="310" t="s">
        <v>1891</v>
      </c>
      <c r="CA58" s="309" t="s">
        <v>1892</v>
      </c>
      <c r="CB58" s="309" t="s">
        <v>1893</v>
      </c>
      <c r="CC58" s="309" t="s">
        <v>1894</v>
      </c>
      <c r="CD58" s="309" t="s">
        <v>1662</v>
      </c>
      <c r="CE58" s="309" t="s">
        <v>1662</v>
      </c>
      <c r="CF58" s="309" t="s">
        <v>1662</v>
      </c>
      <c r="CG58" s="309" t="s">
        <v>1662</v>
      </c>
      <c r="CH58" s="309" t="s">
        <v>1895</v>
      </c>
      <c r="CI58" s="309" t="s">
        <v>1895</v>
      </c>
      <c r="CJ58" s="309" t="s">
        <v>1895</v>
      </c>
      <c r="CK58" s="309" t="s">
        <v>1895</v>
      </c>
      <c r="CL58" s="309" t="s">
        <v>1895</v>
      </c>
      <c r="CM58" s="309" t="s">
        <v>1895</v>
      </c>
      <c r="CN58" s="309" t="s">
        <v>1895</v>
      </c>
      <c r="CO58" s="309" t="s">
        <v>1896</v>
      </c>
      <c r="CP58" s="309" t="s">
        <v>1896</v>
      </c>
      <c r="CQ58" s="313" t="s">
        <v>1896</v>
      </c>
      <c r="CR58" s="335" t="s">
        <v>1897</v>
      </c>
      <c r="CS58" s="335" t="s">
        <v>1898</v>
      </c>
      <c r="CT58" s="335" t="s">
        <v>1899</v>
      </c>
      <c r="CU58" s="335" t="s">
        <v>1899</v>
      </c>
      <c r="CV58" s="335" t="s">
        <v>1899</v>
      </c>
      <c r="CW58" s="335" t="s">
        <v>1900</v>
      </c>
      <c r="CX58" s="335" t="s">
        <v>1899</v>
      </c>
      <c r="CY58" s="335" t="s">
        <v>1899</v>
      </c>
      <c r="CZ58" s="335" t="s">
        <v>1899</v>
      </c>
      <c r="DA58" s="335" t="s">
        <v>1899</v>
      </c>
      <c r="DB58" s="335" t="s">
        <v>1899</v>
      </c>
      <c r="DC58" s="336" t="s">
        <v>1899</v>
      </c>
      <c r="DD58" s="336" t="s">
        <v>1899</v>
      </c>
      <c r="DE58" s="336" t="s">
        <v>1901</v>
      </c>
      <c r="DF58" s="336" t="s">
        <v>1902</v>
      </c>
      <c r="DG58" s="336" t="s">
        <v>1902</v>
      </c>
      <c r="DH58" s="336" t="s">
        <v>1903</v>
      </c>
      <c r="DI58" s="336" t="s">
        <v>1904</v>
      </c>
      <c r="DJ58" s="336" t="s">
        <v>1904</v>
      </c>
      <c r="DK58" s="336" t="s">
        <v>1905</v>
      </c>
      <c r="DL58" s="336" t="s">
        <v>1906</v>
      </c>
      <c r="DM58" s="336" t="s">
        <v>1906</v>
      </c>
      <c r="DN58" s="336" t="s">
        <v>1906</v>
      </c>
      <c r="DO58" s="336" t="s">
        <v>1907</v>
      </c>
      <c r="DP58" s="336" t="s">
        <v>1908</v>
      </c>
      <c r="DQ58" s="336" t="s">
        <v>1909</v>
      </c>
    </row>
    <row r="59" spans="1:121" ht="17.45" customHeight="1">
      <c r="A59" s="291" t="s">
        <v>1910</v>
      </c>
      <c r="B59" s="307" t="s">
        <v>1911</v>
      </c>
      <c r="C59" s="308" t="s">
        <v>1912</v>
      </c>
      <c r="D59" s="308" t="s">
        <v>1881</v>
      </c>
      <c r="E59" s="308" t="s">
        <v>1881</v>
      </c>
      <c r="F59" s="307" t="s">
        <v>1881</v>
      </c>
      <c r="G59" s="308" t="s">
        <v>1913</v>
      </c>
      <c r="H59" s="308" t="s">
        <v>1913</v>
      </c>
      <c r="I59" s="308" t="s">
        <v>1913</v>
      </c>
      <c r="J59" s="308" t="s">
        <v>1913</v>
      </c>
      <c r="K59" s="308" t="s">
        <v>1913</v>
      </c>
      <c r="L59" s="308" t="s">
        <v>1913</v>
      </c>
      <c r="M59" s="308" t="s">
        <v>1913</v>
      </c>
      <c r="N59" s="307" t="s">
        <v>1914</v>
      </c>
      <c r="O59" s="308" t="s">
        <v>1914</v>
      </c>
      <c r="P59" s="308" t="s">
        <v>331</v>
      </c>
      <c r="Q59" s="307" t="s">
        <v>331</v>
      </c>
      <c r="R59" s="308" t="s">
        <v>331</v>
      </c>
      <c r="S59" s="308" t="s">
        <v>331</v>
      </c>
      <c r="T59" s="309" t="s">
        <v>331</v>
      </c>
      <c r="U59" s="309" t="s">
        <v>331</v>
      </c>
      <c r="V59" s="309" t="s">
        <v>331</v>
      </c>
      <c r="W59" s="309" t="s">
        <v>331</v>
      </c>
      <c r="X59" s="309" t="s">
        <v>1915</v>
      </c>
      <c r="Y59" s="309" t="s">
        <v>1914</v>
      </c>
      <c r="Z59" s="309" t="s">
        <v>331</v>
      </c>
      <c r="AA59" s="309" t="s">
        <v>1916</v>
      </c>
      <c r="AB59" s="309" t="s">
        <v>1916</v>
      </c>
      <c r="AC59" s="309" t="s">
        <v>1916</v>
      </c>
      <c r="AD59" s="309" t="s">
        <v>1916</v>
      </c>
      <c r="AE59" s="309" t="s">
        <v>1916</v>
      </c>
      <c r="AF59" s="309" t="s">
        <v>1916</v>
      </c>
      <c r="AG59" s="309" t="s">
        <v>1917</v>
      </c>
      <c r="AH59" s="309" t="s">
        <v>1917</v>
      </c>
      <c r="AI59" s="309" t="s">
        <v>1918</v>
      </c>
      <c r="AJ59" s="309" t="s">
        <v>1919</v>
      </c>
      <c r="AK59" s="309" t="s">
        <v>1919</v>
      </c>
      <c r="AL59" s="309" t="s">
        <v>1920</v>
      </c>
      <c r="AM59" s="309" t="s">
        <v>1921</v>
      </c>
      <c r="AN59" s="309" t="s">
        <v>1922</v>
      </c>
      <c r="AO59" s="309" t="s">
        <v>1922</v>
      </c>
      <c r="AP59" s="309" t="s">
        <v>1923</v>
      </c>
      <c r="AQ59" s="309" t="s">
        <v>1924</v>
      </c>
      <c r="AR59" s="309" t="s">
        <v>1925</v>
      </c>
      <c r="AS59" s="309" t="s">
        <v>1926</v>
      </c>
      <c r="AT59" s="309" t="s">
        <v>1927</v>
      </c>
      <c r="AU59" s="309" t="s">
        <v>1877</v>
      </c>
      <c r="AV59" s="309" t="s">
        <v>1928</v>
      </c>
      <c r="AW59" s="309" t="s">
        <v>1928</v>
      </c>
      <c r="AX59" s="309" t="s">
        <v>1929</v>
      </c>
      <c r="AY59" s="309" t="s">
        <v>1930</v>
      </c>
      <c r="AZ59" s="309" t="s">
        <v>1931</v>
      </c>
      <c r="BA59" s="309" t="s">
        <v>1930</v>
      </c>
      <c r="BB59" s="309" t="s">
        <v>1932</v>
      </c>
      <c r="BC59" s="309" t="s">
        <v>1932</v>
      </c>
      <c r="BD59" s="309" t="s">
        <v>1932</v>
      </c>
      <c r="BE59" s="309" t="s">
        <v>1764</v>
      </c>
      <c r="BF59" s="309" t="s">
        <v>1764</v>
      </c>
      <c r="BG59" s="309" t="s">
        <v>1933</v>
      </c>
      <c r="BH59" s="309" t="s">
        <v>1764</v>
      </c>
      <c r="BI59" s="309" t="s">
        <v>1934</v>
      </c>
      <c r="BJ59" s="309" t="s">
        <v>1935</v>
      </c>
      <c r="BK59" s="309" t="s">
        <v>1936</v>
      </c>
      <c r="BL59" s="309" t="s">
        <v>1936</v>
      </c>
      <c r="BM59" s="309" t="s">
        <v>1937</v>
      </c>
      <c r="BN59" s="309" t="s">
        <v>1936</v>
      </c>
      <c r="BO59" s="309" t="s">
        <v>1938</v>
      </c>
      <c r="BP59" s="309" t="s">
        <v>1939</v>
      </c>
      <c r="BQ59" s="309" t="s">
        <v>1940</v>
      </c>
      <c r="BR59" s="309" t="s">
        <v>1940</v>
      </c>
      <c r="BS59" s="309" t="s">
        <v>1941</v>
      </c>
      <c r="BT59" s="309" t="s">
        <v>1941</v>
      </c>
      <c r="BU59" s="309" t="s">
        <v>1942</v>
      </c>
      <c r="BV59" s="309" t="s">
        <v>1942</v>
      </c>
      <c r="BW59" s="309" t="s">
        <v>1943</v>
      </c>
      <c r="BX59" s="309" t="s">
        <v>1944</v>
      </c>
      <c r="BY59" s="309" t="s">
        <v>1944</v>
      </c>
      <c r="BZ59" s="310" t="s">
        <v>1944</v>
      </c>
      <c r="CA59" s="309" t="s">
        <v>1945</v>
      </c>
      <c r="CB59" s="309" t="s">
        <v>1946</v>
      </c>
      <c r="CC59" s="309" t="s">
        <v>1947</v>
      </c>
      <c r="CD59" s="309" t="s">
        <v>1948</v>
      </c>
      <c r="CE59" s="309" t="s">
        <v>1949</v>
      </c>
      <c r="CF59" s="309" t="s">
        <v>1947</v>
      </c>
      <c r="CG59" s="309" t="s">
        <v>1947</v>
      </c>
      <c r="CH59" s="309" t="s">
        <v>1950</v>
      </c>
      <c r="CI59" s="309" t="s">
        <v>1951</v>
      </c>
      <c r="CJ59" s="309" t="s">
        <v>1952</v>
      </c>
      <c r="CK59" s="309" t="s">
        <v>1953</v>
      </c>
      <c r="CL59" s="309" t="s">
        <v>1954</v>
      </c>
      <c r="CM59" s="309" t="s">
        <v>1954</v>
      </c>
      <c r="CN59" s="309" t="s">
        <v>1954</v>
      </c>
      <c r="CO59" s="309" t="s">
        <v>1955</v>
      </c>
      <c r="CP59" s="309" t="s">
        <v>1955</v>
      </c>
      <c r="CQ59" s="313" t="s">
        <v>1955</v>
      </c>
      <c r="CR59" s="335" t="s">
        <v>1956</v>
      </c>
      <c r="CS59" s="335" t="s">
        <v>1662</v>
      </c>
      <c r="CT59" s="335" t="s">
        <v>1957</v>
      </c>
      <c r="CU59" s="335" t="s">
        <v>1958</v>
      </c>
      <c r="CV59" s="335" t="s">
        <v>1958</v>
      </c>
      <c r="CW59" s="335" t="s">
        <v>1959</v>
      </c>
      <c r="CX59" s="335" t="s">
        <v>1958</v>
      </c>
      <c r="CY59" s="335" t="s">
        <v>1958</v>
      </c>
      <c r="CZ59" s="335" t="s">
        <v>1958</v>
      </c>
      <c r="DA59" s="335" t="s">
        <v>1958</v>
      </c>
      <c r="DB59" s="335" t="s">
        <v>1958</v>
      </c>
      <c r="DC59" s="336" t="s">
        <v>1958</v>
      </c>
      <c r="DD59" s="336" t="s">
        <v>1958</v>
      </c>
      <c r="DE59" s="336" t="s">
        <v>1960</v>
      </c>
      <c r="DF59" s="336" t="s">
        <v>1961</v>
      </c>
      <c r="DG59" s="336" t="s">
        <v>1961</v>
      </c>
      <c r="DH59" s="336" t="s">
        <v>1962</v>
      </c>
      <c r="DI59" s="336" t="s">
        <v>1963</v>
      </c>
      <c r="DJ59" s="336" t="s">
        <v>1964</v>
      </c>
      <c r="DK59" s="336" t="s">
        <v>1965</v>
      </c>
      <c r="DL59" s="336" t="s">
        <v>1965</v>
      </c>
      <c r="DM59" s="336" t="s">
        <v>1966</v>
      </c>
      <c r="DN59" s="336" t="s">
        <v>1967</v>
      </c>
      <c r="DO59" s="336" t="s">
        <v>1968</v>
      </c>
      <c r="DP59" s="336" t="s">
        <v>1967</v>
      </c>
      <c r="DQ59" s="336" t="s">
        <v>1967</v>
      </c>
    </row>
    <row r="60" spans="1:121" ht="17.45" customHeight="1">
      <c r="A60" s="291" t="s">
        <v>1969</v>
      </c>
      <c r="B60" s="307" t="s">
        <v>1929</v>
      </c>
      <c r="C60" s="308" t="s">
        <v>1914</v>
      </c>
      <c r="D60" s="308" t="s">
        <v>1914</v>
      </c>
      <c r="E60" s="308" t="s">
        <v>1914</v>
      </c>
      <c r="F60" s="307" t="s">
        <v>1914</v>
      </c>
      <c r="G60" s="308" t="s">
        <v>1914</v>
      </c>
      <c r="H60" s="308" t="s">
        <v>1914</v>
      </c>
      <c r="I60" s="308" t="s">
        <v>1914</v>
      </c>
      <c r="J60" s="308" t="s">
        <v>1914</v>
      </c>
      <c r="K60" s="308" t="s">
        <v>1914</v>
      </c>
      <c r="L60" s="308" t="s">
        <v>1914</v>
      </c>
      <c r="M60" s="308" t="s">
        <v>1914</v>
      </c>
      <c r="N60" s="307" t="s">
        <v>1970</v>
      </c>
      <c r="O60" s="308" t="s">
        <v>1970</v>
      </c>
      <c r="P60" s="308" t="s">
        <v>1971</v>
      </c>
      <c r="Q60" s="307" t="s">
        <v>1971</v>
      </c>
      <c r="R60" s="308" t="s">
        <v>1971</v>
      </c>
      <c r="S60" s="308" t="s">
        <v>1972</v>
      </c>
      <c r="T60" s="309" t="s">
        <v>1972</v>
      </c>
      <c r="U60" s="309" t="s">
        <v>1886</v>
      </c>
      <c r="V60" s="309" t="s">
        <v>1886</v>
      </c>
      <c r="W60" s="309" t="s">
        <v>1886</v>
      </c>
      <c r="X60" s="309" t="s">
        <v>1886</v>
      </c>
      <c r="Y60" s="309" t="s">
        <v>1886</v>
      </c>
      <c r="Z60" s="309" t="s">
        <v>1886</v>
      </c>
      <c r="AA60" s="309" t="s">
        <v>1886</v>
      </c>
      <c r="AB60" s="309" t="s">
        <v>1886</v>
      </c>
      <c r="AC60" s="309" t="s">
        <v>1886</v>
      </c>
      <c r="AD60" s="309" t="s">
        <v>1973</v>
      </c>
      <c r="AE60" s="309" t="s">
        <v>1973</v>
      </c>
      <c r="AF60" s="309" t="s">
        <v>1972</v>
      </c>
      <c r="AG60" s="309" t="s">
        <v>1973</v>
      </c>
      <c r="AH60" s="309" t="s">
        <v>1973</v>
      </c>
      <c r="AI60" s="309" t="s">
        <v>1974</v>
      </c>
      <c r="AJ60" s="309" t="s">
        <v>1974</v>
      </c>
      <c r="AK60" s="309" t="s">
        <v>1974</v>
      </c>
      <c r="AL60" s="309" t="s">
        <v>1974</v>
      </c>
      <c r="AM60" s="309" t="s">
        <v>1975</v>
      </c>
      <c r="AN60" s="309" t="s">
        <v>1975</v>
      </c>
      <c r="AO60" s="309" t="s">
        <v>1975</v>
      </c>
      <c r="AP60" s="309" t="s">
        <v>1976</v>
      </c>
      <c r="AQ60" s="309" t="s">
        <v>1977</v>
      </c>
      <c r="AR60" s="309" t="s">
        <v>1978</v>
      </c>
      <c r="AS60" s="309" t="s">
        <v>1978</v>
      </c>
      <c r="AT60" s="309" t="s">
        <v>1979</v>
      </c>
      <c r="AU60" s="309" t="s">
        <v>1980</v>
      </c>
      <c r="AV60" s="309" t="s">
        <v>1981</v>
      </c>
      <c r="AW60" s="309" t="s">
        <v>1982</v>
      </c>
      <c r="AX60" s="309" t="s">
        <v>1983</v>
      </c>
      <c r="AY60" s="309" t="s">
        <v>1979</v>
      </c>
      <c r="AZ60" s="309" t="s">
        <v>1979</v>
      </c>
      <c r="BA60" s="309" t="s">
        <v>1979</v>
      </c>
      <c r="BB60" s="309" t="s">
        <v>1979</v>
      </c>
      <c r="BC60" s="309" t="s">
        <v>1979</v>
      </c>
      <c r="BD60" s="309" t="s">
        <v>1980</v>
      </c>
      <c r="BE60" s="309" t="s">
        <v>1984</v>
      </c>
      <c r="BF60" s="309" t="s">
        <v>1984</v>
      </c>
      <c r="BG60" s="309" t="s">
        <v>1979</v>
      </c>
      <c r="BH60" s="309" t="s">
        <v>1979</v>
      </c>
      <c r="BI60" s="309" t="s">
        <v>1983</v>
      </c>
      <c r="BJ60" s="309" t="s">
        <v>1983</v>
      </c>
      <c r="BK60" s="309" t="s">
        <v>1985</v>
      </c>
      <c r="BL60" s="309" t="s">
        <v>1985</v>
      </c>
      <c r="BM60" s="309" t="s">
        <v>1986</v>
      </c>
      <c r="BN60" s="309" t="s">
        <v>1986</v>
      </c>
      <c r="BO60" s="309" t="s">
        <v>1987</v>
      </c>
      <c r="BP60" s="309" t="s">
        <v>1987</v>
      </c>
      <c r="BQ60" s="309" t="s">
        <v>1987</v>
      </c>
      <c r="BR60" s="309" t="s">
        <v>1987</v>
      </c>
      <c r="BS60" s="309" t="s">
        <v>1988</v>
      </c>
      <c r="BT60" s="309" t="s">
        <v>1988</v>
      </c>
      <c r="BU60" s="309" t="s">
        <v>1988</v>
      </c>
      <c r="BV60" s="309" t="s">
        <v>1988</v>
      </c>
      <c r="BW60" s="309" t="s">
        <v>1989</v>
      </c>
      <c r="BX60" s="309" t="s">
        <v>1990</v>
      </c>
      <c r="BY60" s="309" t="s">
        <v>1989</v>
      </c>
      <c r="BZ60" s="310" t="s">
        <v>1989</v>
      </c>
      <c r="CA60" s="309" t="s">
        <v>1989</v>
      </c>
      <c r="CB60" s="309" t="s">
        <v>1991</v>
      </c>
      <c r="CC60" s="309" t="s">
        <v>1992</v>
      </c>
      <c r="CD60" s="309" t="s">
        <v>1993</v>
      </c>
      <c r="CE60" s="309" t="s">
        <v>1993</v>
      </c>
      <c r="CF60" s="309" t="s">
        <v>1993</v>
      </c>
      <c r="CG60" s="309" t="s">
        <v>1993</v>
      </c>
      <c r="CH60" s="309" t="s">
        <v>1993</v>
      </c>
      <c r="CI60" s="309" t="s">
        <v>1993</v>
      </c>
      <c r="CJ60" s="309" t="s">
        <v>1993</v>
      </c>
      <c r="CK60" s="309" t="s">
        <v>1993</v>
      </c>
      <c r="CL60" s="309" t="s">
        <v>1994</v>
      </c>
      <c r="CM60" s="309" t="s">
        <v>1995</v>
      </c>
      <c r="CN60" s="309" t="s">
        <v>1995</v>
      </c>
      <c r="CO60" s="309" t="s">
        <v>1996</v>
      </c>
      <c r="CP60" s="309" t="s">
        <v>1997</v>
      </c>
      <c r="CQ60" s="313" t="s">
        <v>1997</v>
      </c>
      <c r="CR60" s="335" t="s">
        <v>1997</v>
      </c>
      <c r="CS60" s="335" t="s">
        <v>1997</v>
      </c>
      <c r="CT60" s="335" t="s">
        <v>1997</v>
      </c>
      <c r="CU60" s="335" t="s">
        <v>1997</v>
      </c>
      <c r="CV60" s="335" t="s">
        <v>1997</v>
      </c>
      <c r="CW60" s="335" t="s">
        <v>1997</v>
      </c>
      <c r="CX60" s="335" t="s">
        <v>1998</v>
      </c>
      <c r="CY60" s="335" t="s">
        <v>1999</v>
      </c>
      <c r="CZ60" s="335" t="s">
        <v>2000</v>
      </c>
      <c r="DA60" s="335" t="s">
        <v>1999</v>
      </c>
      <c r="DB60" s="335" t="s">
        <v>1999</v>
      </c>
      <c r="DC60" s="336" t="s">
        <v>2001</v>
      </c>
      <c r="DD60" s="336" t="s">
        <v>2001</v>
      </c>
      <c r="DE60" s="336" t="s">
        <v>2001</v>
      </c>
      <c r="DF60" s="336" t="s">
        <v>2002</v>
      </c>
      <c r="DG60" s="336" t="s">
        <v>2003</v>
      </c>
      <c r="DH60" s="336" t="s">
        <v>1999</v>
      </c>
      <c r="DI60" s="336" t="s">
        <v>2004</v>
      </c>
      <c r="DJ60" s="336" t="s">
        <v>2005</v>
      </c>
      <c r="DK60" s="336" t="s">
        <v>2006</v>
      </c>
      <c r="DL60" s="336" t="s">
        <v>2007</v>
      </c>
      <c r="DM60" s="336" t="s">
        <v>2008</v>
      </c>
      <c r="DN60" s="336" t="s">
        <v>2009</v>
      </c>
      <c r="DO60" s="336" t="s">
        <v>2009</v>
      </c>
      <c r="DP60" s="336" t="s">
        <v>2010</v>
      </c>
      <c r="DQ60" s="336" t="s">
        <v>2010</v>
      </c>
    </row>
    <row r="61" spans="1:121" ht="17.45" customHeight="1">
      <c r="A61" s="291" t="s">
        <v>2011</v>
      </c>
      <c r="B61" s="307" t="s">
        <v>2012</v>
      </c>
      <c r="C61" s="308" t="s">
        <v>2013</v>
      </c>
      <c r="D61" s="308" t="s">
        <v>2014</v>
      </c>
      <c r="E61" s="308" t="s">
        <v>1505</v>
      </c>
      <c r="F61" s="307" t="s">
        <v>1505</v>
      </c>
      <c r="G61" s="308" t="s">
        <v>2015</v>
      </c>
      <c r="H61" s="308" t="s">
        <v>2016</v>
      </c>
      <c r="I61" s="308" t="s">
        <v>2016</v>
      </c>
      <c r="J61" s="308" t="s">
        <v>2016</v>
      </c>
      <c r="K61" s="308" t="s">
        <v>2016</v>
      </c>
      <c r="L61" s="308" t="s">
        <v>2016</v>
      </c>
      <c r="M61" s="308" t="s">
        <v>2016</v>
      </c>
      <c r="N61" s="307" t="s">
        <v>926</v>
      </c>
      <c r="O61" s="308" t="s">
        <v>2017</v>
      </c>
      <c r="P61" s="308" t="s">
        <v>2018</v>
      </c>
      <c r="Q61" s="307" t="s">
        <v>2019</v>
      </c>
      <c r="R61" s="308" t="s">
        <v>2019</v>
      </c>
      <c r="S61" s="308" t="s">
        <v>2020</v>
      </c>
      <c r="T61" s="309" t="s">
        <v>2021</v>
      </c>
      <c r="U61" s="309" t="s">
        <v>2022</v>
      </c>
      <c r="V61" s="309" t="s">
        <v>2023</v>
      </c>
      <c r="W61" s="309" t="s">
        <v>1203</v>
      </c>
      <c r="X61" s="309" t="s">
        <v>436</v>
      </c>
      <c r="Y61" s="309" t="s">
        <v>2024</v>
      </c>
      <c r="Z61" s="309" t="s">
        <v>435</v>
      </c>
      <c r="AA61" s="309" t="s">
        <v>436</v>
      </c>
      <c r="AB61" s="309" t="s">
        <v>435</v>
      </c>
      <c r="AC61" s="309" t="s">
        <v>1203</v>
      </c>
      <c r="AD61" s="309" t="s">
        <v>1236</v>
      </c>
      <c r="AE61" s="309" t="s">
        <v>1236</v>
      </c>
      <c r="AF61" s="309" t="s">
        <v>1236</v>
      </c>
      <c r="AG61" s="309" t="s">
        <v>2025</v>
      </c>
      <c r="AH61" s="309" t="s">
        <v>2026</v>
      </c>
      <c r="AI61" s="309" t="s">
        <v>2027</v>
      </c>
      <c r="AJ61" s="309" t="s">
        <v>1236</v>
      </c>
      <c r="AK61" s="309" t="s">
        <v>1236</v>
      </c>
      <c r="AL61" s="309" t="s">
        <v>2028</v>
      </c>
      <c r="AM61" s="309" t="s">
        <v>2028</v>
      </c>
      <c r="AN61" s="309" t="s">
        <v>2028</v>
      </c>
      <c r="AO61" s="309" t="s">
        <v>2028</v>
      </c>
      <c r="AP61" s="309" t="s">
        <v>1236</v>
      </c>
      <c r="AQ61" s="309" t="s">
        <v>2029</v>
      </c>
      <c r="AR61" s="309" t="s">
        <v>2029</v>
      </c>
      <c r="AS61" s="309" t="s">
        <v>2029</v>
      </c>
      <c r="AT61" s="309" t="s">
        <v>2029</v>
      </c>
      <c r="AU61" s="309" t="s">
        <v>2030</v>
      </c>
      <c r="AV61" s="309" t="s">
        <v>2030</v>
      </c>
      <c r="AW61" s="309" t="s">
        <v>2030</v>
      </c>
      <c r="AX61" s="309" t="s">
        <v>2031</v>
      </c>
      <c r="AY61" s="309" t="s">
        <v>2032</v>
      </c>
      <c r="AZ61" s="309" t="s">
        <v>2032</v>
      </c>
      <c r="BA61" s="309" t="s">
        <v>2033</v>
      </c>
      <c r="BB61" s="309" t="s">
        <v>2033</v>
      </c>
      <c r="BC61" s="309" t="s">
        <v>2033</v>
      </c>
      <c r="BD61" s="309" t="s">
        <v>2032</v>
      </c>
      <c r="BE61" s="309" t="s">
        <v>2032</v>
      </c>
      <c r="BF61" s="309" t="s">
        <v>2032</v>
      </c>
      <c r="BG61" s="309" t="s">
        <v>2033</v>
      </c>
      <c r="BH61" s="309" t="s">
        <v>2032</v>
      </c>
      <c r="BI61" s="309" t="s">
        <v>2032</v>
      </c>
      <c r="BJ61" s="309" t="s">
        <v>2032</v>
      </c>
      <c r="BK61" s="309" t="s">
        <v>2032</v>
      </c>
      <c r="BL61" s="309" t="s">
        <v>2032</v>
      </c>
      <c r="BM61" s="309" t="s">
        <v>1929</v>
      </c>
      <c r="BN61" s="309" t="s">
        <v>2034</v>
      </c>
      <c r="BO61" s="309" t="s">
        <v>2035</v>
      </c>
      <c r="BP61" s="309" t="s">
        <v>2035</v>
      </c>
      <c r="BQ61" s="309" t="s">
        <v>2035</v>
      </c>
      <c r="BR61" s="309" t="s">
        <v>2035</v>
      </c>
      <c r="BS61" s="309" t="s">
        <v>2036</v>
      </c>
      <c r="BT61" s="309" t="s">
        <v>2036</v>
      </c>
      <c r="BU61" s="309" t="s">
        <v>2037</v>
      </c>
      <c r="BV61" s="309" t="s">
        <v>2037</v>
      </c>
      <c r="BW61" s="309" t="s">
        <v>2037</v>
      </c>
      <c r="BX61" s="309" t="s">
        <v>2037</v>
      </c>
      <c r="BY61" s="309" t="s">
        <v>2037</v>
      </c>
      <c r="BZ61" s="310" t="s">
        <v>2037</v>
      </c>
      <c r="CA61" s="309" t="s">
        <v>1883</v>
      </c>
      <c r="CB61" s="309" t="s">
        <v>2038</v>
      </c>
      <c r="CC61" s="309" t="s">
        <v>1881</v>
      </c>
      <c r="CD61" s="309" t="s">
        <v>2039</v>
      </c>
      <c r="CE61" s="309" t="s">
        <v>2040</v>
      </c>
      <c r="CF61" s="309" t="s">
        <v>2040</v>
      </c>
      <c r="CG61" s="309" t="s">
        <v>2040</v>
      </c>
      <c r="CH61" s="309" t="s">
        <v>2040</v>
      </c>
      <c r="CI61" s="309" t="s">
        <v>2041</v>
      </c>
      <c r="CJ61" s="309" t="s">
        <v>2041</v>
      </c>
      <c r="CK61" s="309" t="s">
        <v>2042</v>
      </c>
      <c r="CL61" s="309" t="s">
        <v>2042</v>
      </c>
      <c r="CM61" s="309" t="s">
        <v>2042</v>
      </c>
      <c r="CN61" s="309" t="s">
        <v>2042</v>
      </c>
      <c r="CO61" s="309" t="s">
        <v>2042</v>
      </c>
      <c r="CP61" s="309" t="s">
        <v>2042</v>
      </c>
      <c r="CQ61" s="313" t="s">
        <v>2043</v>
      </c>
      <c r="CR61" s="335" t="s">
        <v>2042</v>
      </c>
      <c r="CS61" s="335" t="s">
        <v>2042</v>
      </c>
      <c r="CT61" s="335" t="s">
        <v>2044</v>
      </c>
      <c r="CU61" s="335" t="s">
        <v>2044</v>
      </c>
      <c r="CV61" s="335" t="s">
        <v>2045</v>
      </c>
      <c r="CW61" s="335" t="s">
        <v>2046</v>
      </c>
      <c r="CX61" s="335" t="s">
        <v>2046</v>
      </c>
      <c r="CY61" s="335" t="s">
        <v>2046</v>
      </c>
      <c r="CZ61" s="335" t="s">
        <v>2047</v>
      </c>
      <c r="DA61" s="335" t="s">
        <v>2047</v>
      </c>
      <c r="DB61" s="335" t="s">
        <v>2047</v>
      </c>
      <c r="DC61" s="336" t="s">
        <v>2047</v>
      </c>
      <c r="DD61" s="336" t="s">
        <v>2047</v>
      </c>
      <c r="DE61" s="336" t="s">
        <v>2047</v>
      </c>
      <c r="DF61" s="336" t="s">
        <v>2047</v>
      </c>
      <c r="DG61" s="336" t="s">
        <v>2047</v>
      </c>
      <c r="DH61" s="336" t="s">
        <v>2047</v>
      </c>
      <c r="DI61" s="336" t="s">
        <v>2047</v>
      </c>
      <c r="DJ61" s="336" t="s">
        <v>2047</v>
      </c>
      <c r="DK61" s="336" t="s">
        <v>2048</v>
      </c>
      <c r="DL61" s="336" t="s">
        <v>2048</v>
      </c>
      <c r="DM61" s="336" t="s">
        <v>2047</v>
      </c>
      <c r="DN61" s="336" t="s">
        <v>2049</v>
      </c>
      <c r="DO61" s="336" t="s">
        <v>2049</v>
      </c>
      <c r="DP61" s="336" t="s">
        <v>2049</v>
      </c>
      <c r="DQ61" s="336" t="s">
        <v>2049</v>
      </c>
    </row>
    <row r="62" spans="1:121" ht="17.100000000000001" customHeight="1" thickBot="1">
      <c r="A62" s="357"/>
      <c r="B62" s="358"/>
      <c r="C62" s="359"/>
      <c r="D62" s="359"/>
      <c r="E62" s="359"/>
      <c r="F62" s="358"/>
      <c r="G62" s="359"/>
      <c r="H62" s="359"/>
      <c r="I62" s="359"/>
      <c r="J62" s="359"/>
      <c r="K62" s="359"/>
      <c r="L62" s="360"/>
      <c r="M62" s="360"/>
      <c r="N62" s="361"/>
      <c r="O62" s="360"/>
      <c r="P62" s="360"/>
      <c r="Q62" s="361"/>
      <c r="R62" s="360"/>
      <c r="S62" s="360"/>
      <c r="T62" s="362"/>
      <c r="U62" s="362"/>
      <c r="V62" s="362"/>
      <c r="W62" s="362"/>
      <c r="X62" s="362"/>
      <c r="Y62" s="362"/>
      <c r="Z62" s="362"/>
      <c r="AA62" s="362"/>
      <c r="AB62" s="362"/>
      <c r="AC62" s="362"/>
      <c r="AD62" s="362"/>
      <c r="AE62" s="363"/>
      <c r="AF62" s="363"/>
      <c r="AG62" s="363"/>
      <c r="AH62" s="363"/>
      <c r="AI62" s="363"/>
      <c r="AJ62" s="363"/>
      <c r="AK62" s="363"/>
      <c r="AL62" s="363"/>
      <c r="AM62" s="363"/>
      <c r="AN62" s="363"/>
      <c r="AO62" s="363"/>
      <c r="AP62" s="363"/>
      <c r="AQ62" s="363"/>
      <c r="AR62" s="363"/>
      <c r="AS62" s="363"/>
      <c r="AT62" s="363"/>
      <c r="AU62" s="363"/>
      <c r="AV62" s="363"/>
      <c r="AW62" s="363"/>
      <c r="AX62" s="363"/>
      <c r="AY62" s="363"/>
      <c r="AZ62" s="363"/>
      <c r="BA62" s="363"/>
      <c r="BB62" s="363"/>
      <c r="BC62" s="363"/>
      <c r="BD62" s="363"/>
      <c r="BE62" s="363"/>
      <c r="BF62" s="363"/>
      <c r="BG62" s="363"/>
      <c r="BH62" s="364"/>
      <c r="BI62" s="364"/>
      <c r="BJ62" s="364"/>
      <c r="BK62" s="364"/>
      <c r="BL62" s="364"/>
      <c r="BM62" s="364"/>
      <c r="BN62" s="364"/>
      <c r="BO62" s="364"/>
      <c r="BP62" s="364"/>
      <c r="BQ62" s="364"/>
      <c r="BR62" s="364"/>
      <c r="BS62" s="364"/>
      <c r="BT62" s="364"/>
      <c r="BU62" s="364"/>
      <c r="BV62" s="364"/>
      <c r="BW62" s="364"/>
      <c r="BX62" s="364"/>
      <c r="BY62" s="364"/>
      <c r="BZ62" s="364"/>
      <c r="CA62" s="364"/>
      <c r="CB62" s="364"/>
      <c r="CC62" s="363"/>
      <c r="CD62" s="363"/>
      <c r="CE62" s="363"/>
      <c r="CF62" s="363"/>
      <c r="CG62" s="363"/>
      <c r="CH62" s="365"/>
      <c r="CI62" s="366"/>
      <c r="CJ62" s="363"/>
      <c r="CK62" s="363"/>
      <c r="CL62" s="364"/>
      <c r="CM62" s="364"/>
      <c r="CN62" s="364"/>
      <c r="CO62" s="364"/>
      <c r="CP62" s="364"/>
      <c r="CQ62" s="364"/>
      <c r="CR62" s="364"/>
      <c r="CS62" s="364"/>
      <c r="CT62" s="364"/>
      <c r="CU62" s="364"/>
      <c r="CV62" s="364"/>
      <c r="CW62" s="364"/>
      <c r="CX62" s="364"/>
      <c r="CY62" s="364"/>
      <c r="CZ62" s="364"/>
      <c r="DA62" s="364"/>
      <c r="DB62" s="364"/>
      <c r="DC62" s="367"/>
      <c r="DD62" s="367"/>
      <c r="DE62" s="367"/>
      <c r="DF62" s="367"/>
      <c r="DG62" s="367"/>
      <c r="DH62" s="367"/>
      <c r="DI62" s="367"/>
      <c r="DJ62" s="367"/>
      <c r="DK62" s="367"/>
      <c r="DL62" s="367"/>
      <c r="DM62" s="367"/>
      <c r="DN62" s="367"/>
      <c r="DO62" s="367"/>
      <c r="DP62" s="367"/>
      <c r="DQ62" s="367"/>
    </row>
    <row r="63" spans="1:121" ht="15.75" hidden="1" thickTop="1">
      <c r="A63" s="368" t="s">
        <v>2050</v>
      </c>
    </row>
    <row r="64" spans="1:121" ht="18.75" thickTop="1">
      <c r="A64" s="369" t="s">
        <v>2051</v>
      </c>
    </row>
    <row r="65" spans="1:1" ht="18">
      <c r="A65" s="369" t="s">
        <v>2052</v>
      </c>
    </row>
    <row r="66" spans="1:1">
      <c r="A66" s="369" t="s">
        <v>2053</v>
      </c>
    </row>
  </sheetData>
  <printOptions horizontalCentered="1" verticalCentered="1"/>
  <pageMargins left="0" right="0" top="0.51181102362204722" bottom="0" header="0" footer="0"/>
  <pageSetup paperSize="9" scale="5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10"/>
  <sheetViews>
    <sheetView zoomScaleNormal="100" workbookViewId="0">
      <selection activeCell="U102" sqref="U102"/>
    </sheetView>
  </sheetViews>
  <sheetFormatPr defaultRowHeight="12.75"/>
  <cols>
    <col min="1" max="1" width="11.28515625" style="374" customWidth="1"/>
    <col min="2" max="2" width="12.7109375" style="374" customWidth="1"/>
    <col min="3" max="3" width="9.28515625" style="374" hidden="1" customWidth="1"/>
    <col min="4" max="4" width="10.28515625" style="374" customWidth="1"/>
    <col min="5" max="5" width="12.85546875" style="374" customWidth="1"/>
    <col min="6" max="6" width="11.5703125" style="374" hidden="1" customWidth="1"/>
    <col min="7" max="7" width="13" style="374" customWidth="1"/>
    <col min="8" max="8" width="12.140625" style="374" customWidth="1"/>
    <col min="9" max="9" width="13.42578125" style="374" customWidth="1"/>
    <col min="10" max="10" width="14.140625" style="374" customWidth="1"/>
    <col min="11" max="11" width="11.7109375" style="374" customWidth="1"/>
    <col min="12" max="256" width="9.140625" style="374"/>
    <col min="257" max="257" width="11.28515625" style="374" customWidth="1"/>
    <col min="258" max="258" width="12.7109375" style="374" customWidth="1"/>
    <col min="259" max="259" width="0" style="374" hidden="1" customWidth="1"/>
    <col min="260" max="260" width="10.28515625" style="374" customWidth="1"/>
    <col min="261" max="261" width="12.85546875" style="374" customWidth="1"/>
    <col min="262" max="262" width="0" style="374" hidden="1" customWidth="1"/>
    <col min="263" max="263" width="13" style="374" customWidth="1"/>
    <col min="264" max="264" width="12.140625" style="374" customWidth="1"/>
    <col min="265" max="265" width="13.42578125" style="374" customWidth="1"/>
    <col min="266" max="266" width="15.7109375" style="374" customWidth="1"/>
    <col min="267" max="267" width="11.7109375" style="374" customWidth="1"/>
    <col min="268" max="512" width="9.140625" style="374"/>
    <col min="513" max="513" width="11.28515625" style="374" customWidth="1"/>
    <col min="514" max="514" width="12.7109375" style="374" customWidth="1"/>
    <col min="515" max="515" width="0" style="374" hidden="1" customWidth="1"/>
    <col min="516" max="516" width="10.28515625" style="374" customWidth="1"/>
    <col min="517" max="517" width="12.85546875" style="374" customWidth="1"/>
    <col min="518" max="518" width="0" style="374" hidden="1" customWidth="1"/>
    <col min="519" max="519" width="13" style="374" customWidth="1"/>
    <col min="520" max="520" width="12.140625" style="374" customWidth="1"/>
    <col min="521" max="521" width="13.42578125" style="374" customWidth="1"/>
    <col min="522" max="522" width="15.7109375" style="374" customWidth="1"/>
    <col min="523" max="523" width="11.7109375" style="374" customWidth="1"/>
    <col min="524" max="768" width="9.140625" style="374"/>
    <col min="769" max="769" width="11.28515625" style="374" customWidth="1"/>
    <col min="770" max="770" width="12.7109375" style="374" customWidth="1"/>
    <col min="771" max="771" width="0" style="374" hidden="1" customWidth="1"/>
    <col min="772" max="772" width="10.28515625" style="374" customWidth="1"/>
    <col min="773" max="773" width="12.85546875" style="374" customWidth="1"/>
    <col min="774" max="774" width="0" style="374" hidden="1" customWidth="1"/>
    <col min="775" max="775" width="13" style="374" customWidth="1"/>
    <col min="776" max="776" width="12.140625" style="374" customWidth="1"/>
    <col min="777" max="777" width="13.42578125" style="374" customWidth="1"/>
    <col min="778" max="778" width="15.7109375" style="374" customWidth="1"/>
    <col min="779" max="779" width="11.7109375" style="374" customWidth="1"/>
    <col min="780" max="1024" width="9.140625" style="374"/>
    <col min="1025" max="1025" width="11.28515625" style="374" customWidth="1"/>
    <col min="1026" max="1026" width="12.7109375" style="374" customWidth="1"/>
    <col min="1027" max="1027" width="0" style="374" hidden="1" customWidth="1"/>
    <col min="1028" max="1028" width="10.28515625" style="374" customWidth="1"/>
    <col min="1029" max="1029" width="12.85546875" style="374" customWidth="1"/>
    <col min="1030" max="1030" width="0" style="374" hidden="1" customWidth="1"/>
    <col min="1031" max="1031" width="13" style="374" customWidth="1"/>
    <col min="1032" max="1032" width="12.140625" style="374" customWidth="1"/>
    <col min="1033" max="1033" width="13.42578125" style="374" customWidth="1"/>
    <col min="1034" max="1034" width="15.7109375" style="374" customWidth="1"/>
    <col min="1035" max="1035" width="11.7109375" style="374" customWidth="1"/>
    <col min="1036" max="1280" width="9.140625" style="374"/>
    <col min="1281" max="1281" width="11.28515625" style="374" customWidth="1"/>
    <col min="1282" max="1282" width="12.7109375" style="374" customWidth="1"/>
    <col min="1283" max="1283" width="0" style="374" hidden="1" customWidth="1"/>
    <col min="1284" max="1284" width="10.28515625" style="374" customWidth="1"/>
    <col min="1285" max="1285" width="12.85546875" style="374" customWidth="1"/>
    <col min="1286" max="1286" width="0" style="374" hidden="1" customWidth="1"/>
    <col min="1287" max="1287" width="13" style="374" customWidth="1"/>
    <col min="1288" max="1288" width="12.140625" style="374" customWidth="1"/>
    <col min="1289" max="1289" width="13.42578125" style="374" customWidth="1"/>
    <col min="1290" max="1290" width="15.7109375" style="374" customWidth="1"/>
    <col min="1291" max="1291" width="11.7109375" style="374" customWidth="1"/>
    <col min="1292" max="1536" width="9.140625" style="374"/>
    <col min="1537" max="1537" width="11.28515625" style="374" customWidth="1"/>
    <col min="1538" max="1538" width="12.7109375" style="374" customWidth="1"/>
    <col min="1539" max="1539" width="0" style="374" hidden="1" customWidth="1"/>
    <col min="1540" max="1540" width="10.28515625" style="374" customWidth="1"/>
    <col min="1541" max="1541" width="12.85546875" style="374" customWidth="1"/>
    <col min="1542" max="1542" width="0" style="374" hidden="1" customWidth="1"/>
    <col min="1543" max="1543" width="13" style="374" customWidth="1"/>
    <col min="1544" max="1544" width="12.140625" style="374" customWidth="1"/>
    <col min="1545" max="1545" width="13.42578125" style="374" customWidth="1"/>
    <col min="1546" max="1546" width="15.7109375" style="374" customWidth="1"/>
    <col min="1547" max="1547" width="11.7109375" style="374" customWidth="1"/>
    <col min="1548" max="1792" width="9.140625" style="374"/>
    <col min="1793" max="1793" width="11.28515625" style="374" customWidth="1"/>
    <col min="1794" max="1794" width="12.7109375" style="374" customWidth="1"/>
    <col min="1795" max="1795" width="0" style="374" hidden="1" customWidth="1"/>
    <col min="1796" max="1796" width="10.28515625" style="374" customWidth="1"/>
    <col min="1797" max="1797" width="12.85546875" style="374" customWidth="1"/>
    <col min="1798" max="1798" width="0" style="374" hidden="1" customWidth="1"/>
    <col min="1799" max="1799" width="13" style="374" customWidth="1"/>
    <col min="1800" max="1800" width="12.140625" style="374" customWidth="1"/>
    <col min="1801" max="1801" width="13.42578125" style="374" customWidth="1"/>
    <col min="1802" max="1802" width="15.7109375" style="374" customWidth="1"/>
    <col min="1803" max="1803" width="11.7109375" style="374" customWidth="1"/>
    <col min="1804" max="2048" width="9.140625" style="374"/>
    <col min="2049" max="2049" width="11.28515625" style="374" customWidth="1"/>
    <col min="2050" max="2050" width="12.7109375" style="374" customWidth="1"/>
    <col min="2051" max="2051" width="0" style="374" hidden="1" customWidth="1"/>
    <col min="2052" max="2052" width="10.28515625" style="374" customWidth="1"/>
    <col min="2053" max="2053" width="12.85546875" style="374" customWidth="1"/>
    <col min="2054" max="2054" width="0" style="374" hidden="1" customWidth="1"/>
    <col min="2055" max="2055" width="13" style="374" customWidth="1"/>
    <col min="2056" max="2056" width="12.140625" style="374" customWidth="1"/>
    <col min="2057" max="2057" width="13.42578125" style="374" customWidth="1"/>
    <col min="2058" max="2058" width="15.7109375" style="374" customWidth="1"/>
    <col min="2059" max="2059" width="11.7109375" style="374" customWidth="1"/>
    <col min="2060" max="2304" width="9.140625" style="374"/>
    <col min="2305" max="2305" width="11.28515625" style="374" customWidth="1"/>
    <col min="2306" max="2306" width="12.7109375" style="374" customWidth="1"/>
    <col min="2307" max="2307" width="0" style="374" hidden="1" customWidth="1"/>
    <col min="2308" max="2308" width="10.28515625" style="374" customWidth="1"/>
    <col min="2309" max="2309" width="12.85546875" style="374" customWidth="1"/>
    <col min="2310" max="2310" width="0" style="374" hidden="1" customWidth="1"/>
    <col min="2311" max="2311" width="13" style="374" customWidth="1"/>
    <col min="2312" max="2312" width="12.140625" style="374" customWidth="1"/>
    <col min="2313" max="2313" width="13.42578125" style="374" customWidth="1"/>
    <col min="2314" max="2314" width="15.7109375" style="374" customWidth="1"/>
    <col min="2315" max="2315" width="11.7109375" style="374" customWidth="1"/>
    <col min="2316" max="2560" width="9.140625" style="374"/>
    <col min="2561" max="2561" width="11.28515625" style="374" customWidth="1"/>
    <col min="2562" max="2562" width="12.7109375" style="374" customWidth="1"/>
    <col min="2563" max="2563" width="0" style="374" hidden="1" customWidth="1"/>
    <col min="2564" max="2564" width="10.28515625" style="374" customWidth="1"/>
    <col min="2565" max="2565" width="12.85546875" style="374" customWidth="1"/>
    <col min="2566" max="2566" width="0" style="374" hidden="1" customWidth="1"/>
    <col min="2567" max="2567" width="13" style="374" customWidth="1"/>
    <col min="2568" max="2568" width="12.140625" style="374" customWidth="1"/>
    <col min="2569" max="2569" width="13.42578125" style="374" customWidth="1"/>
    <col min="2570" max="2570" width="15.7109375" style="374" customWidth="1"/>
    <col min="2571" max="2571" width="11.7109375" style="374" customWidth="1"/>
    <col min="2572" max="2816" width="9.140625" style="374"/>
    <col min="2817" max="2817" width="11.28515625" style="374" customWidth="1"/>
    <col min="2818" max="2818" width="12.7109375" style="374" customWidth="1"/>
    <col min="2819" max="2819" width="0" style="374" hidden="1" customWidth="1"/>
    <col min="2820" max="2820" width="10.28515625" style="374" customWidth="1"/>
    <col min="2821" max="2821" width="12.85546875" style="374" customWidth="1"/>
    <col min="2822" max="2822" width="0" style="374" hidden="1" customWidth="1"/>
    <col min="2823" max="2823" width="13" style="374" customWidth="1"/>
    <col min="2824" max="2824" width="12.140625" style="374" customWidth="1"/>
    <col min="2825" max="2825" width="13.42578125" style="374" customWidth="1"/>
    <col min="2826" max="2826" width="15.7109375" style="374" customWidth="1"/>
    <col min="2827" max="2827" width="11.7109375" style="374" customWidth="1"/>
    <col min="2828" max="3072" width="9.140625" style="374"/>
    <col min="3073" max="3073" width="11.28515625" style="374" customWidth="1"/>
    <col min="3074" max="3074" width="12.7109375" style="374" customWidth="1"/>
    <col min="3075" max="3075" width="0" style="374" hidden="1" customWidth="1"/>
    <col min="3076" max="3076" width="10.28515625" style="374" customWidth="1"/>
    <col min="3077" max="3077" width="12.85546875" style="374" customWidth="1"/>
    <col min="3078" max="3078" width="0" style="374" hidden="1" customWidth="1"/>
    <col min="3079" max="3079" width="13" style="374" customWidth="1"/>
    <col min="3080" max="3080" width="12.140625" style="374" customWidth="1"/>
    <col min="3081" max="3081" width="13.42578125" style="374" customWidth="1"/>
    <col min="3082" max="3082" width="15.7109375" style="374" customWidth="1"/>
    <col min="3083" max="3083" width="11.7109375" style="374" customWidth="1"/>
    <col min="3084" max="3328" width="9.140625" style="374"/>
    <col min="3329" max="3329" width="11.28515625" style="374" customWidth="1"/>
    <col min="3330" max="3330" width="12.7109375" style="374" customWidth="1"/>
    <col min="3331" max="3331" width="0" style="374" hidden="1" customWidth="1"/>
    <col min="3332" max="3332" width="10.28515625" style="374" customWidth="1"/>
    <col min="3333" max="3333" width="12.85546875" style="374" customWidth="1"/>
    <col min="3334" max="3334" width="0" style="374" hidden="1" customWidth="1"/>
    <col min="3335" max="3335" width="13" style="374" customWidth="1"/>
    <col min="3336" max="3336" width="12.140625" style="374" customWidth="1"/>
    <col min="3337" max="3337" width="13.42578125" style="374" customWidth="1"/>
    <col min="3338" max="3338" width="15.7109375" style="374" customWidth="1"/>
    <col min="3339" max="3339" width="11.7109375" style="374" customWidth="1"/>
    <col min="3340" max="3584" width="9.140625" style="374"/>
    <col min="3585" max="3585" width="11.28515625" style="374" customWidth="1"/>
    <col min="3586" max="3586" width="12.7109375" style="374" customWidth="1"/>
    <col min="3587" max="3587" width="0" style="374" hidden="1" customWidth="1"/>
    <col min="3588" max="3588" width="10.28515625" style="374" customWidth="1"/>
    <col min="3589" max="3589" width="12.85546875" style="374" customWidth="1"/>
    <col min="3590" max="3590" width="0" style="374" hidden="1" customWidth="1"/>
    <col min="3591" max="3591" width="13" style="374" customWidth="1"/>
    <col min="3592" max="3592" width="12.140625" style="374" customWidth="1"/>
    <col min="3593" max="3593" width="13.42578125" style="374" customWidth="1"/>
    <col min="3594" max="3594" width="15.7109375" style="374" customWidth="1"/>
    <col min="3595" max="3595" width="11.7109375" style="374" customWidth="1"/>
    <col min="3596" max="3840" width="9.140625" style="374"/>
    <col min="3841" max="3841" width="11.28515625" style="374" customWidth="1"/>
    <col min="3842" max="3842" width="12.7109375" style="374" customWidth="1"/>
    <col min="3843" max="3843" width="0" style="374" hidden="1" customWidth="1"/>
    <col min="3844" max="3844" width="10.28515625" style="374" customWidth="1"/>
    <col min="3845" max="3845" width="12.85546875" style="374" customWidth="1"/>
    <col min="3846" max="3846" width="0" style="374" hidden="1" customWidth="1"/>
    <col min="3847" max="3847" width="13" style="374" customWidth="1"/>
    <col min="3848" max="3848" width="12.140625" style="374" customWidth="1"/>
    <col min="3849" max="3849" width="13.42578125" style="374" customWidth="1"/>
    <col min="3850" max="3850" width="15.7109375" style="374" customWidth="1"/>
    <col min="3851" max="3851" width="11.7109375" style="374" customWidth="1"/>
    <col min="3852" max="4096" width="9.140625" style="374"/>
    <col min="4097" max="4097" width="11.28515625" style="374" customWidth="1"/>
    <col min="4098" max="4098" width="12.7109375" style="374" customWidth="1"/>
    <col min="4099" max="4099" width="0" style="374" hidden="1" customWidth="1"/>
    <col min="4100" max="4100" width="10.28515625" style="374" customWidth="1"/>
    <col min="4101" max="4101" width="12.85546875" style="374" customWidth="1"/>
    <col min="4102" max="4102" width="0" style="374" hidden="1" customWidth="1"/>
    <col min="4103" max="4103" width="13" style="374" customWidth="1"/>
    <col min="4104" max="4104" width="12.140625" style="374" customWidth="1"/>
    <col min="4105" max="4105" width="13.42578125" style="374" customWidth="1"/>
    <col min="4106" max="4106" width="15.7109375" style="374" customWidth="1"/>
    <col min="4107" max="4107" width="11.7109375" style="374" customWidth="1"/>
    <col min="4108" max="4352" width="9.140625" style="374"/>
    <col min="4353" max="4353" width="11.28515625" style="374" customWidth="1"/>
    <col min="4354" max="4354" width="12.7109375" style="374" customWidth="1"/>
    <col min="4355" max="4355" width="0" style="374" hidden="1" customWidth="1"/>
    <col min="4356" max="4356" width="10.28515625" style="374" customWidth="1"/>
    <col min="4357" max="4357" width="12.85546875" style="374" customWidth="1"/>
    <col min="4358" max="4358" width="0" style="374" hidden="1" customWidth="1"/>
    <col min="4359" max="4359" width="13" style="374" customWidth="1"/>
    <col min="4360" max="4360" width="12.140625" style="374" customWidth="1"/>
    <col min="4361" max="4361" width="13.42578125" style="374" customWidth="1"/>
    <col min="4362" max="4362" width="15.7109375" style="374" customWidth="1"/>
    <col min="4363" max="4363" width="11.7109375" style="374" customWidth="1"/>
    <col min="4364" max="4608" width="9.140625" style="374"/>
    <col min="4609" max="4609" width="11.28515625" style="374" customWidth="1"/>
    <col min="4610" max="4610" width="12.7109375" style="374" customWidth="1"/>
    <col min="4611" max="4611" width="0" style="374" hidden="1" customWidth="1"/>
    <col min="4612" max="4612" width="10.28515625" style="374" customWidth="1"/>
    <col min="4613" max="4613" width="12.85546875" style="374" customWidth="1"/>
    <col min="4614" max="4614" width="0" style="374" hidden="1" customWidth="1"/>
    <col min="4615" max="4615" width="13" style="374" customWidth="1"/>
    <col min="4616" max="4616" width="12.140625" style="374" customWidth="1"/>
    <col min="4617" max="4617" width="13.42578125" style="374" customWidth="1"/>
    <col min="4618" max="4618" width="15.7109375" style="374" customWidth="1"/>
    <col min="4619" max="4619" width="11.7109375" style="374" customWidth="1"/>
    <col min="4620" max="4864" width="9.140625" style="374"/>
    <col min="4865" max="4865" width="11.28515625" style="374" customWidth="1"/>
    <col min="4866" max="4866" width="12.7109375" style="374" customWidth="1"/>
    <col min="4867" max="4867" width="0" style="374" hidden="1" customWidth="1"/>
    <col min="4868" max="4868" width="10.28515625" style="374" customWidth="1"/>
    <col min="4869" max="4869" width="12.85546875" style="374" customWidth="1"/>
    <col min="4870" max="4870" width="0" style="374" hidden="1" customWidth="1"/>
    <col min="4871" max="4871" width="13" style="374" customWidth="1"/>
    <col min="4872" max="4872" width="12.140625" style="374" customWidth="1"/>
    <col min="4873" max="4873" width="13.42578125" style="374" customWidth="1"/>
    <col min="4874" max="4874" width="15.7109375" style="374" customWidth="1"/>
    <col min="4875" max="4875" width="11.7109375" style="374" customWidth="1"/>
    <col min="4876" max="5120" width="9.140625" style="374"/>
    <col min="5121" max="5121" width="11.28515625" style="374" customWidth="1"/>
    <col min="5122" max="5122" width="12.7109375" style="374" customWidth="1"/>
    <col min="5123" max="5123" width="0" style="374" hidden="1" customWidth="1"/>
    <col min="5124" max="5124" width="10.28515625" style="374" customWidth="1"/>
    <col min="5125" max="5125" width="12.85546875" style="374" customWidth="1"/>
    <col min="5126" max="5126" width="0" style="374" hidden="1" customWidth="1"/>
    <col min="5127" max="5127" width="13" style="374" customWidth="1"/>
    <col min="5128" max="5128" width="12.140625" style="374" customWidth="1"/>
    <col min="5129" max="5129" width="13.42578125" style="374" customWidth="1"/>
    <col min="5130" max="5130" width="15.7109375" style="374" customWidth="1"/>
    <col min="5131" max="5131" width="11.7109375" style="374" customWidth="1"/>
    <col min="5132" max="5376" width="9.140625" style="374"/>
    <col min="5377" max="5377" width="11.28515625" style="374" customWidth="1"/>
    <col min="5378" max="5378" width="12.7109375" style="374" customWidth="1"/>
    <col min="5379" max="5379" width="0" style="374" hidden="1" customWidth="1"/>
    <col min="5380" max="5380" width="10.28515625" style="374" customWidth="1"/>
    <col min="5381" max="5381" width="12.85546875" style="374" customWidth="1"/>
    <col min="5382" max="5382" width="0" style="374" hidden="1" customWidth="1"/>
    <col min="5383" max="5383" width="13" style="374" customWidth="1"/>
    <col min="5384" max="5384" width="12.140625" style="374" customWidth="1"/>
    <col min="5385" max="5385" width="13.42578125" style="374" customWidth="1"/>
    <col min="5386" max="5386" width="15.7109375" style="374" customWidth="1"/>
    <col min="5387" max="5387" width="11.7109375" style="374" customWidth="1"/>
    <col min="5388" max="5632" width="9.140625" style="374"/>
    <col min="5633" max="5633" width="11.28515625" style="374" customWidth="1"/>
    <col min="5634" max="5634" width="12.7109375" style="374" customWidth="1"/>
    <col min="5635" max="5635" width="0" style="374" hidden="1" customWidth="1"/>
    <col min="5636" max="5636" width="10.28515625" style="374" customWidth="1"/>
    <col min="5637" max="5637" width="12.85546875" style="374" customWidth="1"/>
    <col min="5638" max="5638" width="0" style="374" hidden="1" customWidth="1"/>
    <col min="5639" max="5639" width="13" style="374" customWidth="1"/>
    <col min="5640" max="5640" width="12.140625" style="374" customWidth="1"/>
    <col min="5641" max="5641" width="13.42578125" style="374" customWidth="1"/>
    <col min="5642" max="5642" width="15.7109375" style="374" customWidth="1"/>
    <col min="5643" max="5643" width="11.7109375" style="374" customWidth="1"/>
    <col min="5644" max="5888" width="9.140625" style="374"/>
    <col min="5889" max="5889" width="11.28515625" style="374" customWidth="1"/>
    <col min="5890" max="5890" width="12.7109375" style="374" customWidth="1"/>
    <col min="5891" max="5891" width="0" style="374" hidden="1" customWidth="1"/>
    <col min="5892" max="5892" width="10.28515625" style="374" customWidth="1"/>
    <col min="5893" max="5893" width="12.85546875" style="374" customWidth="1"/>
    <col min="5894" max="5894" width="0" style="374" hidden="1" customWidth="1"/>
    <col min="5895" max="5895" width="13" style="374" customWidth="1"/>
    <col min="5896" max="5896" width="12.140625" style="374" customWidth="1"/>
    <col min="5897" max="5897" width="13.42578125" style="374" customWidth="1"/>
    <col min="5898" max="5898" width="15.7109375" style="374" customWidth="1"/>
    <col min="5899" max="5899" width="11.7109375" style="374" customWidth="1"/>
    <col min="5900" max="6144" width="9.140625" style="374"/>
    <col min="6145" max="6145" width="11.28515625" style="374" customWidth="1"/>
    <col min="6146" max="6146" width="12.7109375" style="374" customWidth="1"/>
    <col min="6147" max="6147" width="0" style="374" hidden="1" customWidth="1"/>
    <col min="6148" max="6148" width="10.28515625" style="374" customWidth="1"/>
    <col min="6149" max="6149" width="12.85546875" style="374" customWidth="1"/>
    <col min="6150" max="6150" width="0" style="374" hidden="1" customWidth="1"/>
    <col min="6151" max="6151" width="13" style="374" customWidth="1"/>
    <col min="6152" max="6152" width="12.140625" style="374" customWidth="1"/>
    <col min="6153" max="6153" width="13.42578125" style="374" customWidth="1"/>
    <col min="6154" max="6154" width="15.7109375" style="374" customWidth="1"/>
    <col min="6155" max="6155" width="11.7109375" style="374" customWidth="1"/>
    <col min="6156" max="6400" width="9.140625" style="374"/>
    <col min="6401" max="6401" width="11.28515625" style="374" customWidth="1"/>
    <col min="6402" max="6402" width="12.7109375" style="374" customWidth="1"/>
    <col min="6403" max="6403" width="0" style="374" hidden="1" customWidth="1"/>
    <col min="6404" max="6404" width="10.28515625" style="374" customWidth="1"/>
    <col min="6405" max="6405" width="12.85546875" style="374" customWidth="1"/>
    <col min="6406" max="6406" width="0" style="374" hidden="1" customWidth="1"/>
    <col min="6407" max="6407" width="13" style="374" customWidth="1"/>
    <col min="6408" max="6408" width="12.140625" style="374" customWidth="1"/>
    <col min="6409" max="6409" width="13.42578125" style="374" customWidth="1"/>
    <col min="6410" max="6410" width="15.7109375" style="374" customWidth="1"/>
    <col min="6411" max="6411" width="11.7109375" style="374" customWidth="1"/>
    <col min="6412" max="6656" width="9.140625" style="374"/>
    <col min="6657" max="6657" width="11.28515625" style="374" customWidth="1"/>
    <col min="6658" max="6658" width="12.7109375" style="374" customWidth="1"/>
    <col min="6659" max="6659" width="0" style="374" hidden="1" customWidth="1"/>
    <col min="6660" max="6660" width="10.28515625" style="374" customWidth="1"/>
    <col min="6661" max="6661" width="12.85546875" style="374" customWidth="1"/>
    <col min="6662" max="6662" width="0" style="374" hidden="1" customWidth="1"/>
    <col min="6663" max="6663" width="13" style="374" customWidth="1"/>
    <col min="6664" max="6664" width="12.140625" style="374" customWidth="1"/>
    <col min="6665" max="6665" width="13.42578125" style="374" customWidth="1"/>
    <col min="6666" max="6666" width="15.7109375" style="374" customWidth="1"/>
    <col min="6667" max="6667" width="11.7109375" style="374" customWidth="1"/>
    <col min="6668" max="6912" width="9.140625" style="374"/>
    <col min="6913" max="6913" width="11.28515625" style="374" customWidth="1"/>
    <col min="6914" max="6914" width="12.7109375" style="374" customWidth="1"/>
    <col min="6915" max="6915" width="0" style="374" hidden="1" customWidth="1"/>
    <col min="6916" max="6916" width="10.28515625" style="374" customWidth="1"/>
    <col min="6917" max="6917" width="12.85546875" style="374" customWidth="1"/>
    <col min="6918" max="6918" width="0" style="374" hidden="1" customWidth="1"/>
    <col min="6919" max="6919" width="13" style="374" customWidth="1"/>
    <col min="6920" max="6920" width="12.140625" style="374" customWidth="1"/>
    <col min="6921" max="6921" width="13.42578125" style="374" customWidth="1"/>
    <col min="6922" max="6922" width="15.7109375" style="374" customWidth="1"/>
    <col min="6923" max="6923" width="11.7109375" style="374" customWidth="1"/>
    <col min="6924" max="7168" width="9.140625" style="374"/>
    <col min="7169" max="7169" width="11.28515625" style="374" customWidth="1"/>
    <col min="7170" max="7170" width="12.7109375" style="374" customWidth="1"/>
    <col min="7171" max="7171" width="0" style="374" hidden="1" customWidth="1"/>
    <col min="7172" max="7172" width="10.28515625" style="374" customWidth="1"/>
    <col min="7173" max="7173" width="12.85546875" style="374" customWidth="1"/>
    <col min="7174" max="7174" width="0" style="374" hidden="1" customWidth="1"/>
    <col min="7175" max="7175" width="13" style="374" customWidth="1"/>
    <col min="7176" max="7176" width="12.140625" style="374" customWidth="1"/>
    <col min="7177" max="7177" width="13.42578125" style="374" customWidth="1"/>
    <col min="7178" max="7178" width="15.7109375" style="374" customWidth="1"/>
    <col min="7179" max="7179" width="11.7109375" style="374" customWidth="1"/>
    <col min="7180" max="7424" width="9.140625" style="374"/>
    <col min="7425" max="7425" width="11.28515625" style="374" customWidth="1"/>
    <col min="7426" max="7426" width="12.7109375" style="374" customWidth="1"/>
    <col min="7427" max="7427" width="0" style="374" hidden="1" customWidth="1"/>
    <col min="7428" max="7428" width="10.28515625" style="374" customWidth="1"/>
    <col min="7429" max="7429" width="12.85546875" style="374" customWidth="1"/>
    <col min="7430" max="7430" width="0" style="374" hidden="1" customWidth="1"/>
    <col min="7431" max="7431" width="13" style="374" customWidth="1"/>
    <col min="7432" max="7432" width="12.140625" style="374" customWidth="1"/>
    <col min="7433" max="7433" width="13.42578125" style="374" customWidth="1"/>
    <col min="7434" max="7434" width="15.7109375" style="374" customWidth="1"/>
    <col min="7435" max="7435" width="11.7109375" style="374" customWidth="1"/>
    <col min="7436" max="7680" width="9.140625" style="374"/>
    <col min="7681" max="7681" width="11.28515625" style="374" customWidth="1"/>
    <col min="7682" max="7682" width="12.7109375" style="374" customWidth="1"/>
    <col min="7683" max="7683" width="0" style="374" hidden="1" customWidth="1"/>
    <col min="7684" max="7684" width="10.28515625" style="374" customWidth="1"/>
    <col min="7685" max="7685" width="12.85546875" style="374" customWidth="1"/>
    <col min="7686" max="7686" width="0" style="374" hidden="1" customWidth="1"/>
    <col min="7687" max="7687" width="13" style="374" customWidth="1"/>
    <col min="7688" max="7688" width="12.140625" style="374" customWidth="1"/>
    <col min="7689" max="7689" width="13.42578125" style="374" customWidth="1"/>
    <col min="7690" max="7690" width="15.7109375" style="374" customWidth="1"/>
    <col min="7691" max="7691" width="11.7109375" style="374" customWidth="1"/>
    <col min="7692" max="7936" width="9.140625" style="374"/>
    <col min="7937" max="7937" width="11.28515625" style="374" customWidth="1"/>
    <col min="7938" max="7938" width="12.7109375" style="374" customWidth="1"/>
    <col min="7939" max="7939" width="0" style="374" hidden="1" customWidth="1"/>
    <col min="7940" max="7940" width="10.28515625" style="374" customWidth="1"/>
    <col min="7941" max="7941" width="12.85546875" style="374" customWidth="1"/>
    <col min="7942" max="7942" width="0" style="374" hidden="1" customWidth="1"/>
    <col min="7943" max="7943" width="13" style="374" customWidth="1"/>
    <col min="7944" max="7944" width="12.140625" style="374" customWidth="1"/>
    <col min="7945" max="7945" width="13.42578125" style="374" customWidth="1"/>
    <col min="7946" max="7946" width="15.7109375" style="374" customWidth="1"/>
    <col min="7947" max="7947" width="11.7109375" style="374" customWidth="1"/>
    <col min="7948" max="8192" width="9.140625" style="374"/>
    <col min="8193" max="8193" width="11.28515625" style="374" customWidth="1"/>
    <col min="8194" max="8194" width="12.7109375" style="374" customWidth="1"/>
    <col min="8195" max="8195" width="0" style="374" hidden="1" customWidth="1"/>
    <col min="8196" max="8196" width="10.28515625" style="374" customWidth="1"/>
    <col min="8197" max="8197" width="12.85546875" style="374" customWidth="1"/>
    <col min="8198" max="8198" width="0" style="374" hidden="1" customWidth="1"/>
    <col min="8199" max="8199" width="13" style="374" customWidth="1"/>
    <col min="8200" max="8200" width="12.140625" style="374" customWidth="1"/>
    <col min="8201" max="8201" width="13.42578125" style="374" customWidth="1"/>
    <col min="8202" max="8202" width="15.7109375" style="374" customWidth="1"/>
    <col min="8203" max="8203" width="11.7109375" style="374" customWidth="1"/>
    <col min="8204" max="8448" width="9.140625" style="374"/>
    <col min="8449" max="8449" width="11.28515625" style="374" customWidth="1"/>
    <col min="8450" max="8450" width="12.7109375" style="374" customWidth="1"/>
    <col min="8451" max="8451" width="0" style="374" hidden="1" customWidth="1"/>
    <col min="8452" max="8452" width="10.28515625" style="374" customWidth="1"/>
    <col min="8453" max="8453" width="12.85546875" style="374" customWidth="1"/>
    <col min="8454" max="8454" width="0" style="374" hidden="1" customWidth="1"/>
    <col min="8455" max="8455" width="13" style="374" customWidth="1"/>
    <col min="8456" max="8456" width="12.140625" style="374" customWidth="1"/>
    <col min="8457" max="8457" width="13.42578125" style="374" customWidth="1"/>
    <col min="8458" max="8458" width="15.7109375" style="374" customWidth="1"/>
    <col min="8459" max="8459" width="11.7109375" style="374" customWidth="1"/>
    <col min="8460" max="8704" width="9.140625" style="374"/>
    <col min="8705" max="8705" width="11.28515625" style="374" customWidth="1"/>
    <col min="8706" max="8706" width="12.7109375" style="374" customWidth="1"/>
    <col min="8707" max="8707" width="0" style="374" hidden="1" customWidth="1"/>
    <col min="8708" max="8708" width="10.28515625" style="374" customWidth="1"/>
    <col min="8709" max="8709" width="12.85546875" style="374" customWidth="1"/>
    <col min="8710" max="8710" width="0" style="374" hidden="1" customWidth="1"/>
    <col min="8711" max="8711" width="13" style="374" customWidth="1"/>
    <col min="8712" max="8712" width="12.140625" style="374" customWidth="1"/>
    <col min="8713" max="8713" width="13.42578125" style="374" customWidth="1"/>
    <col min="8714" max="8714" width="15.7109375" style="374" customWidth="1"/>
    <col min="8715" max="8715" width="11.7109375" style="374" customWidth="1"/>
    <col min="8716" max="8960" width="9.140625" style="374"/>
    <col min="8961" max="8961" width="11.28515625" style="374" customWidth="1"/>
    <col min="8962" max="8962" width="12.7109375" style="374" customWidth="1"/>
    <col min="8963" max="8963" width="0" style="374" hidden="1" customWidth="1"/>
    <col min="8964" max="8964" width="10.28515625" style="374" customWidth="1"/>
    <col min="8965" max="8965" width="12.85546875" style="374" customWidth="1"/>
    <col min="8966" max="8966" width="0" style="374" hidden="1" customWidth="1"/>
    <col min="8967" max="8967" width="13" style="374" customWidth="1"/>
    <col min="8968" max="8968" width="12.140625" style="374" customWidth="1"/>
    <col min="8969" max="8969" width="13.42578125" style="374" customWidth="1"/>
    <col min="8970" max="8970" width="15.7109375" style="374" customWidth="1"/>
    <col min="8971" max="8971" width="11.7109375" style="374" customWidth="1"/>
    <col min="8972" max="9216" width="9.140625" style="374"/>
    <col min="9217" max="9217" width="11.28515625" style="374" customWidth="1"/>
    <col min="9218" max="9218" width="12.7109375" style="374" customWidth="1"/>
    <col min="9219" max="9219" width="0" style="374" hidden="1" customWidth="1"/>
    <col min="9220" max="9220" width="10.28515625" style="374" customWidth="1"/>
    <col min="9221" max="9221" width="12.85546875" style="374" customWidth="1"/>
    <col min="9222" max="9222" width="0" style="374" hidden="1" customWidth="1"/>
    <col min="9223" max="9223" width="13" style="374" customWidth="1"/>
    <col min="9224" max="9224" width="12.140625" style="374" customWidth="1"/>
    <col min="9225" max="9225" width="13.42578125" style="374" customWidth="1"/>
    <col min="9226" max="9226" width="15.7109375" style="374" customWidth="1"/>
    <col min="9227" max="9227" width="11.7109375" style="374" customWidth="1"/>
    <col min="9228" max="9472" width="9.140625" style="374"/>
    <col min="9473" max="9473" width="11.28515625" style="374" customWidth="1"/>
    <col min="9474" max="9474" width="12.7109375" style="374" customWidth="1"/>
    <col min="9475" max="9475" width="0" style="374" hidden="1" customWidth="1"/>
    <col min="9476" max="9476" width="10.28515625" style="374" customWidth="1"/>
    <col min="9477" max="9477" width="12.85546875" style="374" customWidth="1"/>
    <col min="9478" max="9478" width="0" style="374" hidden="1" customWidth="1"/>
    <col min="9479" max="9479" width="13" style="374" customWidth="1"/>
    <col min="9480" max="9480" width="12.140625" style="374" customWidth="1"/>
    <col min="9481" max="9481" width="13.42578125" style="374" customWidth="1"/>
    <col min="9482" max="9482" width="15.7109375" style="374" customWidth="1"/>
    <col min="9483" max="9483" width="11.7109375" style="374" customWidth="1"/>
    <col min="9484" max="9728" width="9.140625" style="374"/>
    <col min="9729" max="9729" width="11.28515625" style="374" customWidth="1"/>
    <col min="9730" max="9730" width="12.7109375" style="374" customWidth="1"/>
    <col min="9731" max="9731" width="0" style="374" hidden="1" customWidth="1"/>
    <col min="9732" max="9732" width="10.28515625" style="374" customWidth="1"/>
    <col min="9733" max="9733" width="12.85546875" style="374" customWidth="1"/>
    <col min="9734" max="9734" width="0" style="374" hidden="1" customWidth="1"/>
    <col min="9735" max="9735" width="13" style="374" customWidth="1"/>
    <col min="9736" max="9736" width="12.140625" style="374" customWidth="1"/>
    <col min="9737" max="9737" width="13.42578125" style="374" customWidth="1"/>
    <col min="9738" max="9738" width="15.7109375" style="374" customWidth="1"/>
    <col min="9739" max="9739" width="11.7109375" style="374" customWidth="1"/>
    <col min="9740" max="9984" width="9.140625" style="374"/>
    <col min="9985" max="9985" width="11.28515625" style="374" customWidth="1"/>
    <col min="9986" max="9986" width="12.7109375" style="374" customWidth="1"/>
    <col min="9987" max="9987" width="0" style="374" hidden="1" customWidth="1"/>
    <col min="9988" max="9988" width="10.28515625" style="374" customWidth="1"/>
    <col min="9989" max="9989" width="12.85546875" style="374" customWidth="1"/>
    <col min="9990" max="9990" width="0" style="374" hidden="1" customWidth="1"/>
    <col min="9991" max="9991" width="13" style="374" customWidth="1"/>
    <col min="9992" max="9992" width="12.140625" style="374" customWidth="1"/>
    <col min="9993" max="9993" width="13.42578125" style="374" customWidth="1"/>
    <col min="9994" max="9994" width="15.7109375" style="374" customWidth="1"/>
    <col min="9995" max="9995" width="11.7109375" style="374" customWidth="1"/>
    <col min="9996" max="10240" width="9.140625" style="374"/>
    <col min="10241" max="10241" width="11.28515625" style="374" customWidth="1"/>
    <col min="10242" max="10242" width="12.7109375" style="374" customWidth="1"/>
    <col min="10243" max="10243" width="0" style="374" hidden="1" customWidth="1"/>
    <col min="10244" max="10244" width="10.28515625" style="374" customWidth="1"/>
    <col min="10245" max="10245" width="12.85546875" style="374" customWidth="1"/>
    <col min="10246" max="10246" width="0" style="374" hidden="1" customWidth="1"/>
    <col min="10247" max="10247" width="13" style="374" customWidth="1"/>
    <col min="10248" max="10248" width="12.140625" style="374" customWidth="1"/>
    <col min="10249" max="10249" width="13.42578125" style="374" customWidth="1"/>
    <col min="10250" max="10250" width="15.7109375" style="374" customWidth="1"/>
    <col min="10251" max="10251" width="11.7109375" style="374" customWidth="1"/>
    <col min="10252" max="10496" width="9.140625" style="374"/>
    <col min="10497" max="10497" width="11.28515625" style="374" customWidth="1"/>
    <col min="10498" max="10498" width="12.7109375" style="374" customWidth="1"/>
    <col min="10499" max="10499" width="0" style="374" hidden="1" customWidth="1"/>
    <col min="10500" max="10500" width="10.28515625" style="374" customWidth="1"/>
    <col min="10501" max="10501" width="12.85546875" style="374" customWidth="1"/>
    <col min="10502" max="10502" width="0" style="374" hidden="1" customWidth="1"/>
    <col min="10503" max="10503" width="13" style="374" customWidth="1"/>
    <col min="10504" max="10504" width="12.140625" style="374" customWidth="1"/>
    <col min="10505" max="10505" width="13.42578125" style="374" customWidth="1"/>
    <col min="10506" max="10506" width="15.7109375" style="374" customWidth="1"/>
    <col min="10507" max="10507" width="11.7109375" style="374" customWidth="1"/>
    <col min="10508" max="10752" width="9.140625" style="374"/>
    <col min="10753" max="10753" width="11.28515625" style="374" customWidth="1"/>
    <col min="10754" max="10754" width="12.7109375" style="374" customWidth="1"/>
    <col min="10755" max="10755" width="0" style="374" hidden="1" customWidth="1"/>
    <col min="10756" max="10756" width="10.28515625" style="374" customWidth="1"/>
    <col min="10757" max="10757" width="12.85546875" style="374" customWidth="1"/>
    <col min="10758" max="10758" width="0" style="374" hidden="1" customWidth="1"/>
    <col min="10759" max="10759" width="13" style="374" customWidth="1"/>
    <col min="10760" max="10760" width="12.140625" style="374" customWidth="1"/>
    <col min="10761" max="10761" width="13.42578125" style="374" customWidth="1"/>
    <col min="10762" max="10762" width="15.7109375" style="374" customWidth="1"/>
    <col min="10763" max="10763" width="11.7109375" style="374" customWidth="1"/>
    <col min="10764" max="11008" width="9.140625" style="374"/>
    <col min="11009" max="11009" width="11.28515625" style="374" customWidth="1"/>
    <col min="11010" max="11010" width="12.7109375" style="374" customWidth="1"/>
    <col min="11011" max="11011" width="0" style="374" hidden="1" customWidth="1"/>
    <col min="11012" max="11012" width="10.28515625" style="374" customWidth="1"/>
    <col min="11013" max="11013" width="12.85546875" style="374" customWidth="1"/>
    <col min="11014" max="11014" width="0" style="374" hidden="1" customWidth="1"/>
    <col min="11015" max="11015" width="13" style="374" customWidth="1"/>
    <col min="11016" max="11016" width="12.140625" style="374" customWidth="1"/>
    <col min="11017" max="11017" width="13.42578125" style="374" customWidth="1"/>
    <col min="11018" max="11018" width="15.7109375" style="374" customWidth="1"/>
    <col min="11019" max="11019" width="11.7109375" style="374" customWidth="1"/>
    <col min="11020" max="11264" width="9.140625" style="374"/>
    <col min="11265" max="11265" width="11.28515625" style="374" customWidth="1"/>
    <col min="11266" max="11266" width="12.7109375" style="374" customWidth="1"/>
    <col min="11267" max="11267" width="0" style="374" hidden="1" customWidth="1"/>
    <col min="11268" max="11268" width="10.28515625" style="374" customWidth="1"/>
    <col min="11269" max="11269" width="12.85546875" style="374" customWidth="1"/>
    <col min="11270" max="11270" width="0" style="374" hidden="1" customWidth="1"/>
    <col min="11271" max="11271" width="13" style="374" customWidth="1"/>
    <col min="11272" max="11272" width="12.140625" style="374" customWidth="1"/>
    <col min="11273" max="11273" width="13.42578125" style="374" customWidth="1"/>
    <col min="11274" max="11274" width="15.7109375" style="374" customWidth="1"/>
    <col min="11275" max="11275" width="11.7109375" style="374" customWidth="1"/>
    <col min="11276" max="11520" width="9.140625" style="374"/>
    <col min="11521" max="11521" width="11.28515625" style="374" customWidth="1"/>
    <col min="11522" max="11522" width="12.7109375" style="374" customWidth="1"/>
    <col min="11523" max="11523" width="0" style="374" hidden="1" customWidth="1"/>
    <col min="11524" max="11524" width="10.28515625" style="374" customWidth="1"/>
    <col min="11525" max="11525" width="12.85546875" style="374" customWidth="1"/>
    <col min="11526" max="11526" width="0" style="374" hidden="1" customWidth="1"/>
    <col min="11527" max="11527" width="13" style="374" customWidth="1"/>
    <col min="11528" max="11528" width="12.140625" style="374" customWidth="1"/>
    <col min="11529" max="11529" width="13.42578125" style="374" customWidth="1"/>
    <col min="11530" max="11530" width="15.7109375" style="374" customWidth="1"/>
    <col min="11531" max="11531" width="11.7109375" style="374" customWidth="1"/>
    <col min="11532" max="11776" width="9.140625" style="374"/>
    <col min="11777" max="11777" width="11.28515625" style="374" customWidth="1"/>
    <col min="11778" max="11778" width="12.7109375" style="374" customWidth="1"/>
    <col min="11779" max="11779" width="0" style="374" hidden="1" customWidth="1"/>
    <col min="11780" max="11780" width="10.28515625" style="374" customWidth="1"/>
    <col min="11781" max="11781" width="12.85546875" style="374" customWidth="1"/>
    <col min="11782" max="11782" width="0" style="374" hidden="1" customWidth="1"/>
    <col min="11783" max="11783" width="13" style="374" customWidth="1"/>
    <col min="11784" max="11784" width="12.140625" style="374" customWidth="1"/>
    <col min="11785" max="11785" width="13.42578125" style="374" customWidth="1"/>
    <col min="11786" max="11786" width="15.7109375" style="374" customWidth="1"/>
    <col min="11787" max="11787" width="11.7109375" style="374" customWidth="1"/>
    <col min="11788" max="12032" width="9.140625" style="374"/>
    <col min="12033" max="12033" width="11.28515625" style="374" customWidth="1"/>
    <col min="12034" max="12034" width="12.7109375" style="374" customWidth="1"/>
    <col min="12035" max="12035" width="0" style="374" hidden="1" customWidth="1"/>
    <col min="12036" max="12036" width="10.28515625" style="374" customWidth="1"/>
    <col min="12037" max="12037" width="12.85546875" style="374" customWidth="1"/>
    <col min="12038" max="12038" width="0" style="374" hidden="1" customWidth="1"/>
    <col min="12039" max="12039" width="13" style="374" customWidth="1"/>
    <col min="12040" max="12040" width="12.140625" style="374" customWidth="1"/>
    <col min="12041" max="12041" width="13.42578125" style="374" customWidth="1"/>
    <col min="12042" max="12042" width="15.7109375" style="374" customWidth="1"/>
    <col min="12043" max="12043" width="11.7109375" style="374" customWidth="1"/>
    <col min="12044" max="12288" width="9.140625" style="374"/>
    <col min="12289" max="12289" width="11.28515625" style="374" customWidth="1"/>
    <col min="12290" max="12290" width="12.7109375" style="374" customWidth="1"/>
    <col min="12291" max="12291" width="0" style="374" hidden="1" customWidth="1"/>
    <col min="12292" max="12292" width="10.28515625" style="374" customWidth="1"/>
    <col min="12293" max="12293" width="12.85546875" style="374" customWidth="1"/>
    <col min="12294" max="12294" width="0" style="374" hidden="1" customWidth="1"/>
    <col min="12295" max="12295" width="13" style="374" customWidth="1"/>
    <col min="12296" max="12296" width="12.140625" style="374" customWidth="1"/>
    <col min="12297" max="12297" width="13.42578125" style="374" customWidth="1"/>
    <col min="12298" max="12298" width="15.7109375" style="374" customWidth="1"/>
    <col min="12299" max="12299" width="11.7109375" style="374" customWidth="1"/>
    <col min="12300" max="12544" width="9.140625" style="374"/>
    <col min="12545" max="12545" width="11.28515625" style="374" customWidth="1"/>
    <col min="12546" max="12546" width="12.7109375" style="374" customWidth="1"/>
    <col min="12547" max="12547" width="0" style="374" hidden="1" customWidth="1"/>
    <col min="12548" max="12548" width="10.28515625" style="374" customWidth="1"/>
    <col min="12549" max="12549" width="12.85546875" style="374" customWidth="1"/>
    <col min="12550" max="12550" width="0" style="374" hidden="1" customWidth="1"/>
    <col min="12551" max="12551" width="13" style="374" customWidth="1"/>
    <col min="12552" max="12552" width="12.140625" style="374" customWidth="1"/>
    <col min="12553" max="12553" width="13.42578125" style="374" customWidth="1"/>
    <col min="12554" max="12554" width="15.7109375" style="374" customWidth="1"/>
    <col min="12555" max="12555" width="11.7109375" style="374" customWidth="1"/>
    <col min="12556" max="12800" width="9.140625" style="374"/>
    <col min="12801" max="12801" width="11.28515625" style="374" customWidth="1"/>
    <col min="12802" max="12802" width="12.7109375" style="374" customWidth="1"/>
    <col min="12803" max="12803" width="0" style="374" hidden="1" customWidth="1"/>
    <col min="12804" max="12804" width="10.28515625" style="374" customWidth="1"/>
    <col min="12805" max="12805" width="12.85546875" style="374" customWidth="1"/>
    <col min="12806" max="12806" width="0" style="374" hidden="1" customWidth="1"/>
    <col min="12807" max="12807" width="13" style="374" customWidth="1"/>
    <col min="12808" max="12808" width="12.140625" style="374" customWidth="1"/>
    <col min="12809" max="12809" width="13.42578125" style="374" customWidth="1"/>
    <col min="12810" max="12810" width="15.7109375" style="374" customWidth="1"/>
    <col min="12811" max="12811" width="11.7109375" style="374" customWidth="1"/>
    <col min="12812" max="13056" width="9.140625" style="374"/>
    <col min="13057" max="13057" width="11.28515625" style="374" customWidth="1"/>
    <col min="13058" max="13058" width="12.7109375" style="374" customWidth="1"/>
    <col min="13059" max="13059" width="0" style="374" hidden="1" customWidth="1"/>
    <col min="13060" max="13060" width="10.28515625" style="374" customWidth="1"/>
    <col min="13061" max="13061" width="12.85546875" style="374" customWidth="1"/>
    <col min="13062" max="13062" width="0" style="374" hidden="1" customWidth="1"/>
    <col min="13063" max="13063" width="13" style="374" customWidth="1"/>
    <col min="13064" max="13064" width="12.140625" style="374" customWidth="1"/>
    <col min="13065" max="13065" width="13.42578125" style="374" customWidth="1"/>
    <col min="13066" max="13066" width="15.7109375" style="374" customWidth="1"/>
    <col min="13067" max="13067" width="11.7109375" style="374" customWidth="1"/>
    <col min="13068" max="13312" width="9.140625" style="374"/>
    <col min="13313" max="13313" width="11.28515625" style="374" customWidth="1"/>
    <col min="13314" max="13314" width="12.7109375" style="374" customWidth="1"/>
    <col min="13315" max="13315" width="0" style="374" hidden="1" customWidth="1"/>
    <col min="13316" max="13316" width="10.28515625" style="374" customWidth="1"/>
    <col min="13317" max="13317" width="12.85546875" style="374" customWidth="1"/>
    <col min="13318" max="13318" width="0" style="374" hidden="1" customWidth="1"/>
    <col min="13319" max="13319" width="13" style="374" customWidth="1"/>
    <col min="13320" max="13320" width="12.140625" style="374" customWidth="1"/>
    <col min="13321" max="13321" width="13.42578125" style="374" customWidth="1"/>
    <col min="13322" max="13322" width="15.7109375" style="374" customWidth="1"/>
    <col min="13323" max="13323" width="11.7109375" style="374" customWidth="1"/>
    <col min="13324" max="13568" width="9.140625" style="374"/>
    <col min="13569" max="13569" width="11.28515625" style="374" customWidth="1"/>
    <col min="13570" max="13570" width="12.7109375" style="374" customWidth="1"/>
    <col min="13571" max="13571" width="0" style="374" hidden="1" customWidth="1"/>
    <col min="13572" max="13572" width="10.28515625" style="374" customWidth="1"/>
    <col min="13573" max="13573" width="12.85546875" style="374" customWidth="1"/>
    <col min="13574" max="13574" width="0" style="374" hidden="1" customWidth="1"/>
    <col min="13575" max="13575" width="13" style="374" customWidth="1"/>
    <col min="13576" max="13576" width="12.140625" style="374" customWidth="1"/>
    <col min="13577" max="13577" width="13.42578125" style="374" customWidth="1"/>
    <col min="13578" max="13578" width="15.7109375" style="374" customWidth="1"/>
    <col min="13579" max="13579" width="11.7109375" style="374" customWidth="1"/>
    <col min="13580" max="13824" width="9.140625" style="374"/>
    <col min="13825" max="13825" width="11.28515625" style="374" customWidth="1"/>
    <col min="13826" max="13826" width="12.7109375" style="374" customWidth="1"/>
    <col min="13827" max="13827" width="0" style="374" hidden="1" customWidth="1"/>
    <col min="13828" max="13828" width="10.28515625" style="374" customWidth="1"/>
    <col min="13829" max="13829" width="12.85546875" style="374" customWidth="1"/>
    <col min="13830" max="13830" width="0" style="374" hidden="1" customWidth="1"/>
    <col min="13831" max="13831" width="13" style="374" customWidth="1"/>
    <col min="13832" max="13832" width="12.140625" style="374" customWidth="1"/>
    <col min="13833" max="13833" width="13.42578125" style="374" customWidth="1"/>
    <col min="13834" max="13834" width="15.7109375" style="374" customWidth="1"/>
    <col min="13835" max="13835" width="11.7109375" style="374" customWidth="1"/>
    <col min="13836" max="14080" width="9.140625" style="374"/>
    <col min="14081" max="14081" width="11.28515625" style="374" customWidth="1"/>
    <col min="14082" max="14082" width="12.7109375" style="374" customWidth="1"/>
    <col min="14083" max="14083" width="0" style="374" hidden="1" customWidth="1"/>
    <col min="14084" max="14084" width="10.28515625" style="374" customWidth="1"/>
    <col min="14085" max="14085" width="12.85546875" style="374" customWidth="1"/>
    <col min="14086" max="14086" width="0" style="374" hidden="1" customWidth="1"/>
    <col min="14087" max="14087" width="13" style="374" customWidth="1"/>
    <col min="14088" max="14088" width="12.140625" style="374" customWidth="1"/>
    <col min="14089" max="14089" width="13.42578125" style="374" customWidth="1"/>
    <col min="14090" max="14090" width="15.7109375" style="374" customWidth="1"/>
    <col min="14091" max="14091" width="11.7109375" style="374" customWidth="1"/>
    <col min="14092" max="14336" width="9.140625" style="374"/>
    <col min="14337" max="14337" width="11.28515625" style="374" customWidth="1"/>
    <col min="14338" max="14338" width="12.7109375" style="374" customWidth="1"/>
    <col min="14339" max="14339" width="0" style="374" hidden="1" customWidth="1"/>
    <col min="14340" max="14340" width="10.28515625" style="374" customWidth="1"/>
    <col min="14341" max="14341" width="12.85546875" style="374" customWidth="1"/>
    <col min="14342" max="14342" width="0" style="374" hidden="1" customWidth="1"/>
    <col min="14343" max="14343" width="13" style="374" customWidth="1"/>
    <col min="14344" max="14344" width="12.140625" style="374" customWidth="1"/>
    <col min="14345" max="14345" width="13.42578125" style="374" customWidth="1"/>
    <col min="14346" max="14346" width="15.7109375" style="374" customWidth="1"/>
    <col min="14347" max="14347" width="11.7109375" style="374" customWidth="1"/>
    <col min="14348" max="14592" width="9.140625" style="374"/>
    <col min="14593" max="14593" width="11.28515625" style="374" customWidth="1"/>
    <col min="14594" max="14594" width="12.7109375" style="374" customWidth="1"/>
    <col min="14595" max="14595" width="0" style="374" hidden="1" customWidth="1"/>
    <col min="14596" max="14596" width="10.28515625" style="374" customWidth="1"/>
    <col min="14597" max="14597" width="12.85546875" style="374" customWidth="1"/>
    <col min="14598" max="14598" width="0" style="374" hidden="1" customWidth="1"/>
    <col min="14599" max="14599" width="13" style="374" customWidth="1"/>
    <col min="14600" max="14600" width="12.140625" style="374" customWidth="1"/>
    <col min="14601" max="14601" width="13.42578125" style="374" customWidth="1"/>
    <col min="14602" max="14602" width="15.7109375" style="374" customWidth="1"/>
    <col min="14603" max="14603" width="11.7109375" style="374" customWidth="1"/>
    <col min="14604" max="14848" width="9.140625" style="374"/>
    <col min="14849" max="14849" width="11.28515625" style="374" customWidth="1"/>
    <col min="14850" max="14850" width="12.7109375" style="374" customWidth="1"/>
    <col min="14851" max="14851" width="0" style="374" hidden="1" customWidth="1"/>
    <col min="14852" max="14852" width="10.28515625" style="374" customWidth="1"/>
    <col min="14853" max="14853" width="12.85546875" style="374" customWidth="1"/>
    <col min="14854" max="14854" width="0" style="374" hidden="1" customWidth="1"/>
    <col min="14855" max="14855" width="13" style="374" customWidth="1"/>
    <col min="14856" max="14856" width="12.140625" style="374" customWidth="1"/>
    <col min="14857" max="14857" width="13.42578125" style="374" customWidth="1"/>
    <col min="14858" max="14858" width="15.7109375" style="374" customWidth="1"/>
    <col min="14859" max="14859" width="11.7109375" style="374" customWidth="1"/>
    <col min="14860" max="15104" width="9.140625" style="374"/>
    <col min="15105" max="15105" width="11.28515625" style="374" customWidth="1"/>
    <col min="15106" max="15106" width="12.7109375" style="374" customWidth="1"/>
    <col min="15107" max="15107" width="0" style="374" hidden="1" customWidth="1"/>
    <col min="15108" max="15108" width="10.28515625" style="374" customWidth="1"/>
    <col min="15109" max="15109" width="12.85546875" style="374" customWidth="1"/>
    <col min="15110" max="15110" width="0" style="374" hidden="1" customWidth="1"/>
    <col min="15111" max="15111" width="13" style="374" customWidth="1"/>
    <col min="15112" max="15112" width="12.140625" style="374" customWidth="1"/>
    <col min="15113" max="15113" width="13.42578125" style="374" customWidth="1"/>
    <col min="15114" max="15114" width="15.7109375" style="374" customWidth="1"/>
    <col min="15115" max="15115" width="11.7109375" style="374" customWidth="1"/>
    <col min="15116" max="15360" width="9.140625" style="374"/>
    <col min="15361" max="15361" width="11.28515625" style="374" customWidth="1"/>
    <col min="15362" max="15362" width="12.7109375" style="374" customWidth="1"/>
    <col min="15363" max="15363" width="0" style="374" hidden="1" customWidth="1"/>
    <col min="15364" max="15364" width="10.28515625" style="374" customWidth="1"/>
    <col min="15365" max="15365" width="12.85546875" style="374" customWidth="1"/>
    <col min="15366" max="15366" width="0" style="374" hidden="1" customWidth="1"/>
    <col min="15367" max="15367" width="13" style="374" customWidth="1"/>
    <col min="15368" max="15368" width="12.140625" style="374" customWidth="1"/>
    <col min="15369" max="15369" width="13.42578125" style="374" customWidth="1"/>
    <col min="15370" max="15370" width="15.7109375" style="374" customWidth="1"/>
    <col min="15371" max="15371" width="11.7109375" style="374" customWidth="1"/>
    <col min="15372" max="15616" width="9.140625" style="374"/>
    <col min="15617" max="15617" width="11.28515625" style="374" customWidth="1"/>
    <col min="15618" max="15618" width="12.7109375" style="374" customWidth="1"/>
    <col min="15619" max="15619" width="0" style="374" hidden="1" customWidth="1"/>
    <col min="15620" max="15620" width="10.28515625" style="374" customWidth="1"/>
    <col min="15621" max="15621" width="12.85546875" style="374" customWidth="1"/>
    <col min="15622" max="15622" width="0" style="374" hidden="1" customWidth="1"/>
    <col min="15623" max="15623" width="13" style="374" customWidth="1"/>
    <col min="15624" max="15624" width="12.140625" style="374" customWidth="1"/>
    <col min="15625" max="15625" width="13.42578125" style="374" customWidth="1"/>
    <col min="15626" max="15626" width="15.7109375" style="374" customWidth="1"/>
    <col min="15627" max="15627" width="11.7109375" style="374" customWidth="1"/>
    <col min="15628" max="15872" width="9.140625" style="374"/>
    <col min="15873" max="15873" width="11.28515625" style="374" customWidth="1"/>
    <col min="15874" max="15874" width="12.7109375" style="374" customWidth="1"/>
    <col min="15875" max="15875" width="0" style="374" hidden="1" customWidth="1"/>
    <col min="15876" max="15876" width="10.28515625" style="374" customWidth="1"/>
    <col min="15877" max="15877" width="12.85546875" style="374" customWidth="1"/>
    <col min="15878" max="15878" width="0" style="374" hidden="1" customWidth="1"/>
    <col min="15879" max="15879" width="13" style="374" customWidth="1"/>
    <col min="15880" max="15880" width="12.140625" style="374" customWidth="1"/>
    <col min="15881" max="15881" width="13.42578125" style="374" customWidth="1"/>
    <col min="15882" max="15882" width="15.7109375" style="374" customWidth="1"/>
    <col min="15883" max="15883" width="11.7109375" style="374" customWidth="1"/>
    <col min="15884" max="16128" width="9.140625" style="374"/>
    <col min="16129" max="16129" width="11.28515625" style="374" customWidth="1"/>
    <col min="16130" max="16130" width="12.7109375" style="374" customWidth="1"/>
    <col min="16131" max="16131" width="0" style="374" hidden="1" customWidth="1"/>
    <col min="16132" max="16132" width="10.28515625" style="374" customWidth="1"/>
    <col min="16133" max="16133" width="12.85546875" style="374" customWidth="1"/>
    <col min="16134" max="16134" width="0" style="374" hidden="1" customWidth="1"/>
    <col min="16135" max="16135" width="13" style="374" customWidth="1"/>
    <col min="16136" max="16136" width="12.140625" style="374" customWidth="1"/>
    <col min="16137" max="16137" width="13.42578125" style="374" customWidth="1"/>
    <col min="16138" max="16138" width="15.7109375" style="374" customWidth="1"/>
    <col min="16139" max="16139" width="11.7109375" style="374" customWidth="1"/>
    <col min="16140" max="16384" width="9.140625" style="374"/>
  </cols>
  <sheetData>
    <row r="1" spans="1:13" ht="18.75">
      <c r="A1" s="370" t="s">
        <v>2054</v>
      </c>
      <c r="B1" s="371"/>
      <c r="C1" s="371"/>
      <c r="D1" s="371"/>
      <c r="E1" s="371"/>
      <c r="F1" s="372"/>
      <c r="G1" s="373"/>
      <c r="H1" s="373"/>
      <c r="I1" s="373"/>
      <c r="J1" s="373"/>
      <c r="K1" s="373"/>
    </row>
    <row r="2" spans="1:13">
      <c r="B2" s="373"/>
      <c r="C2" s="373"/>
      <c r="D2" s="373"/>
      <c r="E2" s="373"/>
      <c r="F2" s="373"/>
      <c r="G2" s="373"/>
      <c r="H2" s="373"/>
      <c r="I2" s="373"/>
      <c r="J2" s="373"/>
      <c r="K2" s="373"/>
    </row>
    <row r="3" spans="1:13" ht="13.5" thickBot="1">
      <c r="A3" s="373"/>
      <c r="B3" s="373"/>
      <c r="C3" s="373"/>
      <c r="D3" s="373"/>
      <c r="E3" s="373"/>
      <c r="F3" s="373"/>
      <c r="G3" s="373"/>
      <c r="H3" s="373"/>
      <c r="I3" s="373"/>
      <c r="J3" s="375" t="s">
        <v>2055</v>
      </c>
      <c r="K3" s="376"/>
    </row>
    <row r="4" spans="1:13" ht="16.5" thickTop="1">
      <c r="A4" s="377"/>
      <c r="B4" s="378" t="s">
        <v>2056</v>
      </c>
      <c r="C4" s="379" t="s">
        <v>82</v>
      </c>
      <c r="D4" s="379" t="s">
        <v>2057</v>
      </c>
      <c r="E4" s="379" t="s">
        <v>2056</v>
      </c>
      <c r="F4" s="379" t="s">
        <v>2058</v>
      </c>
      <c r="G4" s="379" t="s">
        <v>2058</v>
      </c>
      <c r="H4" s="379" t="s">
        <v>2058</v>
      </c>
      <c r="I4" s="379" t="s">
        <v>2058</v>
      </c>
      <c r="J4" s="379" t="s">
        <v>82</v>
      </c>
      <c r="K4" s="380" t="s">
        <v>82</v>
      </c>
    </row>
    <row r="5" spans="1:13" ht="15.75">
      <c r="A5" s="381"/>
      <c r="B5" s="382" t="s">
        <v>2059</v>
      </c>
      <c r="C5" s="383" t="s">
        <v>2060</v>
      </c>
      <c r="D5" s="383" t="s">
        <v>2059</v>
      </c>
      <c r="E5" s="383" t="s">
        <v>2059</v>
      </c>
      <c r="F5" s="383" t="s">
        <v>2061</v>
      </c>
      <c r="G5" s="383" t="s">
        <v>2062</v>
      </c>
      <c r="H5" s="383" t="s">
        <v>2063</v>
      </c>
      <c r="I5" s="383" t="s">
        <v>2064</v>
      </c>
      <c r="J5" s="383" t="s">
        <v>2065</v>
      </c>
      <c r="K5" s="384" t="s">
        <v>2065</v>
      </c>
    </row>
    <row r="6" spans="1:13" ht="15.75">
      <c r="A6" s="381"/>
      <c r="B6" s="382" t="s">
        <v>2066</v>
      </c>
      <c r="C6" s="383" t="s">
        <v>2067</v>
      </c>
      <c r="D6" s="383" t="s">
        <v>2068</v>
      </c>
      <c r="E6" s="383" t="s">
        <v>2069</v>
      </c>
      <c r="F6" s="383" t="s">
        <v>2070</v>
      </c>
      <c r="G6" s="383" t="s">
        <v>2071</v>
      </c>
      <c r="H6" s="383" t="s">
        <v>2071</v>
      </c>
      <c r="I6" s="383" t="s">
        <v>2072</v>
      </c>
      <c r="J6" s="383" t="s">
        <v>2071</v>
      </c>
      <c r="K6" s="384" t="s">
        <v>2071</v>
      </c>
    </row>
    <row r="7" spans="1:13" ht="15.75">
      <c r="A7" s="381"/>
      <c r="B7" s="382" t="s">
        <v>2073</v>
      </c>
      <c r="C7" s="383" t="s">
        <v>2073</v>
      </c>
      <c r="D7" s="383" t="s">
        <v>2074</v>
      </c>
      <c r="E7" s="383" t="s">
        <v>2058</v>
      </c>
      <c r="F7" s="383" t="s">
        <v>2075</v>
      </c>
      <c r="G7" s="383" t="s">
        <v>2076</v>
      </c>
      <c r="H7" s="383" t="s">
        <v>2077</v>
      </c>
      <c r="I7" s="383" t="s">
        <v>2078</v>
      </c>
      <c r="J7" s="383" t="s">
        <v>2079</v>
      </c>
      <c r="K7" s="384" t="s">
        <v>2080</v>
      </c>
    </row>
    <row r="8" spans="1:13" ht="15.75">
      <c r="A8" s="381"/>
      <c r="B8" s="382" t="s">
        <v>2081</v>
      </c>
      <c r="C8" s="383" t="s">
        <v>2082</v>
      </c>
      <c r="D8" s="383"/>
      <c r="E8" s="383" t="s">
        <v>2083</v>
      </c>
      <c r="F8" s="383" t="s">
        <v>2084</v>
      </c>
      <c r="G8" s="383" t="s">
        <v>6</v>
      </c>
      <c r="H8" s="383" t="s">
        <v>6</v>
      </c>
      <c r="I8" s="383" t="s">
        <v>2085</v>
      </c>
      <c r="J8" s="383" t="s">
        <v>2086</v>
      </c>
      <c r="K8" s="384" t="s">
        <v>2087</v>
      </c>
    </row>
    <row r="9" spans="1:13" ht="17.25" customHeight="1">
      <c r="A9" s="381"/>
      <c r="B9" s="382" t="s">
        <v>2088</v>
      </c>
      <c r="C9" s="383" t="s">
        <v>2089</v>
      </c>
      <c r="D9" s="383"/>
      <c r="E9" s="383"/>
      <c r="F9" s="383" t="s">
        <v>2090</v>
      </c>
      <c r="G9" s="383" t="s">
        <v>2091</v>
      </c>
      <c r="H9" s="383" t="s">
        <v>2091</v>
      </c>
      <c r="I9" s="383" t="s">
        <v>2092</v>
      </c>
      <c r="J9" s="383"/>
      <c r="K9" s="384" t="s">
        <v>2093</v>
      </c>
    </row>
    <row r="10" spans="1:13" ht="18.75" customHeight="1" thickBot="1">
      <c r="A10" s="385"/>
      <c r="B10" s="386" t="s">
        <v>2094</v>
      </c>
      <c r="C10" s="387"/>
      <c r="D10" s="387"/>
      <c r="E10" s="387"/>
      <c r="F10" s="387"/>
      <c r="G10" s="387"/>
      <c r="H10" s="387"/>
      <c r="I10" s="387"/>
      <c r="J10" s="387"/>
      <c r="K10" s="388"/>
    </row>
    <row r="11" spans="1:13" ht="13.5" hidden="1" thickTop="1">
      <c r="A11" s="389">
        <v>38687</v>
      </c>
      <c r="B11" s="390">
        <v>7.45</v>
      </c>
      <c r="C11" s="391" t="s">
        <v>60</v>
      </c>
      <c r="D11" s="392">
        <v>7.16</v>
      </c>
      <c r="E11" s="392">
        <v>3.87</v>
      </c>
      <c r="F11" s="391" t="s">
        <v>60</v>
      </c>
      <c r="G11" s="392" t="s">
        <v>1383</v>
      </c>
      <c r="H11" s="393" t="s">
        <v>2095</v>
      </c>
      <c r="I11" s="393" t="s">
        <v>2096</v>
      </c>
      <c r="J11" s="392">
        <v>5.7</v>
      </c>
      <c r="K11" s="394">
        <v>10.81</v>
      </c>
    </row>
    <row r="12" spans="1:13" ht="13.5" hidden="1" thickTop="1">
      <c r="A12" s="389">
        <v>38718</v>
      </c>
      <c r="B12" s="390">
        <v>7.52</v>
      </c>
      <c r="C12" s="391" t="s">
        <v>60</v>
      </c>
      <c r="D12" s="392">
        <v>7.53</v>
      </c>
      <c r="E12" s="392">
        <v>5.68</v>
      </c>
      <c r="F12" s="391" t="s">
        <v>60</v>
      </c>
      <c r="G12" s="392" t="s">
        <v>1383</v>
      </c>
      <c r="H12" s="393" t="s">
        <v>2095</v>
      </c>
      <c r="I12" s="393" t="s">
        <v>2096</v>
      </c>
      <c r="J12" s="392">
        <v>5.76</v>
      </c>
      <c r="K12" s="394">
        <v>10.85</v>
      </c>
      <c r="M12" s="395">
        <f t="shared" ref="M12:M22" si="0">K12-J12</f>
        <v>5.09</v>
      </c>
    </row>
    <row r="13" spans="1:13" ht="13.5" hidden="1" thickTop="1">
      <c r="A13" s="389">
        <v>38749</v>
      </c>
      <c r="B13" s="390">
        <v>7.49</v>
      </c>
      <c r="C13" s="391" t="s">
        <v>60</v>
      </c>
      <c r="D13" s="392">
        <v>7.44</v>
      </c>
      <c r="E13" s="392">
        <v>3.87</v>
      </c>
      <c r="F13" s="391" t="s">
        <v>60</v>
      </c>
      <c r="G13" s="392" t="s">
        <v>1383</v>
      </c>
      <c r="H13" s="393" t="s">
        <v>2095</v>
      </c>
      <c r="I13" s="393" t="s">
        <v>2096</v>
      </c>
      <c r="J13" s="392">
        <v>6.34</v>
      </c>
      <c r="K13" s="394">
        <v>10.84</v>
      </c>
      <c r="M13" s="395">
        <f t="shared" si="0"/>
        <v>4.5</v>
      </c>
    </row>
    <row r="14" spans="1:13" ht="13.5" hidden="1" thickTop="1">
      <c r="A14" s="389">
        <v>38777</v>
      </c>
      <c r="B14" s="390">
        <v>7.53</v>
      </c>
      <c r="C14" s="391" t="s">
        <v>60</v>
      </c>
      <c r="D14" s="392">
        <v>7.52</v>
      </c>
      <c r="E14" s="392">
        <v>3.83</v>
      </c>
      <c r="F14" s="391" t="s">
        <v>60</v>
      </c>
      <c r="G14" s="392" t="s">
        <v>1383</v>
      </c>
      <c r="H14" s="393" t="s">
        <v>2095</v>
      </c>
      <c r="I14" s="393" t="s">
        <v>2096</v>
      </c>
      <c r="J14" s="392">
        <v>5.76</v>
      </c>
      <c r="K14" s="394">
        <v>10.73</v>
      </c>
      <c r="M14" s="395">
        <f t="shared" si="0"/>
        <v>4.9700000000000006</v>
      </c>
    </row>
    <row r="15" spans="1:13" ht="13.5" hidden="1" thickTop="1">
      <c r="A15" s="389">
        <v>38808</v>
      </c>
      <c r="B15" s="390">
        <v>7.49</v>
      </c>
      <c r="C15" s="391" t="s">
        <v>60</v>
      </c>
      <c r="D15" s="392">
        <v>7.51</v>
      </c>
      <c r="E15" s="392">
        <v>3.88</v>
      </c>
      <c r="F15" s="391" t="s">
        <v>60</v>
      </c>
      <c r="G15" s="392" t="s">
        <v>1383</v>
      </c>
      <c r="H15" s="393" t="s">
        <v>2095</v>
      </c>
      <c r="I15" s="393" t="s">
        <v>2096</v>
      </c>
      <c r="J15" s="392">
        <v>5.79</v>
      </c>
      <c r="K15" s="394">
        <v>10.74</v>
      </c>
      <c r="M15" s="395">
        <f t="shared" si="0"/>
        <v>4.95</v>
      </c>
    </row>
    <row r="16" spans="1:13" ht="13.5" hidden="1" thickTop="1">
      <c r="A16" s="389">
        <v>38838</v>
      </c>
      <c r="B16" s="390">
        <v>7.47</v>
      </c>
      <c r="C16" s="391" t="s">
        <v>60</v>
      </c>
      <c r="D16" s="392">
        <v>7.47</v>
      </c>
      <c r="E16" s="392">
        <v>3.52</v>
      </c>
      <c r="F16" s="391" t="s">
        <v>60</v>
      </c>
      <c r="G16" s="392" t="s">
        <v>1383</v>
      </c>
      <c r="H16" s="393" t="s">
        <v>2095</v>
      </c>
      <c r="I16" s="393" t="s">
        <v>2096</v>
      </c>
      <c r="J16" s="392">
        <v>5.8</v>
      </c>
      <c r="K16" s="394">
        <v>10.8</v>
      </c>
      <c r="M16" s="395">
        <f t="shared" si="0"/>
        <v>5.0000000000000009</v>
      </c>
    </row>
    <row r="17" spans="1:13" ht="13.5" hidden="1" thickTop="1">
      <c r="A17" s="389">
        <v>38869</v>
      </c>
      <c r="B17" s="390">
        <v>7.33</v>
      </c>
      <c r="C17" s="391" t="s">
        <v>60</v>
      </c>
      <c r="D17" s="392">
        <v>7.34</v>
      </c>
      <c r="E17" s="392">
        <v>3.54</v>
      </c>
      <c r="F17" s="391" t="s">
        <v>60</v>
      </c>
      <c r="G17" s="392" t="s">
        <v>1383</v>
      </c>
      <c r="H17" s="393" t="s">
        <v>2095</v>
      </c>
      <c r="I17" s="393" t="s">
        <v>2096</v>
      </c>
      <c r="J17" s="392">
        <v>5.52</v>
      </c>
      <c r="K17" s="394">
        <v>11.08</v>
      </c>
      <c r="M17" s="395">
        <f t="shared" si="0"/>
        <v>5.5600000000000005</v>
      </c>
    </row>
    <row r="18" spans="1:13" ht="13.5" hidden="1" thickTop="1">
      <c r="A18" s="389">
        <v>38899</v>
      </c>
      <c r="B18" s="390">
        <v>7.35</v>
      </c>
      <c r="C18" s="391" t="s">
        <v>60</v>
      </c>
      <c r="D18" s="392">
        <v>7.34</v>
      </c>
      <c r="E18" s="392">
        <v>3.65</v>
      </c>
      <c r="F18" s="391" t="s">
        <v>60</v>
      </c>
      <c r="G18" s="392" t="s">
        <v>1384</v>
      </c>
      <c r="H18" s="393" t="s">
        <v>2097</v>
      </c>
      <c r="I18" s="393" t="s">
        <v>2098</v>
      </c>
      <c r="J18" s="392">
        <v>6.24</v>
      </c>
      <c r="K18" s="394">
        <v>11.51</v>
      </c>
      <c r="M18" s="395">
        <f t="shared" si="0"/>
        <v>5.27</v>
      </c>
    </row>
    <row r="19" spans="1:13" ht="13.5" hidden="1" thickTop="1">
      <c r="A19" s="389">
        <v>38930</v>
      </c>
      <c r="B19" s="390">
        <v>7.3</v>
      </c>
      <c r="C19" s="391" t="s">
        <v>60</v>
      </c>
      <c r="D19" s="392">
        <v>7.26</v>
      </c>
      <c r="E19" s="392">
        <v>5.15</v>
      </c>
      <c r="F19" s="391">
        <v>12</v>
      </c>
      <c r="G19" s="392" t="s">
        <v>1384</v>
      </c>
      <c r="H19" s="393" t="s">
        <v>2097</v>
      </c>
      <c r="I19" s="393" t="s">
        <v>2098</v>
      </c>
      <c r="J19" s="392">
        <v>6.24</v>
      </c>
      <c r="K19" s="394">
        <v>11.48</v>
      </c>
      <c r="M19" s="395">
        <f t="shared" si="0"/>
        <v>5.24</v>
      </c>
    </row>
    <row r="20" spans="1:13" ht="13.5" hidden="1" thickTop="1">
      <c r="A20" s="389">
        <v>38961</v>
      </c>
      <c r="B20" s="390">
        <v>9.2100000000000009</v>
      </c>
      <c r="C20" s="391" t="s">
        <v>60</v>
      </c>
      <c r="D20" s="392">
        <v>8.7899999999999991</v>
      </c>
      <c r="E20" s="392">
        <v>8.0399999999999991</v>
      </c>
      <c r="F20" s="391">
        <v>12</v>
      </c>
      <c r="G20" s="392" t="s">
        <v>1385</v>
      </c>
      <c r="H20" s="393" t="s">
        <v>2099</v>
      </c>
      <c r="I20" s="393" t="s">
        <v>2100</v>
      </c>
      <c r="J20" s="392">
        <v>7</v>
      </c>
      <c r="K20" s="394">
        <v>12.29</v>
      </c>
      <c r="M20" s="395">
        <f t="shared" si="0"/>
        <v>5.2899999999999991</v>
      </c>
    </row>
    <row r="21" spans="1:13" ht="13.5" hidden="1" thickTop="1">
      <c r="A21" s="389">
        <v>38991</v>
      </c>
      <c r="B21" s="390">
        <v>10.210000000000001</v>
      </c>
      <c r="C21" s="391" t="s">
        <v>60</v>
      </c>
      <c r="D21" s="392">
        <v>10.17</v>
      </c>
      <c r="E21" s="392">
        <v>10.83</v>
      </c>
      <c r="F21" s="391">
        <v>13</v>
      </c>
      <c r="G21" s="392" t="s">
        <v>1385</v>
      </c>
      <c r="H21" s="393" t="s">
        <v>2099</v>
      </c>
      <c r="I21" s="393" t="s">
        <v>2100</v>
      </c>
      <c r="J21" s="392">
        <v>7.04</v>
      </c>
      <c r="K21" s="394">
        <v>12.28</v>
      </c>
      <c r="M21" s="395">
        <f t="shared" si="0"/>
        <v>5.2399999999999993</v>
      </c>
    </row>
    <row r="22" spans="1:13" ht="13.5" hidden="1" thickTop="1">
      <c r="A22" s="389">
        <v>39022</v>
      </c>
      <c r="B22" s="390">
        <v>10.74</v>
      </c>
      <c r="C22" s="391" t="s">
        <v>60</v>
      </c>
      <c r="D22" s="392">
        <v>10.66</v>
      </c>
      <c r="E22" s="392">
        <v>8.98</v>
      </c>
      <c r="F22" s="391" t="s">
        <v>60</v>
      </c>
      <c r="G22" s="392" t="s">
        <v>1385</v>
      </c>
      <c r="H22" s="393" t="s">
        <v>2099</v>
      </c>
      <c r="I22" s="393" t="s">
        <v>2100</v>
      </c>
      <c r="J22" s="392">
        <v>7.13</v>
      </c>
      <c r="K22" s="394">
        <v>12.2</v>
      </c>
      <c r="M22" s="395">
        <f t="shared" si="0"/>
        <v>5.0699999999999994</v>
      </c>
    </row>
    <row r="23" spans="1:13" ht="18" hidden="1" customHeight="1" thickTop="1">
      <c r="A23" s="389">
        <v>39052</v>
      </c>
      <c r="B23" s="390">
        <v>11.98</v>
      </c>
      <c r="C23" s="391" t="s">
        <v>60</v>
      </c>
      <c r="D23" s="392">
        <v>11.84</v>
      </c>
      <c r="E23" s="392">
        <v>8.86</v>
      </c>
      <c r="F23" s="391" t="s">
        <v>60</v>
      </c>
      <c r="G23" s="392" t="s">
        <v>1385</v>
      </c>
      <c r="H23" s="393" t="s">
        <v>2101</v>
      </c>
      <c r="I23" s="393" t="s">
        <v>2100</v>
      </c>
      <c r="J23" s="392">
        <v>7.12</v>
      </c>
      <c r="K23" s="394">
        <v>12.2</v>
      </c>
      <c r="M23" s="395"/>
    </row>
    <row r="24" spans="1:13" ht="18" hidden="1" customHeight="1">
      <c r="A24" s="389">
        <v>39083</v>
      </c>
      <c r="B24" s="390">
        <v>13.07</v>
      </c>
      <c r="C24" s="391" t="s">
        <v>60</v>
      </c>
      <c r="D24" s="392">
        <v>12.99</v>
      </c>
      <c r="E24" s="392">
        <v>8.5500000000000007</v>
      </c>
      <c r="F24" s="391" t="s">
        <v>60</v>
      </c>
      <c r="G24" s="392" t="s">
        <v>1385</v>
      </c>
      <c r="H24" s="393" t="s">
        <v>2102</v>
      </c>
      <c r="I24" s="393" t="s">
        <v>2100</v>
      </c>
      <c r="J24" s="392">
        <v>7.26</v>
      </c>
      <c r="K24" s="394">
        <v>12.22</v>
      </c>
      <c r="M24" s="395"/>
    </row>
    <row r="25" spans="1:13" ht="18" hidden="1" customHeight="1">
      <c r="A25" s="389">
        <v>39114</v>
      </c>
      <c r="B25" s="390">
        <v>13.13</v>
      </c>
      <c r="C25" s="391" t="s">
        <v>60</v>
      </c>
      <c r="D25" s="392">
        <v>13.25</v>
      </c>
      <c r="E25" s="392">
        <v>9.0399999999999991</v>
      </c>
      <c r="F25" s="391" t="s">
        <v>60</v>
      </c>
      <c r="G25" s="392" t="s">
        <v>1385</v>
      </c>
      <c r="H25" s="393" t="s">
        <v>2102</v>
      </c>
      <c r="I25" s="393" t="s">
        <v>2100</v>
      </c>
      <c r="J25" s="392">
        <v>7.26</v>
      </c>
      <c r="K25" s="394">
        <v>12.23</v>
      </c>
      <c r="M25" s="395"/>
    </row>
    <row r="26" spans="1:13" ht="18" hidden="1" customHeight="1">
      <c r="A26" s="389">
        <v>39142</v>
      </c>
      <c r="B26" s="390">
        <v>11.94</v>
      </c>
      <c r="C26" s="391" t="s">
        <v>60</v>
      </c>
      <c r="D26" s="392">
        <v>12.11</v>
      </c>
      <c r="E26" s="392">
        <v>8.31</v>
      </c>
      <c r="F26" s="391" t="s">
        <v>60</v>
      </c>
      <c r="G26" s="392" t="s">
        <v>1385</v>
      </c>
      <c r="H26" s="393" t="s">
        <v>2103</v>
      </c>
      <c r="I26" s="393" t="s">
        <v>2100</v>
      </c>
      <c r="J26" s="392">
        <v>7.35</v>
      </c>
      <c r="K26" s="394">
        <v>12.31</v>
      </c>
      <c r="M26" s="395"/>
    </row>
    <row r="27" spans="1:13" ht="18" hidden="1" customHeight="1">
      <c r="A27" s="389">
        <v>39173</v>
      </c>
      <c r="B27" s="390">
        <v>11.52</v>
      </c>
      <c r="C27" s="391" t="s">
        <v>60</v>
      </c>
      <c r="D27" s="392">
        <v>11.47</v>
      </c>
      <c r="E27" s="392">
        <v>8.1</v>
      </c>
      <c r="F27" s="391" t="s">
        <v>60</v>
      </c>
      <c r="G27" s="392" t="s">
        <v>1385</v>
      </c>
      <c r="H27" s="393" t="s">
        <v>2104</v>
      </c>
      <c r="I27" s="393" t="s">
        <v>2100</v>
      </c>
      <c r="J27" s="392">
        <v>7.36</v>
      </c>
      <c r="K27" s="394">
        <v>12.43</v>
      </c>
      <c r="M27" s="395"/>
    </row>
    <row r="28" spans="1:13" ht="18" hidden="1" customHeight="1">
      <c r="A28" s="389">
        <v>39203</v>
      </c>
      <c r="B28" s="390">
        <v>11.65</v>
      </c>
      <c r="C28" s="391" t="s">
        <v>60</v>
      </c>
      <c r="D28" s="392">
        <v>11.67</v>
      </c>
      <c r="E28" s="392">
        <v>8.3699999999999992</v>
      </c>
      <c r="F28" s="391" t="s">
        <v>60</v>
      </c>
      <c r="G28" s="392" t="s">
        <v>1385</v>
      </c>
      <c r="H28" s="393" t="s">
        <v>2102</v>
      </c>
      <c r="I28" s="393" t="s">
        <v>2100</v>
      </c>
      <c r="J28" s="392">
        <v>7.3</v>
      </c>
      <c r="K28" s="394">
        <v>12.35</v>
      </c>
      <c r="M28" s="395"/>
    </row>
    <row r="29" spans="1:13" ht="18" hidden="1" customHeight="1">
      <c r="A29" s="389">
        <v>39234</v>
      </c>
      <c r="B29" s="390">
        <v>11.04</v>
      </c>
      <c r="C29" s="391" t="s">
        <v>60</v>
      </c>
      <c r="D29" s="392">
        <v>11.08</v>
      </c>
      <c r="E29" s="392">
        <v>8.31</v>
      </c>
      <c r="F29" s="391" t="s">
        <v>60</v>
      </c>
      <c r="G29" s="392" t="s">
        <v>1385</v>
      </c>
      <c r="H29" s="393" t="s">
        <v>2105</v>
      </c>
      <c r="I29" s="393" t="s">
        <v>2100</v>
      </c>
      <c r="J29" s="392">
        <v>7.21</v>
      </c>
      <c r="K29" s="394">
        <v>12.35</v>
      </c>
      <c r="L29" s="395"/>
      <c r="M29" s="395"/>
    </row>
    <row r="30" spans="1:13" ht="18" hidden="1" customHeight="1">
      <c r="A30" s="389">
        <v>39264</v>
      </c>
      <c r="B30" s="390">
        <v>11.29</v>
      </c>
      <c r="C30" s="391" t="s">
        <v>60</v>
      </c>
      <c r="D30" s="392">
        <v>11.23</v>
      </c>
      <c r="E30" s="392">
        <v>8.77</v>
      </c>
      <c r="F30" s="391" t="s">
        <v>60</v>
      </c>
      <c r="G30" s="392" t="s">
        <v>1386</v>
      </c>
      <c r="H30" s="393" t="s">
        <v>2102</v>
      </c>
      <c r="I30" s="393" t="s">
        <v>2106</v>
      </c>
      <c r="J30" s="392">
        <v>7.79</v>
      </c>
      <c r="K30" s="394">
        <v>12.73</v>
      </c>
      <c r="L30" s="395"/>
      <c r="M30" s="395"/>
    </row>
    <row r="31" spans="1:13" ht="18" hidden="1" customHeight="1">
      <c r="A31" s="389">
        <v>39295</v>
      </c>
      <c r="B31" s="390">
        <v>10.029999999999999</v>
      </c>
      <c r="C31" s="391" t="s">
        <v>60</v>
      </c>
      <c r="D31" s="392">
        <v>10.199999999999999</v>
      </c>
      <c r="E31" s="392">
        <v>8.77</v>
      </c>
      <c r="F31" s="391" t="s">
        <v>60</v>
      </c>
      <c r="G31" s="392" t="s">
        <v>1386</v>
      </c>
      <c r="H31" s="393" t="s">
        <v>2102</v>
      </c>
      <c r="I31" s="393" t="s">
        <v>2098</v>
      </c>
      <c r="J31" s="392">
        <v>7.88</v>
      </c>
      <c r="K31" s="394">
        <v>12.76</v>
      </c>
      <c r="L31" s="395"/>
      <c r="M31" s="395"/>
    </row>
    <row r="32" spans="1:13" ht="18" hidden="1" customHeight="1">
      <c r="A32" s="389">
        <v>39326</v>
      </c>
      <c r="B32" s="390">
        <v>9.4499999999999993</v>
      </c>
      <c r="C32" s="391" t="s">
        <v>60</v>
      </c>
      <c r="D32" s="392">
        <v>9.49</v>
      </c>
      <c r="E32" s="392">
        <v>8.94</v>
      </c>
      <c r="F32" s="391" t="s">
        <v>60</v>
      </c>
      <c r="G32" s="392" t="s">
        <v>1386</v>
      </c>
      <c r="H32" s="393" t="s">
        <v>2102</v>
      </c>
      <c r="I32" s="393" t="s">
        <v>2107</v>
      </c>
      <c r="J32" s="392">
        <v>7.79</v>
      </c>
      <c r="K32" s="394">
        <v>12.72</v>
      </c>
      <c r="L32" s="395"/>
      <c r="M32" s="395"/>
    </row>
    <row r="33" spans="1:13" ht="18" hidden="1" customHeight="1">
      <c r="A33" s="389">
        <v>39356</v>
      </c>
      <c r="B33" s="390">
        <v>9.14</v>
      </c>
      <c r="C33" s="391" t="s">
        <v>60</v>
      </c>
      <c r="D33" s="392">
        <v>9.24</v>
      </c>
      <c r="E33" s="392">
        <v>9.2200000000000006</v>
      </c>
      <c r="F33" s="391" t="s">
        <v>60</v>
      </c>
      <c r="G33" s="392" t="s">
        <v>1386</v>
      </c>
      <c r="H33" s="393" t="s">
        <v>2104</v>
      </c>
      <c r="I33" s="393" t="s">
        <v>2108</v>
      </c>
      <c r="J33" s="392">
        <v>7.72</v>
      </c>
      <c r="K33" s="394">
        <v>12.77</v>
      </c>
      <c r="L33" s="395"/>
      <c r="M33" s="395"/>
    </row>
    <row r="34" spans="1:13" ht="18" hidden="1" customHeight="1">
      <c r="A34" s="389">
        <v>39387</v>
      </c>
      <c r="B34" s="390">
        <v>9.16</v>
      </c>
      <c r="C34" s="391" t="s">
        <v>60</v>
      </c>
      <c r="D34" s="392">
        <v>9.07</v>
      </c>
      <c r="E34" s="392">
        <v>8.6</v>
      </c>
      <c r="F34" s="391" t="s">
        <v>60</v>
      </c>
      <c r="G34" s="392" t="s">
        <v>1386</v>
      </c>
      <c r="H34" s="393" t="s">
        <v>2109</v>
      </c>
      <c r="I34" s="393" t="s">
        <v>2107</v>
      </c>
      <c r="J34" s="392">
        <v>7.72</v>
      </c>
      <c r="K34" s="394">
        <v>12.82</v>
      </c>
      <c r="L34" s="395"/>
      <c r="M34" s="395"/>
    </row>
    <row r="35" spans="1:13" ht="18" hidden="1" customHeight="1">
      <c r="A35" s="389">
        <v>39417</v>
      </c>
      <c r="B35" s="390">
        <v>10.029999999999999</v>
      </c>
      <c r="C35" s="391" t="s">
        <v>60</v>
      </c>
      <c r="D35" s="392">
        <v>9.93</v>
      </c>
      <c r="E35" s="392">
        <v>8.75</v>
      </c>
      <c r="F35" s="391" t="s">
        <v>60</v>
      </c>
      <c r="G35" s="392" t="s">
        <v>1386</v>
      </c>
      <c r="H35" s="393" t="s">
        <v>2109</v>
      </c>
      <c r="I35" s="393" t="s">
        <v>2107</v>
      </c>
      <c r="J35" s="392">
        <v>7.43</v>
      </c>
      <c r="K35" s="394">
        <v>12.84</v>
      </c>
      <c r="L35" s="395"/>
      <c r="M35" s="395"/>
    </row>
    <row r="36" spans="1:13" ht="18" hidden="1" customHeight="1">
      <c r="A36" s="389">
        <v>39455</v>
      </c>
      <c r="B36" s="390">
        <v>9.85</v>
      </c>
      <c r="C36" s="391" t="s">
        <v>60</v>
      </c>
      <c r="D36" s="392">
        <v>9.82</v>
      </c>
      <c r="E36" s="392">
        <v>8.67</v>
      </c>
      <c r="F36" s="391" t="s">
        <v>60</v>
      </c>
      <c r="G36" s="392" t="s">
        <v>1386</v>
      </c>
      <c r="H36" s="393" t="s">
        <v>2102</v>
      </c>
      <c r="I36" s="393" t="s">
        <v>2107</v>
      </c>
      <c r="J36" s="392">
        <v>7.58</v>
      </c>
      <c r="K36" s="394">
        <v>13.03</v>
      </c>
      <c r="L36" s="395"/>
      <c r="M36" s="395"/>
    </row>
    <row r="37" spans="1:13" ht="18" hidden="1" customHeight="1">
      <c r="A37" s="389">
        <v>39486</v>
      </c>
      <c r="B37" s="390">
        <v>8.26</v>
      </c>
      <c r="C37" s="391" t="s">
        <v>60</v>
      </c>
      <c r="D37" s="392">
        <v>8.6300000000000008</v>
      </c>
      <c r="E37" s="392">
        <v>8.0500000000000007</v>
      </c>
      <c r="F37" s="391" t="s">
        <v>60</v>
      </c>
      <c r="G37" s="392" t="s">
        <v>1387</v>
      </c>
      <c r="H37" s="393" t="s">
        <v>2110</v>
      </c>
      <c r="I37" s="393" t="s">
        <v>639</v>
      </c>
      <c r="J37" s="392">
        <v>7.36</v>
      </c>
      <c r="K37" s="394">
        <v>12.87</v>
      </c>
      <c r="L37" s="395"/>
      <c r="M37" s="395"/>
    </row>
    <row r="38" spans="1:13" ht="18" hidden="1" customHeight="1">
      <c r="A38" s="389">
        <v>39515</v>
      </c>
      <c r="B38" s="390">
        <v>7.51</v>
      </c>
      <c r="C38" s="391" t="s">
        <v>60</v>
      </c>
      <c r="D38" s="392">
        <v>7.6</v>
      </c>
      <c r="E38" s="392">
        <v>7.48</v>
      </c>
      <c r="F38" s="391" t="s">
        <v>60</v>
      </c>
      <c r="G38" s="392" t="s">
        <v>1388</v>
      </c>
      <c r="H38" s="393" t="s">
        <v>2110</v>
      </c>
      <c r="I38" s="393" t="s">
        <v>2111</v>
      </c>
      <c r="J38" s="392">
        <v>7.08</v>
      </c>
      <c r="K38" s="394">
        <v>12.46</v>
      </c>
      <c r="L38" s="395"/>
      <c r="M38" s="395"/>
    </row>
    <row r="39" spans="1:13" ht="18" hidden="1" customHeight="1">
      <c r="A39" s="389">
        <v>39546</v>
      </c>
      <c r="B39" s="390">
        <v>7.56</v>
      </c>
      <c r="C39" s="391" t="s">
        <v>60</v>
      </c>
      <c r="D39" s="392">
        <v>7.49</v>
      </c>
      <c r="E39" s="392">
        <v>6.84</v>
      </c>
      <c r="F39" s="391" t="s">
        <v>60</v>
      </c>
      <c r="G39" s="392" t="s">
        <v>1389</v>
      </c>
      <c r="H39" s="393" t="s">
        <v>2110</v>
      </c>
      <c r="I39" s="393" t="s">
        <v>242</v>
      </c>
      <c r="J39" s="392">
        <v>6.91</v>
      </c>
      <c r="K39" s="394">
        <v>12.49</v>
      </c>
      <c r="L39" s="395"/>
      <c r="M39" s="395"/>
    </row>
    <row r="40" spans="1:13" ht="18" hidden="1" customHeight="1">
      <c r="A40" s="389">
        <v>39576</v>
      </c>
      <c r="B40" s="390">
        <v>7.33</v>
      </c>
      <c r="C40" s="391" t="s">
        <v>60</v>
      </c>
      <c r="D40" s="392">
        <v>7.34</v>
      </c>
      <c r="E40" s="392">
        <v>6.67</v>
      </c>
      <c r="F40" s="391" t="s">
        <v>60</v>
      </c>
      <c r="G40" s="392" t="s">
        <v>1390</v>
      </c>
      <c r="H40" s="393" t="s">
        <v>2110</v>
      </c>
      <c r="I40" s="393" t="s">
        <v>2112</v>
      </c>
      <c r="J40" s="392">
        <v>6.54</v>
      </c>
      <c r="K40" s="394">
        <v>12.03</v>
      </c>
      <c r="L40" s="395"/>
      <c r="M40" s="395"/>
    </row>
    <row r="41" spans="1:13" ht="18" hidden="1" customHeight="1">
      <c r="A41" s="389">
        <v>39607</v>
      </c>
      <c r="B41" s="390">
        <v>7.37</v>
      </c>
      <c r="C41" s="391" t="s">
        <v>60</v>
      </c>
      <c r="D41" s="392">
        <v>7.35</v>
      </c>
      <c r="E41" s="392">
        <v>6.54</v>
      </c>
      <c r="F41" s="391" t="s">
        <v>60</v>
      </c>
      <c r="G41" s="392" t="s">
        <v>1390</v>
      </c>
      <c r="H41" s="393" t="s">
        <v>2113</v>
      </c>
      <c r="I41" s="393" t="s">
        <v>2114</v>
      </c>
      <c r="J41" s="392">
        <v>6.4</v>
      </c>
      <c r="K41" s="394">
        <v>12.03</v>
      </c>
      <c r="L41" s="395"/>
      <c r="M41" s="395"/>
    </row>
    <row r="42" spans="1:13" ht="13.5" hidden="1" thickTop="1">
      <c r="A42" s="389">
        <v>39637</v>
      </c>
      <c r="B42" s="390">
        <v>7.36</v>
      </c>
      <c r="C42" s="391" t="s">
        <v>60</v>
      </c>
      <c r="D42" s="392">
        <v>7.37</v>
      </c>
      <c r="E42" s="392">
        <v>6.82</v>
      </c>
      <c r="F42" s="391" t="s">
        <v>60</v>
      </c>
      <c r="G42" s="392" t="s">
        <v>1391</v>
      </c>
      <c r="H42" s="393" t="s">
        <v>2113</v>
      </c>
      <c r="I42" s="393" t="s">
        <v>2115</v>
      </c>
      <c r="J42" s="392">
        <v>6.6</v>
      </c>
      <c r="K42" s="394">
        <v>12.04</v>
      </c>
      <c r="L42" s="395"/>
      <c r="M42" s="395"/>
    </row>
    <row r="43" spans="1:13" ht="13.5" hidden="1" thickTop="1">
      <c r="A43" s="389">
        <v>39668</v>
      </c>
      <c r="B43" s="390">
        <v>7.93</v>
      </c>
      <c r="C43" s="391" t="s">
        <v>60</v>
      </c>
      <c r="D43" s="392">
        <v>7.83</v>
      </c>
      <c r="E43" s="392">
        <v>6.78</v>
      </c>
      <c r="F43" s="391" t="s">
        <v>60</v>
      </c>
      <c r="G43" s="392" t="s">
        <v>1391</v>
      </c>
      <c r="H43" s="393" t="s">
        <v>2113</v>
      </c>
      <c r="I43" s="393" t="s">
        <v>2116</v>
      </c>
      <c r="J43" s="392">
        <v>6.65</v>
      </c>
      <c r="K43" s="394">
        <v>12.31</v>
      </c>
      <c r="L43" s="395"/>
      <c r="M43" s="395"/>
    </row>
    <row r="44" spans="1:13" ht="18" hidden="1" customHeight="1">
      <c r="A44" s="389">
        <v>39699</v>
      </c>
      <c r="B44" s="390">
        <v>8.91</v>
      </c>
      <c r="C44" s="391" t="s">
        <v>60</v>
      </c>
      <c r="D44" s="392">
        <v>8.6999999999999993</v>
      </c>
      <c r="E44" s="392">
        <v>8.9700000000000006</v>
      </c>
      <c r="F44" s="391" t="s">
        <v>60</v>
      </c>
      <c r="G44" s="392" t="s">
        <v>1391</v>
      </c>
      <c r="H44" s="393" t="s">
        <v>2113</v>
      </c>
      <c r="I44" s="393" t="s">
        <v>2117</v>
      </c>
      <c r="J44" s="392">
        <v>6.7</v>
      </c>
      <c r="K44" s="394">
        <v>12.27</v>
      </c>
      <c r="L44" s="395"/>
      <c r="M44" s="395"/>
    </row>
    <row r="45" spans="1:13" s="397" customFormat="1" ht="18" hidden="1" customHeight="1">
      <c r="A45" s="389">
        <v>39729</v>
      </c>
      <c r="B45" s="390">
        <v>9.4</v>
      </c>
      <c r="C45" s="391" t="s">
        <v>60</v>
      </c>
      <c r="D45" s="392">
        <v>9.39</v>
      </c>
      <c r="E45" s="392">
        <v>8.94</v>
      </c>
      <c r="F45" s="391" t="s">
        <v>60</v>
      </c>
      <c r="G45" s="392" t="s">
        <v>1391</v>
      </c>
      <c r="H45" s="393" t="s">
        <v>2113</v>
      </c>
      <c r="I45" s="393" t="s">
        <v>2117</v>
      </c>
      <c r="J45" s="392">
        <v>6.76</v>
      </c>
      <c r="K45" s="394">
        <v>12.26</v>
      </c>
      <c r="L45" s="396"/>
      <c r="M45" s="395"/>
    </row>
    <row r="46" spans="1:13" s="397" customFormat="1" ht="18" hidden="1" customHeight="1">
      <c r="A46" s="389">
        <v>39760</v>
      </c>
      <c r="B46" s="390">
        <v>9.24</v>
      </c>
      <c r="C46" s="391" t="s">
        <v>60</v>
      </c>
      <c r="D46" s="392">
        <v>9.2799999999999994</v>
      </c>
      <c r="E46" s="392">
        <v>8.89</v>
      </c>
      <c r="F46" s="391" t="s">
        <v>60</v>
      </c>
      <c r="G46" s="392" t="s">
        <v>1392</v>
      </c>
      <c r="H46" s="393" t="s">
        <v>1985</v>
      </c>
      <c r="I46" s="393" t="s">
        <v>643</v>
      </c>
      <c r="J46" s="392">
        <v>6.38</v>
      </c>
      <c r="K46" s="394">
        <v>11.74</v>
      </c>
      <c r="L46" s="396"/>
      <c r="M46" s="395"/>
    </row>
    <row r="47" spans="1:13" s="397" customFormat="1" ht="18" hidden="1" customHeight="1">
      <c r="A47" s="389">
        <v>39790</v>
      </c>
      <c r="B47" s="390">
        <v>8.9600000000000009</v>
      </c>
      <c r="C47" s="391" t="s">
        <v>60</v>
      </c>
      <c r="D47" s="392">
        <v>9.06</v>
      </c>
      <c r="E47" s="392">
        <v>7.24</v>
      </c>
      <c r="F47" s="391" t="s">
        <v>60</v>
      </c>
      <c r="G47" s="392" t="s">
        <v>1393</v>
      </c>
      <c r="H47" s="393" t="s">
        <v>2113</v>
      </c>
      <c r="I47" s="393" t="s">
        <v>243</v>
      </c>
      <c r="J47" s="392">
        <v>5.77</v>
      </c>
      <c r="K47" s="394">
        <v>11.04</v>
      </c>
      <c r="L47" s="396"/>
      <c r="M47" s="395"/>
    </row>
    <row r="48" spans="1:13" s="397" customFormat="1" ht="18" hidden="1" customHeight="1">
      <c r="A48" s="389">
        <v>39821</v>
      </c>
      <c r="B48" s="390">
        <v>8.0399999999999991</v>
      </c>
      <c r="C48" s="391" t="s">
        <v>60</v>
      </c>
      <c r="D48" s="392">
        <v>8.2100000000000009</v>
      </c>
      <c r="E48" s="392">
        <v>6.96</v>
      </c>
      <c r="F48" s="391" t="s">
        <v>60</v>
      </c>
      <c r="G48" s="392" t="s">
        <v>1393</v>
      </c>
      <c r="H48" s="393" t="s">
        <v>2113</v>
      </c>
      <c r="I48" s="393" t="s">
        <v>243</v>
      </c>
      <c r="J48" s="392">
        <v>5.79</v>
      </c>
      <c r="K48" s="394">
        <v>10.99</v>
      </c>
      <c r="L48" s="396"/>
      <c r="M48" s="396"/>
    </row>
    <row r="49" spans="1:13" s="397" customFormat="1" ht="18" hidden="1" customHeight="1">
      <c r="A49" s="389">
        <v>39852</v>
      </c>
      <c r="B49" s="390">
        <v>7.02</v>
      </c>
      <c r="C49" s="391" t="s">
        <v>60</v>
      </c>
      <c r="D49" s="392">
        <v>7.17</v>
      </c>
      <c r="E49" s="392">
        <v>6.53</v>
      </c>
      <c r="F49" s="391" t="s">
        <v>60</v>
      </c>
      <c r="G49" s="392" t="s">
        <v>1393</v>
      </c>
      <c r="H49" s="393" t="s">
        <v>2113</v>
      </c>
      <c r="I49" s="393" t="s">
        <v>243</v>
      </c>
      <c r="J49" s="392">
        <v>5.79</v>
      </c>
      <c r="K49" s="394">
        <v>10.98</v>
      </c>
      <c r="L49" s="396"/>
      <c r="M49" s="396"/>
    </row>
    <row r="50" spans="1:13" s="397" customFormat="1" ht="18" hidden="1" customHeight="1">
      <c r="A50" s="389">
        <v>39880</v>
      </c>
      <c r="B50" s="390">
        <v>6.07</v>
      </c>
      <c r="C50" s="391" t="s">
        <v>60</v>
      </c>
      <c r="D50" s="392">
        <v>6.31</v>
      </c>
      <c r="E50" s="392">
        <v>5.77</v>
      </c>
      <c r="F50" s="391" t="s">
        <v>60</v>
      </c>
      <c r="G50" s="392" t="s">
        <v>1394</v>
      </c>
      <c r="H50" s="393" t="s">
        <v>2110</v>
      </c>
      <c r="I50" s="393" t="s">
        <v>243</v>
      </c>
      <c r="J50" s="392">
        <v>5.44</v>
      </c>
      <c r="K50" s="394">
        <v>10.54</v>
      </c>
      <c r="L50" s="396"/>
      <c r="M50" s="396"/>
    </row>
    <row r="51" spans="1:13" s="397" customFormat="1" ht="18" hidden="1" customHeight="1">
      <c r="A51" s="389">
        <v>39911</v>
      </c>
      <c r="B51" s="390">
        <v>5.09</v>
      </c>
      <c r="C51" s="391" t="s">
        <v>60</v>
      </c>
      <c r="D51" s="392">
        <v>5.0999999999999996</v>
      </c>
      <c r="E51" s="392">
        <v>4.8099999999999996</v>
      </c>
      <c r="F51" s="391" t="s">
        <v>60</v>
      </c>
      <c r="G51" s="392" t="s">
        <v>1395</v>
      </c>
      <c r="H51" s="393" t="s">
        <v>1150</v>
      </c>
      <c r="I51" s="393" t="s">
        <v>243</v>
      </c>
      <c r="J51" s="392">
        <v>4.79</v>
      </c>
      <c r="K51" s="394">
        <v>10.220000000000001</v>
      </c>
      <c r="L51" s="396"/>
      <c r="M51" s="396"/>
    </row>
    <row r="52" spans="1:13" s="397" customFormat="1" ht="18" hidden="1" customHeight="1">
      <c r="A52" s="389">
        <v>39941</v>
      </c>
      <c r="B52" s="390">
        <v>4.79</v>
      </c>
      <c r="C52" s="391" t="s">
        <v>60</v>
      </c>
      <c r="D52" s="392">
        <v>4.8099999999999996</v>
      </c>
      <c r="E52" s="392">
        <v>4.7</v>
      </c>
      <c r="F52" s="391" t="s">
        <v>60</v>
      </c>
      <c r="G52" s="392" t="s">
        <v>1395</v>
      </c>
      <c r="H52" s="393" t="s">
        <v>1150</v>
      </c>
      <c r="I52" s="393" t="s">
        <v>243</v>
      </c>
      <c r="J52" s="392">
        <v>4.8099999999999996</v>
      </c>
      <c r="K52" s="394">
        <v>10.210000000000001</v>
      </c>
      <c r="L52" s="396"/>
      <c r="M52" s="396"/>
    </row>
    <row r="53" spans="1:13" s="397" customFormat="1" ht="18" hidden="1" customHeight="1">
      <c r="A53" s="389">
        <v>39972</v>
      </c>
      <c r="B53" s="390">
        <v>4.72</v>
      </c>
      <c r="C53" s="391" t="s">
        <v>60</v>
      </c>
      <c r="D53" s="392">
        <v>4.75</v>
      </c>
      <c r="E53" s="392">
        <v>4.28</v>
      </c>
      <c r="F53" s="391" t="s">
        <v>60</v>
      </c>
      <c r="G53" s="392" t="s">
        <v>1395</v>
      </c>
      <c r="H53" s="393" t="s">
        <v>1150</v>
      </c>
      <c r="I53" s="393" t="s">
        <v>243</v>
      </c>
      <c r="J53" s="392">
        <v>4.78</v>
      </c>
      <c r="K53" s="394">
        <v>10.119999999999999</v>
      </c>
      <c r="L53" s="396"/>
      <c r="M53" s="396"/>
    </row>
    <row r="54" spans="1:13" s="397" customFormat="1" ht="18" hidden="1" customHeight="1" thickTop="1">
      <c r="A54" s="389">
        <v>40002</v>
      </c>
      <c r="B54" s="390">
        <v>4.66</v>
      </c>
      <c r="C54" s="391" t="s">
        <v>60</v>
      </c>
      <c r="D54" s="392">
        <v>4.6900000000000004</v>
      </c>
      <c r="E54" s="392">
        <v>4.05</v>
      </c>
      <c r="F54" s="391" t="s">
        <v>60</v>
      </c>
      <c r="G54" s="392" t="s">
        <v>1395</v>
      </c>
      <c r="H54" s="393" t="s">
        <v>1150</v>
      </c>
      <c r="I54" s="393" t="s">
        <v>243</v>
      </c>
      <c r="J54" s="392">
        <v>4.75</v>
      </c>
      <c r="K54" s="394">
        <v>10.16</v>
      </c>
      <c r="L54" s="396"/>
      <c r="M54" s="396"/>
    </row>
    <row r="55" spans="1:13" s="397" customFormat="1" ht="18" hidden="1" customHeight="1">
      <c r="A55" s="389">
        <v>40033</v>
      </c>
      <c r="B55" s="390">
        <v>4.5</v>
      </c>
      <c r="C55" s="391" t="s">
        <v>60</v>
      </c>
      <c r="D55" s="392">
        <v>4.51</v>
      </c>
      <c r="E55" s="392">
        <v>4.0199999999999996</v>
      </c>
      <c r="F55" s="391" t="s">
        <v>60</v>
      </c>
      <c r="G55" s="392" t="s">
        <v>1395</v>
      </c>
      <c r="H55" s="393" t="s">
        <v>1150</v>
      </c>
      <c r="I55" s="393" t="s">
        <v>243</v>
      </c>
      <c r="J55" s="392">
        <v>4.74</v>
      </c>
      <c r="K55" s="394">
        <v>10.119999999999999</v>
      </c>
      <c r="L55" s="396"/>
      <c r="M55" s="396"/>
    </row>
    <row r="56" spans="1:13" s="397" customFormat="1" ht="18" hidden="1" customHeight="1">
      <c r="A56" s="389">
        <v>40064</v>
      </c>
      <c r="B56" s="390">
        <v>4.45</v>
      </c>
      <c r="C56" s="391" t="s">
        <v>60</v>
      </c>
      <c r="D56" s="392">
        <v>4.4400000000000004</v>
      </c>
      <c r="E56" s="392">
        <v>4.0599999999999996</v>
      </c>
      <c r="F56" s="391" t="s">
        <v>60</v>
      </c>
      <c r="G56" s="392" t="s">
        <v>1395</v>
      </c>
      <c r="H56" s="393" t="s">
        <v>1150</v>
      </c>
      <c r="I56" s="393" t="s">
        <v>243</v>
      </c>
      <c r="J56" s="392">
        <v>4.66</v>
      </c>
      <c r="K56" s="394">
        <v>10.09</v>
      </c>
      <c r="L56" s="396"/>
      <c r="M56" s="396"/>
    </row>
    <row r="57" spans="1:13" s="397" customFormat="1" ht="18" hidden="1" customHeight="1">
      <c r="A57" s="389">
        <v>40094</v>
      </c>
      <c r="B57" s="390">
        <v>4.71</v>
      </c>
      <c r="C57" s="391" t="s">
        <v>60</v>
      </c>
      <c r="D57" s="392">
        <v>4.7300000000000004</v>
      </c>
      <c r="E57" s="392">
        <v>4.04</v>
      </c>
      <c r="F57" s="391" t="s">
        <v>60</v>
      </c>
      <c r="G57" s="392" t="s">
        <v>1395</v>
      </c>
      <c r="H57" s="393" t="s">
        <v>1150</v>
      </c>
      <c r="I57" s="393" t="s">
        <v>243</v>
      </c>
      <c r="J57" s="392">
        <v>4.6500000000000004</v>
      </c>
      <c r="K57" s="394">
        <v>10.15</v>
      </c>
      <c r="L57" s="396"/>
      <c r="M57" s="396"/>
    </row>
    <row r="58" spans="1:13" s="397" customFormat="1" ht="18" hidden="1" customHeight="1">
      <c r="A58" s="389">
        <v>40125</v>
      </c>
      <c r="B58" s="390">
        <v>4.49</v>
      </c>
      <c r="C58" s="391" t="s">
        <v>60</v>
      </c>
      <c r="D58" s="392">
        <v>4.53</v>
      </c>
      <c r="E58" s="392">
        <v>4.0199999999999996</v>
      </c>
      <c r="F58" s="391" t="s">
        <v>60</v>
      </c>
      <c r="G58" s="392" t="s">
        <v>1395</v>
      </c>
      <c r="H58" s="393" t="s">
        <v>1150</v>
      </c>
      <c r="I58" s="393" t="s">
        <v>243</v>
      </c>
      <c r="J58" s="392">
        <v>4.66</v>
      </c>
      <c r="K58" s="394">
        <v>10.08</v>
      </c>
      <c r="L58" s="396"/>
      <c r="M58" s="396"/>
    </row>
    <row r="59" spans="1:13" s="397" customFormat="1" ht="18" hidden="1" customHeight="1">
      <c r="A59" s="389">
        <v>40155</v>
      </c>
      <c r="B59" s="390">
        <v>4.4000000000000004</v>
      </c>
      <c r="C59" s="391" t="s">
        <v>60</v>
      </c>
      <c r="D59" s="392">
        <v>4.4000000000000004</v>
      </c>
      <c r="E59" s="392">
        <v>4.26</v>
      </c>
      <c r="F59" s="391" t="s">
        <v>60</v>
      </c>
      <c r="G59" s="392" t="s">
        <v>1395</v>
      </c>
      <c r="H59" s="393" t="s">
        <v>1150</v>
      </c>
      <c r="I59" s="393" t="s">
        <v>243</v>
      </c>
      <c r="J59" s="392">
        <v>4.57</v>
      </c>
      <c r="K59" s="394">
        <v>10.08</v>
      </c>
      <c r="L59" s="396"/>
      <c r="M59" s="396"/>
    </row>
    <row r="60" spans="1:13" s="397" customFormat="1" ht="18" hidden="1" customHeight="1" thickTop="1">
      <c r="A60" s="389">
        <v>40186</v>
      </c>
      <c r="B60" s="390">
        <v>4.5199999999999996</v>
      </c>
      <c r="C60" s="391" t="s">
        <v>60</v>
      </c>
      <c r="D60" s="392">
        <v>4.51</v>
      </c>
      <c r="E60" s="392">
        <v>4.26</v>
      </c>
      <c r="F60" s="391" t="s">
        <v>60</v>
      </c>
      <c r="G60" s="392" t="s">
        <v>1395</v>
      </c>
      <c r="H60" s="393" t="s">
        <v>1150</v>
      </c>
      <c r="I60" s="393" t="s">
        <v>246</v>
      </c>
      <c r="J60" s="392" t="s">
        <v>2118</v>
      </c>
      <c r="K60" s="394">
        <v>10.050000000000001</v>
      </c>
      <c r="L60" s="396"/>
      <c r="M60" s="396"/>
    </row>
    <row r="61" spans="1:13" s="397" customFormat="1" ht="18" hidden="1" customHeight="1" thickTop="1">
      <c r="A61" s="389">
        <v>40217</v>
      </c>
      <c r="B61" s="390">
        <v>4.4800000000000004</v>
      </c>
      <c r="C61" s="391" t="s">
        <v>60</v>
      </c>
      <c r="D61" s="392">
        <v>4.5</v>
      </c>
      <c r="E61" s="392">
        <v>3.91</v>
      </c>
      <c r="F61" s="391" t="s">
        <v>60</v>
      </c>
      <c r="G61" s="392" t="s">
        <v>1395</v>
      </c>
      <c r="H61" s="393" t="s">
        <v>1150</v>
      </c>
      <c r="I61" s="393" t="s">
        <v>246</v>
      </c>
      <c r="J61" s="392">
        <v>4.55</v>
      </c>
      <c r="K61" s="394">
        <v>10.01</v>
      </c>
      <c r="L61" s="396"/>
      <c r="M61" s="396"/>
    </row>
    <row r="62" spans="1:13" s="397" customFormat="1" ht="18" hidden="1" customHeight="1" thickTop="1">
      <c r="A62" s="389">
        <v>40245</v>
      </c>
      <c r="B62" s="390">
        <v>4.24</v>
      </c>
      <c r="C62" s="391" t="s">
        <v>60</v>
      </c>
      <c r="D62" s="392">
        <v>4.3099999999999996</v>
      </c>
      <c r="E62" s="392">
        <v>3.88</v>
      </c>
      <c r="F62" s="391" t="s">
        <v>60</v>
      </c>
      <c r="G62" s="392" t="s">
        <v>1395</v>
      </c>
      <c r="H62" s="393" t="s">
        <v>1150</v>
      </c>
      <c r="I62" s="393" t="s">
        <v>246</v>
      </c>
      <c r="J62" s="392">
        <v>4.5199999999999996</v>
      </c>
      <c r="K62" s="394">
        <v>9.99</v>
      </c>
      <c r="L62" s="396"/>
      <c r="M62" s="396"/>
    </row>
    <row r="63" spans="1:13" s="397" customFormat="1" ht="18" hidden="1" customHeight="1" thickTop="1">
      <c r="A63" s="389">
        <v>40276</v>
      </c>
      <c r="B63" s="390">
        <v>4.49</v>
      </c>
      <c r="C63" s="391" t="s">
        <v>60</v>
      </c>
      <c r="D63" s="392">
        <v>4.51</v>
      </c>
      <c r="E63" s="392">
        <v>3.94</v>
      </c>
      <c r="F63" s="391" t="s">
        <v>60</v>
      </c>
      <c r="G63" s="392" t="s">
        <v>1395</v>
      </c>
      <c r="H63" s="393" t="s">
        <v>1150</v>
      </c>
      <c r="I63" s="393" t="s">
        <v>246</v>
      </c>
      <c r="J63" s="392">
        <v>4.5599999999999996</v>
      </c>
      <c r="K63" s="394">
        <v>10.029999999999999</v>
      </c>
      <c r="L63" s="396"/>
      <c r="M63" s="396"/>
    </row>
    <row r="64" spans="1:13" s="397" customFormat="1" ht="18" hidden="1" customHeight="1" thickTop="1">
      <c r="A64" s="389">
        <v>40306</v>
      </c>
      <c r="B64" s="390">
        <v>3.91</v>
      </c>
      <c r="C64" s="398" t="s">
        <v>60</v>
      </c>
      <c r="D64" s="392">
        <v>4.04</v>
      </c>
      <c r="E64" s="392">
        <v>3.74</v>
      </c>
      <c r="F64" s="398" t="s">
        <v>60</v>
      </c>
      <c r="G64" s="392" t="s">
        <v>1395</v>
      </c>
      <c r="H64" s="393" t="s">
        <v>1150</v>
      </c>
      <c r="I64" s="393" t="s">
        <v>246</v>
      </c>
      <c r="J64" s="392">
        <v>4.5199999999999996</v>
      </c>
      <c r="K64" s="394">
        <v>10.02</v>
      </c>
      <c r="L64" s="396"/>
      <c r="M64" s="396"/>
    </row>
    <row r="65" spans="1:13" s="397" customFormat="1" ht="18" hidden="1" customHeight="1" thickTop="1">
      <c r="A65" s="389">
        <v>40337</v>
      </c>
      <c r="B65" s="390">
        <v>3.48</v>
      </c>
      <c r="C65" s="398" t="s">
        <v>60</v>
      </c>
      <c r="D65" s="392">
        <v>3.47</v>
      </c>
      <c r="E65" s="392">
        <v>3.36</v>
      </c>
      <c r="F65" s="398" t="s">
        <v>60</v>
      </c>
      <c r="G65" s="392" t="s">
        <v>1395</v>
      </c>
      <c r="H65" s="393" t="s">
        <v>1150</v>
      </c>
      <c r="I65" s="393" t="s">
        <v>246</v>
      </c>
      <c r="J65" s="392">
        <v>4.57</v>
      </c>
      <c r="K65" s="394">
        <v>10.06</v>
      </c>
      <c r="L65" s="396"/>
      <c r="M65" s="396"/>
    </row>
    <row r="66" spans="1:13" s="397" customFormat="1" ht="18" hidden="1" customHeight="1" thickTop="1">
      <c r="A66" s="389">
        <v>40367</v>
      </c>
      <c r="B66" s="390">
        <v>3.77</v>
      </c>
      <c r="C66" s="398" t="s">
        <v>60</v>
      </c>
      <c r="D66" s="392">
        <v>3.87</v>
      </c>
      <c r="E66" s="392">
        <v>3.45</v>
      </c>
      <c r="F66" s="398" t="s">
        <v>60</v>
      </c>
      <c r="G66" s="392" t="s">
        <v>1395</v>
      </c>
      <c r="H66" s="393" t="s">
        <v>1150</v>
      </c>
      <c r="I66" s="393" t="s">
        <v>246</v>
      </c>
      <c r="J66" s="399">
        <v>4.58</v>
      </c>
      <c r="K66" s="394">
        <v>9.98</v>
      </c>
      <c r="L66" s="396"/>
      <c r="M66" s="396"/>
    </row>
    <row r="67" spans="1:13" s="397" customFormat="1" ht="18" hidden="1" customHeight="1" thickTop="1">
      <c r="A67" s="389">
        <v>40398</v>
      </c>
      <c r="B67" s="390">
        <v>2.92</v>
      </c>
      <c r="C67" s="398" t="s">
        <v>60</v>
      </c>
      <c r="D67" s="392">
        <v>3.02</v>
      </c>
      <c r="E67" s="392">
        <v>2.52</v>
      </c>
      <c r="F67" s="398" t="s">
        <v>60</v>
      </c>
      <c r="G67" s="392" t="s">
        <v>1395</v>
      </c>
      <c r="H67" s="393" t="s">
        <v>1150</v>
      </c>
      <c r="I67" s="393" t="s">
        <v>246</v>
      </c>
      <c r="J67" s="399">
        <v>4.5599999999999996</v>
      </c>
      <c r="K67" s="394">
        <v>9.91</v>
      </c>
      <c r="L67" s="396"/>
      <c r="M67" s="396"/>
    </row>
    <row r="68" spans="1:13" s="397" customFormat="1" ht="18" hidden="1" customHeight="1" thickTop="1">
      <c r="A68" s="389">
        <v>40429</v>
      </c>
      <c r="B68" s="390">
        <v>2.81</v>
      </c>
      <c r="C68" s="398" t="s">
        <v>60</v>
      </c>
      <c r="D68" s="392">
        <v>2.73</v>
      </c>
      <c r="E68" s="392">
        <v>2.0699999999999998</v>
      </c>
      <c r="F68" s="398" t="s">
        <v>60</v>
      </c>
      <c r="G68" s="392" t="s">
        <v>1396</v>
      </c>
      <c r="H68" s="393" t="s">
        <v>2119</v>
      </c>
      <c r="I68" s="393" t="s">
        <v>246</v>
      </c>
      <c r="J68" s="392">
        <v>4.5</v>
      </c>
      <c r="K68" s="394">
        <v>9.9</v>
      </c>
      <c r="L68" s="396"/>
      <c r="M68" s="396"/>
    </row>
    <row r="69" spans="1:13" s="397" customFormat="1" ht="18" hidden="1" customHeight="1" thickTop="1">
      <c r="A69" s="400" t="s">
        <v>147</v>
      </c>
      <c r="B69" s="390">
        <v>4.42</v>
      </c>
      <c r="C69" s="398">
        <v>4.3099999999999996</v>
      </c>
      <c r="D69" s="392">
        <v>4.3099999999999996</v>
      </c>
      <c r="E69" s="392">
        <v>2.27</v>
      </c>
      <c r="F69" s="398" t="s">
        <v>60</v>
      </c>
      <c r="G69" s="392" t="s">
        <v>1397</v>
      </c>
      <c r="H69" s="393" t="s">
        <v>2119</v>
      </c>
      <c r="I69" s="393" t="s">
        <v>485</v>
      </c>
      <c r="J69" s="392">
        <v>3.85</v>
      </c>
      <c r="K69" s="394">
        <v>9.23</v>
      </c>
      <c r="L69" s="396"/>
      <c r="M69" s="396"/>
    </row>
    <row r="70" spans="1:13" s="397" customFormat="1" ht="18" hidden="1" customHeight="1" thickTop="1">
      <c r="A70" s="400" t="s">
        <v>2120</v>
      </c>
      <c r="B70" s="390">
        <v>3.85</v>
      </c>
      <c r="C70" s="398"/>
      <c r="D70" s="392">
        <v>3.95</v>
      </c>
      <c r="E70" s="392">
        <v>2.17</v>
      </c>
      <c r="F70" s="398"/>
      <c r="G70" s="392" t="s">
        <v>1397</v>
      </c>
      <c r="H70" s="393" t="s">
        <v>2121</v>
      </c>
      <c r="I70" s="393" t="s">
        <v>249</v>
      </c>
      <c r="J70" s="392">
        <v>3.78</v>
      </c>
      <c r="K70" s="394">
        <v>9.26</v>
      </c>
      <c r="L70" s="396"/>
      <c r="M70" s="396"/>
    </row>
    <row r="71" spans="1:13" s="397" customFormat="1" ht="18" hidden="1" customHeight="1" thickTop="1">
      <c r="A71" s="400" t="s">
        <v>149</v>
      </c>
      <c r="B71" s="390">
        <v>3.07</v>
      </c>
      <c r="C71" s="398"/>
      <c r="D71" s="392">
        <v>3.11</v>
      </c>
      <c r="E71" s="392">
        <v>2.04</v>
      </c>
      <c r="F71" s="398"/>
      <c r="G71" s="392" t="s">
        <v>1397</v>
      </c>
      <c r="H71" s="393" t="s">
        <v>2121</v>
      </c>
      <c r="I71" s="393" t="s">
        <v>249</v>
      </c>
      <c r="J71" s="392">
        <v>3.65</v>
      </c>
      <c r="K71" s="394">
        <v>9.2200000000000006</v>
      </c>
      <c r="L71" s="396"/>
      <c r="M71" s="396"/>
    </row>
    <row r="72" spans="1:13" s="397" customFormat="1" ht="18" hidden="1" customHeight="1" thickTop="1">
      <c r="A72" s="400" t="s">
        <v>2122</v>
      </c>
      <c r="B72" s="390">
        <v>3.04</v>
      </c>
      <c r="C72" s="398"/>
      <c r="D72" s="392">
        <v>3.02</v>
      </c>
      <c r="E72" s="392">
        <v>2.0099999999999998</v>
      </c>
      <c r="F72" s="398"/>
      <c r="G72" s="392" t="s">
        <v>1397</v>
      </c>
      <c r="H72" s="393" t="s">
        <v>2121</v>
      </c>
      <c r="I72" s="393" t="s">
        <v>249</v>
      </c>
      <c r="J72" s="392">
        <v>3.59</v>
      </c>
      <c r="K72" s="394">
        <v>9.17</v>
      </c>
      <c r="L72" s="396"/>
      <c r="M72" s="396"/>
    </row>
    <row r="73" spans="1:13" s="397" customFormat="1" ht="18.75" hidden="1" customHeight="1" thickTop="1">
      <c r="A73" s="400" t="s">
        <v>2123</v>
      </c>
      <c r="B73" s="390">
        <v>2.77</v>
      </c>
      <c r="C73" s="398"/>
      <c r="D73" s="392">
        <v>2.83</v>
      </c>
      <c r="E73" s="392">
        <v>1.86</v>
      </c>
      <c r="F73" s="398"/>
      <c r="G73" s="392" t="s">
        <v>1397</v>
      </c>
      <c r="H73" s="393" t="s">
        <v>2121</v>
      </c>
      <c r="I73" s="393" t="s">
        <v>249</v>
      </c>
      <c r="J73" s="392">
        <v>3.56</v>
      </c>
      <c r="K73" s="394">
        <v>9.1199999999999992</v>
      </c>
      <c r="L73" s="396"/>
      <c r="M73" s="396"/>
    </row>
    <row r="74" spans="1:13" s="397" customFormat="1" ht="18.75" hidden="1" customHeight="1" thickTop="1">
      <c r="A74" s="401" t="s">
        <v>2124</v>
      </c>
      <c r="B74" s="402">
        <v>2.39</v>
      </c>
      <c r="C74" s="403"/>
      <c r="D74" s="404">
        <v>2.41</v>
      </c>
      <c r="E74" s="404">
        <v>1.64</v>
      </c>
      <c r="F74" s="403"/>
      <c r="G74" s="404" t="s">
        <v>1397</v>
      </c>
      <c r="H74" s="405" t="s">
        <v>2121</v>
      </c>
      <c r="I74" s="405" t="s">
        <v>249</v>
      </c>
      <c r="J74" s="404">
        <v>3.81</v>
      </c>
      <c r="K74" s="406">
        <v>9.14</v>
      </c>
      <c r="L74" s="407"/>
      <c r="M74" s="396"/>
    </row>
    <row r="75" spans="1:13" s="397" customFormat="1" ht="18.75" hidden="1" customHeight="1" thickTop="1">
      <c r="A75" s="408">
        <v>40634</v>
      </c>
      <c r="B75" s="402">
        <v>4.1500000000000004</v>
      </c>
      <c r="C75" s="403"/>
      <c r="D75" s="404">
        <v>4.12</v>
      </c>
      <c r="E75" s="404">
        <v>1.51</v>
      </c>
      <c r="F75" s="403"/>
      <c r="G75" s="404" t="s">
        <v>1397</v>
      </c>
      <c r="H75" s="405" t="s">
        <v>2121</v>
      </c>
      <c r="I75" s="405" t="s">
        <v>249</v>
      </c>
      <c r="J75" s="404">
        <v>4.13</v>
      </c>
      <c r="K75" s="406">
        <v>9.4700000000000006</v>
      </c>
      <c r="L75" s="407"/>
      <c r="M75" s="396"/>
    </row>
    <row r="76" spans="1:13" s="397" customFormat="1" ht="18.75" hidden="1" customHeight="1" thickTop="1">
      <c r="A76" s="408">
        <v>40664</v>
      </c>
      <c r="B76" s="402">
        <v>4.0599999999999996</v>
      </c>
      <c r="C76" s="403"/>
      <c r="D76" s="404">
        <v>4.0599999999999996</v>
      </c>
      <c r="E76" s="404">
        <v>1.4</v>
      </c>
      <c r="F76" s="403"/>
      <c r="G76" s="404" t="s">
        <v>1397</v>
      </c>
      <c r="H76" s="405" t="s">
        <v>2121</v>
      </c>
      <c r="I76" s="405" t="s">
        <v>249</v>
      </c>
      <c r="J76" s="404">
        <v>4.12</v>
      </c>
      <c r="K76" s="406">
        <v>9.4499999999999993</v>
      </c>
      <c r="L76" s="407"/>
      <c r="M76" s="396"/>
    </row>
    <row r="77" spans="1:13" s="397" customFormat="1" ht="18.75" hidden="1" customHeight="1" thickTop="1">
      <c r="A77" s="408">
        <v>40695</v>
      </c>
      <c r="B77" s="409">
        <v>4.33</v>
      </c>
      <c r="C77" s="403"/>
      <c r="D77" s="404">
        <v>4.29</v>
      </c>
      <c r="E77" s="404">
        <v>2.63</v>
      </c>
      <c r="F77" s="403"/>
      <c r="G77" s="404" t="s">
        <v>1398</v>
      </c>
      <c r="H77" s="405" t="s">
        <v>2121</v>
      </c>
      <c r="I77" s="405" t="s">
        <v>249</v>
      </c>
      <c r="J77" s="404">
        <v>4.25</v>
      </c>
      <c r="K77" s="406">
        <v>9.58</v>
      </c>
      <c r="L77" s="407"/>
      <c r="M77" s="396"/>
    </row>
    <row r="78" spans="1:13" s="397" customFormat="1" ht="18.75" hidden="1" customHeight="1" thickTop="1">
      <c r="A78" s="408">
        <v>40725</v>
      </c>
      <c r="B78" s="409">
        <v>4.4000000000000004</v>
      </c>
      <c r="C78" s="403"/>
      <c r="D78" s="404">
        <v>4.41</v>
      </c>
      <c r="E78" s="404">
        <v>1.95</v>
      </c>
      <c r="F78" s="403"/>
      <c r="G78" s="404" t="s">
        <v>1398</v>
      </c>
      <c r="H78" s="405" t="s">
        <v>2121</v>
      </c>
      <c r="I78" s="405" t="s">
        <v>249</v>
      </c>
      <c r="J78" s="404">
        <v>4.37</v>
      </c>
      <c r="K78" s="406">
        <v>9.65</v>
      </c>
      <c r="L78" s="407"/>
      <c r="M78" s="396"/>
    </row>
    <row r="79" spans="1:13" s="397" customFormat="1" ht="18.75" hidden="1" customHeight="1" thickTop="1">
      <c r="A79" s="408">
        <v>40756</v>
      </c>
      <c r="B79" s="409">
        <v>4.42</v>
      </c>
      <c r="C79" s="403"/>
      <c r="D79" s="404">
        <v>4.3899999999999997</v>
      </c>
      <c r="E79" s="404">
        <v>3.58</v>
      </c>
      <c r="F79" s="403"/>
      <c r="G79" s="404" t="s">
        <v>1398</v>
      </c>
      <c r="H79" s="405" t="s">
        <v>2121</v>
      </c>
      <c r="I79" s="405" t="s">
        <v>368</v>
      </c>
      <c r="J79" s="404">
        <v>4.33</v>
      </c>
      <c r="K79" s="406">
        <v>9.66</v>
      </c>
      <c r="L79" s="407"/>
      <c r="M79" s="396"/>
    </row>
    <row r="80" spans="1:13" s="397" customFormat="1" ht="18.75" hidden="1" customHeight="1" thickTop="1">
      <c r="A80" s="408">
        <v>40787</v>
      </c>
      <c r="B80" s="409">
        <v>4.45</v>
      </c>
      <c r="C80" s="403"/>
      <c r="D80" s="404">
        <v>4.46</v>
      </c>
      <c r="E80" s="404">
        <v>3.27</v>
      </c>
      <c r="F80" s="403"/>
      <c r="G80" s="404" t="s">
        <v>1398</v>
      </c>
      <c r="H80" s="405" t="s">
        <v>2121</v>
      </c>
      <c r="I80" s="405" t="s">
        <v>368</v>
      </c>
      <c r="J80" s="404">
        <v>4.34</v>
      </c>
      <c r="K80" s="406">
        <v>9.33</v>
      </c>
      <c r="L80" s="407"/>
      <c r="M80" s="396"/>
    </row>
    <row r="81" spans="1:13" ht="18.75" hidden="1" customHeight="1" thickTop="1">
      <c r="A81" s="408">
        <v>40817</v>
      </c>
      <c r="B81" s="402">
        <v>4.42</v>
      </c>
      <c r="C81" s="410"/>
      <c r="D81" s="404">
        <v>4.43</v>
      </c>
      <c r="E81" s="404">
        <v>2.61</v>
      </c>
      <c r="F81" s="410"/>
      <c r="G81" s="404" t="s">
        <v>1398</v>
      </c>
      <c r="H81" s="405" t="s">
        <v>2121</v>
      </c>
      <c r="I81" s="405" t="s">
        <v>368</v>
      </c>
      <c r="J81" s="404">
        <v>4.34</v>
      </c>
      <c r="K81" s="406">
        <v>9.32</v>
      </c>
      <c r="L81" s="411"/>
      <c r="M81" s="412"/>
    </row>
    <row r="82" spans="1:13" ht="18.75" hidden="1" customHeight="1" thickTop="1">
      <c r="A82" s="413">
        <v>40848</v>
      </c>
      <c r="B82" s="402">
        <v>4.51</v>
      </c>
      <c r="C82" s="410"/>
      <c r="D82" s="404">
        <v>4.42</v>
      </c>
      <c r="E82" s="404">
        <v>2.96</v>
      </c>
      <c r="F82" s="410"/>
      <c r="G82" s="404" t="s">
        <v>1398</v>
      </c>
      <c r="H82" s="405" t="s">
        <v>2121</v>
      </c>
      <c r="I82" s="405" t="s">
        <v>2125</v>
      </c>
      <c r="J82" s="404">
        <v>4.32</v>
      </c>
      <c r="K82" s="406">
        <v>9.27</v>
      </c>
      <c r="L82" s="411"/>
      <c r="M82" s="412"/>
    </row>
    <row r="83" spans="1:13" s="416" customFormat="1" ht="18.75" hidden="1" customHeight="1" thickTop="1">
      <c r="A83" s="413">
        <v>40878</v>
      </c>
      <c r="B83" s="414">
        <v>4.59</v>
      </c>
      <c r="C83" s="410"/>
      <c r="D83" s="404">
        <v>4.5199999999999996</v>
      </c>
      <c r="E83" s="404">
        <v>3.32</v>
      </c>
      <c r="F83" s="410"/>
      <c r="G83" s="404" t="s">
        <v>1398</v>
      </c>
      <c r="H83" s="405" t="s">
        <v>2121</v>
      </c>
      <c r="I83" s="405" t="s">
        <v>2126</v>
      </c>
      <c r="J83" s="404">
        <v>4.29</v>
      </c>
      <c r="K83" s="406">
        <v>9.1999999999999993</v>
      </c>
      <c r="L83" s="415"/>
    </row>
    <row r="84" spans="1:13" s="416" customFormat="1" ht="18.75" hidden="1" customHeight="1" thickTop="1">
      <c r="A84" s="413">
        <v>40910</v>
      </c>
      <c r="B84" s="414">
        <v>4.33</v>
      </c>
      <c r="C84" s="410"/>
      <c r="D84" s="404">
        <v>4.33</v>
      </c>
      <c r="E84" s="404">
        <v>2.4</v>
      </c>
      <c r="F84" s="410"/>
      <c r="G84" s="404" t="s">
        <v>1398</v>
      </c>
      <c r="H84" s="405" t="s">
        <v>2121</v>
      </c>
      <c r="I84" s="405" t="s">
        <v>2126</v>
      </c>
      <c r="J84" s="404">
        <v>4.1500000000000004</v>
      </c>
      <c r="K84" s="406">
        <v>9.09</v>
      </c>
      <c r="L84" s="415"/>
    </row>
    <row r="85" spans="1:13" s="416" customFormat="1" ht="18.75" hidden="1" customHeight="1" thickTop="1">
      <c r="A85" s="413">
        <v>40941</v>
      </c>
      <c r="B85" s="414">
        <v>4.25</v>
      </c>
      <c r="C85" s="410"/>
      <c r="D85" s="404">
        <v>4.22</v>
      </c>
      <c r="E85" s="404">
        <v>2.34</v>
      </c>
      <c r="F85" s="410"/>
      <c r="G85" s="404" t="s">
        <v>1398</v>
      </c>
      <c r="H85" s="405" t="s">
        <v>2121</v>
      </c>
      <c r="I85" s="405" t="s">
        <v>2126</v>
      </c>
      <c r="J85" s="404">
        <v>4.13</v>
      </c>
      <c r="K85" s="406">
        <v>9.06</v>
      </c>
      <c r="L85" s="415"/>
    </row>
    <row r="86" spans="1:13" s="416" customFormat="1" ht="18.75" hidden="1" customHeight="1" thickTop="1">
      <c r="A86" s="413">
        <v>40970</v>
      </c>
      <c r="B86" s="414">
        <v>4.08</v>
      </c>
      <c r="C86" s="410"/>
      <c r="D86" s="404">
        <v>4.0999999999999996</v>
      </c>
      <c r="E86" s="404">
        <v>1.97</v>
      </c>
      <c r="F86" s="410"/>
      <c r="G86" s="404" t="s">
        <v>1399</v>
      </c>
      <c r="H86" s="405" t="s">
        <v>2127</v>
      </c>
      <c r="I86" s="405" t="s">
        <v>2128</v>
      </c>
      <c r="J86" s="404">
        <v>3.86</v>
      </c>
      <c r="K86" s="406">
        <v>8.9600000000000009</v>
      </c>
      <c r="L86" s="415"/>
    </row>
    <row r="87" spans="1:13" s="416" customFormat="1" ht="18.75" hidden="1" customHeight="1" thickTop="1">
      <c r="A87" s="413">
        <v>41001</v>
      </c>
      <c r="B87" s="414">
        <v>3.77</v>
      </c>
      <c r="C87" s="410"/>
      <c r="D87" s="404">
        <v>3.7</v>
      </c>
      <c r="E87" s="404">
        <v>1.87</v>
      </c>
      <c r="F87" s="410"/>
      <c r="G87" s="404" t="s">
        <v>1400</v>
      </c>
      <c r="H87" s="405" t="s">
        <v>2129</v>
      </c>
      <c r="I87" s="405" t="s">
        <v>2130</v>
      </c>
      <c r="J87" s="404">
        <v>3.8</v>
      </c>
      <c r="K87" s="406">
        <v>8.57</v>
      </c>
      <c r="L87" s="415"/>
    </row>
    <row r="88" spans="1:13" s="416" customFormat="1" ht="18.75" hidden="1" customHeight="1" thickTop="1">
      <c r="A88" s="413">
        <v>41031</v>
      </c>
      <c r="B88" s="414">
        <v>3.71</v>
      </c>
      <c r="C88" s="410"/>
      <c r="D88" s="404">
        <v>3.64</v>
      </c>
      <c r="E88" s="404">
        <v>1.59</v>
      </c>
      <c r="F88" s="410"/>
      <c r="G88" s="404" t="s">
        <v>1400</v>
      </c>
      <c r="H88" s="405" t="s">
        <v>2129</v>
      </c>
      <c r="I88" s="405" t="s">
        <v>2131</v>
      </c>
      <c r="J88" s="404">
        <v>3.82</v>
      </c>
      <c r="K88" s="406">
        <v>8.59</v>
      </c>
      <c r="L88" s="415"/>
    </row>
    <row r="89" spans="1:13" s="416" customFormat="1" ht="18.75" customHeight="1" thickTop="1">
      <c r="A89" s="413">
        <v>41062</v>
      </c>
      <c r="B89" s="414">
        <v>3.44</v>
      </c>
      <c r="C89" s="410"/>
      <c r="D89" s="404">
        <v>3.51</v>
      </c>
      <c r="E89" s="404">
        <v>1.75</v>
      </c>
      <c r="F89" s="410"/>
      <c r="G89" s="404" t="s">
        <v>1400</v>
      </c>
      <c r="H89" s="405" t="s">
        <v>2132</v>
      </c>
      <c r="I89" s="405" t="s">
        <v>2130</v>
      </c>
      <c r="J89" s="404">
        <v>3.65</v>
      </c>
      <c r="K89" s="406">
        <v>8.5299999999999994</v>
      </c>
      <c r="L89" s="415"/>
    </row>
    <row r="90" spans="1:13" s="416" customFormat="1" ht="18.75" customHeight="1">
      <c r="A90" s="413">
        <v>41092</v>
      </c>
      <c r="B90" s="414">
        <v>3.55</v>
      </c>
      <c r="C90" s="410"/>
      <c r="D90" s="404">
        <v>3.39</v>
      </c>
      <c r="E90" s="404">
        <v>1.91</v>
      </c>
      <c r="F90" s="410"/>
      <c r="G90" s="404" t="s">
        <v>1400</v>
      </c>
      <c r="H90" s="405" t="s">
        <v>2132</v>
      </c>
      <c r="I90" s="405" t="s">
        <v>2130</v>
      </c>
      <c r="J90" s="404">
        <v>3.64</v>
      </c>
      <c r="K90" s="406">
        <v>8.52</v>
      </c>
      <c r="L90" s="415"/>
    </row>
    <row r="91" spans="1:13" s="416" customFormat="1" ht="18.75" customHeight="1">
      <c r="A91" s="413">
        <v>41123</v>
      </c>
      <c r="B91" s="414">
        <v>3.56</v>
      </c>
      <c r="C91" s="410"/>
      <c r="D91" s="404">
        <v>3.43</v>
      </c>
      <c r="E91" s="404">
        <v>1.85</v>
      </c>
      <c r="F91" s="410"/>
      <c r="G91" s="404" t="s">
        <v>1400</v>
      </c>
      <c r="H91" s="405" t="s">
        <v>2132</v>
      </c>
      <c r="I91" s="405" t="s">
        <v>2130</v>
      </c>
      <c r="J91" s="404">
        <v>3.67</v>
      </c>
      <c r="K91" s="406">
        <v>8.5399999999999991</v>
      </c>
      <c r="L91" s="415"/>
    </row>
    <row r="92" spans="1:13" s="416" customFormat="1" ht="18.75" customHeight="1">
      <c r="A92" s="413">
        <v>41154</v>
      </c>
      <c r="B92" s="414">
        <v>3.6</v>
      </c>
      <c r="C92" s="410"/>
      <c r="D92" s="404">
        <v>3.47</v>
      </c>
      <c r="E92" s="404">
        <v>1.67</v>
      </c>
      <c r="F92" s="410"/>
      <c r="G92" s="404" t="s">
        <v>1400</v>
      </c>
      <c r="H92" s="405" t="s">
        <v>2132</v>
      </c>
      <c r="I92" s="405" t="s">
        <v>2130</v>
      </c>
      <c r="J92" s="404">
        <v>3.63</v>
      </c>
      <c r="K92" s="406">
        <v>8.49</v>
      </c>
      <c r="L92" s="415"/>
    </row>
    <row r="93" spans="1:13" s="416" customFormat="1" ht="18.75" customHeight="1">
      <c r="A93" s="413">
        <v>41184</v>
      </c>
      <c r="B93" s="414">
        <v>3.23</v>
      </c>
      <c r="C93" s="410"/>
      <c r="D93" s="404">
        <v>3.26</v>
      </c>
      <c r="E93" s="404">
        <v>1.57</v>
      </c>
      <c r="F93" s="410"/>
      <c r="G93" s="404" t="s">
        <v>1400</v>
      </c>
      <c r="H93" s="405" t="s">
        <v>2132</v>
      </c>
      <c r="I93" s="405" t="s">
        <v>2130</v>
      </c>
      <c r="J93" s="404">
        <v>3.65</v>
      </c>
      <c r="K93" s="406">
        <v>8.52</v>
      </c>
      <c r="L93" s="415"/>
    </row>
    <row r="94" spans="1:13" s="416" customFormat="1" ht="18.75" customHeight="1">
      <c r="A94" s="413">
        <v>41215</v>
      </c>
      <c r="B94" s="414">
        <v>3.09</v>
      </c>
      <c r="C94" s="410"/>
      <c r="D94" s="404">
        <v>3.08</v>
      </c>
      <c r="E94" s="404">
        <v>1.53</v>
      </c>
      <c r="F94" s="410"/>
      <c r="G94" s="404" t="s">
        <v>1400</v>
      </c>
      <c r="H94" s="405" t="s">
        <v>2133</v>
      </c>
      <c r="I94" s="405" t="s">
        <v>2130</v>
      </c>
      <c r="J94" s="417">
        <v>3.64</v>
      </c>
      <c r="K94" s="418">
        <v>8.48</v>
      </c>
      <c r="L94" s="415"/>
    </row>
    <row r="95" spans="1:13" s="416" customFormat="1" ht="18.75" customHeight="1">
      <c r="A95" s="413">
        <v>41245</v>
      </c>
      <c r="B95" s="414">
        <v>2.92</v>
      </c>
      <c r="C95" s="410"/>
      <c r="D95" s="404">
        <v>2.95</v>
      </c>
      <c r="E95" s="404">
        <v>1.61</v>
      </c>
      <c r="F95" s="410"/>
      <c r="G95" s="404" t="s">
        <v>1400</v>
      </c>
      <c r="H95" s="405" t="s">
        <v>2133</v>
      </c>
      <c r="I95" s="405" t="s">
        <v>2130</v>
      </c>
      <c r="J95" s="417">
        <v>3.48</v>
      </c>
      <c r="K95" s="418">
        <v>8.42</v>
      </c>
      <c r="L95" s="415"/>
    </row>
    <row r="96" spans="1:13" s="416" customFormat="1" ht="18.75" customHeight="1">
      <c r="A96" s="413">
        <v>41276</v>
      </c>
      <c r="B96" s="414">
        <v>2.88</v>
      </c>
      <c r="C96" s="410"/>
      <c r="D96" s="404">
        <v>2.84</v>
      </c>
      <c r="E96" s="404">
        <v>1.49</v>
      </c>
      <c r="F96" s="410"/>
      <c r="G96" s="404" t="s">
        <v>1400</v>
      </c>
      <c r="H96" s="405" t="s">
        <v>2133</v>
      </c>
      <c r="I96" s="405" t="s">
        <v>2130</v>
      </c>
      <c r="J96" s="417">
        <v>3.32</v>
      </c>
      <c r="K96" s="418">
        <v>8.42</v>
      </c>
      <c r="L96" s="415"/>
    </row>
    <row r="97" spans="1:12" s="416" customFormat="1" ht="18.75" customHeight="1">
      <c r="A97" s="413">
        <v>41307</v>
      </c>
      <c r="B97" s="414">
        <v>2.67</v>
      </c>
      <c r="C97" s="410"/>
      <c r="D97" s="404">
        <v>2.74</v>
      </c>
      <c r="E97" s="404">
        <v>1.42</v>
      </c>
      <c r="F97" s="410"/>
      <c r="G97" s="404" t="s">
        <v>1400</v>
      </c>
      <c r="H97" s="405" t="s">
        <v>2134</v>
      </c>
      <c r="I97" s="405" t="s">
        <v>654</v>
      </c>
      <c r="J97" s="417">
        <v>3.42</v>
      </c>
      <c r="K97" s="418">
        <v>8.39</v>
      </c>
      <c r="L97" s="415"/>
    </row>
    <row r="98" spans="1:12" s="416" customFormat="1" ht="18.75" customHeight="1">
      <c r="A98" s="413">
        <v>41335</v>
      </c>
      <c r="B98" s="414">
        <v>2.37</v>
      </c>
      <c r="C98" s="410"/>
      <c r="D98" s="404">
        <v>2.46</v>
      </c>
      <c r="E98" s="404">
        <v>1.36</v>
      </c>
      <c r="F98" s="410"/>
      <c r="G98" s="404" t="s">
        <v>1400</v>
      </c>
      <c r="H98" s="405" t="s">
        <v>2135</v>
      </c>
      <c r="I98" s="405" t="s">
        <v>2136</v>
      </c>
      <c r="J98" s="417">
        <v>3.41</v>
      </c>
      <c r="K98" s="418">
        <v>8.36</v>
      </c>
      <c r="L98" s="415"/>
    </row>
    <row r="99" spans="1:12" s="416" customFormat="1" ht="18.75" customHeight="1">
      <c r="A99" s="413">
        <v>41366</v>
      </c>
      <c r="B99" s="414">
        <v>2.33</v>
      </c>
      <c r="C99" s="410"/>
      <c r="D99" s="404">
        <v>2.33</v>
      </c>
      <c r="E99" s="404">
        <v>1.36</v>
      </c>
      <c r="F99" s="410"/>
      <c r="G99" s="404" t="s">
        <v>1400</v>
      </c>
      <c r="H99" s="405" t="s">
        <v>2137</v>
      </c>
      <c r="I99" s="405" t="s">
        <v>659</v>
      </c>
      <c r="J99" s="417">
        <v>3.45</v>
      </c>
      <c r="K99" s="418">
        <v>8.33</v>
      </c>
      <c r="L99" s="415"/>
    </row>
    <row r="100" spans="1:12" s="416" customFormat="1" ht="18.75" customHeight="1">
      <c r="A100" s="413">
        <v>41396</v>
      </c>
      <c r="B100" s="414">
        <v>2.3199999999999998</v>
      </c>
      <c r="C100" s="410"/>
      <c r="D100" s="404">
        <v>2.29</v>
      </c>
      <c r="E100" s="404">
        <v>1.36</v>
      </c>
      <c r="F100" s="410"/>
      <c r="G100" s="404" t="s">
        <v>1400</v>
      </c>
      <c r="H100" s="405" t="s">
        <v>2134</v>
      </c>
      <c r="I100" s="405" t="s">
        <v>2138</v>
      </c>
      <c r="J100" s="418">
        <v>3.47</v>
      </c>
      <c r="K100" s="418">
        <v>8.42</v>
      </c>
      <c r="L100" s="415"/>
    </row>
    <row r="101" spans="1:12" s="416" customFormat="1" ht="18.75" customHeight="1">
      <c r="A101" s="413">
        <v>41427</v>
      </c>
      <c r="B101" s="414">
        <v>2.72</v>
      </c>
      <c r="C101" s="410"/>
      <c r="D101" s="404">
        <v>2.52</v>
      </c>
      <c r="E101" s="404">
        <v>1.99</v>
      </c>
      <c r="F101" s="410"/>
      <c r="G101" s="404" t="s">
        <v>1401</v>
      </c>
      <c r="H101" s="405" t="s">
        <v>2134</v>
      </c>
      <c r="I101" s="405" t="s">
        <v>2139</v>
      </c>
      <c r="J101" s="418">
        <v>3.28</v>
      </c>
      <c r="K101" s="418">
        <v>8.26</v>
      </c>
      <c r="L101" s="415"/>
    </row>
    <row r="102" spans="1:12" s="416" customFormat="1" ht="18.75" customHeight="1">
      <c r="A102" s="413">
        <v>41457</v>
      </c>
      <c r="B102" s="414">
        <v>2.94</v>
      </c>
      <c r="C102" s="410">
        <v>2.77</v>
      </c>
      <c r="D102" s="404">
        <v>2.77</v>
      </c>
      <c r="E102" s="404">
        <v>2.0099999999999998</v>
      </c>
      <c r="F102" s="410"/>
      <c r="G102" s="404" t="s">
        <v>1402</v>
      </c>
      <c r="H102" s="405" t="s">
        <v>2134</v>
      </c>
      <c r="I102" s="405" t="s">
        <v>1375</v>
      </c>
      <c r="J102" s="418">
        <v>3.21</v>
      </c>
      <c r="K102" s="418">
        <v>8.2200000000000006</v>
      </c>
      <c r="L102" s="415"/>
    </row>
    <row r="103" spans="1:12" s="416" customFormat="1" ht="18.75" customHeight="1">
      <c r="A103" s="413">
        <v>41488</v>
      </c>
      <c r="B103" s="414">
        <v>2.85</v>
      </c>
      <c r="C103" s="410">
        <v>2.8</v>
      </c>
      <c r="D103" s="404">
        <v>2.8</v>
      </c>
      <c r="E103" s="404">
        <v>1.68</v>
      </c>
      <c r="F103" s="410"/>
      <c r="G103" s="404" t="s">
        <v>1402</v>
      </c>
      <c r="H103" s="405" t="s">
        <v>2140</v>
      </c>
      <c r="I103" s="405" t="s">
        <v>2141</v>
      </c>
      <c r="J103" s="418">
        <v>3.24</v>
      </c>
      <c r="K103" s="418">
        <v>8.18</v>
      </c>
      <c r="L103" s="415"/>
    </row>
    <row r="104" spans="1:12" s="416" customFormat="1" ht="18.75" customHeight="1">
      <c r="A104" s="413">
        <v>41519</v>
      </c>
      <c r="B104" s="414">
        <v>2.73</v>
      </c>
      <c r="C104" s="410"/>
      <c r="D104" s="404">
        <v>2.75</v>
      </c>
      <c r="E104" s="404">
        <v>1.64</v>
      </c>
      <c r="F104" s="410"/>
      <c r="G104" s="404" t="s">
        <v>1402</v>
      </c>
      <c r="H104" s="405" t="s">
        <v>2134</v>
      </c>
      <c r="I104" s="405" t="s">
        <v>2142</v>
      </c>
      <c r="J104" s="418">
        <v>3.26</v>
      </c>
      <c r="K104" s="418">
        <v>8.15</v>
      </c>
      <c r="L104" s="415"/>
    </row>
    <row r="105" spans="1:12" s="416" customFormat="1" ht="18.75" customHeight="1">
      <c r="A105" s="413">
        <v>41549</v>
      </c>
      <c r="B105" s="414">
        <v>3.29</v>
      </c>
      <c r="C105" s="410">
        <v>2.87</v>
      </c>
      <c r="D105" s="404">
        <v>2.87</v>
      </c>
      <c r="E105" s="404">
        <v>2.5299999999999998</v>
      </c>
      <c r="F105" s="410"/>
      <c r="G105" s="404" t="s">
        <v>1403</v>
      </c>
      <c r="H105" s="405" t="s">
        <v>2134</v>
      </c>
      <c r="I105" s="405" t="s">
        <v>660</v>
      </c>
      <c r="J105" s="418">
        <v>3.26</v>
      </c>
      <c r="K105" s="419">
        <v>8.1</v>
      </c>
      <c r="L105" s="415"/>
    </row>
    <row r="106" spans="1:12" s="416" customFormat="1" ht="18.75" customHeight="1">
      <c r="A106" s="413">
        <v>41580</v>
      </c>
      <c r="B106" s="414">
        <v>3.52</v>
      </c>
      <c r="C106" s="410"/>
      <c r="D106" s="404">
        <v>3.35</v>
      </c>
      <c r="E106" s="404">
        <v>3.58</v>
      </c>
      <c r="F106" s="410"/>
      <c r="G106" s="404" t="s">
        <v>1403</v>
      </c>
      <c r="H106" s="405" t="s">
        <v>2143</v>
      </c>
      <c r="I106" s="405" t="s">
        <v>2142</v>
      </c>
      <c r="J106" s="418">
        <v>3.25</v>
      </c>
      <c r="K106" s="419">
        <v>8.09</v>
      </c>
      <c r="L106" s="415"/>
    </row>
    <row r="107" spans="1:12" s="416" customFormat="1" ht="18.75" customHeight="1">
      <c r="A107" s="413">
        <v>41610</v>
      </c>
      <c r="B107" s="414">
        <v>3.64</v>
      </c>
      <c r="C107" s="410"/>
      <c r="D107" s="404">
        <v>3.54</v>
      </c>
      <c r="E107" s="404">
        <v>3.52</v>
      </c>
      <c r="F107" s="410"/>
      <c r="G107" s="404" t="s">
        <v>1403</v>
      </c>
      <c r="H107" s="405" t="s">
        <v>2144</v>
      </c>
      <c r="I107" s="405" t="s">
        <v>2145</v>
      </c>
      <c r="J107" s="419">
        <v>3.2174550585821531</v>
      </c>
      <c r="K107" s="419">
        <v>8.07</v>
      </c>
      <c r="L107" s="415"/>
    </row>
    <row r="108" spans="1:12" s="416" customFormat="1" ht="18.75" customHeight="1">
      <c r="A108" s="413">
        <v>41641</v>
      </c>
      <c r="B108" s="414">
        <v>3.53</v>
      </c>
      <c r="C108" s="410"/>
      <c r="D108" s="404">
        <v>3.54</v>
      </c>
      <c r="E108" s="404">
        <v>3.63</v>
      </c>
      <c r="F108" s="410"/>
      <c r="G108" s="404" t="s">
        <v>1403</v>
      </c>
      <c r="H108" s="405" t="s">
        <v>2146</v>
      </c>
      <c r="I108" s="405" t="s">
        <v>1172</v>
      </c>
      <c r="J108" s="419">
        <v>3.27</v>
      </c>
      <c r="K108" s="419">
        <v>8.14</v>
      </c>
      <c r="L108" s="415"/>
    </row>
    <row r="109" spans="1:12" s="416" customFormat="1" ht="18.75" customHeight="1">
      <c r="A109" s="413">
        <v>41672</v>
      </c>
      <c r="B109" s="414">
        <v>3.23</v>
      </c>
      <c r="C109" s="410"/>
      <c r="D109" s="404">
        <v>3.36</v>
      </c>
      <c r="E109" s="404">
        <v>2.6</v>
      </c>
      <c r="F109" s="410"/>
      <c r="G109" s="404" t="s">
        <v>1403</v>
      </c>
      <c r="H109" s="405" t="s">
        <v>2144</v>
      </c>
      <c r="I109" s="405" t="s">
        <v>1173</v>
      </c>
      <c r="J109" s="419">
        <v>3.16</v>
      </c>
      <c r="K109" s="419">
        <v>8.1199999999999992</v>
      </c>
      <c r="L109" s="415"/>
    </row>
    <row r="110" spans="1:12" s="416" customFormat="1" ht="18.75" customHeight="1">
      <c r="A110" s="413">
        <v>41700</v>
      </c>
      <c r="B110" s="414">
        <v>3.05</v>
      </c>
      <c r="C110" s="410"/>
      <c r="D110" s="404">
        <v>3.16</v>
      </c>
      <c r="E110" s="404">
        <v>2.35</v>
      </c>
      <c r="F110" s="410"/>
      <c r="G110" s="404" t="s">
        <v>1404</v>
      </c>
      <c r="H110" s="405" t="s">
        <v>2144</v>
      </c>
      <c r="I110" s="405" t="s">
        <v>1174</v>
      </c>
      <c r="J110" s="419">
        <v>3.18</v>
      </c>
      <c r="K110" s="419">
        <v>8.1199999999999992</v>
      </c>
      <c r="L110" s="415"/>
    </row>
    <row r="111" spans="1:12" s="416" customFormat="1" ht="18.75" customHeight="1">
      <c r="A111" s="413">
        <v>41731</v>
      </c>
      <c r="B111" s="414">
        <v>2.98</v>
      </c>
      <c r="C111" s="410"/>
      <c r="D111" s="404">
        <v>2.95</v>
      </c>
      <c r="E111" s="404">
        <v>2.0299999999999998</v>
      </c>
      <c r="F111" s="410"/>
      <c r="G111" s="404" t="s">
        <v>1404</v>
      </c>
      <c r="H111" s="405" t="s">
        <v>2147</v>
      </c>
      <c r="I111" s="405" t="s">
        <v>1175</v>
      </c>
      <c r="J111" s="419">
        <v>3.1551113181666208</v>
      </c>
      <c r="K111" s="419">
        <v>8.0825323835957139</v>
      </c>
      <c r="L111" s="415"/>
    </row>
    <row r="112" spans="1:12" s="416" customFormat="1" ht="18.75" customHeight="1">
      <c r="A112" s="413">
        <v>41761</v>
      </c>
      <c r="B112" s="414">
        <v>2.78</v>
      </c>
      <c r="C112" s="410"/>
      <c r="D112" s="404">
        <v>2.83</v>
      </c>
      <c r="E112" s="404">
        <v>1.77</v>
      </c>
      <c r="F112" s="410"/>
      <c r="G112" s="404" t="s">
        <v>1404</v>
      </c>
      <c r="H112" s="405" t="s">
        <v>2144</v>
      </c>
      <c r="I112" s="405" t="s">
        <v>1176</v>
      </c>
      <c r="J112" s="419">
        <v>3.38</v>
      </c>
      <c r="K112" s="419">
        <v>8.11</v>
      </c>
      <c r="L112" s="415"/>
    </row>
    <row r="113" spans="1:13" s="416" customFormat="1" ht="18.75" customHeight="1">
      <c r="A113" s="413">
        <v>41792</v>
      </c>
      <c r="B113" s="414">
        <v>2.48</v>
      </c>
      <c r="C113" s="410"/>
      <c r="D113" s="404">
        <v>2.61</v>
      </c>
      <c r="E113" s="404">
        <v>1.49</v>
      </c>
      <c r="F113" s="410"/>
      <c r="G113" s="404" t="s">
        <v>1404</v>
      </c>
      <c r="H113" s="405" t="s">
        <v>2147</v>
      </c>
      <c r="I113" s="405" t="s">
        <v>2148</v>
      </c>
      <c r="J113" s="419">
        <v>3.3</v>
      </c>
      <c r="K113" s="419">
        <v>8.0399999999999991</v>
      </c>
      <c r="L113" s="415"/>
    </row>
    <row r="114" spans="1:13" s="416" customFormat="1" ht="18.75" customHeight="1">
      <c r="A114" s="413">
        <v>41822</v>
      </c>
      <c r="B114" s="414">
        <v>2.1</v>
      </c>
      <c r="C114" s="410"/>
      <c r="D114" s="404"/>
      <c r="E114" s="404">
        <v>1.2</v>
      </c>
      <c r="F114" s="410"/>
      <c r="G114" s="404" t="s">
        <v>1404</v>
      </c>
      <c r="H114" s="405" t="s">
        <v>2144</v>
      </c>
      <c r="I114" s="405" t="s">
        <v>1174</v>
      </c>
      <c r="J114" s="420">
        <v>3.298881731933109</v>
      </c>
      <c r="K114" s="420">
        <v>7.9800628050706601</v>
      </c>
      <c r="L114" s="415"/>
    </row>
    <row r="115" spans="1:13" s="416" customFormat="1" ht="18.75" customHeight="1">
      <c r="A115" s="413">
        <v>41853</v>
      </c>
      <c r="B115" s="414">
        <v>1.17</v>
      </c>
      <c r="C115" s="410"/>
      <c r="D115" s="404"/>
      <c r="E115" s="404">
        <v>0.98</v>
      </c>
      <c r="F115" s="410"/>
      <c r="G115" s="404" t="s">
        <v>1404</v>
      </c>
      <c r="H115" s="405" t="s">
        <v>2149</v>
      </c>
      <c r="I115" s="405" t="s">
        <v>2150</v>
      </c>
      <c r="J115" s="420">
        <v>3.2930000000000001</v>
      </c>
      <c r="K115" s="420">
        <v>7.98</v>
      </c>
      <c r="L115" s="415"/>
    </row>
    <row r="116" spans="1:13" s="416" customFormat="1" ht="18.75" customHeight="1">
      <c r="A116" s="413">
        <v>41884</v>
      </c>
      <c r="B116" s="414">
        <v>1.71</v>
      </c>
      <c r="C116" s="410"/>
      <c r="D116" s="404"/>
      <c r="E116" s="404">
        <v>0.75</v>
      </c>
      <c r="F116" s="410"/>
      <c r="G116" s="404" t="s">
        <v>1404</v>
      </c>
      <c r="H116" s="405" t="s">
        <v>2149</v>
      </c>
      <c r="I116" s="405" t="s">
        <v>2151</v>
      </c>
      <c r="J116" s="420">
        <v>3.27</v>
      </c>
      <c r="K116" s="420">
        <v>7.95</v>
      </c>
      <c r="L116" s="415"/>
    </row>
    <row r="117" spans="1:13" s="416" customFormat="1" ht="18.75" customHeight="1">
      <c r="A117" s="413">
        <v>41914</v>
      </c>
      <c r="B117" s="414">
        <v>1.47</v>
      </c>
      <c r="C117" s="410"/>
      <c r="D117" s="404"/>
      <c r="E117" s="404">
        <v>0.72</v>
      </c>
      <c r="F117" s="410"/>
      <c r="G117" s="404" t="s">
        <v>1404</v>
      </c>
      <c r="H117" s="405" t="s">
        <v>2152</v>
      </c>
      <c r="I117" s="405" t="s">
        <v>1183</v>
      </c>
      <c r="J117" s="420">
        <v>3.27</v>
      </c>
      <c r="K117" s="420">
        <v>7.94</v>
      </c>
      <c r="L117" s="415"/>
    </row>
    <row r="118" spans="1:13" s="416" customFormat="1" ht="18.75" customHeight="1">
      <c r="A118" s="413">
        <v>41945</v>
      </c>
      <c r="B118" s="414">
        <v>1.44</v>
      </c>
      <c r="C118" s="410"/>
      <c r="D118" s="404"/>
      <c r="E118" s="404">
        <v>0.63</v>
      </c>
      <c r="F118" s="410"/>
      <c r="G118" s="404" t="s">
        <v>1404</v>
      </c>
      <c r="H118" s="405" t="s">
        <v>2152</v>
      </c>
      <c r="I118" s="405" t="s">
        <v>656</v>
      </c>
      <c r="J118" s="420">
        <v>3.24</v>
      </c>
      <c r="K118" s="420">
        <v>7.83</v>
      </c>
      <c r="L118" s="415"/>
    </row>
    <row r="119" spans="1:13" s="416" customFormat="1" ht="18.75" customHeight="1">
      <c r="A119" s="413">
        <v>41975</v>
      </c>
      <c r="B119" s="414">
        <v>2.44</v>
      </c>
      <c r="C119" s="410"/>
      <c r="D119" s="404"/>
      <c r="E119" s="404">
        <v>2.2999999999999998</v>
      </c>
      <c r="F119" s="410"/>
      <c r="G119" s="404" t="s">
        <v>1405</v>
      </c>
      <c r="H119" s="405" t="s">
        <v>2153</v>
      </c>
      <c r="I119" s="405" t="s">
        <v>1375</v>
      </c>
      <c r="J119" s="420">
        <v>3.2</v>
      </c>
      <c r="K119" s="420">
        <v>7.79</v>
      </c>
      <c r="L119" s="415"/>
    </row>
    <row r="120" spans="1:13" s="416" customFormat="1" ht="18.75" customHeight="1">
      <c r="A120" s="413">
        <v>42006</v>
      </c>
      <c r="B120" s="414">
        <v>2.82</v>
      </c>
      <c r="C120" s="410"/>
      <c r="D120" s="404"/>
      <c r="E120" s="404">
        <v>2.5299999999999998</v>
      </c>
      <c r="F120" s="410"/>
      <c r="G120" s="404" t="s">
        <v>1406</v>
      </c>
      <c r="H120" s="405" t="s">
        <v>2154</v>
      </c>
      <c r="I120" s="405" t="s">
        <v>2150</v>
      </c>
      <c r="J120" s="420">
        <v>3.18</v>
      </c>
      <c r="K120" s="420">
        <v>7.7200728639789542</v>
      </c>
      <c r="L120" s="415"/>
    </row>
    <row r="121" spans="1:13" s="416" customFormat="1" ht="18.75" customHeight="1">
      <c r="A121" s="413">
        <v>42037</v>
      </c>
      <c r="B121" s="414">
        <v>2.36</v>
      </c>
      <c r="C121" s="410"/>
      <c r="D121" s="404"/>
      <c r="E121" s="404">
        <v>2.0299999999999998</v>
      </c>
      <c r="F121" s="410"/>
      <c r="G121" s="404" t="s">
        <v>1406</v>
      </c>
      <c r="H121" s="405" t="s">
        <v>2154</v>
      </c>
      <c r="I121" s="405" t="s">
        <v>2139</v>
      </c>
      <c r="J121" s="420">
        <v>3.2</v>
      </c>
      <c r="K121" s="420">
        <v>7.75</v>
      </c>
      <c r="L121" s="415"/>
    </row>
    <row r="122" spans="1:13" s="416" customFormat="1" ht="18.75" customHeight="1">
      <c r="A122" s="413">
        <v>42065</v>
      </c>
      <c r="B122" s="414">
        <v>1.88</v>
      </c>
      <c r="C122" s="410"/>
      <c r="D122" s="404"/>
      <c r="E122" s="404">
        <v>1.91</v>
      </c>
      <c r="F122" s="410"/>
      <c r="G122" s="404" t="s">
        <v>1406</v>
      </c>
      <c r="H122" s="405" t="s">
        <v>2154</v>
      </c>
      <c r="I122" s="405" t="s">
        <v>1183</v>
      </c>
      <c r="J122" s="420">
        <v>3.17</v>
      </c>
      <c r="K122" s="420">
        <v>7.81</v>
      </c>
      <c r="L122" s="415"/>
    </row>
    <row r="123" spans="1:13" s="416" customFormat="1" ht="18.75" customHeight="1">
      <c r="A123" s="413">
        <v>42096</v>
      </c>
      <c r="B123" s="414">
        <v>1.47</v>
      </c>
      <c r="C123" s="410"/>
      <c r="D123" s="404"/>
      <c r="E123" s="404">
        <v>1.68</v>
      </c>
      <c r="F123" s="410"/>
      <c r="G123" s="404" t="s">
        <v>1406</v>
      </c>
      <c r="H123" s="405" t="s">
        <v>2152</v>
      </c>
      <c r="I123" s="405" t="s">
        <v>2155</v>
      </c>
      <c r="J123" s="420">
        <v>3.0515322413801469</v>
      </c>
      <c r="K123" s="420">
        <v>7.75</v>
      </c>
      <c r="L123" s="415"/>
    </row>
    <row r="124" spans="1:13" s="416" customFormat="1" ht="18.75" customHeight="1">
      <c r="A124" s="413">
        <v>42126</v>
      </c>
      <c r="B124" s="414">
        <v>1.44</v>
      </c>
      <c r="C124" s="410"/>
      <c r="D124" s="404"/>
      <c r="E124" s="404">
        <v>1.47</v>
      </c>
      <c r="F124" s="410"/>
      <c r="G124" s="404" t="s">
        <v>1406</v>
      </c>
      <c r="H124" s="405" t="s">
        <v>2152</v>
      </c>
      <c r="I124" s="405" t="s">
        <v>2156</v>
      </c>
      <c r="J124" s="421">
        <v>2.84</v>
      </c>
      <c r="K124" s="420">
        <v>7.7</v>
      </c>
      <c r="L124" s="415"/>
      <c r="M124" s="422"/>
    </row>
    <row r="125" spans="1:13" s="416" customFormat="1" ht="18.75" customHeight="1" thickBot="1">
      <c r="A125" s="423">
        <v>42157</v>
      </c>
      <c r="B125" s="424">
        <v>1.78</v>
      </c>
      <c r="C125" s="425"/>
      <c r="D125" s="426"/>
      <c r="E125" s="426">
        <v>1.06</v>
      </c>
      <c r="F125" s="425"/>
      <c r="G125" s="426" t="s">
        <v>1406</v>
      </c>
      <c r="H125" s="427" t="s">
        <v>2157</v>
      </c>
      <c r="I125" s="427" t="s">
        <v>655</v>
      </c>
      <c r="J125" s="428">
        <v>2.82</v>
      </c>
      <c r="K125" s="429">
        <v>7.68</v>
      </c>
      <c r="L125" s="415"/>
      <c r="M125" s="422"/>
    </row>
    <row r="126" spans="1:13" ht="15">
      <c r="A126" s="369" t="s">
        <v>2158</v>
      </c>
      <c r="B126" s="430"/>
      <c r="C126" s="430"/>
      <c r="D126" s="430"/>
      <c r="E126" s="430"/>
      <c r="F126" s="430"/>
      <c r="G126" s="430"/>
      <c r="H126" s="431"/>
      <c r="I126" s="431"/>
      <c r="J126" s="430"/>
      <c r="K126" s="430"/>
    </row>
    <row r="127" spans="1:13" s="371" customFormat="1" ht="15">
      <c r="A127" s="432" t="s">
        <v>2159</v>
      </c>
      <c r="I127" s="431"/>
      <c r="J127" s="433"/>
    </row>
    <row r="128" spans="1:13">
      <c r="A128" s="373"/>
      <c r="B128" s="373"/>
      <c r="C128" s="373"/>
      <c r="D128" s="373"/>
      <c r="E128" s="373"/>
      <c r="F128" s="373"/>
      <c r="G128" s="373"/>
      <c r="H128" s="373"/>
      <c r="I128" s="373"/>
      <c r="J128" s="373"/>
      <c r="K128" s="373"/>
    </row>
    <row r="129" spans="1:11">
      <c r="A129" s="373"/>
      <c r="B129" s="373"/>
      <c r="C129" s="373"/>
      <c r="D129" s="373"/>
      <c r="E129" s="373"/>
      <c r="F129" s="373" t="s">
        <v>2160</v>
      </c>
      <c r="G129" s="373"/>
      <c r="H129" s="373"/>
      <c r="I129" s="373"/>
      <c r="J129" s="373"/>
      <c r="K129" s="373"/>
    </row>
    <row r="130" spans="1:11">
      <c r="A130" s="373"/>
      <c r="B130" s="373"/>
      <c r="C130" s="373"/>
      <c r="D130" s="373"/>
      <c r="E130" s="373"/>
      <c r="F130" s="373"/>
      <c r="G130" s="373"/>
      <c r="H130" s="373"/>
      <c r="I130" s="373"/>
      <c r="J130" s="373"/>
      <c r="K130" s="373"/>
    </row>
    <row r="131" spans="1:11">
      <c r="A131" s="373"/>
      <c r="B131" s="373"/>
      <c r="C131" s="373"/>
      <c r="D131" s="373"/>
      <c r="E131" s="373"/>
      <c r="F131" s="373"/>
      <c r="G131" s="373"/>
      <c r="H131" s="373"/>
      <c r="I131" s="373"/>
      <c r="J131" s="373"/>
      <c r="K131" s="373"/>
    </row>
    <row r="132" spans="1:11">
      <c r="A132" s="373"/>
      <c r="B132" s="373"/>
      <c r="C132" s="373"/>
      <c r="D132" s="373"/>
      <c r="E132" s="373"/>
      <c r="F132" s="373"/>
      <c r="G132" s="373"/>
      <c r="H132" s="373"/>
      <c r="I132" s="373"/>
      <c r="J132" s="373"/>
      <c r="K132" s="373"/>
    </row>
    <row r="133" spans="1:11">
      <c r="A133" s="373"/>
      <c r="B133" s="373"/>
      <c r="C133" s="373"/>
      <c r="D133" s="373"/>
      <c r="E133" s="373"/>
      <c r="F133" s="373"/>
      <c r="G133" s="373"/>
      <c r="H133" s="373"/>
      <c r="I133" s="373"/>
      <c r="J133" s="373"/>
      <c r="K133" s="373"/>
    </row>
    <row r="134" spans="1:11">
      <c r="A134" s="373"/>
      <c r="B134" s="373"/>
      <c r="C134" s="373"/>
      <c r="D134" s="373"/>
      <c r="E134" s="373"/>
      <c r="F134" s="373"/>
      <c r="G134" s="373"/>
      <c r="H134" s="373"/>
      <c r="I134" s="373"/>
      <c r="J134" s="373"/>
      <c r="K134" s="373"/>
    </row>
    <row r="135" spans="1:11">
      <c r="A135" s="373"/>
      <c r="B135" s="373"/>
      <c r="C135" s="373"/>
      <c r="D135" s="373"/>
      <c r="E135" s="373"/>
      <c r="F135" s="373"/>
      <c r="G135" s="373"/>
      <c r="H135" s="373"/>
      <c r="I135" s="373"/>
      <c r="J135" s="373"/>
      <c r="K135" s="373"/>
    </row>
    <row r="136" spans="1:11">
      <c r="A136" s="373"/>
      <c r="B136" s="373"/>
      <c r="C136" s="373"/>
      <c r="D136" s="373"/>
      <c r="E136" s="373"/>
      <c r="F136" s="373"/>
      <c r="G136" s="373"/>
      <c r="H136" s="373"/>
      <c r="I136" s="373"/>
      <c r="J136" s="373"/>
      <c r="K136" s="373"/>
    </row>
    <row r="137" spans="1:11">
      <c r="A137" s="373"/>
      <c r="B137" s="373"/>
      <c r="C137" s="373"/>
      <c r="D137" s="373"/>
      <c r="E137" s="373"/>
      <c r="F137" s="373"/>
      <c r="G137" s="373"/>
      <c r="H137" s="373"/>
      <c r="I137" s="373"/>
      <c r="J137" s="373"/>
      <c r="K137" s="373"/>
    </row>
    <row r="138" spans="1:11">
      <c r="A138" s="373"/>
      <c r="B138" s="373"/>
      <c r="C138" s="373"/>
      <c r="D138" s="373"/>
      <c r="E138" s="373"/>
      <c r="F138" s="373"/>
      <c r="G138" s="373"/>
      <c r="H138" s="373"/>
      <c r="I138" s="373"/>
      <c r="J138" s="373"/>
      <c r="K138" s="373"/>
    </row>
    <row r="139" spans="1:11">
      <c r="A139" s="373"/>
      <c r="B139" s="373"/>
      <c r="C139" s="373"/>
      <c r="D139" s="373"/>
      <c r="E139" s="373"/>
      <c r="F139" s="373"/>
      <c r="G139" s="373"/>
      <c r="H139" s="373"/>
      <c r="I139" s="373"/>
      <c r="J139" s="373"/>
      <c r="K139" s="373"/>
    </row>
    <row r="140" spans="1:11">
      <c r="A140" s="373"/>
      <c r="B140" s="373"/>
      <c r="C140" s="373"/>
      <c r="D140" s="373"/>
      <c r="E140" s="373"/>
      <c r="F140" s="373"/>
      <c r="G140" s="373"/>
      <c r="H140" s="373"/>
      <c r="I140" s="373"/>
      <c r="J140" s="373"/>
      <c r="K140" s="373"/>
    </row>
    <row r="141" spans="1:11">
      <c r="A141" s="373"/>
      <c r="B141" s="373"/>
      <c r="C141" s="373"/>
      <c r="D141" s="373"/>
      <c r="E141" s="373"/>
      <c r="F141" s="373"/>
      <c r="G141" s="373"/>
      <c r="H141" s="373"/>
      <c r="I141" s="373"/>
      <c r="J141" s="373"/>
      <c r="K141" s="373"/>
    </row>
    <row r="142" spans="1:11">
      <c r="A142" s="373"/>
      <c r="B142" s="373"/>
      <c r="C142" s="373"/>
      <c r="D142" s="373"/>
      <c r="E142" s="373"/>
      <c r="F142" s="373"/>
      <c r="G142" s="373"/>
      <c r="H142" s="373"/>
      <c r="I142" s="373"/>
      <c r="J142" s="373"/>
      <c r="K142" s="373"/>
    </row>
    <row r="143" spans="1:11">
      <c r="A143" s="373"/>
      <c r="B143" s="373"/>
      <c r="C143" s="373"/>
      <c r="D143" s="373"/>
      <c r="E143" s="373"/>
      <c r="F143" s="373"/>
      <c r="G143" s="373"/>
      <c r="H143" s="373"/>
      <c r="I143" s="373"/>
      <c r="J143" s="373"/>
      <c r="K143" s="373"/>
    </row>
    <row r="144" spans="1:11">
      <c r="A144" s="373"/>
      <c r="B144" s="373"/>
      <c r="C144" s="373"/>
      <c r="D144" s="373"/>
      <c r="E144" s="373"/>
      <c r="F144" s="373"/>
      <c r="G144" s="373"/>
      <c r="H144" s="373"/>
      <c r="I144" s="373"/>
      <c r="J144" s="373"/>
      <c r="K144" s="373"/>
    </row>
    <row r="145" spans="1:11">
      <c r="A145" s="373"/>
      <c r="B145" s="373"/>
      <c r="C145" s="373"/>
      <c r="D145" s="373"/>
      <c r="E145" s="373"/>
      <c r="F145" s="373"/>
      <c r="G145" s="373"/>
      <c r="H145" s="373"/>
      <c r="I145" s="373"/>
      <c r="J145" s="373"/>
      <c r="K145" s="373"/>
    </row>
    <row r="146" spans="1:11">
      <c r="A146" s="373"/>
      <c r="B146" s="373"/>
      <c r="C146" s="373"/>
      <c r="D146" s="373"/>
      <c r="E146" s="373"/>
      <c r="F146" s="373"/>
      <c r="G146" s="373"/>
      <c r="H146" s="373"/>
      <c r="I146" s="373"/>
      <c r="J146" s="373"/>
      <c r="K146" s="373"/>
    </row>
    <row r="147" spans="1:11">
      <c r="A147" s="373"/>
      <c r="B147" s="373"/>
      <c r="C147" s="373"/>
      <c r="D147" s="373"/>
      <c r="E147" s="373"/>
      <c r="F147" s="373"/>
      <c r="G147" s="373"/>
      <c r="H147" s="373"/>
      <c r="I147" s="373"/>
      <c r="J147" s="373"/>
      <c r="K147" s="373"/>
    </row>
    <row r="148" spans="1:11">
      <c r="A148" s="373"/>
      <c r="B148" s="373"/>
      <c r="C148" s="373"/>
      <c r="D148" s="373"/>
      <c r="E148" s="373"/>
      <c r="F148" s="373"/>
      <c r="G148" s="373"/>
      <c r="H148" s="373"/>
      <c r="I148" s="373"/>
      <c r="J148" s="373"/>
      <c r="K148" s="373"/>
    </row>
    <row r="149" spans="1:11">
      <c r="A149" s="373"/>
      <c r="B149" s="373"/>
      <c r="C149" s="373"/>
      <c r="D149" s="373"/>
      <c r="E149" s="373"/>
      <c r="F149" s="373"/>
      <c r="G149" s="373"/>
      <c r="H149" s="373"/>
      <c r="I149" s="373"/>
      <c r="J149" s="373"/>
      <c r="K149" s="373"/>
    </row>
    <row r="150" spans="1:11">
      <c r="A150" s="373"/>
      <c r="B150" s="373"/>
      <c r="C150" s="373"/>
      <c r="D150" s="373"/>
      <c r="E150" s="373"/>
      <c r="F150" s="373"/>
      <c r="G150" s="373"/>
      <c r="H150" s="373"/>
      <c r="I150" s="373"/>
      <c r="J150" s="373"/>
      <c r="K150" s="373"/>
    </row>
    <row r="151" spans="1:11">
      <c r="A151" s="373"/>
      <c r="B151" s="373"/>
      <c r="C151" s="373"/>
      <c r="D151" s="373"/>
      <c r="E151" s="373"/>
      <c r="F151" s="373"/>
      <c r="G151" s="373"/>
      <c r="H151" s="373"/>
      <c r="I151" s="373"/>
      <c r="J151" s="373"/>
      <c r="K151" s="373"/>
    </row>
    <row r="152" spans="1:11">
      <c r="A152" s="373"/>
      <c r="B152" s="373"/>
      <c r="C152" s="373"/>
      <c r="D152" s="373"/>
      <c r="E152" s="373"/>
      <c r="F152" s="373"/>
      <c r="G152" s="373"/>
      <c r="H152" s="373"/>
      <c r="I152" s="373"/>
      <c r="J152" s="373"/>
      <c r="K152" s="373"/>
    </row>
    <row r="153" spans="1:11">
      <c r="A153" s="373"/>
      <c r="B153" s="373"/>
      <c r="C153" s="373"/>
      <c r="D153" s="373"/>
      <c r="E153" s="373"/>
      <c r="F153" s="373"/>
      <c r="G153" s="373"/>
      <c r="H153" s="373"/>
      <c r="I153" s="373"/>
      <c r="J153" s="373"/>
      <c r="K153" s="373"/>
    </row>
    <row r="154" spans="1:11">
      <c r="A154" s="373"/>
      <c r="B154" s="373"/>
      <c r="C154" s="373"/>
      <c r="D154" s="373"/>
      <c r="E154" s="373"/>
      <c r="F154" s="373"/>
      <c r="G154" s="373"/>
      <c r="H154" s="373"/>
      <c r="I154" s="373"/>
      <c r="J154" s="373"/>
      <c r="K154" s="373"/>
    </row>
    <row r="155" spans="1:11">
      <c r="A155" s="373"/>
      <c r="B155" s="373"/>
      <c r="C155" s="373"/>
      <c r="D155" s="373"/>
      <c r="E155" s="373"/>
      <c r="F155" s="373"/>
      <c r="G155" s="373"/>
      <c r="H155" s="373"/>
      <c r="I155" s="373"/>
      <c r="J155" s="373"/>
      <c r="K155" s="373"/>
    </row>
    <row r="156" spans="1:11">
      <c r="A156" s="373"/>
      <c r="B156" s="373"/>
      <c r="C156" s="373"/>
      <c r="D156" s="373"/>
      <c r="E156" s="373"/>
      <c r="F156" s="373"/>
      <c r="G156" s="373"/>
      <c r="H156" s="373"/>
      <c r="I156" s="373"/>
      <c r="J156" s="373"/>
      <c r="K156" s="373"/>
    </row>
    <row r="157" spans="1:11">
      <c r="A157" s="373"/>
      <c r="B157" s="373"/>
      <c r="C157" s="373"/>
      <c r="D157" s="373"/>
      <c r="E157" s="373"/>
      <c r="F157" s="373"/>
      <c r="G157" s="373"/>
      <c r="H157" s="373"/>
      <c r="I157" s="373"/>
      <c r="J157" s="373"/>
      <c r="K157" s="373"/>
    </row>
    <row r="158" spans="1:11">
      <c r="A158" s="373"/>
      <c r="B158" s="373"/>
      <c r="C158" s="373"/>
      <c r="D158" s="373"/>
      <c r="E158" s="373"/>
      <c r="F158" s="373"/>
      <c r="G158" s="373"/>
      <c r="H158" s="373"/>
      <c r="I158" s="373"/>
      <c r="J158" s="373"/>
      <c r="K158" s="373"/>
    </row>
    <row r="159" spans="1:11">
      <c r="A159" s="373"/>
      <c r="B159" s="373"/>
      <c r="C159" s="373"/>
      <c r="D159" s="373"/>
      <c r="E159" s="373"/>
      <c r="F159" s="373"/>
      <c r="G159" s="373"/>
      <c r="H159" s="373"/>
      <c r="I159" s="373"/>
      <c r="J159" s="373"/>
      <c r="K159" s="373"/>
    </row>
    <row r="160" spans="1:11">
      <c r="A160" s="373"/>
      <c r="B160" s="373"/>
      <c r="C160" s="373"/>
      <c r="D160" s="373"/>
      <c r="E160" s="373"/>
      <c r="F160" s="373"/>
      <c r="G160" s="373"/>
      <c r="H160" s="373"/>
      <c r="I160" s="373"/>
      <c r="J160" s="373"/>
      <c r="K160" s="373"/>
    </row>
    <row r="161" spans="1:11">
      <c r="A161" s="373"/>
      <c r="B161" s="373"/>
      <c r="C161" s="373"/>
      <c r="D161" s="373"/>
      <c r="E161" s="373"/>
      <c r="F161" s="373"/>
      <c r="G161" s="373"/>
      <c r="H161" s="373"/>
      <c r="I161" s="373"/>
      <c r="J161" s="373"/>
      <c r="K161" s="373"/>
    </row>
    <row r="162" spans="1:11">
      <c r="A162" s="373"/>
      <c r="B162" s="373"/>
      <c r="C162" s="373"/>
      <c r="D162" s="373"/>
      <c r="E162" s="373"/>
      <c r="F162" s="373"/>
      <c r="G162" s="373"/>
      <c r="H162" s="373"/>
      <c r="I162" s="373"/>
      <c r="J162" s="373"/>
      <c r="K162" s="373"/>
    </row>
    <row r="163" spans="1:11">
      <c r="A163" s="373"/>
      <c r="B163" s="373"/>
      <c r="C163" s="373"/>
      <c r="D163" s="373"/>
      <c r="E163" s="373"/>
      <c r="F163" s="373"/>
      <c r="G163" s="373"/>
      <c r="H163" s="373"/>
      <c r="I163" s="373"/>
      <c r="J163" s="373"/>
      <c r="K163" s="373"/>
    </row>
    <row r="164" spans="1:11">
      <c r="A164" s="373"/>
      <c r="B164" s="373"/>
      <c r="C164" s="373"/>
      <c r="D164" s="373"/>
      <c r="E164" s="373"/>
      <c r="F164" s="373"/>
      <c r="G164" s="373"/>
      <c r="H164" s="373"/>
      <c r="I164" s="373"/>
      <c r="J164" s="373"/>
      <c r="K164" s="373"/>
    </row>
    <row r="165" spans="1:11">
      <c r="A165" s="373"/>
      <c r="B165" s="373"/>
      <c r="C165" s="373"/>
      <c r="D165" s="373"/>
      <c r="E165" s="373"/>
      <c r="F165" s="373"/>
      <c r="G165" s="373"/>
      <c r="H165" s="373"/>
      <c r="I165" s="373"/>
      <c r="J165" s="373"/>
      <c r="K165" s="373"/>
    </row>
    <row r="166" spans="1:11">
      <c r="A166" s="373"/>
      <c r="B166" s="373"/>
      <c r="C166" s="373"/>
      <c r="D166" s="373"/>
      <c r="E166" s="373"/>
      <c r="F166" s="373"/>
      <c r="G166" s="373"/>
      <c r="H166" s="373"/>
      <c r="I166" s="373"/>
      <c r="J166" s="373"/>
      <c r="K166" s="373"/>
    </row>
    <row r="167" spans="1:11">
      <c r="A167" s="373"/>
      <c r="B167" s="373"/>
      <c r="C167" s="373"/>
      <c r="D167" s="373"/>
      <c r="E167" s="373"/>
      <c r="F167" s="373"/>
      <c r="G167" s="373"/>
      <c r="H167" s="373"/>
      <c r="I167" s="373"/>
      <c r="J167" s="373"/>
      <c r="K167" s="373"/>
    </row>
    <row r="168" spans="1:11">
      <c r="A168" s="373"/>
      <c r="B168" s="373"/>
      <c r="C168" s="373"/>
      <c r="D168" s="373"/>
      <c r="E168" s="373"/>
      <c r="F168" s="373"/>
      <c r="G168" s="373"/>
      <c r="H168" s="373"/>
      <c r="I168" s="373"/>
      <c r="J168" s="373"/>
      <c r="K168" s="373"/>
    </row>
    <row r="169" spans="1:11">
      <c r="A169" s="373"/>
      <c r="B169" s="373"/>
      <c r="C169" s="373"/>
      <c r="D169" s="373"/>
      <c r="E169" s="373"/>
      <c r="F169" s="373"/>
      <c r="G169" s="373"/>
      <c r="H169" s="373"/>
      <c r="I169" s="373"/>
      <c r="J169" s="373"/>
      <c r="K169" s="373"/>
    </row>
    <row r="170" spans="1:11">
      <c r="A170" s="373"/>
      <c r="B170" s="373"/>
      <c r="C170" s="373"/>
      <c r="D170" s="373"/>
      <c r="E170" s="373"/>
      <c r="F170" s="373"/>
      <c r="G170" s="373"/>
      <c r="H170" s="373"/>
      <c r="I170" s="373"/>
      <c r="J170" s="373"/>
      <c r="K170" s="373"/>
    </row>
    <row r="171" spans="1:11">
      <c r="A171" s="373"/>
      <c r="B171" s="373"/>
      <c r="C171" s="373"/>
      <c r="D171" s="373"/>
      <c r="E171" s="373"/>
      <c r="F171" s="373"/>
      <c r="G171" s="373"/>
      <c r="H171" s="373"/>
      <c r="I171" s="373"/>
      <c r="J171" s="373"/>
      <c r="K171" s="373"/>
    </row>
    <row r="172" spans="1:11">
      <c r="A172" s="373"/>
      <c r="B172" s="373"/>
      <c r="C172" s="373"/>
      <c r="D172" s="373"/>
      <c r="E172" s="373"/>
      <c r="F172" s="373"/>
      <c r="G172" s="373"/>
      <c r="H172" s="373"/>
      <c r="I172" s="373"/>
      <c r="J172" s="373"/>
      <c r="K172" s="373"/>
    </row>
    <row r="173" spans="1:11">
      <c r="A173" s="373"/>
      <c r="B173" s="373"/>
      <c r="C173" s="373"/>
      <c r="D173" s="373"/>
      <c r="E173" s="373"/>
      <c r="F173" s="373"/>
      <c r="G173" s="373"/>
      <c r="H173" s="373"/>
      <c r="I173" s="373"/>
      <c r="J173" s="373"/>
      <c r="K173" s="373"/>
    </row>
    <row r="174" spans="1:11">
      <c r="A174" s="373"/>
      <c r="B174" s="373"/>
      <c r="C174" s="373"/>
      <c r="D174" s="373"/>
      <c r="E174" s="373"/>
      <c r="F174" s="373"/>
      <c r="G174" s="373"/>
      <c r="H174" s="373"/>
      <c r="I174" s="373"/>
      <c r="J174" s="373"/>
      <c r="K174" s="373"/>
    </row>
    <row r="175" spans="1:11">
      <c r="A175" s="373"/>
      <c r="B175" s="373"/>
      <c r="C175" s="373"/>
      <c r="D175" s="373"/>
      <c r="E175" s="373"/>
      <c r="F175" s="373"/>
      <c r="G175" s="373"/>
      <c r="H175" s="373"/>
      <c r="I175" s="373"/>
      <c r="J175" s="373"/>
      <c r="K175" s="373"/>
    </row>
    <row r="176" spans="1:11">
      <c r="A176" s="373"/>
      <c r="B176" s="373"/>
      <c r="C176" s="373"/>
      <c r="D176" s="373"/>
      <c r="E176" s="373"/>
      <c r="F176" s="373"/>
      <c r="G176" s="373"/>
      <c r="H176" s="373"/>
      <c r="I176" s="373"/>
      <c r="J176" s="373"/>
      <c r="K176" s="373"/>
    </row>
    <row r="177" spans="1:11">
      <c r="A177" s="373"/>
      <c r="B177" s="373"/>
      <c r="C177" s="373"/>
      <c r="D177" s="373"/>
      <c r="E177" s="373"/>
      <c r="F177" s="373"/>
      <c r="G177" s="373"/>
      <c r="H177" s="373"/>
      <c r="I177" s="373"/>
      <c r="J177" s="373"/>
      <c r="K177" s="373"/>
    </row>
    <row r="178" spans="1:11">
      <c r="A178" s="373"/>
      <c r="B178" s="373"/>
      <c r="C178" s="373"/>
      <c r="D178" s="373"/>
      <c r="E178" s="373"/>
      <c r="F178" s="373"/>
      <c r="G178" s="373"/>
      <c r="H178" s="373"/>
      <c r="I178" s="373"/>
      <c r="J178" s="373"/>
      <c r="K178" s="373"/>
    </row>
    <row r="179" spans="1:11">
      <c r="A179" s="373"/>
      <c r="B179" s="373"/>
      <c r="C179" s="373"/>
      <c r="D179" s="373"/>
      <c r="E179" s="373"/>
      <c r="F179" s="373"/>
      <c r="G179" s="373"/>
      <c r="H179" s="373"/>
      <c r="I179" s="373"/>
      <c r="J179" s="373"/>
      <c r="K179" s="373"/>
    </row>
    <row r="180" spans="1:11">
      <c r="A180" s="373"/>
      <c r="B180" s="373"/>
      <c r="C180" s="373"/>
      <c r="D180" s="373"/>
      <c r="E180" s="373"/>
      <c r="F180" s="373"/>
      <c r="G180" s="373"/>
      <c r="H180" s="373"/>
      <c r="I180" s="373"/>
      <c r="J180" s="373"/>
      <c r="K180" s="373"/>
    </row>
    <row r="181" spans="1:11">
      <c r="A181" s="373"/>
      <c r="B181" s="373"/>
      <c r="C181" s="373"/>
      <c r="D181" s="373"/>
      <c r="E181" s="373"/>
      <c r="F181" s="373"/>
      <c r="G181" s="373"/>
      <c r="H181" s="373"/>
      <c r="I181" s="373"/>
      <c r="J181" s="373"/>
      <c r="K181" s="373"/>
    </row>
    <row r="182" spans="1:11">
      <c r="A182" s="373"/>
      <c r="B182" s="373"/>
      <c r="C182" s="373"/>
      <c r="D182" s="373"/>
      <c r="E182" s="373"/>
      <c r="F182" s="373"/>
      <c r="G182" s="373"/>
      <c r="H182" s="373"/>
      <c r="I182" s="373"/>
      <c r="J182" s="373"/>
      <c r="K182" s="373"/>
    </row>
    <row r="183" spans="1:11">
      <c r="A183" s="373"/>
      <c r="B183" s="373"/>
      <c r="C183" s="373"/>
      <c r="D183" s="373"/>
      <c r="E183" s="373"/>
      <c r="F183" s="373"/>
      <c r="G183" s="373"/>
      <c r="H183" s="373"/>
      <c r="I183" s="373"/>
      <c r="J183" s="373"/>
      <c r="K183" s="373"/>
    </row>
    <row r="184" spans="1:11">
      <c r="A184" s="373"/>
      <c r="B184" s="373"/>
      <c r="C184" s="373"/>
      <c r="D184" s="373"/>
      <c r="E184" s="373"/>
      <c r="F184" s="373"/>
      <c r="G184" s="373"/>
      <c r="H184" s="373"/>
      <c r="I184" s="373"/>
      <c r="J184" s="373"/>
      <c r="K184" s="373"/>
    </row>
    <row r="185" spans="1:11">
      <c r="A185" s="373"/>
      <c r="B185" s="373"/>
      <c r="C185" s="373"/>
      <c r="D185" s="373"/>
      <c r="E185" s="373"/>
      <c r="F185" s="373"/>
      <c r="G185" s="373"/>
      <c r="H185" s="373"/>
      <c r="I185" s="373"/>
      <c r="J185" s="373"/>
      <c r="K185" s="373"/>
    </row>
    <row r="186" spans="1:11">
      <c r="A186" s="373"/>
      <c r="B186" s="373"/>
      <c r="C186" s="373"/>
      <c r="D186" s="373"/>
      <c r="E186" s="373"/>
      <c r="F186" s="373"/>
      <c r="G186" s="373"/>
      <c r="H186" s="373"/>
      <c r="I186" s="373"/>
      <c r="J186" s="373"/>
      <c r="K186" s="373"/>
    </row>
    <row r="187" spans="1:11">
      <c r="A187" s="373"/>
      <c r="B187" s="373"/>
      <c r="C187" s="373"/>
      <c r="D187" s="373"/>
      <c r="E187" s="373"/>
      <c r="F187" s="373"/>
      <c r="G187" s="373"/>
      <c r="H187" s="373"/>
      <c r="I187" s="373"/>
      <c r="J187" s="373"/>
      <c r="K187" s="373"/>
    </row>
    <row r="188" spans="1:11">
      <c r="A188" s="373"/>
      <c r="B188" s="373"/>
      <c r="C188" s="373"/>
      <c r="D188" s="373"/>
      <c r="E188" s="373"/>
      <c r="F188" s="373"/>
      <c r="G188" s="373"/>
      <c r="H188" s="373"/>
      <c r="I188" s="373"/>
      <c r="J188" s="373"/>
      <c r="K188" s="373"/>
    </row>
    <row r="189" spans="1:11">
      <c r="A189" s="373"/>
      <c r="B189" s="373"/>
      <c r="C189" s="373"/>
      <c r="D189" s="373"/>
      <c r="E189" s="373"/>
      <c r="F189" s="373"/>
      <c r="G189" s="373"/>
      <c r="H189" s="373"/>
      <c r="I189" s="373"/>
      <c r="J189" s="373"/>
      <c r="K189" s="373"/>
    </row>
    <row r="190" spans="1:11">
      <c r="A190" s="373"/>
      <c r="B190" s="373"/>
      <c r="C190" s="373"/>
      <c r="D190" s="373"/>
      <c r="E190" s="373"/>
      <c r="F190" s="373"/>
      <c r="G190" s="373"/>
      <c r="H190" s="373"/>
      <c r="I190" s="373"/>
      <c r="J190" s="373"/>
      <c r="K190" s="373"/>
    </row>
    <row r="191" spans="1:11">
      <c r="A191" s="373"/>
      <c r="B191" s="373"/>
      <c r="C191" s="373"/>
      <c r="D191" s="373"/>
      <c r="E191" s="373"/>
      <c r="F191" s="373"/>
      <c r="G191" s="373"/>
      <c r="H191" s="373"/>
      <c r="I191" s="373"/>
      <c r="J191" s="373"/>
      <c r="K191" s="373"/>
    </row>
    <row r="192" spans="1:11">
      <c r="A192" s="373"/>
      <c r="B192" s="373"/>
      <c r="C192" s="373"/>
      <c r="D192" s="373"/>
      <c r="E192" s="373"/>
      <c r="F192" s="373"/>
      <c r="G192" s="373"/>
      <c r="H192" s="373"/>
      <c r="I192" s="373"/>
      <c r="J192" s="373"/>
      <c r="K192" s="373"/>
    </row>
    <row r="193" spans="1:11">
      <c r="A193" s="373"/>
      <c r="B193" s="373"/>
      <c r="C193" s="373"/>
      <c r="D193" s="373"/>
      <c r="E193" s="373"/>
      <c r="F193" s="373"/>
      <c r="G193" s="373"/>
      <c r="H193" s="373"/>
      <c r="I193" s="373"/>
      <c r="J193" s="373"/>
      <c r="K193" s="373"/>
    </row>
    <row r="194" spans="1:11">
      <c r="A194" s="373"/>
      <c r="B194" s="373"/>
      <c r="C194" s="373"/>
      <c r="D194" s="373"/>
      <c r="E194" s="373"/>
      <c r="F194" s="373"/>
      <c r="G194" s="373"/>
      <c r="H194" s="373"/>
      <c r="I194" s="373"/>
      <c r="J194" s="373"/>
      <c r="K194" s="373"/>
    </row>
    <row r="195" spans="1:11">
      <c r="A195" s="373"/>
      <c r="B195" s="373"/>
      <c r="C195" s="373"/>
      <c r="D195" s="373"/>
      <c r="E195" s="373"/>
      <c r="F195" s="373"/>
      <c r="G195" s="373"/>
      <c r="H195" s="373"/>
      <c r="I195" s="373"/>
      <c r="J195" s="373"/>
      <c r="K195" s="373"/>
    </row>
    <row r="196" spans="1:11">
      <c r="A196" s="373"/>
      <c r="B196" s="373"/>
      <c r="C196" s="373"/>
      <c r="D196" s="373"/>
      <c r="E196" s="373"/>
      <c r="F196" s="373"/>
      <c r="G196" s="373"/>
      <c r="H196" s="373"/>
      <c r="I196" s="373"/>
      <c r="J196" s="373"/>
      <c r="K196" s="373"/>
    </row>
    <row r="197" spans="1:11">
      <c r="A197" s="373"/>
      <c r="B197" s="373"/>
      <c r="C197" s="373"/>
      <c r="D197" s="373"/>
      <c r="E197" s="373"/>
      <c r="F197" s="373"/>
      <c r="G197" s="373"/>
      <c r="H197" s="373"/>
      <c r="I197" s="373"/>
      <c r="J197" s="373"/>
      <c r="K197" s="373"/>
    </row>
    <row r="198" spans="1:11">
      <c r="A198" s="373"/>
      <c r="B198" s="373"/>
      <c r="C198" s="373"/>
      <c r="D198" s="373"/>
      <c r="E198" s="373"/>
      <c r="F198" s="373"/>
      <c r="G198" s="373"/>
      <c r="H198" s="373"/>
      <c r="I198" s="373"/>
      <c r="J198" s="373"/>
      <c r="K198" s="373"/>
    </row>
    <row r="199" spans="1:11">
      <c r="A199" s="373"/>
      <c r="B199" s="373"/>
      <c r="C199" s="373"/>
      <c r="D199" s="373"/>
      <c r="E199" s="373"/>
      <c r="F199" s="373"/>
      <c r="G199" s="373"/>
      <c r="H199" s="373"/>
      <c r="I199" s="373"/>
      <c r="J199" s="373"/>
      <c r="K199" s="373"/>
    </row>
    <row r="200" spans="1:11">
      <c r="A200" s="373"/>
      <c r="B200" s="373"/>
      <c r="C200" s="373"/>
      <c r="D200" s="373"/>
      <c r="E200" s="373"/>
      <c r="F200" s="373"/>
      <c r="G200" s="373"/>
      <c r="H200" s="373"/>
      <c r="I200" s="373"/>
      <c r="J200" s="373"/>
      <c r="K200" s="373"/>
    </row>
    <row r="201" spans="1:11">
      <c r="A201" s="373"/>
      <c r="B201" s="373"/>
      <c r="C201" s="373"/>
      <c r="D201" s="373"/>
      <c r="E201" s="373"/>
      <c r="F201" s="373"/>
      <c r="G201" s="373"/>
      <c r="H201" s="373"/>
      <c r="I201" s="373"/>
      <c r="J201" s="373"/>
      <c r="K201" s="373"/>
    </row>
    <row r="202" spans="1:11">
      <c r="A202" s="373"/>
      <c r="B202" s="373"/>
      <c r="C202" s="373"/>
      <c r="D202" s="373"/>
      <c r="E202" s="373"/>
      <c r="F202" s="373"/>
      <c r="G202" s="373"/>
      <c r="H202" s="373"/>
      <c r="I202" s="373"/>
      <c r="J202" s="373"/>
      <c r="K202" s="373"/>
    </row>
    <row r="203" spans="1:11">
      <c r="A203" s="373"/>
      <c r="B203" s="373"/>
      <c r="C203" s="373"/>
      <c r="D203" s="373"/>
      <c r="E203" s="373"/>
      <c r="F203" s="373"/>
      <c r="G203" s="373"/>
      <c r="H203" s="373"/>
      <c r="I203" s="373"/>
      <c r="J203" s="373"/>
      <c r="K203" s="373"/>
    </row>
    <row r="204" spans="1:11">
      <c r="A204" s="373"/>
      <c r="B204" s="373"/>
      <c r="C204" s="373"/>
      <c r="D204" s="373"/>
      <c r="E204" s="373"/>
      <c r="F204" s="373"/>
      <c r="G204" s="373"/>
      <c r="H204" s="373"/>
      <c r="I204" s="373"/>
      <c r="J204" s="373"/>
      <c r="K204" s="373"/>
    </row>
    <row r="205" spans="1:11">
      <c r="A205" s="373"/>
      <c r="B205" s="373"/>
      <c r="C205" s="373"/>
      <c r="D205" s="373"/>
      <c r="E205" s="373"/>
      <c r="F205" s="373"/>
      <c r="G205" s="373"/>
      <c r="H205" s="373"/>
      <c r="I205" s="373"/>
      <c r="J205" s="373"/>
      <c r="K205" s="373"/>
    </row>
    <row r="206" spans="1:11">
      <c r="A206" s="373"/>
      <c r="B206" s="373"/>
      <c r="C206" s="373"/>
      <c r="D206" s="373"/>
      <c r="E206" s="373"/>
      <c r="F206" s="373"/>
      <c r="G206" s="373"/>
      <c r="H206" s="373"/>
      <c r="I206" s="373"/>
      <c r="J206" s="373"/>
      <c r="K206" s="373"/>
    </row>
    <row r="207" spans="1:11">
      <c r="A207" s="373"/>
      <c r="B207" s="373"/>
      <c r="C207" s="373"/>
      <c r="D207" s="373"/>
      <c r="E207" s="373"/>
      <c r="F207" s="373"/>
      <c r="G207" s="373"/>
      <c r="H207" s="373"/>
      <c r="I207" s="373"/>
      <c r="J207" s="373"/>
      <c r="K207" s="373"/>
    </row>
    <row r="208" spans="1:11">
      <c r="A208" s="373"/>
      <c r="B208" s="373"/>
      <c r="C208" s="373"/>
      <c r="D208" s="373"/>
      <c r="E208" s="373"/>
      <c r="F208" s="373"/>
      <c r="G208" s="373"/>
      <c r="H208" s="373"/>
      <c r="I208" s="373"/>
      <c r="J208" s="373"/>
      <c r="K208" s="373"/>
    </row>
    <row r="209" spans="1:11">
      <c r="A209" s="373"/>
      <c r="B209" s="373"/>
      <c r="C209" s="373"/>
      <c r="D209" s="373"/>
      <c r="E209" s="373"/>
      <c r="F209" s="373"/>
      <c r="G209" s="373"/>
      <c r="H209" s="373"/>
      <c r="I209" s="373"/>
      <c r="J209" s="373"/>
      <c r="K209" s="373"/>
    </row>
    <row r="210" spans="1:11">
      <c r="A210" s="373"/>
      <c r="B210" s="373"/>
      <c r="C210" s="373"/>
      <c r="D210" s="373"/>
      <c r="E210" s="373"/>
      <c r="F210" s="373"/>
      <c r="G210" s="373"/>
      <c r="H210" s="373"/>
      <c r="I210" s="373"/>
      <c r="J210" s="373"/>
      <c r="K210" s="373"/>
    </row>
  </sheetData>
  <printOptions horizontalCentered="1"/>
  <pageMargins left="0.5" right="0" top="0.75" bottom="0" header="0" footer="0"/>
  <pageSetup paperSize="9" scale="87"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selection activeCell="N24" sqref="N24"/>
    </sheetView>
  </sheetViews>
  <sheetFormatPr defaultRowHeight="12.75"/>
  <cols>
    <col min="1" max="1" width="42.5703125" style="436" customWidth="1"/>
    <col min="2" max="2" width="14.85546875" style="436" bestFit="1" customWidth="1"/>
    <col min="3" max="4" width="15.85546875" style="436" bestFit="1" customWidth="1"/>
    <col min="5" max="5" width="14.7109375" style="436" bestFit="1" customWidth="1"/>
    <col min="6" max="6" width="16.28515625" style="436" customWidth="1"/>
    <col min="7" max="7" width="17" style="436" bestFit="1" customWidth="1"/>
    <col min="8" max="8" width="15.85546875" style="436" customWidth="1"/>
    <col min="9" max="256" width="9.140625" style="436"/>
    <col min="257" max="257" width="42.5703125" style="436" customWidth="1"/>
    <col min="258" max="258" width="14.85546875" style="436" bestFit="1" customWidth="1"/>
    <col min="259" max="260" width="15.85546875" style="436" bestFit="1" customWidth="1"/>
    <col min="261" max="261" width="14.7109375" style="436" bestFit="1" customWidth="1"/>
    <col min="262" max="262" width="16.28515625" style="436" customWidth="1"/>
    <col min="263" max="263" width="17" style="436" bestFit="1" customWidth="1"/>
    <col min="264" max="264" width="15.85546875" style="436" customWidth="1"/>
    <col min="265" max="512" width="9.140625" style="436"/>
    <col min="513" max="513" width="42.5703125" style="436" customWidth="1"/>
    <col min="514" max="514" width="14.85546875" style="436" bestFit="1" customWidth="1"/>
    <col min="515" max="516" width="15.85546875" style="436" bestFit="1" customWidth="1"/>
    <col min="517" max="517" width="14.7109375" style="436" bestFit="1" customWidth="1"/>
    <col min="518" max="518" width="16.28515625" style="436" customWidth="1"/>
    <col min="519" max="519" width="17" style="436" bestFit="1" customWidth="1"/>
    <col min="520" max="520" width="15.85546875" style="436" customWidth="1"/>
    <col min="521" max="768" width="9.140625" style="436"/>
    <col min="769" max="769" width="42.5703125" style="436" customWidth="1"/>
    <col min="770" max="770" width="14.85546875" style="436" bestFit="1" customWidth="1"/>
    <col min="771" max="772" width="15.85546875" style="436" bestFit="1" customWidth="1"/>
    <col min="773" max="773" width="14.7109375" style="436" bestFit="1" customWidth="1"/>
    <col min="774" max="774" width="16.28515625" style="436" customWidth="1"/>
    <col min="775" max="775" width="17" style="436" bestFit="1" customWidth="1"/>
    <col min="776" max="776" width="15.85546875" style="436" customWidth="1"/>
    <col min="777" max="1024" width="9.140625" style="436"/>
    <col min="1025" max="1025" width="42.5703125" style="436" customWidth="1"/>
    <col min="1026" max="1026" width="14.85546875" style="436" bestFit="1" customWidth="1"/>
    <col min="1027" max="1028" width="15.85546875" style="436" bestFit="1" customWidth="1"/>
    <col min="1029" max="1029" width="14.7109375" style="436" bestFit="1" customWidth="1"/>
    <col min="1030" max="1030" width="16.28515625" style="436" customWidth="1"/>
    <col min="1031" max="1031" width="17" style="436" bestFit="1" customWidth="1"/>
    <col min="1032" max="1032" width="15.85546875" style="436" customWidth="1"/>
    <col min="1033" max="1280" width="9.140625" style="436"/>
    <col min="1281" max="1281" width="42.5703125" style="436" customWidth="1"/>
    <col min="1282" max="1282" width="14.85546875" style="436" bestFit="1" customWidth="1"/>
    <col min="1283" max="1284" width="15.85546875" style="436" bestFit="1" customWidth="1"/>
    <col min="1285" max="1285" width="14.7109375" style="436" bestFit="1" customWidth="1"/>
    <col min="1286" max="1286" width="16.28515625" style="436" customWidth="1"/>
    <col min="1287" max="1287" width="17" style="436" bestFit="1" customWidth="1"/>
    <col min="1288" max="1288" width="15.85546875" style="436" customWidth="1"/>
    <col min="1289" max="1536" width="9.140625" style="436"/>
    <col min="1537" max="1537" width="42.5703125" style="436" customWidth="1"/>
    <col min="1538" max="1538" width="14.85546875" style="436" bestFit="1" customWidth="1"/>
    <col min="1539" max="1540" width="15.85546875" style="436" bestFit="1" customWidth="1"/>
    <col min="1541" max="1541" width="14.7109375" style="436" bestFit="1" customWidth="1"/>
    <col min="1542" max="1542" width="16.28515625" style="436" customWidth="1"/>
    <col min="1543" max="1543" width="17" style="436" bestFit="1" customWidth="1"/>
    <col min="1544" max="1544" width="15.85546875" style="436" customWidth="1"/>
    <col min="1545" max="1792" width="9.140625" style="436"/>
    <col min="1793" max="1793" width="42.5703125" style="436" customWidth="1"/>
    <col min="1794" max="1794" width="14.85546875" style="436" bestFit="1" customWidth="1"/>
    <col min="1795" max="1796" width="15.85546875" style="436" bestFit="1" customWidth="1"/>
    <col min="1797" max="1797" width="14.7109375" style="436" bestFit="1" customWidth="1"/>
    <col min="1798" max="1798" width="16.28515625" style="436" customWidth="1"/>
    <col min="1799" max="1799" width="17" style="436" bestFit="1" customWidth="1"/>
    <col min="1800" max="1800" width="15.85546875" style="436" customWidth="1"/>
    <col min="1801" max="2048" width="9.140625" style="436"/>
    <col min="2049" max="2049" width="42.5703125" style="436" customWidth="1"/>
    <col min="2050" max="2050" width="14.85546875" style="436" bestFit="1" customWidth="1"/>
    <col min="2051" max="2052" width="15.85546875" style="436" bestFit="1" customWidth="1"/>
    <col min="2053" max="2053" width="14.7109375" style="436" bestFit="1" customWidth="1"/>
    <col min="2054" max="2054" width="16.28515625" style="436" customWidth="1"/>
    <col min="2055" max="2055" width="17" style="436" bestFit="1" customWidth="1"/>
    <col min="2056" max="2056" width="15.85546875" style="436" customWidth="1"/>
    <col min="2057" max="2304" width="9.140625" style="436"/>
    <col min="2305" max="2305" width="42.5703125" style="436" customWidth="1"/>
    <col min="2306" max="2306" width="14.85546875" style="436" bestFit="1" customWidth="1"/>
    <col min="2307" max="2308" width="15.85546875" style="436" bestFit="1" customWidth="1"/>
    <col min="2309" max="2309" width="14.7109375" style="436" bestFit="1" customWidth="1"/>
    <col min="2310" max="2310" width="16.28515625" style="436" customWidth="1"/>
    <col min="2311" max="2311" width="17" style="436" bestFit="1" customWidth="1"/>
    <col min="2312" max="2312" width="15.85546875" style="436" customWidth="1"/>
    <col min="2313" max="2560" width="9.140625" style="436"/>
    <col min="2561" max="2561" width="42.5703125" style="436" customWidth="1"/>
    <col min="2562" max="2562" width="14.85546875" style="436" bestFit="1" customWidth="1"/>
    <col min="2563" max="2564" width="15.85546875" style="436" bestFit="1" customWidth="1"/>
    <col min="2565" max="2565" width="14.7109375" style="436" bestFit="1" customWidth="1"/>
    <col min="2566" max="2566" width="16.28515625" style="436" customWidth="1"/>
    <col min="2567" max="2567" width="17" style="436" bestFit="1" customWidth="1"/>
    <col min="2568" max="2568" width="15.85546875" style="436" customWidth="1"/>
    <col min="2569" max="2816" width="9.140625" style="436"/>
    <col min="2817" max="2817" width="42.5703125" style="436" customWidth="1"/>
    <col min="2818" max="2818" width="14.85546875" style="436" bestFit="1" customWidth="1"/>
    <col min="2819" max="2820" width="15.85546875" style="436" bestFit="1" customWidth="1"/>
    <col min="2821" max="2821" width="14.7109375" style="436" bestFit="1" customWidth="1"/>
    <col min="2822" max="2822" width="16.28515625" style="436" customWidth="1"/>
    <col min="2823" max="2823" width="17" style="436" bestFit="1" customWidth="1"/>
    <col min="2824" max="2824" width="15.85546875" style="436" customWidth="1"/>
    <col min="2825" max="3072" width="9.140625" style="436"/>
    <col min="3073" max="3073" width="42.5703125" style="436" customWidth="1"/>
    <col min="3074" max="3074" width="14.85546875" style="436" bestFit="1" customWidth="1"/>
    <col min="3075" max="3076" width="15.85546875" style="436" bestFit="1" customWidth="1"/>
    <col min="3077" max="3077" width="14.7109375" style="436" bestFit="1" customWidth="1"/>
    <col min="3078" max="3078" width="16.28515625" style="436" customWidth="1"/>
    <col min="3079" max="3079" width="17" style="436" bestFit="1" customWidth="1"/>
    <col min="3080" max="3080" width="15.85546875" style="436" customWidth="1"/>
    <col min="3081" max="3328" width="9.140625" style="436"/>
    <col min="3329" max="3329" width="42.5703125" style="436" customWidth="1"/>
    <col min="3330" max="3330" width="14.85546875" style="436" bestFit="1" customWidth="1"/>
    <col min="3331" max="3332" width="15.85546875" style="436" bestFit="1" customWidth="1"/>
    <col min="3333" max="3333" width="14.7109375" style="436" bestFit="1" customWidth="1"/>
    <col min="3334" max="3334" width="16.28515625" style="436" customWidth="1"/>
    <col min="3335" max="3335" width="17" style="436" bestFit="1" customWidth="1"/>
    <col min="3336" max="3336" width="15.85546875" style="436" customWidth="1"/>
    <col min="3337" max="3584" width="9.140625" style="436"/>
    <col min="3585" max="3585" width="42.5703125" style="436" customWidth="1"/>
    <col min="3586" max="3586" width="14.85546875" style="436" bestFit="1" customWidth="1"/>
    <col min="3587" max="3588" width="15.85546875" style="436" bestFit="1" customWidth="1"/>
    <col min="3589" max="3589" width="14.7109375" style="436" bestFit="1" customWidth="1"/>
    <col min="3590" max="3590" width="16.28515625" style="436" customWidth="1"/>
    <col min="3591" max="3591" width="17" style="436" bestFit="1" customWidth="1"/>
    <col min="3592" max="3592" width="15.85546875" style="436" customWidth="1"/>
    <col min="3593" max="3840" width="9.140625" style="436"/>
    <col min="3841" max="3841" width="42.5703125" style="436" customWidth="1"/>
    <col min="3842" max="3842" width="14.85546875" style="436" bestFit="1" customWidth="1"/>
    <col min="3843" max="3844" width="15.85546875" style="436" bestFit="1" customWidth="1"/>
    <col min="3845" max="3845" width="14.7109375" style="436" bestFit="1" customWidth="1"/>
    <col min="3846" max="3846" width="16.28515625" style="436" customWidth="1"/>
    <col min="3847" max="3847" width="17" style="436" bestFit="1" customWidth="1"/>
    <col min="3848" max="3848" width="15.85546875" style="436" customWidth="1"/>
    <col min="3849" max="4096" width="9.140625" style="436"/>
    <col min="4097" max="4097" width="42.5703125" style="436" customWidth="1"/>
    <col min="4098" max="4098" width="14.85546875" style="436" bestFit="1" customWidth="1"/>
    <col min="4099" max="4100" width="15.85546875" style="436" bestFit="1" customWidth="1"/>
    <col min="4101" max="4101" width="14.7109375" style="436" bestFit="1" customWidth="1"/>
    <col min="4102" max="4102" width="16.28515625" style="436" customWidth="1"/>
    <col min="4103" max="4103" width="17" style="436" bestFit="1" customWidth="1"/>
    <col min="4104" max="4104" width="15.85546875" style="436" customWidth="1"/>
    <col min="4105" max="4352" width="9.140625" style="436"/>
    <col min="4353" max="4353" width="42.5703125" style="436" customWidth="1"/>
    <col min="4354" max="4354" width="14.85546875" style="436" bestFit="1" customWidth="1"/>
    <col min="4355" max="4356" width="15.85546875" style="436" bestFit="1" customWidth="1"/>
    <col min="4357" max="4357" width="14.7109375" style="436" bestFit="1" customWidth="1"/>
    <col min="4358" max="4358" width="16.28515625" style="436" customWidth="1"/>
    <col min="4359" max="4359" width="17" style="436" bestFit="1" customWidth="1"/>
    <col min="4360" max="4360" width="15.85546875" style="436" customWidth="1"/>
    <col min="4361" max="4608" width="9.140625" style="436"/>
    <col min="4609" max="4609" width="42.5703125" style="436" customWidth="1"/>
    <col min="4610" max="4610" width="14.85546875" style="436" bestFit="1" customWidth="1"/>
    <col min="4611" max="4612" width="15.85546875" style="436" bestFit="1" customWidth="1"/>
    <col min="4613" max="4613" width="14.7109375" style="436" bestFit="1" customWidth="1"/>
    <col min="4614" max="4614" width="16.28515625" style="436" customWidth="1"/>
    <col min="4615" max="4615" width="17" style="436" bestFit="1" customWidth="1"/>
    <col min="4616" max="4616" width="15.85546875" style="436" customWidth="1"/>
    <col min="4617" max="4864" width="9.140625" style="436"/>
    <col min="4865" max="4865" width="42.5703125" style="436" customWidth="1"/>
    <col min="4866" max="4866" width="14.85546875" style="436" bestFit="1" customWidth="1"/>
    <col min="4867" max="4868" width="15.85546875" style="436" bestFit="1" customWidth="1"/>
    <col min="4869" max="4869" width="14.7109375" style="436" bestFit="1" customWidth="1"/>
    <col min="4870" max="4870" width="16.28515625" style="436" customWidth="1"/>
    <col min="4871" max="4871" width="17" style="436" bestFit="1" customWidth="1"/>
    <col min="4872" max="4872" width="15.85546875" style="436" customWidth="1"/>
    <col min="4873" max="5120" width="9.140625" style="436"/>
    <col min="5121" max="5121" width="42.5703125" style="436" customWidth="1"/>
    <col min="5122" max="5122" width="14.85546875" style="436" bestFit="1" customWidth="1"/>
    <col min="5123" max="5124" width="15.85546875" style="436" bestFit="1" customWidth="1"/>
    <col min="5125" max="5125" width="14.7109375" style="436" bestFit="1" customWidth="1"/>
    <col min="5126" max="5126" width="16.28515625" style="436" customWidth="1"/>
    <col min="5127" max="5127" width="17" style="436" bestFit="1" customWidth="1"/>
    <col min="5128" max="5128" width="15.85546875" style="436" customWidth="1"/>
    <col min="5129" max="5376" width="9.140625" style="436"/>
    <col min="5377" max="5377" width="42.5703125" style="436" customWidth="1"/>
    <col min="5378" max="5378" width="14.85546875" style="436" bestFit="1" customWidth="1"/>
    <col min="5379" max="5380" width="15.85546875" style="436" bestFit="1" customWidth="1"/>
    <col min="5381" max="5381" width="14.7109375" style="436" bestFit="1" customWidth="1"/>
    <col min="5382" max="5382" width="16.28515625" style="436" customWidth="1"/>
    <col min="5383" max="5383" width="17" style="436" bestFit="1" customWidth="1"/>
    <col min="5384" max="5384" width="15.85546875" style="436" customWidth="1"/>
    <col min="5385" max="5632" width="9.140625" style="436"/>
    <col min="5633" max="5633" width="42.5703125" style="436" customWidth="1"/>
    <col min="5634" max="5634" width="14.85546875" style="436" bestFit="1" customWidth="1"/>
    <col min="5635" max="5636" width="15.85546875" style="436" bestFit="1" customWidth="1"/>
    <col min="5637" max="5637" width="14.7109375" style="436" bestFit="1" customWidth="1"/>
    <col min="5638" max="5638" width="16.28515625" style="436" customWidth="1"/>
    <col min="5639" max="5639" width="17" style="436" bestFit="1" customWidth="1"/>
    <col min="5640" max="5640" width="15.85546875" style="436" customWidth="1"/>
    <col min="5641" max="5888" width="9.140625" style="436"/>
    <col min="5889" max="5889" width="42.5703125" style="436" customWidth="1"/>
    <col min="5890" max="5890" width="14.85546875" style="436" bestFit="1" customWidth="1"/>
    <col min="5891" max="5892" width="15.85546875" style="436" bestFit="1" customWidth="1"/>
    <col min="5893" max="5893" width="14.7109375" style="436" bestFit="1" customWidth="1"/>
    <col min="5894" max="5894" width="16.28515625" style="436" customWidth="1"/>
    <col min="5895" max="5895" width="17" style="436" bestFit="1" customWidth="1"/>
    <col min="5896" max="5896" width="15.85546875" style="436" customWidth="1"/>
    <col min="5897" max="6144" width="9.140625" style="436"/>
    <col min="6145" max="6145" width="42.5703125" style="436" customWidth="1"/>
    <col min="6146" max="6146" width="14.85546875" style="436" bestFit="1" customWidth="1"/>
    <col min="6147" max="6148" width="15.85546875" style="436" bestFit="1" customWidth="1"/>
    <col min="6149" max="6149" width="14.7109375" style="436" bestFit="1" customWidth="1"/>
    <col min="6150" max="6150" width="16.28515625" style="436" customWidth="1"/>
    <col min="6151" max="6151" width="17" style="436" bestFit="1" customWidth="1"/>
    <col min="6152" max="6152" width="15.85546875" style="436" customWidth="1"/>
    <col min="6153" max="6400" width="9.140625" style="436"/>
    <col min="6401" max="6401" width="42.5703125" style="436" customWidth="1"/>
    <col min="6402" max="6402" width="14.85546875" style="436" bestFit="1" customWidth="1"/>
    <col min="6403" max="6404" width="15.85546875" style="436" bestFit="1" customWidth="1"/>
    <col min="6405" max="6405" width="14.7109375" style="436" bestFit="1" customWidth="1"/>
    <col min="6406" max="6406" width="16.28515625" style="436" customWidth="1"/>
    <col min="6407" max="6407" width="17" style="436" bestFit="1" customWidth="1"/>
    <col min="6408" max="6408" width="15.85546875" style="436" customWidth="1"/>
    <col min="6409" max="6656" width="9.140625" style="436"/>
    <col min="6657" max="6657" width="42.5703125" style="436" customWidth="1"/>
    <col min="6658" max="6658" width="14.85546875" style="436" bestFit="1" customWidth="1"/>
    <col min="6659" max="6660" width="15.85546875" style="436" bestFit="1" customWidth="1"/>
    <col min="6661" max="6661" width="14.7109375" style="436" bestFit="1" customWidth="1"/>
    <col min="6662" max="6662" width="16.28515625" style="436" customWidth="1"/>
    <col min="6663" max="6663" width="17" style="436" bestFit="1" customWidth="1"/>
    <col min="6664" max="6664" width="15.85546875" style="436" customWidth="1"/>
    <col min="6665" max="6912" width="9.140625" style="436"/>
    <col min="6913" max="6913" width="42.5703125" style="436" customWidth="1"/>
    <col min="6914" max="6914" width="14.85546875" style="436" bestFit="1" customWidth="1"/>
    <col min="6915" max="6916" width="15.85546875" style="436" bestFit="1" customWidth="1"/>
    <col min="6917" max="6917" width="14.7109375" style="436" bestFit="1" customWidth="1"/>
    <col min="6918" max="6918" width="16.28515625" style="436" customWidth="1"/>
    <col min="6919" max="6919" width="17" style="436" bestFit="1" customWidth="1"/>
    <col min="6920" max="6920" width="15.85546875" style="436" customWidth="1"/>
    <col min="6921" max="7168" width="9.140625" style="436"/>
    <col min="7169" max="7169" width="42.5703125" style="436" customWidth="1"/>
    <col min="7170" max="7170" width="14.85546875" style="436" bestFit="1" customWidth="1"/>
    <col min="7171" max="7172" width="15.85546875" style="436" bestFit="1" customWidth="1"/>
    <col min="7173" max="7173" width="14.7109375" style="436" bestFit="1" customWidth="1"/>
    <col min="7174" max="7174" width="16.28515625" style="436" customWidth="1"/>
    <col min="7175" max="7175" width="17" style="436" bestFit="1" customWidth="1"/>
    <col min="7176" max="7176" width="15.85546875" style="436" customWidth="1"/>
    <col min="7177" max="7424" width="9.140625" style="436"/>
    <col min="7425" max="7425" width="42.5703125" style="436" customWidth="1"/>
    <col min="7426" max="7426" width="14.85546875" style="436" bestFit="1" customWidth="1"/>
    <col min="7427" max="7428" width="15.85546875" style="436" bestFit="1" customWidth="1"/>
    <col min="7429" max="7429" width="14.7109375" style="436" bestFit="1" customWidth="1"/>
    <col min="7430" max="7430" width="16.28515625" style="436" customWidth="1"/>
    <col min="7431" max="7431" width="17" style="436" bestFit="1" customWidth="1"/>
    <col min="7432" max="7432" width="15.85546875" style="436" customWidth="1"/>
    <col min="7433" max="7680" width="9.140625" style="436"/>
    <col min="7681" max="7681" width="42.5703125" style="436" customWidth="1"/>
    <col min="7682" max="7682" width="14.85546875" style="436" bestFit="1" customWidth="1"/>
    <col min="7683" max="7684" width="15.85546875" style="436" bestFit="1" customWidth="1"/>
    <col min="7685" max="7685" width="14.7109375" style="436" bestFit="1" customWidth="1"/>
    <col min="7686" max="7686" width="16.28515625" style="436" customWidth="1"/>
    <col min="7687" max="7687" width="17" style="436" bestFit="1" customWidth="1"/>
    <col min="7688" max="7688" width="15.85546875" style="436" customWidth="1"/>
    <col min="7689" max="7936" width="9.140625" style="436"/>
    <col min="7937" max="7937" width="42.5703125" style="436" customWidth="1"/>
    <col min="7938" max="7938" width="14.85546875" style="436" bestFit="1" customWidth="1"/>
    <col min="7939" max="7940" width="15.85546875" style="436" bestFit="1" customWidth="1"/>
    <col min="7941" max="7941" width="14.7109375" style="436" bestFit="1" customWidth="1"/>
    <col min="7942" max="7942" width="16.28515625" style="436" customWidth="1"/>
    <col min="7943" max="7943" width="17" style="436" bestFit="1" customWidth="1"/>
    <col min="7944" max="7944" width="15.85546875" style="436" customWidth="1"/>
    <col min="7945" max="8192" width="9.140625" style="436"/>
    <col min="8193" max="8193" width="42.5703125" style="436" customWidth="1"/>
    <col min="8194" max="8194" width="14.85546875" style="436" bestFit="1" customWidth="1"/>
    <col min="8195" max="8196" width="15.85546875" style="436" bestFit="1" customWidth="1"/>
    <col min="8197" max="8197" width="14.7109375" style="436" bestFit="1" customWidth="1"/>
    <col min="8198" max="8198" width="16.28515625" style="436" customWidth="1"/>
    <col min="8199" max="8199" width="17" style="436" bestFit="1" customWidth="1"/>
    <col min="8200" max="8200" width="15.85546875" style="436" customWidth="1"/>
    <col min="8201" max="8448" width="9.140625" style="436"/>
    <col min="8449" max="8449" width="42.5703125" style="436" customWidth="1"/>
    <col min="8450" max="8450" width="14.85546875" style="436" bestFit="1" customWidth="1"/>
    <col min="8451" max="8452" width="15.85546875" style="436" bestFit="1" customWidth="1"/>
    <col min="8453" max="8453" width="14.7109375" style="436" bestFit="1" customWidth="1"/>
    <col min="8454" max="8454" width="16.28515625" style="436" customWidth="1"/>
    <col min="8455" max="8455" width="17" style="436" bestFit="1" customWidth="1"/>
    <col min="8456" max="8456" width="15.85546875" style="436" customWidth="1"/>
    <col min="8457" max="8704" width="9.140625" style="436"/>
    <col min="8705" max="8705" width="42.5703125" style="436" customWidth="1"/>
    <col min="8706" max="8706" width="14.85546875" style="436" bestFit="1" customWidth="1"/>
    <col min="8707" max="8708" width="15.85546875" style="436" bestFit="1" customWidth="1"/>
    <col min="8709" max="8709" width="14.7109375" style="436" bestFit="1" customWidth="1"/>
    <col min="8710" max="8710" width="16.28515625" style="436" customWidth="1"/>
    <col min="8711" max="8711" width="17" style="436" bestFit="1" customWidth="1"/>
    <col min="8712" max="8712" width="15.85546875" style="436" customWidth="1"/>
    <col min="8713" max="8960" width="9.140625" style="436"/>
    <col min="8961" max="8961" width="42.5703125" style="436" customWidth="1"/>
    <col min="8962" max="8962" width="14.85546875" style="436" bestFit="1" customWidth="1"/>
    <col min="8963" max="8964" width="15.85546875" style="436" bestFit="1" customWidth="1"/>
    <col min="8965" max="8965" width="14.7109375" style="436" bestFit="1" customWidth="1"/>
    <col min="8966" max="8966" width="16.28515625" style="436" customWidth="1"/>
    <col min="8967" max="8967" width="17" style="436" bestFit="1" customWidth="1"/>
    <col min="8968" max="8968" width="15.85546875" style="436" customWidth="1"/>
    <col min="8969" max="9216" width="9.140625" style="436"/>
    <col min="9217" max="9217" width="42.5703125" style="436" customWidth="1"/>
    <col min="9218" max="9218" width="14.85546875" style="436" bestFit="1" customWidth="1"/>
    <col min="9219" max="9220" width="15.85546875" style="436" bestFit="1" customWidth="1"/>
    <col min="9221" max="9221" width="14.7109375" style="436" bestFit="1" customWidth="1"/>
    <col min="9222" max="9222" width="16.28515625" style="436" customWidth="1"/>
    <col min="9223" max="9223" width="17" style="436" bestFit="1" customWidth="1"/>
    <col min="9224" max="9224" width="15.85546875" style="436" customWidth="1"/>
    <col min="9225" max="9472" width="9.140625" style="436"/>
    <col min="9473" max="9473" width="42.5703125" style="436" customWidth="1"/>
    <col min="9474" max="9474" width="14.85546875" style="436" bestFit="1" customWidth="1"/>
    <col min="9475" max="9476" width="15.85546875" style="436" bestFit="1" customWidth="1"/>
    <col min="9477" max="9477" width="14.7109375" style="436" bestFit="1" customWidth="1"/>
    <col min="9478" max="9478" width="16.28515625" style="436" customWidth="1"/>
    <col min="9479" max="9479" width="17" style="436" bestFit="1" customWidth="1"/>
    <col min="9480" max="9480" width="15.85546875" style="436" customWidth="1"/>
    <col min="9481" max="9728" width="9.140625" style="436"/>
    <col min="9729" max="9729" width="42.5703125" style="436" customWidth="1"/>
    <col min="9730" max="9730" width="14.85546875" style="436" bestFit="1" customWidth="1"/>
    <col min="9731" max="9732" width="15.85546875" style="436" bestFit="1" customWidth="1"/>
    <col min="9733" max="9733" width="14.7109375" style="436" bestFit="1" customWidth="1"/>
    <col min="9734" max="9734" width="16.28515625" style="436" customWidth="1"/>
    <col min="9735" max="9735" width="17" style="436" bestFit="1" customWidth="1"/>
    <col min="9736" max="9736" width="15.85546875" style="436" customWidth="1"/>
    <col min="9737" max="9984" width="9.140625" style="436"/>
    <col min="9985" max="9985" width="42.5703125" style="436" customWidth="1"/>
    <col min="9986" max="9986" width="14.85546875" style="436" bestFit="1" customWidth="1"/>
    <col min="9987" max="9988" width="15.85546875" style="436" bestFit="1" customWidth="1"/>
    <col min="9989" max="9989" width="14.7109375" style="436" bestFit="1" customWidth="1"/>
    <col min="9990" max="9990" width="16.28515625" style="436" customWidth="1"/>
    <col min="9991" max="9991" width="17" style="436" bestFit="1" customWidth="1"/>
    <col min="9992" max="9992" width="15.85546875" style="436" customWidth="1"/>
    <col min="9993" max="10240" width="9.140625" style="436"/>
    <col min="10241" max="10241" width="42.5703125" style="436" customWidth="1"/>
    <col min="10242" max="10242" width="14.85546875" style="436" bestFit="1" customWidth="1"/>
    <col min="10243" max="10244" width="15.85546875" style="436" bestFit="1" customWidth="1"/>
    <col min="10245" max="10245" width="14.7109375" style="436" bestFit="1" customWidth="1"/>
    <col min="10246" max="10246" width="16.28515625" style="436" customWidth="1"/>
    <col min="10247" max="10247" width="17" style="436" bestFit="1" customWidth="1"/>
    <col min="10248" max="10248" width="15.85546875" style="436" customWidth="1"/>
    <col min="10249" max="10496" width="9.140625" style="436"/>
    <col min="10497" max="10497" width="42.5703125" style="436" customWidth="1"/>
    <col min="10498" max="10498" width="14.85546875" style="436" bestFit="1" customWidth="1"/>
    <col min="10499" max="10500" width="15.85546875" style="436" bestFit="1" customWidth="1"/>
    <col min="10501" max="10501" width="14.7109375" style="436" bestFit="1" customWidth="1"/>
    <col min="10502" max="10502" width="16.28515625" style="436" customWidth="1"/>
    <col min="10503" max="10503" width="17" style="436" bestFit="1" customWidth="1"/>
    <col min="10504" max="10504" width="15.85546875" style="436" customWidth="1"/>
    <col min="10505" max="10752" width="9.140625" style="436"/>
    <col min="10753" max="10753" width="42.5703125" style="436" customWidth="1"/>
    <col min="10754" max="10754" width="14.85546875" style="436" bestFit="1" customWidth="1"/>
    <col min="10755" max="10756" width="15.85546875" style="436" bestFit="1" customWidth="1"/>
    <col min="10757" max="10757" width="14.7109375" style="436" bestFit="1" customWidth="1"/>
    <col min="10758" max="10758" width="16.28515625" style="436" customWidth="1"/>
    <col min="10759" max="10759" width="17" style="436" bestFit="1" customWidth="1"/>
    <col min="10760" max="10760" width="15.85546875" style="436" customWidth="1"/>
    <col min="10761" max="11008" width="9.140625" style="436"/>
    <col min="11009" max="11009" width="42.5703125" style="436" customWidth="1"/>
    <col min="11010" max="11010" width="14.85546875" style="436" bestFit="1" customWidth="1"/>
    <col min="11011" max="11012" width="15.85546875" style="436" bestFit="1" customWidth="1"/>
    <col min="11013" max="11013" width="14.7109375" style="436" bestFit="1" customWidth="1"/>
    <col min="11014" max="11014" width="16.28515625" style="436" customWidth="1"/>
    <col min="11015" max="11015" width="17" style="436" bestFit="1" customWidth="1"/>
    <col min="11016" max="11016" width="15.85546875" style="436" customWidth="1"/>
    <col min="11017" max="11264" width="9.140625" style="436"/>
    <col min="11265" max="11265" width="42.5703125" style="436" customWidth="1"/>
    <col min="11266" max="11266" width="14.85546875" style="436" bestFit="1" customWidth="1"/>
    <col min="11267" max="11268" width="15.85546875" style="436" bestFit="1" customWidth="1"/>
    <col min="11269" max="11269" width="14.7109375" style="436" bestFit="1" customWidth="1"/>
    <col min="11270" max="11270" width="16.28515625" style="436" customWidth="1"/>
    <col min="11271" max="11271" width="17" style="436" bestFit="1" customWidth="1"/>
    <col min="11272" max="11272" width="15.85546875" style="436" customWidth="1"/>
    <col min="11273" max="11520" width="9.140625" style="436"/>
    <col min="11521" max="11521" width="42.5703125" style="436" customWidth="1"/>
    <col min="11522" max="11522" width="14.85546875" style="436" bestFit="1" customWidth="1"/>
    <col min="11523" max="11524" width="15.85546875" style="436" bestFit="1" customWidth="1"/>
    <col min="11525" max="11525" width="14.7109375" style="436" bestFit="1" customWidth="1"/>
    <col min="11526" max="11526" width="16.28515625" style="436" customWidth="1"/>
    <col min="11527" max="11527" width="17" style="436" bestFit="1" customWidth="1"/>
    <col min="11528" max="11528" width="15.85546875" style="436" customWidth="1"/>
    <col min="11529" max="11776" width="9.140625" style="436"/>
    <col min="11777" max="11777" width="42.5703125" style="436" customWidth="1"/>
    <col min="11778" max="11778" width="14.85546875" style="436" bestFit="1" customWidth="1"/>
    <col min="11779" max="11780" width="15.85546875" style="436" bestFit="1" customWidth="1"/>
    <col min="11781" max="11781" width="14.7109375" style="436" bestFit="1" customWidth="1"/>
    <col min="11782" max="11782" width="16.28515625" style="436" customWidth="1"/>
    <col min="11783" max="11783" width="17" style="436" bestFit="1" customWidth="1"/>
    <col min="11784" max="11784" width="15.85546875" style="436" customWidth="1"/>
    <col min="11785" max="12032" width="9.140625" style="436"/>
    <col min="12033" max="12033" width="42.5703125" style="436" customWidth="1"/>
    <col min="12034" max="12034" width="14.85546875" style="436" bestFit="1" customWidth="1"/>
    <col min="12035" max="12036" width="15.85546875" style="436" bestFit="1" customWidth="1"/>
    <col min="12037" max="12037" width="14.7109375" style="436" bestFit="1" customWidth="1"/>
    <col min="12038" max="12038" width="16.28515625" style="436" customWidth="1"/>
    <col min="12039" max="12039" width="17" style="436" bestFit="1" customWidth="1"/>
    <col min="12040" max="12040" width="15.85546875" style="436" customWidth="1"/>
    <col min="12041" max="12288" width="9.140625" style="436"/>
    <col min="12289" max="12289" width="42.5703125" style="436" customWidth="1"/>
    <col min="12290" max="12290" width="14.85546875" style="436" bestFit="1" customWidth="1"/>
    <col min="12291" max="12292" width="15.85546875" style="436" bestFit="1" customWidth="1"/>
    <col min="12293" max="12293" width="14.7109375" style="436" bestFit="1" customWidth="1"/>
    <col min="12294" max="12294" width="16.28515625" style="436" customWidth="1"/>
    <col min="12295" max="12295" width="17" style="436" bestFit="1" customWidth="1"/>
    <col min="12296" max="12296" width="15.85546875" style="436" customWidth="1"/>
    <col min="12297" max="12544" width="9.140625" style="436"/>
    <col min="12545" max="12545" width="42.5703125" style="436" customWidth="1"/>
    <col min="12546" max="12546" width="14.85546875" style="436" bestFit="1" customWidth="1"/>
    <col min="12547" max="12548" width="15.85546875" style="436" bestFit="1" customWidth="1"/>
    <col min="12549" max="12549" width="14.7109375" style="436" bestFit="1" customWidth="1"/>
    <col min="12550" max="12550" width="16.28515625" style="436" customWidth="1"/>
    <col min="12551" max="12551" width="17" style="436" bestFit="1" customWidth="1"/>
    <col min="12552" max="12552" width="15.85546875" style="436" customWidth="1"/>
    <col min="12553" max="12800" width="9.140625" style="436"/>
    <col min="12801" max="12801" width="42.5703125" style="436" customWidth="1"/>
    <col min="12802" max="12802" width="14.85546875" style="436" bestFit="1" customWidth="1"/>
    <col min="12803" max="12804" width="15.85546875" style="436" bestFit="1" customWidth="1"/>
    <col min="12805" max="12805" width="14.7109375" style="436" bestFit="1" customWidth="1"/>
    <col min="12806" max="12806" width="16.28515625" style="436" customWidth="1"/>
    <col min="12807" max="12807" width="17" style="436" bestFit="1" customWidth="1"/>
    <col min="12808" max="12808" width="15.85546875" style="436" customWidth="1"/>
    <col min="12809" max="13056" width="9.140625" style="436"/>
    <col min="13057" max="13057" width="42.5703125" style="436" customWidth="1"/>
    <col min="13058" max="13058" width="14.85546875" style="436" bestFit="1" customWidth="1"/>
    <col min="13059" max="13060" width="15.85546875" style="436" bestFit="1" customWidth="1"/>
    <col min="13061" max="13061" width="14.7109375" style="436" bestFit="1" customWidth="1"/>
    <col min="13062" max="13062" width="16.28515625" style="436" customWidth="1"/>
    <col min="13063" max="13063" width="17" style="436" bestFit="1" customWidth="1"/>
    <col min="13064" max="13064" width="15.85546875" style="436" customWidth="1"/>
    <col min="13065" max="13312" width="9.140625" style="436"/>
    <col min="13313" max="13313" width="42.5703125" style="436" customWidth="1"/>
    <col min="13314" max="13314" width="14.85546875" style="436" bestFit="1" customWidth="1"/>
    <col min="13315" max="13316" width="15.85546875" style="436" bestFit="1" customWidth="1"/>
    <col min="13317" max="13317" width="14.7109375" style="436" bestFit="1" customWidth="1"/>
    <col min="13318" max="13318" width="16.28515625" style="436" customWidth="1"/>
    <col min="13319" max="13319" width="17" style="436" bestFit="1" customWidth="1"/>
    <col min="13320" max="13320" width="15.85546875" style="436" customWidth="1"/>
    <col min="13321" max="13568" width="9.140625" style="436"/>
    <col min="13569" max="13569" width="42.5703125" style="436" customWidth="1"/>
    <col min="13570" max="13570" width="14.85546875" style="436" bestFit="1" customWidth="1"/>
    <col min="13571" max="13572" width="15.85546875" style="436" bestFit="1" customWidth="1"/>
    <col min="13573" max="13573" width="14.7109375" style="436" bestFit="1" customWidth="1"/>
    <col min="13574" max="13574" width="16.28515625" style="436" customWidth="1"/>
    <col min="13575" max="13575" width="17" style="436" bestFit="1" customWidth="1"/>
    <col min="13576" max="13576" width="15.85546875" style="436" customWidth="1"/>
    <col min="13577" max="13824" width="9.140625" style="436"/>
    <col min="13825" max="13825" width="42.5703125" style="436" customWidth="1"/>
    <col min="13826" max="13826" width="14.85546875" style="436" bestFit="1" customWidth="1"/>
    <col min="13827" max="13828" width="15.85546875" style="436" bestFit="1" customWidth="1"/>
    <col min="13829" max="13829" width="14.7109375" style="436" bestFit="1" customWidth="1"/>
    <col min="13830" max="13830" width="16.28515625" style="436" customWidth="1"/>
    <col min="13831" max="13831" width="17" style="436" bestFit="1" customWidth="1"/>
    <col min="13832" max="13832" width="15.85546875" style="436" customWidth="1"/>
    <col min="13833" max="14080" width="9.140625" style="436"/>
    <col min="14081" max="14081" width="42.5703125" style="436" customWidth="1"/>
    <col min="14082" max="14082" width="14.85546875" style="436" bestFit="1" customWidth="1"/>
    <col min="14083" max="14084" width="15.85546875" style="436" bestFit="1" customWidth="1"/>
    <col min="14085" max="14085" width="14.7109375" style="436" bestFit="1" customWidth="1"/>
    <col min="14086" max="14086" width="16.28515625" style="436" customWidth="1"/>
    <col min="14087" max="14087" width="17" style="436" bestFit="1" customWidth="1"/>
    <col min="14088" max="14088" width="15.85546875" style="436" customWidth="1"/>
    <col min="14089" max="14336" width="9.140625" style="436"/>
    <col min="14337" max="14337" width="42.5703125" style="436" customWidth="1"/>
    <col min="14338" max="14338" width="14.85546875" style="436" bestFit="1" customWidth="1"/>
    <col min="14339" max="14340" width="15.85546875" style="436" bestFit="1" customWidth="1"/>
    <col min="14341" max="14341" width="14.7109375" style="436" bestFit="1" customWidth="1"/>
    <col min="14342" max="14342" width="16.28515625" style="436" customWidth="1"/>
    <col min="14343" max="14343" width="17" style="436" bestFit="1" customWidth="1"/>
    <col min="14344" max="14344" width="15.85546875" style="436" customWidth="1"/>
    <col min="14345" max="14592" width="9.140625" style="436"/>
    <col min="14593" max="14593" width="42.5703125" style="436" customWidth="1"/>
    <col min="14594" max="14594" width="14.85546875" style="436" bestFit="1" customWidth="1"/>
    <col min="14595" max="14596" width="15.85546875" style="436" bestFit="1" customWidth="1"/>
    <col min="14597" max="14597" width="14.7109375" style="436" bestFit="1" customWidth="1"/>
    <col min="14598" max="14598" width="16.28515625" style="436" customWidth="1"/>
    <col min="14599" max="14599" width="17" style="436" bestFit="1" customWidth="1"/>
    <col min="14600" max="14600" width="15.85546875" style="436" customWidth="1"/>
    <col min="14601" max="14848" width="9.140625" style="436"/>
    <col min="14849" max="14849" width="42.5703125" style="436" customWidth="1"/>
    <col min="14850" max="14850" width="14.85546875" style="436" bestFit="1" customWidth="1"/>
    <col min="14851" max="14852" width="15.85546875" style="436" bestFit="1" customWidth="1"/>
    <col min="14853" max="14853" width="14.7109375" style="436" bestFit="1" customWidth="1"/>
    <col min="14854" max="14854" width="16.28515625" style="436" customWidth="1"/>
    <col min="14855" max="14855" width="17" style="436" bestFit="1" customWidth="1"/>
    <col min="14856" max="14856" width="15.85546875" style="436" customWidth="1"/>
    <col min="14857" max="15104" width="9.140625" style="436"/>
    <col min="15105" max="15105" width="42.5703125" style="436" customWidth="1"/>
    <col min="15106" max="15106" width="14.85546875" style="436" bestFit="1" customWidth="1"/>
    <col min="15107" max="15108" width="15.85546875" style="436" bestFit="1" customWidth="1"/>
    <col min="15109" max="15109" width="14.7109375" style="436" bestFit="1" customWidth="1"/>
    <col min="15110" max="15110" width="16.28515625" style="436" customWidth="1"/>
    <col min="15111" max="15111" width="17" style="436" bestFit="1" customWidth="1"/>
    <col min="15112" max="15112" width="15.85546875" style="436" customWidth="1"/>
    <col min="15113" max="15360" width="9.140625" style="436"/>
    <col min="15361" max="15361" width="42.5703125" style="436" customWidth="1"/>
    <col min="15362" max="15362" width="14.85546875" style="436" bestFit="1" customWidth="1"/>
    <col min="15363" max="15364" width="15.85546875" style="436" bestFit="1" customWidth="1"/>
    <col min="15365" max="15365" width="14.7109375" style="436" bestFit="1" customWidth="1"/>
    <col min="15366" max="15366" width="16.28515625" style="436" customWidth="1"/>
    <col min="15367" max="15367" width="17" style="436" bestFit="1" customWidth="1"/>
    <col min="15368" max="15368" width="15.85546875" style="436" customWidth="1"/>
    <col min="15369" max="15616" width="9.140625" style="436"/>
    <col min="15617" max="15617" width="42.5703125" style="436" customWidth="1"/>
    <col min="15618" max="15618" width="14.85546875" style="436" bestFit="1" customWidth="1"/>
    <col min="15619" max="15620" width="15.85546875" style="436" bestFit="1" customWidth="1"/>
    <col min="15621" max="15621" width="14.7109375" style="436" bestFit="1" customWidth="1"/>
    <col min="15622" max="15622" width="16.28515625" style="436" customWidth="1"/>
    <col min="15623" max="15623" width="17" style="436" bestFit="1" customWidth="1"/>
    <col min="15624" max="15624" width="15.85546875" style="436" customWidth="1"/>
    <col min="15625" max="15872" width="9.140625" style="436"/>
    <col min="15873" max="15873" width="42.5703125" style="436" customWidth="1"/>
    <col min="15874" max="15874" width="14.85546875" style="436" bestFit="1" customWidth="1"/>
    <col min="15875" max="15876" width="15.85546875" style="436" bestFit="1" customWidth="1"/>
    <col min="15877" max="15877" width="14.7109375" style="436" bestFit="1" customWidth="1"/>
    <col min="15878" max="15878" width="16.28515625" style="436" customWidth="1"/>
    <col min="15879" max="15879" width="17" style="436" bestFit="1" customWidth="1"/>
    <col min="15880" max="15880" width="15.85546875" style="436" customWidth="1"/>
    <col min="15881" max="16128" width="9.140625" style="436"/>
    <col min="16129" max="16129" width="42.5703125" style="436" customWidth="1"/>
    <col min="16130" max="16130" width="14.85546875" style="436" bestFit="1" customWidth="1"/>
    <col min="16131" max="16132" width="15.85546875" style="436" bestFit="1" customWidth="1"/>
    <col min="16133" max="16133" width="14.7109375" style="436" bestFit="1" customWidth="1"/>
    <col min="16134" max="16134" width="16.28515625" style="436" customWidth="1"/>
    <col min="16135" max="16135" width="17" style="436" bestFit="1" customWidth="1"/>
    <col min="16136" max="16136" width="15.85546875" style="436" customWidth="1"/>
    <col min="16137" max="16384" width="9.140625" style="436"/>
  </cols>
  <sheetData>
    <row r="1" spans="1:8" ht="18.75">
      <c r="A1" s="434" t="s">
        <v>2161</v>
      </c>
      <c r="B1" s="435"/>
      <c r="C1" s="435"/>
      <c r="D1" s="435"/>
      <c r="E1" s="435"/>
      <c r="F1" s="435"/>
      <c r="G1" s="435"/>
    </row>
    <row r="2" spans="1:8" ht="13.5" thickBot="1">
      <c r="A2" s="435"/>
      <c r="B2" s="435"/>
      <c r="C2" s="435"/>
      <c r="D2" s="435"/>
      <c r="E2" s="435"/>
      <c r="F2" s="435"/>
      <c r="G2" s="437" t="s">
        <v>2162</v>
      </c>
    </row>
    <row r="3" spans="1:8" ht="14.25" thickTop="1" thickBot="1">
      <c r="A3" s="438" t="s">
        <v>2163</v>
      </c>
      <c r="B3" s="439" t="s">
        <v>2164</v>
      </c>
      <c r="C3" s="440"/>
      <c r="D3" s="440"/>
      <c r="E3" s="440"/>
      <c r="F3" s="440"/>
      <c r="G3" s="441"/>
    </row>
    <row r="4" spans="1:8">
      <c r="A4" s="442"/>
      <c r="B4" s="443" t="s">
        <v>2165</v>
      </c>
      <c r="C4" s="444" t="s">
        <v>2166</v>
      </c>
      <c r="D4" s="444" t="s">
        <v>137</v>
      </c>
      <c r="E4" s="444" t="s">
        <v>2167</v>
      </c>
      <c r="F4" s="444" t="s">
        <v>2168</v>
      </c>
      <c r="G4" s="445" t="s">
        <v>81</v>
      </c>
    </row>
    <row r="5" spans="1:8" ht="13.5" thickBot="1">
      <c r="A5" s="446"/>
      <c r="B5" s="447" t="s">
        <v>2169</v>
      </c>
      <c r="C5" s="448" t="s">
        <v>2170</v>
      </c>
      <c r="D5" s="448"/>
      <c r="E5" s="448" t="s">
        <v>2171</v>
      </c>
      <c r="F5" s="448"/>
      <c r="G5" s="449"/>
    </row>
    <row r="6" spans="1:8" ht="13.5" thickTop="1">
      <c r="A6" s="450"/>
      <c r="B6" s="451"/>
      <c r="C6" s="452"/>
      <c r="D6" s="452"/>
      <c r="E6" s="452"/>
      <c r="F6" s="452"/>
      <c r="G6" s="453"/>
    </row>
    <row r="7" spans="1:8">
      <c r="A7" s="450"/>
      <c r="B7" s="451"/>
      <c r="C7" s="452"/>
      <c r="D7" s="452"/>
      <c r="E7" s="452"/>
      <c r="F7" s="452"/>
      <c r="G7" s="453"/>
    </row>
    <row r="8" spans="1:8" ht="15" customHeight="1">
      <c r="A8" s="454" t="s">
        <v>2172</v>
      </c>
      <c r="B8" s="455">
        <v>259777221873.84485</v>
      </c>
      <c r="C8" s="456">
        <v>15821891044.862236</v>
      </c>
      <c r="D8" s="456">
        <v>54310569831.264175</v>
      </c>
      <c r="E8" s="456">
        <v>2149635914.4800782</v>
      </c>
      <c r="F8" s="456">
        <v>9987985012.1203251</v>
      </c>
      <c r="G8" s="457">
        <v>342047303676.57166</v>
      </c>
      <c r="H8" s="458"/>
    </row>
    <row r="9" spans="1:8">
      <c r="A9" s="454"/>
      <c r="B9" s="459"/>
      <c r="C9" s="460"/>
      <c r="D9" s="460"/>
      <c r="E9" s="460"/>
      <c r="F9" s="460"/>
      <c r="G9" s="457"/>
      <c r="H9" s="458"/>
    </row>
    <row r="10" spans="1:8">
      <c r="A10" s="450"/>
      <c r="B10" s="461"/>
      <c r="C10" s="462"/>
      <c r="D10" s="462"/>
      <c r="E10" s="462"/>
      <c r="F10" s="462"/>
      <c r="G10" s="463"/>
      <c r="H10" s="458"/>
    </row>
    <row r="11" spans="1:8" ht="15" customHeight="1">
      <c r="A11" s="454" t="s">
        <v>2173</v>
      </c>
      <c r="B11" s="455">
        <v>4708236103.9436579</v>
      </c>
      <c r="C11" s="456">
        <v>708968240.27479815</v>
      </c>
      <c r="D11" s="456">
        <v>1043742792.9275863</v>
      </c>
      <c r="E11" s="456">
        <v>57804706.117337078</v>
      </c>
      <c r="F11" s="456">
        <v>551627718.18680692</v>
      </c>
      <c r="G11" s="457">
        <v>7070379561.4501867</v>
      </c>
      <c r="H11" s="458"/>
    </row>
    <row r="12" spans="1:8">
      <c r="A12" s="454"/>
      <c r="B12" s="459"/>
      <c r="C12" s="460"/>
      <c r="D12" s="460"/>
      <c r="E12" s="460"/>
      <c r="F12" s="460"/>
      <c r="G12" s="457"/>
      <c r="H12" s="458"/>
    </row>
    <row r="13" spans="1:8">
      <c r="A13" s="450"/>
      <c r="B13" s="461"/>
      <c r="C13" s="462"/>
      <c r="D13" s="462"/>
      <c r="E13" s="462"/>
      <c r="F13" s="462"/>
      <c r="G13" s="463"/>
      <c r="H13" s="458"/>
    </row>
    <row r="14" spans="1:8" ht="15" customHeight="1">
      <c r="A14" s="454" t="s">
        <v>2174</v>
      </c>
      <c r="B14" s="455">
        <v>210902717581.3923</v>
      </c>
      <c r="C14" s="456">
        <v>14692112242.393988</v>
      </c>
      <c r="D14" s="456">
        <v>22630972594.630035</v>
      </c>
      <c r="E14" s="456">
        <v>3168942766.6707048</v>
      </c>
      <c r="F14" s="456">
        <v>3770968140.9651856</v>
      </c>
      <c r="G14" s="457">
        <v>255165713326.05225</v>
      </c>
      <c r="H14" s="458"/>
    </row>
    <row r="15" spans="1:8">
      <c r="A15" s="454"/>
      <c r="B15" s="459"/>
      <c r="C15" s="460"/>
      <c r="D15" s="460"/>
      <c r="E15" s="460"/>
      <c r="F15" s="460"/>
      <c r="G15" s="457"/>
      <c r="H15" s="458"/>
    </row>
    <row r="16" spans="1:8">
      <c r="A16" s="450"/>
      <c r="B16" s="461"/>
      <c r="C16" s="462"/>
      <c r="D16" s="462"/>
      <c r="E16" s="462"/>
      <c r="F16" s="462"/>
      <c r="G16" s="463"/>
      <c r="H16" s="458"/>
    </row>
    <row r="17" spans="1:8" ht="15" customHeight="1">
      <c r="A17" s="454" t="s">
        <v>2175</v>
      </c>
      <c r="B17" s="461">
        <v>51823956815.288147</v>
      </c>
      <c r="C17" s="462">
        <v>3926001858.9419003</v>
      </c>
      <c r="D17" s="462">
        <v>4579008064.817523</v>
      </c>
      <c r="E17" s="462">
        <v>1876202112.6176658</v>
      </c>
      <c r="F17" s="462">
        <v>559673475.55245447</v>
      </c>
      <c r="G17" s="457">
        <v>62764842327.21769</v>
      </c>
      <c r="H17" s="458"/>
    </row>
    <row r="18" spans="1:8" ht="15" customHeight="1">
      <c r="A18" s="454" t="s">
        <v>2176</v>
      </c>
      <c r="B18" s="461">
        <v>31758671298.962006</v>
      </c>
      <c r="C18" s="462">
        <v>973358111.3401159</v>
      </c>
      <c r="D18" s="462">
        <v>1996336756.3760226</v>
      </c>
      <c r="E18" s="462">
        <v>297233277.8768307</v>
      </c>
      <c r="F18" s="462">
        <v>172377115.80906445</v>
      </c>
      <c r="G18" s="457">
        <v>35197976560.364044</v>
      </c>
      <c r="H18" s="458"/>
    </row>
    <row r="19" spans="1:8" ht="15" customHeight="1">
      <c r="A19" s="454" t="s">
        <v>2177</v>
      </c>
      <c r="B19" s="461">
        <v>78846863111.045868</v>
      </c>
      <c r="C19" s="462">
        <v>5403025562.4155283</v>
      </c>
      <c r="D19" s="462">
        <v>5032789321.8950119</v>
      </c>
      <c r="E19" s="462">
        <v>246629323.26303199</v>
      </c>
      <c r="F19" s="462">
        <v>319508864.87314272</v>
      </c>
      <c r="G19" s="457">
        <v>89848816183.492584</v>
      </c>
      <c r="H19" s="458"/>
    </row>
    <row r="20" spans="1:8" ht="15" customHeight="1">
      <c r="A20" s="454" t="s">
        <v>2178</v>
      </c>
      <c r="B20" s="461">
        <v>19979446668.48402</v>
      </c>
      <c r="C20" s="462">
        <v>713207835.54807782</v>
      </c>
      <c r="D20" s="462">
        <v>1573972517.1247602</v>
      </c>
      <c r="E20" s="462">
        <v>266382192.51461297</v>
      </c>
      <c r="F20" s="462">
        <v>525001456.66003996</v>
      </c>
      <c r="G20" s="457">
        <v>23058010670.331512</v>
      </c>
      <c r="H20" s="458"/>
    </row>
    <row r="21" spans="1:8" ht="15" customHeight="1">
      <c r="A21" s="454" t="s">
        <v>2179</v>
      </c>
      <c r="B21" s="461">
        <v>19439202035.168732</v>
      </c>
      <c r="C21" s="462">
        <v>1336680831.8709848</v>
      </c>
      <c r="D21" s="462">
        <v>4590505913.5405073</v>
      </c>
      <c r="E21" s="462">
        <v>379946526.01817399</v>
      </c>
      <c r="F21" s="462">
        <v>1977530717.8983333</v>
      </c>
      <c r="G21" s="457">
        <v>27723866024.496731</v>
      </c>
      <c r="H21" s="458"/>
    </row>
    <row r="22" spans="1:8" ht="15" customHeight="1">
      <c r="A22" s="454" t="s">
        <v>2180</v>
      </c>
      <c r="B22" s="461">
        <v>2789176741.5274038</v>
      </c>
      <c r="C22" s="462">
        <v>307910735.11909312</v>
      </c>
      <c r="D22" s="462">
        <v>203675781.63349989</v>
      </c>
      <c r="E22" s="462">
        <v>85844245.047649994</v>
      </c>
      <c r="F22" s="462">
        <v>140071210.36447844</v>
      </c>
      <c r="G22" s="457">
        <v>3526678713.6921253</v>
      </c>
      <c r="H22" s="458"/>
    </row>
    <row r="23" spans="1:8" ht="15" customHeight="1">
      <c r="A23" s="454" t="s">
        <v>2181</v>
      </c>
      <c r="B23" s="461">
        <v>3491584111.1707349</v>
      </c>
      <c r="C23" s="462">
        <v>901436254.3979702</v>
      </c>
      <c r="D23" s="462">
        <v>842184964.3902328</v>
      </c>
      <c r="E23" s="462">
        <v>12717089.814711465</v>
      </c>
      <c r="F23" s="462">
        <v>64952636.516922511</v>
      </c>
      <c r="G23" s="457">
        <v>5312875056.2905722</v>
      </c>
      <c r="H23" s="458"/>
    </row>
    <row r="24" spans="1:8" ht="15" customHeight="1">
      <c r="A24" s="454" t="s">
        <v>2182</v>
      </c>
      <c r="B24" s="461">
        <v>460447266.9443807</v>
      </c>
      <c r="C24" s="462">
        <v>867685681.46497321</v>
      </c>
      <c r="D24" s="462">
        <v>698518614.86951995</v>
      </c>
      <c r="E24" s="462">
        <v>459142.42509999999</v>
      </c>
      <c r="F24" s="462">
        <v>9965663.2907500006</v>
      </c>
      <c r="G24" s="457">
        <v>2037076368.994724</v>
      </c>
      <c r="H24" s="458"/>
    </row>
    <row r="25" spans="1:8" ht="15" customHeight="1">
      <c r="A25" s="454" t="s">
        <v>2183</v>
      </c>
      <c r="B25" s="461">
        <v>772965500.99423325</v>
      </c>
      <c r="C25" s="462">
        <v>185769828.35897663</v>
      </c>
      <c r="D25" s="462">
        <v>36641864.006959997</v>
      </c>
      <c r="E25" s="462">
        <v>368921.96</v>
      </c>
      <c r="F25" s="462">
        <v>0</v>
      </c>
      <c r="G25" s="457">
        <v>995746115.32016993</v>
      </c>
      <c r="H25" s="458"/>
    </row>
    <row r="26" spans="1:8" ht="15" customHeight="1">
      <c r="A26" s="454" t="s">
        <v>2184</v>
      </c>
      <c r="B26" s="461">
        <v>174086564.28946668</v>
      </c>
      <c r="C26" s="462">
        <v>54827260.283566669</v>
      </c>
      <c r="D26" s="462">
        <v>226828807.78599998</v>
      </c>
      <c r="E26" s="462">
        <v>0</v>
      </c>
      <c r="F26" s="462">
        <v>1887000</v>
      </c>
      <c r="G26" s="457">
        <v>457629632.35903335</v>
      </c>
      <c r="H26" s="458"/>
    </row>
    <row r="27" spans="1:8" ht="15" customHeight="1">
      <c r="A27" s="454" t="s">
        <v>2185</v>
      </c>
      <c r="B27" s="461">
        <v>1366317467.517333</v>
      </c>
      <c r="C27" s="462">
        <v>22208282.652799997</v>
      </c>
      <c r="D27" s="462">
        <v>2850509988.1900001</v>
      </c>
      <c r="E27" s="462">
        <v>3159935.1329279998</v>
      </c>
      <c r="F27" s="462">
        <v>0</v>
      </c>
      <c r="G27" s="457">
        <v>4242195673.4930611</v>
      </c>
      <c r="H27" s="458"/>
    </row>
    <row r="28" spans="1:8">
      <c r="A28" s="454"/>
      <c r="B28" s="461"/>
      <c r="C28" s="462"/>
      <c r="D28" s="462"/>
      <c r="E28" s="462"/>
      <c r="F28" s="462"/>
      <c r="G28" s="463"/>
      <c r="H28" s="458"/>
    </row>
    <row r="29" spans="1:8" ht="15.75" customHeight="1">
      <c r="A29" s="454" t="s">
        <v>54</v>
      </c>
      <c r="B29" s="455">
        <v>475388175559.18079</v>
      </c>
      <c r="C29" s="456">
        <v>31222971527.531021</v>
      </c>
      <c r="D29" s="456">
        <v>77985285218.821808</v>
      </c>
      <c r="E29" s="456">
        <v>5376383387.2681198</v>
      </c>
      <c r="F29" s="456">
        <v>14310580871.272318</v>
      </c>
      <c r="G29" s="457">
        <v>604283396564.0741</v>
      </c>
      <c r="H29" s="458"/>
    </row>
    <row r="30" spans="1:8" ht="13.5" thickBot="1">
      <c r="A30" s="464"/>
      <c r="B30" s="465"/>
      <c r="C30" s="466"/>
      <c r="D30" s="466"/>
      <c r="E30" s="466"/>
      <c r="F30" s="466"/>
      <c r="G30" s="467"/>
      <c r="H30" s="458"/>
    </row>
    <row r="31" spans="1:8" ht="13.5" hidden="1" thickTop="1">
      <c r="A31" s="435"/>
      <c r="B31" s="468"/>
      <c r="C31" s="468"/>
      <c r="D31" s="468"/>
      <c r="E31" s="468"/>
      <c r="F31" s="468"/>
      <c r="G31" s="435"/>
      <c r="H31" s="458"/>
    </row>
    <row r="32" spans="1:8" ht="14.25" thickTop="1">
      <c r="A32" s="469" t="s">
        <v>2186</v>
      </c>
      <c r="B32" s="470"/>
      <c r="C32" s="435"/>
      <c r="D32" s="435"/>
      <c r="E32" s="469" t="s">
        <v>2187</v>
      </c>
      <c r="F32" s="435"/>
      <c r="G32" s="470"/>
      <c r="H32" s="458"/>
    </row>
    <row r="33" spans="1:12">
      <c r="A33" s="471" t="s">
        <v>2188</v>
      </c>
      <c r="B33" s="470"/>
      <c r="C33" s="470"/>
      <c r="D33" s="470"/>
      <c r="E33" s="470"/>
      <c r="F33" s="470"/>
      <c r="G33" s="470"/>
      <c r="H33" s="458"/>
      <c r="I33" s="458"/>
      <c r="J33" s="458"/>
      <c r="K33" s="458"/>
      <c r="L33" s="458"/>
    </row>
    <row r="34" spans="1:12">
      <c r="A34" s="471" t="s">
        <v>2053</v>
      </c>
      <c r="B34" s="470"/>
      <c r="C34" s="470"/>
      <c r="D34" s="470"/>
      <c r="E34" s="470"/>
      <c r="F34" s="470"/>
      <c r="G34" s="470"/>
      <c r="H34" s="458"/>
      <c r="I34" s="458"/>
      <c r="J34" s="458"/>
      <c r="K34" s="458"/>
      <c r="L34" s="458"/>
    </row>
    <row r="35" spans="1:12">
      <c r="B35" s="458"/>
      <c r="C35" s="458"/>
      <c r="D35" s="458"/>
      <c r="E35" s="458"/>
      <c r="F35" s="458"/>
      <c r="G35" s="458"/>
    </row>
  </sheetData>
  <printOptions horizontalCentered="1"/>
  <pageMargins left="0" right="0" top="0.75850393999999999" bottom="0.196850393700787" header="0" footer="0"/>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zoomScaleNormal="100" workbookViewId="0">
      <selection activeCell="Q13" sqref="Q13"/>
    </sheetView>
  </sheetViews>
  <sheetFormatPr defaultRowHeight="12.75"/>
  <cols>
    <col min="1" max="1" width="38.140625" style="2765" customWidth="1"/>
    <col min="2" max="2" width="10.140625" style="2765" customWidth="1"/>
    <col min="3" max="3" width="12.85546875" style="2765" customWidth="1"/>
    <col min="4" max="4" width="11.7109375" style="2765" customWidth="1"/>
    <col min="5" max="5" width="11.42578125" style="2765" customWidth="1"/>
    <col min="6" max="6" width="11.28515625" style="2765" customWidth="1"/>
    <col min="7" max="7" width="13.5703125" style="2765" customWidth="1"/>
    <col min="8" max="8" width="10.5703125" style="2765" customWidth="1"/>
    <col min="9" max="9" width="11.7109375" style="2765" customWidth="1"/>
    <col min="10" max="10" width="13.7109375" style="2765" customWidth="1"/>
    <col min="11" max="256" width="9.140625" style="2765"/>
    <col min="257" max="257" width="38.140625" style="2765" customWidth="1"/>
    <col min="258" max="258" width="10.140625" style="2765" customWidth="1"/>
    <col min="259" max="259" width="12.85546875" style="2765" customWidth="1"/>
    <col min="260" max="260" width="11.7109375" style="2765" customWidth="1"/>
    <col min="261" max="261" width="11.42578125" style="2765" customWidth="1"/>
    <col min="262" max="262" width="11.28515625" style="2765" customWidth="1"/>
    <col min="263" max="263" width="13.5703125" style="2765" customWidth="1"/>
    <col min="264" max="264" width="10.5703125" style="2765" customWidth="1"/>
    <col min="265" max="265" width="11.7109375" style="2765" customWidth="1"/>
    <col min="266" max="266" width="13.7109375" style="2765" customWidth="1"/>
    <col min="267" max="512" width="9.140625" style="2765"/>
    <col min="513" max="513" width="38.140625" style="2765" customWidth="1"/>
    <col min="514" max="514" width="10.140625" style="2765" customWidth="1"/>
    <col min="515" max="515" width="12.85546875" style="2765" customWidth="1"/>
    <col min="516" max="516" width="11.7109375" style="2765" customWidth="1"/>
    <col min="517" max="517" width="11.42578125" style="2765" customWidth="1"/>
    <col min="518" max="518" width="11.28515625" style="2765" customWidth="1"/>
    <col min="519" max="519" width="13.5703125" style="2765" customWidth="1"/>
    <col min="520" max="520" width="10.5703125" style="2765" customWidth="1"/>
    <col min="521" max="521" width="11.7109375" style="2765" customWidth="1"/>
    <col min="522" max="522" width="13.7109375" style="2765" customWidth="1"/>
    <col min="523" max="768" width="9.140625" style="2765"/>
    <col min="769" max="769" width="38.140625" style="2765" customWidth="1"/>
    <col min="770" max="770" width="10.140625" style="2765" customWidth="1"/>
    <col min="771" max="771" width="12.85546875" style="2765" customWidth="1"/>
    <col min="772" max="772" width="11.7109375" style="2765" customWidth="1"/>
    <col min="773" max="773" width="11.42578125" style="2765" customWidth="1"/>
    <col min="774" max="774" width="11.28515625" style="2765" customWidth="1"/>
    <col min="775" max="775" width="13.5703125" style="2765" customWidth="1"/>
    <col min="776" max="776" width="10.5703125" style="2765" customWidth="1"/>
    <col min="777" max="777" width="11.7109375" style="2765" customWidth="1"/>
    <col min="778" max="778" width="13.7109375" style="2765" customWidth="1"/>
    <col min="779" max="1024" width="9.140625" style="2765"/>
    <col min="1025" max="1025" width="38.140625" style="2765" customWidth="1"/>
    <col min="1026" max="1026" width="10.140625" style="2765" customWidth="1"/>
    <col min="1027" max="1027" width="12.85546875" style="2765" customWidth="1"/>
    <col min="1028" max="1028" width="11.7109375" style="2765" customWidth="1"/>
    <col min="1029" max="1029" width="11.42578125" style="2765" customWidth="1"/>
    <col min="1030" max="1030" width="11.28515625" style="2765" customWidth="1"/>
    <col min="1031" max="1031" width="13.5703125" style="2765" customWidth="1"/>
    <col min="1032" max="1032" width="10.5703125" style="2765" customWidth="1"/>
    <col min="1033" max="1033" width="11.7109375" style="2765" customWidth="1"/>
    <col min="1034" max="1034" width="13.7109375" style="2765" customWidth="1"/>
    <col min="1035" max="1280" width="9.140625" style="2765"/>
    <col min="1281" max="1281" width="38.140625" style="2765" customWidth="1"/>
    <col min="1282" max="1282" width="10.140625" style="2765" customWidth="1"/>
    <col min="1283" max="1283" width="12.85546875" style="2765" customWidth="1"/>
    <col min="1284" max="1284" width="11.7109375" style="2765" customWidth="1"/>
    <col min="1285" max="1285" width="11.42578125" style="2765" customWidth="1"/>
    <col min="1286" max="1286" width="11.28515625" style="2765" customWidth="1"/>
    <col min="1287" max="1287" width="13.5703125" style="2765" customWidth="1"/>
    <col min="1288" max="1288" width="10.5703125" style="2765" customWidth="1"/>
    <col min="1289" max="1289" width="11.7109375" style="2765" customWidth="1"/>
    <col min="1290" max="1290" width="13.7109375" style="2765" customWidth="1"/>
    <col min="1291" max="1536" width="9.140625" style="2765"/>
    <col min="1537" max="1537" width="38.140625" style="2765" customWidth="1"/>
    <col min="1538" max="1538" width="10.140625" style="2765" customWidth="1"/>
    <col min="1539" max="1539" width="12.85546875" style="2765" customWidth="1"/>
    <col min="1540" max="1540" width="11.7109375" style="2765" customWidth="1"/>
    <col min="1541" max="1541" width="11.42578125" style="2765" customWidth="1"/>
    <col min="1542" max="1542" width="11.28515625" style="2765" customWidth="1"/>
    <col min="1543" max="1543" width="13.5703125" style="2765" customWidth="1"/>
    <col min="1544" max="1544" width="10.5703125" style="2765" customWidth="1"/>
    <col min="1545" max="1545" width="11.7109375" style="2765" customWidth="1"/>
    <col min="1546" max="1546" width="13.7109375" style="2765" customWidth="1"/>
    <col min="1547" max="1792" width="9.140625" style="2765"/>
    <col min="1793" max="1793" width="38.140625" style="2765" customWidth="1"/>
    <col min="1794" max="1794" width="10.140625" style="2765" customWidth="1"/>
    <col min="1795" max="1795" width="12.85546875" style="2765" customWidth="1"/>
    <col min="1796" max="1796" width="11.7109375" style="2765" customWidth="1"/>
    <col min="1797" max="1797" width="11.42578125" style="2765" customWidth="1"/>
    <col min="1798" max="1798" width="11.28515625" style="2765" customWidth="1"/>
    <col min="1799" max="1799" width="13.5703125" style="2765" customWidth="1"/>
    <col min="1800" max="1800" width="10.5703125" style="2765" customWidth="1"/>
    <col min="1801" max="1801" width="11.7109375" style="2765" customWidth="1"/>
    <col min="1802" max="1802" width="13.7109375" style="2765" customWidth="1"/>
    <col min="1803" max="2048" width="9.140625" style="2765"/>
    <col min="2049" max="2049" width="38.140625" style="2765" customWidth="1"/>
    <col min="2050" max="2050" width="10.140625" style="2765" customWidth="1"/>
    <col min="2051" max="2051" width="12.85546875" style="2765" customWidth="1"/>
    <col min="2052" max="2052" width="11.7109375" style="2765" customWidth="1"/>
    <col min="2053" max="2053" width="11.42578125" style="2765" customWidth="1"/>
    <col min="2054" max="2054" width="11.28515625" style="2765" customWidth="1"/>
    <col min="2055" max="2055" width="13.5703125" style="2765" customWidth="1"/>
    <col min="2056" max="2056" width="10.5703125" style="2765" customWidth="1"/>
    <col min="2057" max="2057" width="11.7109375" style="2765" customWidth="1"/>
    <col min="2058" max="2058" width="13.7109375" style="2765" customWidth="1"/>
    <col min="2059" max="2304" width="9.140625" style="2765"/>
    <col min="2305" max="2305" width="38.140625" style="2765" customWidth="1"/>
    <col min="2306" max="2306" width="10.140625" style="2765" customWidth="1"/>
    <col min="2307" max="2307" width="12.85546875" style="2765" customWidth="1"/>
    <col min="2308" max="2308" width="11.7109375" style="2765" customWidth="1"/>
    <col min="2309" max="2309" width="11.42578125" style="2765" customWidth="1"/>
    <col min="2310" max="2310" width="11.28515625" style="2765" customWidth="1"/>
    <col min="2311" max="2311" width="13.5703125" style="2765" customWidth="1"/>
    <col min="2312" max="2312" width="10.5703125" style="2765" customWidth="1"/>
    <col min="2313" max="2313" width="11.7109375" style="2765" customWidth="1"/>
    <col min="2314" max="2314" width="13.7109375" style="2765" customWidth="1"/>
    <col min="2315" max="2560" width="9.140625" style="2765"/>
    <col min="2561" max="2561" width="38.140625" style="2765" customWidth="1"/>
    <col min="2562" max="2562" width="10.140625" style="2765" customWidth="1"/>
    <col min="2563" max="2563" width="12.85546875" style="2765" customWidth="1"/>
    <col min="2564" max="2564" width="11.7109375" style="2765" customWidth="1"/>
    <col min="2565" max="2565" width="11.42578125" style="2765" customWidth="1"/>
    <col min="2566" max="2566" width="11.28515625" style="2765" customWidth="1"/>
    <col min="2567" max="2567" width="13.5703125" style="2765" customWidth="1"/>
    <col min="2568" max="2568" width="10.5703125" style="2765" customWidth="1"/>
    <col min="2569" max="2569" width="11.7109375" style="2765" customWidth="1"/>
    <col min="2570" max="2570" width="13.7109375" style="2765" customWidth="1"/>
    <col min="2571" max="2816" width="9.140625" style="2765"/>
    <col min="2817" max="2817" width="38.140625" style="2765" customWidth="1"/>
    <col min="2818" max="2818" width="10.140625" style="2765" customWidth="1"/>
    <col min="2819" max="2819" width="12.85546875" style="2765" customWidth="1"/>
    <col min="2820" max="2820" width="11.7109375" style="2765" customWidth="1"/>
    <col min="2821" max="2821" width="11.42578125" style="2765" customWidth="1"/>
    <col min="2822" max="2822" width="11.28515625" style="2765" customWidth="1"/>
    <col min="2823" max="2823" width="13.5703125" style="2765" customWidth="1"/>
    <col min="2824" max="2824" width="10.5703125" style="2765" customWidth="1"/>
    <col min="2825" max="2825" width="11.7109375" style="2765" customWidth="1"/>
    <col min="2826" max="2826" width="13.7109375" style="2765" customWidth="1"/>
    <col min="2827" max="3072" width="9.140625" style="2765"/>
    <col min="3073" max="3073" width="38.140625" style="2765" customWidth="1"/>
    <col min="3074" max="3074" width="10.140625" style="2765" customWidth="1"/>
    <col min="3075" max="3075" width="12.85546875" style="2765" customWidth="1"/>
    <col min="3076" max="3076" width="11.7109375" style="2765" customWidth="1"/>
    <col min="3077" max="3077" width="11.42578125" style="2765" customWidth="1"/>
    <col min="3078" max="3078" width="11.28515625" style="2765" customWidth="1"/>
    <col min="3079" max="3079" width="13.5703125" style="2765" customWidth="1"/>
    <col min="3080" max="3080" width="10.5703125" style="2765" customWidth="1"/>
    <col min="3081" max="3081" width="11.7109375" style="2765" customWidth="1"/>
    <col min="3082" max="3082" width="13.7109375" style="2765" customWidth="1"/>
    <col min="3083" max="3328" width="9.140625" style="2765"/>
    <col min="3329" max="3329" width="38.140625" style="2765" customWidth="1"/>
    <col min="3330" max="3330" width="10.140625" style="2765" customWidth="1"/>
    <col min="3331" max="3331" width="12.85546875" style="2765" customWidth="1"/>
    <col min="3332" max="3332" width="11.7109375" style="2765" customWidth="1"/>
    <col min="3333" max="3333" width="11.42578125" style="2765" customWidth="1"/>
    <col min="3334" max="3334" width="11.28515625" style="2765" customWidth="1"/>
    <col min="3335" max="3335" width="13.5703125" style="2765" customWidth="1"/>
    <col min="3336" max="3336" width="10.5703125" style="2765" customWidth="1"/>
    <col min="3337" max="3337" width="11.7109375" style="2765" customWidth="1"/>
    <col min="3338" max="3338" width="13.7109375" style="2765" customWidth="1"/>
    <col min="3339" max="3584" width="9.140625" style="2765"/>
    <col min="3585" max="3585" width="38.140625" style="2765" customWidth="1"/>
    <col min="3586" max="3586" width="10.140625" style="2765" customWidth="1"/>
    <col min="3587" max="3587" width="12.85546875" style="2765" customWidth="1"/>
    <col min="3588" max="3588" width="11.7109375" style="2765" customWidth="1"/>
    <col min="3589" max="3589" width="11.42578125" style="2765" customWidth="1"/>
    <col min="3590" max="3590" width="11.28515625" style="2765" customWidth="1"/>
    <col min="3591" max="3591" width="13.5703125" style="2765" customWidth="1"/>
    <col min="3592" max="3592" width="10.5703125" style="2765" customWidth="1"/>
    <col min="3593" max="3593" width="11.7109375" style="2765" customWidth="1"/>
    <col min="3594" max="3594" width="13.7109375" style="2765" customWidth="1"/>
    <col min="3595" max="3840" width="9.140625" style="2765"/>
    <col min="3841" max="3841" width="38.140625" style="2765" customWidth="1"/>
    <col min="3842" max="3842" width="10.140625" style="2765" customWidth="1"/>
    <col min="3843" max="3843" width="12.85546875" style="2765" customWidth="1"/>
    <col min="3844" max="3844" width="11.7109375" style="2765" customWidth="1"/>
    <col min="3845" max="3845" width="11.42578125" style="2765" customWidth="1"/>
    <col min="3846" max="3846" width="11.28515625" style="2765" customWidth="1"/>
    <col min="3847" max="3847" width="13.5703125" style="2765" customWidth="1"/>
    <col min="3848" max="3848" width="10.5703125" style="2765" customWidth="1"/>
    <col min="3849" max="3849" width="11.7109375" style="2765" customWidth="1"/>
    <col min="3850" max="3850" width="13.7109375" style="2765" customWidth="1"/>
    <col min="3851" max="4096" width="9.140625" style="2765"/>
    <col min="4097" max="4097" width="38.140625" style="2765" customWidth="1"/>
    <col min="4098" max="4098" width="10.140625" style="2765" customWidth="1"/>
    <col min="4099" max="4099" width="12.85546875" style="2765" customWidth="1"/>
    <col min="4100" max="4100" width="11.7109375" style="2765" customWidth="1"/>
    <col min="4101" max="4101" width="11.42578125" style="2765" customWidth="1"/>
    <col min="4102" max="4102" width="11.28515625" style="2765" customWidth="1"/>
    <col min="4103" max="4103" width="13.5703125" style="2765" customWidth="1"/>
    <col min="4104" max="4104" width="10.5703125" style="2765" customWidth="1"/>
    <col min="4105" max="4105" width="11.7109375" style="2765" customWidth="1"/>
    <col min="4106" max="4106" width="13.7109375" style="2765" customWidth="1"/>
    <col min="4107" max="4352" width="9.140625" style="2765"/>
    <col min="4353" max="4353" width="38.140625" style="2765" customWidth="1"/>
    <col min="4354" max="4354" width="10.140625" style="2765" customWidth="1"/>
    <col min="4355" max="4355" width="12.85546875" style="2765" customWidth="1"/>
    <col min="4356" max="4356" width="11.7109375" style="2765" customWidth="1"/>
    <col min="4357" max="4357" width="11.42578125" style="2765" customWidth="1"/>
    <col min="4358" max="4358" width="11.28515625" style="2765" customWidth="1"/>
    <col min="4359" max="4359" width="13.5703125" style="2765" customWidth="1"/>
    <col min="4360" max="4360" width="10.5703125" style="2765" customWidth="1"/>
    <col min="4361" max="4361" width="11.7109375" style="2765" customWidth="1"/>
    <col min="4362" max="4362" width="13.7109375" style="2765" customWidth="1"/>
    <col min="4363" max="4608" width="9.140625" style="2765"/>
    <col min="4609" max="4609" width="38.140625" style="2765" customWidth="1"/>
    <col min="4610" max="4610" width="10.140625" style="2765" customWidth="1"/>
    <col min="4611" max="4611" width="12.85546875" style="2765" customWidth="1"/>
    <col min="4612" max="4612" width="11.7109375" style="2765" customWidth="1"/>
    <col min="4613" max="4613" width="11.42578125" style="2765" customWidth="1"/>
    <col min="4614" max="4614" width="11.28515625" style="2765" customWidth="1"/>
    <col min="4615" max="4615" width="13.5703125" style="2765" customWidth="1"/>
    <col min="4616" max="4616" width="10.5703125" style="2765" customWidth="1"/>
    <col min="4617" max="4617" width="11.7109375" style="2765" customWidth="1"/>
    <col min="4618" max="4618" width="13.7109375" style="2765" customWidth="1"/>
    <col min="4619" max="4864" width="9.140625" style="2765"/>
    <col min="4865" max="4865" width="38.140625" style="2765" customWidth="1"/>
    <col min="4866" max="4866" width="10.140625" style="2765" customWidth="1"/>
    <col min="4867" max="4867" width="12.85546875" style="2765" customWidth="1"/>
    <col min="4868" max="4868" width="11.7109375" style="2765" customWidth="1"/>
    <col min="4869" max="4869" width="11.42578125" style="2765" customWidth="1"/>
    <col min="4870" max="4870" width="11.28515625" style="2765" customWidth="1"/>
    <col min="4871" max="4871" width="13.5703125" style="2765" customWidth="1"/>
    <col min="4872" max="4872" width="10.5703125" style="2765" customWidth="1"/>
    <col min="4873" max="4873" width="11.7109375" style="2765" customWidth="1"/>
    <col min="4874" max="4874" width="13.7109375" style="2765" customWidth="1"/>
    <col min="4875" max="5120" width="9.140625" style="2765"/>
    <col min="5121" max="5121" width="38.140625" style="2765" customWidth="1"/>
    <col min="5122" max="5122" width="10.140625" style="2765" customWidth="1"/>
    <col min="5123" max="5123" width="12.85546875" style="2765" customWidth="1"/>
    <col min="5124" max="5124" width="11.7109375" style="2765" customWidth="1"/>
    <col min="5125" max="5125" width="11.42578125" style="2765" customWidth="1"/>
    <col min="5126" max="5126" width="11.28515625" style="2765" customWidth="1"/>
    <col min="5127" max="5127" width="13.5703125" style="2765" customWidth="1"/>
    <col min="5128" max="5128" width="10.5703125" style="2765" customWidth="1"/>
    <col min="5129" max="5129" width="11.7109375" style="2765" customWidth="1"/>
    <col min="5130" max="5130" width="13.7109375" style="2765" customWidth="1"/>
    <col min="5131" max="5376" width="9.140625" style="2765"/>
    <col min="5377" max="5377" width="38.140625" style="2765" customWidth="1"/>
    <col min="5378" max="5378" width="10.140625" style="2765" customWidth="1"/>
    <col min="5379" max="5379" width="12.85546875" style="2765" customWidth="1"/>
    <col min="5380" max="5380" width="11.7109375" style="2765" customWidth="1"/>
    <col min="5381" max="5381" width="11.42578125" style="2765" customWidth="1"/>
    <col min="5382" max="5382" width="11.28515625" style="2765" customWidth="1"/>
    <col min="5383" max="5383" width="13.5703125" style="2765" customWidth="1"/>
    <col min="5384" max="5384" width="10.5703125" style="2765" customWidth="1"/>
    <col min="5385" max="5385" width="11.7109375" style="2765" customWidth="1"/>
    <col min="5386" max="5386" width="13.7109375" style="2765" customWidth="1"/>
    <col min="5387" max="5632" width="9.140625" style="2765"/>
    <col min="5633" max="5633" width="38.140625" style="2765" customWidth="1"/>
    <col min="5634" max="5634" width="10.140625" style="2765" customWidth="1"/>
    <col min="5635" max="5635" width="12.85546875" style="2765" customWidth="1"/>
    <col min="5636" max="5636" width="11.7109375" style="2765" customWidth="1"/>
    <col min="5637" max="5637" width="11.42578125" style="2765" customWidth="1"/>
    <col min="5638" max="5638" width="11.28515625" style="2765" customWidth="1"/>
    <col min="5639" max="5639" width="13.5703125" style="2765" customWidth="1"/>
    <col min="5640" max="5640" width="10.5703125" style="2765" customWidth="1"/>
    <col min="5641" max="5641" width="11.7109375" style="2765" customWidth="1"/>
    <col min="5642" max="5642" width="13.7109375" style="2765" customWidth="1"/>
    <col min="5643" max="5888" width="9.140625" style="2765"/>
    <col min="5889" max="5889" width="38.140625" style="2765" customWidth="1"/>
    <col min="5890" max="5890" width="10.140625" style="2765" customWidth="1"/>
    <col min="5891" max="5891" width="12.85546875" style="2765" customWidth="1"/>
    <col min="5892" max="5892" width="11.7109375" style="2765" customWidth="1"/>
    <col min="5893" max="5893" width="11.42578125" style="2765" customWidth="1"/>
    <col min="5894" max="5894" width="11.28515625" style="2765" customWidth="1"/>
    <col min="5895" max="5895" width="13.5703125" style="2765" customWidth="1"/>
    <col min="5896" max="5896" width="10.5703125" style="2765" customWidth="1"/>
    <col min="5897" max="5897" width="11.7109375" style="2765" customWidth="1"/>
    <col min="5898" max="5898" width="13.7109375" style="2765" customWidth="1"/>
    <col min="5899" max="6144" width="9.140625" style="2765"/>
    <col min="6145" max="6145" width="38.140625" style="2765" customWidth="1"/>
    <col min="6146" max="6146" width="10.140625" style="2765" customWidth="1"/>
    <col min="6147" max="6147" width="12.85546875" style="2765" customWidth="1"/>
    <col min="6148" max="6148" width="11.7109375" style="2765" customWidth="1"/>
    <col min="6149" max="6149" width="11.42578125" style="2765" customWidth="1"/>
    <col min="6150" max="6150" width="11.28515625" style="2765" customWidth="1"/>
    <col min="6151" max="6151" width="13.5703125" style="2765" customWidth="1"/>
    <col min="6152" max="6152" width="10.5703125" style="2765" customWidth="1"/>
    <col min="6153" max="6153" width="11.7109375" style="2765" customWidth="1"/>
    <col min="6154" max="6154" width="13.7109375" style="2765" customWidth="1"/>
    <col min="6155" max="6400" width="9.140625" style="2765"/>
    <col min="6401" max="6401" width="38.140625" style="2765" customWidth="1"/>
    <col min="6402" max="6402" width="10.140625" style="2765" customWidth="1"/>
    <col min="6403" max="6403" width="12.85546875" style="2765" customWidth="1"/>
    <col min="6404" max="6404" width="11.7109375" style="2765" customWidth="1"/>
    <col min="6405" max="6405" width="11.42578125" style="2765" customWidth="1"/>
    <col min="6406" max="6406" width="11.28515625" style="2765" customWidth="1"/>
    <col min="6407" max="6407" width="13.5703125" style="2765" customWidth="1"/>
    <col min="6408" max="6408" width="10.5703125" style="2765" customWidth="1"/>
    <col min="6409" max="6409" width="11.7109375" style="2765" customWidth="1"/>
    <col min="6410" max="6410" width="13.7109375" style="2765" customWidth="1"/>
    <col min="6411" max="6656" width="9.140625" style="2765"/>
    <col min="6657" max="6657" width="38.140625" style="2765" customWidth="1"/>
    <col min="6658" max="6658" width="10.140625" style="2765" customWidth="1"/>
    <col min="6659" max="6659" width="12.85546875" style="2765" customWidth="1"/>
    <col min="6660" max="6660" width="11.7109375" style="2765" customWidth="1"/>
    <col min="6661" max="6661" width="11.42578125" style="2765" customWidth="1"/>
    <col min="6662" max="6662" width="11.28515625" style="2765" customWidth="1"/>
    <col min="6663" max="6663" width="13.5703125" style="2765" customWidth="1"/>
    <col min="6664" max="6664" width="10.5703125" style="2765" customWidth="1"/>
    <col min="6665" max="6665" width="11.7109375" style="2765" customWidth="1"/>
    <col min="6666" max="6666" width="13.7109375" style="2765" customWidth="1"/>
    <col min="6667" max="6912" width="9.140625" style="2765"/>
    <col min="6913" max="6913" width="38.140625" style="2765" customWidth="1"/>
    <col min="6914" max="6914" width="10.140625" style="2765" customWidth="1"/>
    <col min="6915" max="6915" width="12.85546875" style="2765" customWidth="1"/>
    <col min="6916" max="6916" width="11.7109375" style="2765" customWidth="1"/>
    <col min="6917" max="6917" width="11.42578125" style="2765" customWidth="1"/>
    <col min="6918" max="6918" width="11.28515625" style="2765" customWidth="1"/>
    <col min="6919" max="6919" width="13.5703125" style="2765" customWidth="1"/>
    <col min="6920" max="6920" width="10.5703125" style="2765" customWidth="1"/>
    <col min="6921" max="6921" width="11.7109375" style="2765" customWidth="1"/>
    <col min="6922" max="6922" width="13.7109375" style="2765" customWidth="1"/>
    <col min="6923" max="7168" width="9.140625" style="2765"/>
    <col min="7169" max="7169" width="38.140625" style="2765" customWidth="1"/>
    <col min="7170" max="7170" width="10.140625" style="2765" customWidth="1"/>
    <col min="7171" max="7171" width="12.85546875" style="2765" customWidth="1"/>
    <col min="7172" max="7172" width="11.7109375" style="2765" customWidth="1"/>
    <col min="7173" max="7173" width="11.42578125" style="2765" customWidth="1"/>
    <col min="7174" max="7174" width="11.28515625" style="2765" customWidth="1"/>
    <col min="7175" max="7175" width="13.5703125" style="2765" customWidth="1"/>
    <col min="7176" max="7176" width="10.5703125" style="2765" customWidth="1"/>
    <col min="7177" max="7177" width="11.7109375" style="2765" customWidth="1"/>
    <col min="7178" max="7178" width="13.7109375" style="2765" customWidth="1"/>
    <col min="7179" max="7424" width="9.140625" style="2765"/>
    <col min="7425" max="7425" width="38.140625" style="2765" customWidth="1"/>
    <col min="7426" max="7426" width="10.140625" style="2765" customWidth="1"/>
    <col min="7427" max="7427" width="12.85546875" style="2765" customWidth="1"/>
    <col min="7428" max="7428" width="11.7109375" style="2765" customWidth="1"/>
    <col min="7429" max="7429" width="11.42578125" style="2765" customWidth="1"/>
    <col min="7430" max="7430" width="11.28515625" style="2765" customWidth="1"/>
    <col min="7431" max="7431" width="13.5703125" style="2765" customWidth="1"/>
    <col min="7432" max="7432" width="10.5703125" style="2765" customWidth="1"/>
    <col min="7433" max="7433" width="11.7109375" style="2765" customWidth="1"/>
    <col min="7434" max="7434" width="13.7109375" style="2765" customWidth="1"/>
    <col min="7435" max="7680" width="9.140625" style="2765"/>
    <col min="7681" max="7681" width="38.140625" style="2765" customWidth="1"/>
    <col min="7682" max="7682" width="10.140625" style="2765" customWidth="1"/>
    <col min="7683" max="7683" width="12.85546875" style="2765" customWidth="1"/>
    <col min="7684" max="7684" width="11.7109375" style="2765" customWidth="1"/>
    <col min="7685" max="7685" width="11.42578125" style="2765" customWidth="1"/>
    <col min="7686" max="7686" width="11.28515625" style="2765" customWidth="1"/>
    <col min="7687" max="7687" width="13.5703125" style="2765" customWidth="1"/>
    <col min="7688" max="7688" width="10.5703125" style="2765" customWidth="1"/>
    <col min="7689" max="7689" width="11.7109375" style="2765" customWidth="1"/>
    <col min="7690" max="7690" width="13.7109375" style="2765" customWidth="1"/>
    <col min="7691" max="7936" width="9.140625" style="2765"/>
    <col min="7937" max="7937" width="38.140625" style="2765" customWidth="1"/>
    <col min="7938" max="7938" width="10.140625" style="2765" customWidth="1"/>
    <col min="7939" max="7939" width="12.85546875" style="2765" customWidth="1"/>
    <col min="7940" max="7940" width="11.7109375" style="2765" customWidth="1"/>
    <col min="7941" max="7941" width="11.42578125" style="2765" customWidth="1"/>
    <col min="7942" max="7942" width="11.28515625" style="2765" customWidth="1"/>
    <col min="7943" max="7943" width="13.5703125" style="2765" customWidth="1"/>
    <col min="7944" max="7944" width="10.5703125" style="2765" customWidth="1"/>
    <col min="7945" max="7945" width="11.7109375" style="2765" customWidth="1"/>
    <col min="7946" max="7946" width="13.7109375" style="2765" customWidth="1"/>
    <col min="7947" max="8192" width="9.140625" style="2765"/>
    <col min="8193" max="8193" width="38.140625" style="2765" customWidth="1"/>
    <col min="8194" max="8194" width="10.140625" style="2765" customWidth="1"/>
    <col min="8195" max="8195" width="12.85546875" style="2765" customWidth="1"/>
    <col min="8196" max="8196" width="11.7109375" style="2765" customWidth="1"/>
    <col min="8197" max="8197" width="11.42578125" style="2765" customWidth="1"/>
    <col min="8198" max="8198" width="11.28515625" style="2765" customWidth="1"/>
    <col min="8199" max="8199" width="13.5703125" style="2765" customWidth="1"/>
    <col min="8200" max="8200" width="10.5703125" style="2765" customWidth="1"/>
    <col min="8201" max="8201" width="11.7109375" style="2765" customWidth="1"/>
    <col min="8202" max="8202" width="13.7109375" style="2765" customWidth="1"/>
    <col min="8203" max="8448" width="9.140625" style="2765"/>
    <col min="8449" max="8449" width="38.140625" style="2765" customWidth="1"/>
    <col min="8450" max="8450" width="10.140625" style="2765" customWidth="1"/>
    <col min="8451" max="8451" width="12.85546875" style="2765" customWidth="1"/>
    <col min="8452" max="8452" width="11.7109375" style="2765" customWidth="1"/>
    <col min="8453" max="8453" width="11.42578125" style="2765" customWidth="1"/>
    <col min="8454" max="8454" width="11.28515625" style="2765" customWidth="1"/>
    <col min="8455" max="8455" width="13.5703125" style="2765" customWidth="1"/>
    <col min="8456" max="8456" width="10.5703125" style="2765" customWidth="1"/>
    <col min="8457" max="8457" width="11.7109375" style="2765" customWidth="1"/>
    <col min="8458" max="8458" width="13.7109375" style="2765" customWidth="1"/>
    <col min="8459" max="8704" width="9.140625" style="2765"/>
    <col min="8705" max="8705" width="38.140625" style="2765" customWidth="1"/>
    <col min="8706" max="8706" width="10.140625" style="2765" customWidth="1"/>
    <col min="8707" max="8707" width="12.85546875" style="2765" customWidth="1"/>
    <col min="8708" max="8708" width="11.7109375" style="2765" customWidth="1"/>
    <col min="8709" max="8709" width="11.42578125" style="2765" customWidth="1"/>
    <col min="8710" max="8710" width="11.28515625" style="2765" customWidth="1"/>
    <col min="8711" max="8711" width="13.5703125" style="2765" customWidth="1"/>
    <col min="8712" max="8712" width="10.5703125" style="2765" customWidth="1"/>
    <col min="8713" max="8713" width="11.7109375" style="2765" customWidth="1"/>
    <col min="8714" max="8714" width="13.7109375" style="2765" customWidth="1"/>
    <col min="8715" max="8960" width="9.140625" style="2765"/>
    <col min="8961" max="8961" width="38.140625" style="2765" customWidth="1"/>
    <col min="8962" max="8962" width="10.140625" style="2765" customWidth="1"/>
    <col min="8963" max="8963" width="12.85546875" style="2765" customWidth="1"/>
    <col min="8964" max="8964" width="11.7109375" style="2765" customWidth="1"/>
    <col min="8965" max="8965" width="11.42578125" style="2765" customWidth="1"/>
    <col min="8966" max="8966" width="11.28515625" style="2765" customWidth="1"/>
    <col min="8967" max="8967" width="13.5703125" style="2765" customWidth="1"/>
    <col min="8968" max="8968" width="10.5703125" style="2765" customWidth="1"/>
    <col min="8969" max="8969" width="11.7109375" style="2765" customWidth="1"/>
    <col min="8970" max="8970" width="13.7109375" style="2765" customWidth="1"/>
    <col min="8971" max="9216" width="9.140625" style="2765"/>
    <col min="9217" max="9217" width="38.140625" style="2765" customWidth="1"/>
    <col min="9218" max="9218" width="10.140625" style="2765" customWidth="1"/>
    <col min="9219" max="9219" width="12.85546875" style="2765" customWidth="1"/>
    <col min="9220" max="9220" width="11.7109375" style="2765" customWidth="1"/>
    <col min="9221" max="9221" width="11.42578125" style="2765" customWidth="1"/>
    <col min="9222" max="9222" width="11.28515625" style="2765" customWidth="1"/>
    <col min="9223" max="9223" width="13.5703125" style="2765" customWidth="1"/>
    <col min="9224" max="9224" width="10.5703125" style="2765" customWidth="1"/>
    <col min="9225" max="9225" width="11.7109375" style="2765" customWidth="1"/>
    <col min="9226" max="9226" width="13.7109375" style="2765" customWidth="1"/>
    <col min="9227" max="9472" width="9.140625" style="2765"/>
    <col min="9473" max="9473" width="38.140625" style="2765" customWidth="1"/>
    <col min="9474" max="9474" width="10.140625" style="2765" customWidth="1"/>
    <col min="9475" max="9475" width="12.85546875" style="2765" customWidth="1"/>
    <col min="9476" max="9476" width="11.7109375" style="2765" customWidth="1"/>
    <col min="9477" max="9477" width="11.42578125" style="2765" customWidth="1"/>
    <col min="9478" max="9478" width="11.28515625" style="2765" customWidth="1"/>
    <col min="9479" max="9479" width="13.5703125" style="2765" customWidth="1"/>
    <col min="9480" max="9480" width="10.5703125" style="2765" customWidth="1"/>
    <col min="9481" max="9481" width="11.7109375" style="2765" customWidth="1"/>
    <col min="9482" max="9482" width="13.7109375" style="2765" customWidth="1"/>
    <col min="9483" max="9728" width="9.140625" style="2765"/>
    <col min="9729" max="9729" width="38.140625" style="2765" customWidth="1"/>
    <col min="9730" max="9730" width="10.140625" style="2765" customWidth="1"/>
    <col min="9731" max="9731" width="12.85546875" style="2765" customWidth="1"/>
    <col min="9732" max="9732" width="11.7109375" style="2765" customWidth="1"/>
    <col min="9733" max="9733" width="11.42578125" style="2765" customWidth="1"/>
    <col min="9734" max="9734" width="11.28515625" style="2765" customWidth="1"/>
    <col min="9735" max="9735" width="13.5703125" style="2765" customWidth="1"/>
    <col min="9736" max="9736" width="10.5703125" style="2765" customWidth="1"/>
    <col min="9737" max="9737" width="11.7109375" style="2765" customWidth="1"/>
    <col min="9738" max="9738" width="13.7109375" style="2765" customWidth="1"/>
    <col min="9739" max="9984" width="9.140625" style="2765"/>
    <col min="9985" max="9985" width="38.140625" style="2765" customWidth="1"/>
    <col min="9986" max="9986" width="10.140625" style="2765" customWidth="1"/>
    <col min="9987" max="9987" width="12.85546875" style="2765" customWidth="1"/>
    <col min="9988" max="9988" width="11.7109375" style="2765" customWidth="1"/>
    <col min="9989" max="9989" width="11.42578125" style="2765" customWidth="1"/>
    <col min="9990" max="9990" width="11.28515625" style="2765" customWidth="1"/>
    <col min="9991" max="9991" width="13.5703125" style="2765" customWidth="1"/>
    <col min="9992" max="9992" width="10.5703125" style="2765" customWidth="1"/>
    <col min="9993" max="9993" width="11.7109375" style="2765" customWidth="1"/>
    <col min="9994" max="9994" width="13.7109375" style="2765" customWidth="1"/>
    <col min="9995" max="10240" width="9.140625" style="2765"/>
    <col min="10241" max="10241" width="38.140625" style="2765" customWidth="1"/>
    <col min="10242" max="10242" width="10.140625" style="2765" customWidth="1"/>
    <col min="10243" max="10243" width="12.85546875" style="2765" customWidth="1"/>
    <col min="10244" max="10244" width="11.7109375" style="2765" customWidth="1"/>
    <col min="10245" max="10245" width="11.42578125" style="2765" customWidth="1"/>
    <col min="10246" max="10246" width="11.28515625" style="2765" customWidth="1"/>
    <col min="10247" max="10247" width="13.5703125" style="2765" customWidth="1"/>
    <col min="10248" max="10248" width="10.5703125" style="2765" customWidth="1"/>
    <col min="10249" max="10249" width="11.7109375" style="2765" customWidth="1"/>
    <col min="10250" max="10250" width="13.7109375" style="2765" customWidth="1"/>
    <col min="10251" max="10496" width="9.140625" style="2765"/>
    <col min="10497" max="10497" width="38.140625" style="2765" customWidth="1"/>
    <col min="10498" max="10498" width="10.140625" style="2765" customWidth="1"/>
    <col min="10499" max="10499" width="12.85546875" style="2765" customWidth="1"/>
    <col min="10500" max="10500" width="11.7109375" style="2765" customWidth="1"/>
    <col min="10501" max="10501" width="11.42578125" style="2765" customWidth="1"/>
    <col min="10502" max="10502" width="11.28515625" style="2765" customWidth="1"/>
    <col min="10503" max="10503" width="13.5703125" style="2765" customWidth="1"/>
    <col min="10504" max="10504" width="10.5703125" style="2765" customWidth="1"/>
    <col min="10505" max="10505" width="11.7109375" style="2765" customWidth="1"/>
    <col min="10506" max="10506" width="13.7109375" style="2765" customWidth="1"/>
    <col min="10507" max="10752" width="9.140625" style="2765"/>
    <col min="10753" max="10753" width="38.140625" style="2765" customWidth="1"/>
    <col min="10754" max="10754" width="10.140625" style="2765" customWidth="1"/>
    <col min="10755" max="10755" width="12.85546875" style="2765" customWidth="1"/>
    <col min="10756" max="10756" width="11.7109375" style="2765" customWidth="1"/>
    <col min="10757" max="10757" width="11.42578125" style="2765" customWidth="1"/>
    <col min="10758" max="10758" width="11.28515625" style="2765" customWidth="1"/>
    <col min="10759" max="10759" width="13.5703125" style="2765" customWidth="1"/>
    <col min="10760" max="10760" width="10.5703125" style="2765" customWidth="1"/>
    <col min="10761" max="10761" width="11.7109375" style="2765" customWidth="1"/>
    <col min="10762" max="10762" width="13.7109375" style="2765" customWidth="1"/>
    <col min="10763" max="11008" width="9.140625" style="2765"/>
    <col min="11009" max="11009" width="38.140625" style="2765" customWidth="1"/>
    <col min="11010" max="11010" width="10.140625" style="2765" customWidth="1"/>
    <col min="11011" max="11011" width="12.85546875" style="2765" customWidth="1"/>
    <col min="11012" max="11012" width="11.7109375" style="2765" customWidth="1"/>
    <col min="11013" max="11013" width="11.42578125" style="2765" customWidth="1"/>
    <col min="11014" max="11014" width="11.28515625" style="2765" customWidth="1"/>
    <col min="11015" max="11015" width="13.5703125" style="2765" customWidth="1"/>
    <col min="11016" max="11016" width="10.5703125" style="2765" customWidth="1"/>
    <col min="11017" max="11017" width="11.7109375" style="2765" customWidth="1"/>
    <col min="11018" max="11018" width="13.7109375" style="2765" customWidth="1"/>
    <col min="11019" max="11264" width="9.140625" style="2765"/>
    <col min="11265" max="11265" width="38.140625" style="2765" customWidth="1"/>
    <col min="11266" max="11266" width="10.140625" style="2765" customWidth="1"/>
    <col min="11267" max="11267" width="12.85546875" style="2765" customWidth="1"/>
    <col min="11268" max="11268" width="11.7109375" style="2765" customWidth="1"/>
    <col min="11269" max="11269" width="11.42578125" style="2765" customWidth="1"/>
    <col min="11270" max="11270" width="11.28515625" style="2765" customWidth="1"/>
    <col min="11271" max="11271" width="13.5703125" style="2765" customWidth="1"/>
    <col min="11272" max="11272" width="10.5703125" style="2765" customWidth="1"/>
    <col min="11273" max="11273" width="11.7109375" style="2765" customWidth="1"/>
    <col min="11274" max="11274" width="13.7109375" style="2765" customWidth="1"/>
    <col min="11275" max="11520" width="9.140625" style="2765"/>
    <col min="11521" max="11521" width="38.140625" style="2765" customWidth="1"/>
    <col min="11522" max="11522" width="10.140625" style="2765" customWidth="1"/>
    <col min="11523" max="11523" width="12.85546875" style="2765" customWidth="1"/>
    <col min="11524" max="11524" width="11.7109375" style="2765" customWidth="1"/>
    <col min="11525" max="11525" width="11.42578125" style="2765" customWidth="1"/>
    <col min="11526" max="11526" width="11.28515625" style="2765" customWidth="1"/>
    <col min="11527" max="11527" width="13.5703125" style="2765" customWidth="1"/>
    <col min="11528" max="11528" width="10.5703125" style="2765" customWidth="1"/>
    <col min="11529" max="11529" width="11.7109375" style="2765" customWidth="1"/>
    <col min="11530" max="11530" width="13.7109375" style="2765" customWidth="1"/>
    <col min="11531" max="11776" width="9.140625" style="2765"/>
    <col min="11777" max="11777" width="38.140625" style="2765" customWidth="1"/>
    <col min="11778" max="11778" width="10.140625" style="2765" customWidth="1"/>
    <col min="11779" max="11779" width="12.85546875" style="2765" customWidth="1"/>
    <col min="11780" max="11780" width="11.7109375" style="2765" customWidth="1"/>
    <col min="11781" max="11781" width="11.42578125" style="2765" customWidth="1"/>
    <col min="11782" max="11782" width="11.28515625" style="2765" customWidth="1"/>
    <col min="11783" max="11783" width="13.5703125" style="2765" customWidth="1"/>
    <col min="11784" max="11784" width="10.5703125" style="2765" customWidth="1"/>
    <col min="11785" max="11785" width="11.7109375" style="2765" customWidth="1"/>
    <col min="11786" max="11786" width="13.7109375" style="2765" customWidth="1"/>
    <col min="11787" max="12032" width="9.140625" style="2765"/>
    <col min="12033" max="12033" width="38.140625" style="2765" customWidth="1"/>
    <col min="12034" max="12034" width="10.140625" style="2765" customWidth="1"/>
    <col min="12035" max="12035" width="12.85546875" style="2765" customWidth="1"/>
    <col min="12036" max="12036" width="11.7109375" style="2765" customWidth="1"/>
    <col min="12037" max="12037" width="11.42578125" style="2765" customWidth="1"/>
    <col min="12038" max="12038" width="11.28515625" style="2765" customWidth="1"/>
    <col min="12039" max="12039" width="13.5703125" style="2765" customWidth="1"/>
    <col min="12040" max="12040" width="10.5703125" style="2765" customWidth="1"/>
    <col min="12041" max="12041" width="11.7109375" style="2765" customWidth="1"/>
    <col min="12042" max="12042" width="13.7109375" style="2765" customWidth="1"/>
    <col min="12043" max="12288" width="9.140625" style="2765"/>
    <col min="12289" max="12289" width="38.140625" style="2765" customWidth="1"/>
    <col min="12290" max="12290" width="10.140625" style="2765" customWidth="1"/>
    <col min="12291" max="12291" width="12.85546875" style="2765" customWidth="1"/>
    <col min="12292" max="12292" width="11.7109375" style="2765" customWidth="1"/>
    <col min="12293" max="12293" width="11.42578125" style="2765" customWidth="1"/>
    <col min="12294" max="12294" width="11.28515625" style="2765" customWidth="1"/>
    <col min="12295" max="12295" width="13.5703125" style="2765" customWidth="1"/>
    <col min="12296" max="12296" width="10.5703125" style="2765" customWidth="1"/>
    <col min="12297" max="12297" width="11.7109375" style="2765" customWidth="1"/>
    <col min="12298" max="12298" width="13.7109375" style="2765" customWidth="1"/>
    <col min="12299" max="12544" width="9.140625" style="2765"/>
    <col min="12545" max="12545" width="38.140625" style="2765" customWidth="1"/>
    <col min="12546" max="12546" width="10.140625" style="2765" customWidth="1"/>
    <col min="12547" max="12547" width="12.85546875" style="2765" customWidth="1"/>
    <col min="12548" max="12548" width="11.7109375" style="2765" customWidth="1"/>
    <col min="12549" max="12549" width="11.42578125" style="2765" customWidth="1"/>
    <col min="12550" max="12550" width="11.28515625" style="2765" customWidth="1"/>
    <col min="12551" max="12551" width="13.5703125" style="2765" customWidth="1"/>
    <col min="12552" max="12552" width="10.5703125" style="2765" customWidth="1"/>
    <col min="12553" max="12553" width="11.7109375" style="2765" customWidth="1"/>
    <col min="12554" max="12554" width="13.7109375" style="2765" customWidth="1"/>
    <col min="12555" max="12800" width="9.140625" style="2765"/>
    <col min="12801" max="12801" width="38.140625" style="2765" customWidth="1"/>
    <col min="12802" max="12802" width="10.140625" style="2765" customWidth="1"/>
    <col min="12803" max="12803" width="12.85546875" style="2765" customWidth="1"/>
    <col min="12804" max="12804" width="11.7109375" style="2765" customWidth="1"/>
    <col min="12805" max="12805" width="11.42578125" style="2765" customWidth="1"/>
    <col min="12806" max="12806" width="11.28515625" style="2765" customWidth="1"/>
    <col min="12807" max="12807" width="13.5703125" style="2765" customWidth="1"/>
    <col min="12808" max="12808" width="10.5703125" style="2765" customWidth="1"/>
    <col min="12809" max="12809" width="11.7109375" style="2765" customWidth="1"/>
    <col min="12810" max="12810" width="13.7109375" style="2765" customWidth="1"/>
    <col min="12811" max="13056" width="9.140625" style="2765"/>
    <col min="13057" max="13057" width="38.140625" style="2765" customWidth="1"/>
    <col min="13058" max="13058" width="10.140625" style="2765" customWidth="1"/>
    <col min="13059" max="13059" width="12.85546875" style="2765" customWidth="1"/>
    <col min="13060" max="13060" width="11.7109375" style="2765" customWidth="1"/>
    <col min="13061" max="13061" width="11.42578125" style="2765" customWidth="1"/>
    <col min="13062" max="13062" width="11.28515625" style="2765" customWidth="1"/>
    <col min="13063" max="13063" width="13.5703125" style="2765" customWidth="1"/>
    <col min="13064" max="13064" width="10.5703125" style="2765" customWidth="1"/>
    <col min="13065" max="13065" width="11.7109375" style="2765" customWidth="1"/>
    <col min="13066" max="13066" width="13.7109375" style="2765" customWidth="1"/>
    <col min="13067" max="13312" width="9.140625" style="2765"/>
    <col min="13313" max="13313" width="38.140625" style="2765" customWidth="1"/>
    <col min="13314" max="13314" width="10.140625" style="2765" customWidth="1"/>
    <col min="13315" max="13315" width="12.85546875" style="2765" customWidth="1"/>
    <col min="13316" max="13316" width="11.7109375" style="2765" customWidth="1"/>
    <col min="13317" max="13317" width="11.42578125" style="2765" customWidth="1"/>
    <col min="13318" max="13318" width="11.28515625" style="2765" customWidth="1"/>
    <col min="13319" max="13319" width="13.5703125" style="2765" customWidth="1"/>
    <col min="13320" max="13320" width="10.5703125" style="2765" customWidth="1"/>
    <col min="13321" max="13321" width="11.7109375" style="2765" customWidth="1"/>
    <col min="13322" max="13322" width="13.7109375" style="2765" customWidth="1"/>
    <col min="13323" max="13568" width="9.140625" style="2765"/>
    <col min="13569" max="13569" width="38.140625" style="2765" customWidth="1"/>
    <col min="13570" max="13570" width="10.140625" style="2765" customWidth="1"/>
    <col min="13571" max="13571" width="12.85546875" style="2765" customWidth="1"/>
    <col min="13572" max="13572" width="11.7109375" style="2765" customWidth="1"/>
    <col min="13573" max="13573" width="11.42578125" style="2765" customWidth="1"/>
    <col min="13574" max="13574" width="11.28515625" style="2765" customWidth="1"/>
    <col min="13575" max="13575" width="13.5703125" style="2765" customWidth="1"/>
    <col min="13576" max="13576" width="10.5703125" style="2765" customWidth="1"/>
    <col min="13577" max="13577" width="11.7109375" style="2765" customWidth="1"/>
    <col min="13578" max="13578" width="13.7109375" style="2765" customWidth="1"/>
    <col min="13579" max="13824" width="9.140625" style="2765"/>
    <col min="13825" max="13825" width="38.140625" style="2765" customWidth="1"/>
    <col min="13826" max="13826" width="10.140625" style="2765" customWidth="1"/>
    <col min="13827" max="13827" width="12.85546875" style="2765" customWidth="1"/>
    <col min="13828" max="13828" width="11.7109375" style="2765" customWidth="1"/>
    <col min="13829" max="13829" width="11.42578125" style="2765" customWidth="1"/>
    <col min="13830" max="13830" width="11.28515625" style="2765" customWidth="1"/>
    <col min="13831" max="13831" width="13.5703125" style="2765" customWidth="1"/>
    <col min="13832" max="13832" width="10.5703125" style="2765" customWidth="1"/>
    <col min="13833" max="13833" width="11.7109375" style="2765" customWidth="1"/>
    <col min="13834" max="13834" width="13.7109375" style="2765" customWidth="1"/>
    <col min="13835" max="14080" width="9.140625" style="2765"/>
    <col min="14081" max="14081" width="38.140625" style="2765" customWidth="1"/>
    <col min="14082" max="14082" width="10.140625" style="2765" customWidth="1"/>
    <col min="14083" max="14083" width="12.85546875" style="2765" customWidth="1"/>
    <col min="14084" max="14084" width="11.7109375" style="2765" customWidth="1"/>
    <col min="14085" max="14085" width="11.42578125" style="2765" customWidth="1"/>
    <col min="14086" max="14086" width="11.28515625" style="2765" customWidth="1"/>
    <col min="14087" max="14087" width="13.5703125" style="2765" customWidth="1"/>
    <col min="14088" max="14088" width="10.5703125" style="2765" customWidth="1"/>
    <col min="14089" max="14089" width="11.7109375" style="2765" customWidth="1"/>
    <col min="14090" max="14090" width="13.7109375" style="2765" customWidth="1"/>
    <col min="14091" max="14336" width="9.140625" style="2765"/>
    <col min="14337" max="14337" width="38.140625" style="2765" customWidth="1"/>
    <col min="14338" max="14338" width="10.140625" style="2765" customWidth="1"/>
    <col min="14339" max="14339" width="12.85546875" style="2765" customWidth="1"/>
    <col min="14340" max="14340" width="11.7109375" style="2765" customWidth="1"/>
    <col min="14341" max="14341" width="11.42578125" style="2765" customWidth="1"/>
    <col min="14342" max="14342" width="11.28515625" style="2765" customWidth="1"/>
    <col min="14343" max="14343" width="13.5703125" style="2765" customWidth="1"/>
    <col min="14344" max="14344" width="10.5703125" style="2765" customWidth="1"/>
    <col min="14345" max="14345" width="11.7109375" style="2765" customWidth="1"/>
    <col min="14346" max="14346" width="13.7109375" style="2765" customWidth="1"/>
    <col min="14347" max="14592" width="9.140625" style="2765"/>
    <col min="14593" max="14593" width="38.140625" style="2765" customWidth="1"/>
    <col min="14594" max="14594" width="10.140625" style="2765" customWidth="1"/>
    <col min="14595" max="14595" width="12.85546875" style="2765" customWidth="1"/>
    <col min="14596" max="14596" width="11.7109375" style="2765" customWidth="1"/>
    <col min="14597" max="14597" width="11.42578125" style="2765" customWidth="1"/>
    <col min="14598" max="14598" width="11.28515625" style="2765" customWidth="1"/>
    <col min="14599" max="14599" width="13.5703125" style="2765" customWidth="1"/>
    <col min="14600" max="14600" width="10.5703125" style="2765" customWidth="1"/>
    <col min="14601" max="14601" width="11.7109375" style="2765" customWidth="1"/>
    <col min="14602" max="14602" width="13.7109375" style="2765" customWidth="1"/>
    <col min="14603" max="14848" width="9.140625" style="2765"/>
    <col min="14849" max="14849" width="38.140625" style="2765" customWidth="1"/>
    <col min="14850" max="14850" width="10.140625" style="2765" customWidth="1"/>
    <col min="14851" max="14851" width="12.85546875" style="2765" customWidth="1"/>
    <col min="14852" max="14852" width="11.7109375" style="2765" customWidth="1"/>
    <col min="14853" max="14853" width="11.42578125" style="2765" customWidth="1"/>
    <col min="14854" max="14854" width="11.28515625" style="2765" customWidth="1"/>
    <col min="14855" max="14855" width="13.5703125" style="2765" customWidth="1"/>
    <col min="14856" max="14856" width="10.5703125" style="2765" customWidth="1"/>
    <col min="14857" max="14857" width="11.7109375" style="2765" customWidth="1"/>
    <col min="14858" max="14858" width="13.7109375" style="2765" customWidth="1"/>
    <col min="14859" max="15104" width="9.140625" style="2765"/>
    <col min="15105" max="15105" width="38.140625" style="2765" customWidth="1"/>
    <col min="15106" max="15106" width="10.140625" style="2765" customWidth="1"/>
    <col min="15107" max="15107" width="12.85546875" style="2765" customWidth="1"/>
    <col min="15108" max="15108" width="11.7109375" style="2765" customWidth="1"/>
    <col min="15109" max="15109" width="11.42578125" style="2765" customWidth="1"/>
    <col min="15110" max="15110" width="11.28515625" style="2765" customWidth="1"/>
    <col min="15111" max="15111" width="13.5703125" style="2765" customWidth="1"/>
    <col min="15112" max="15112" width="10.5703125" style="2765" customWidth="1"/>
    <col min="15113" max="15113" width="11.7109375" style="2765" customWidth="1"/>
    <col min="15114" max="15114" width="13.7109375" style="2765" customWidth="1"/>
    <col min="15115" max="15360" width="9.140625" style="2765"/>
    <col min="15361" max="15361" width="38.140625" style="2765" customWidth="1"/>
    <col min="15362" max="15362" width="10.140625" style="2765" customWidth="1"/>
    <col min="15363" max="15363" width="12.85546875" style="2765" customWidth="1"/>
    <col min="15364" max="15364" width="11.7109375" style="2765" customWidth="1"/>
    <col min="15365" max="15365" width="11.42578125" style="2765" customWidth="1"/>
    <col min="15366" max="15366" width="11.28515625" style="2765" customWidth="1"/>
    <col min="15367" max="15367" width="13.5703125" style="2765" customWidth="1"/>
    <col min="15368" max="15368" width="10.5703125" style="2765" customWidth="1"/>
    <col min="15369" max="15369" width="11.7109375" style="2765" customWidth="1"/>
    <col min="15370" max="15370" width="13.7109375" style="2765" customWidth="1"/>
    <col min="15371" max="15616" width="9.140625" style="2765"/>
    <col min="15617" max="15617" width="38.140625" style="2765" customWidth="1"/>
    <col min="15618" max="15618" width="10.140625" style="2765" customWidth="1"/>
    <col min="15619" max="15619" width="12.85546875" style="2765" customWidth="1"/>
    <col min="15620" max="15620" width="11.7109375" style="2765" customWidth="1"/>
    <col min="15621" max="15621" width="11.42578125" style="2765" customWidth="1"/>
    <col min="15622" max="15622" width="11.28515625" style="2765" customWidth="1"/>
    <col min="15623" max="15623" width="13.5703125" style="2765" customWidth="1"/>
    <col min="15624" max="15624" width="10.5703125" style="2765" customWidth="1"/>
    <col min="15625" max="15625" width="11.7109375" style="2765" customWidth="1"/>
    <col min="15626" max="15626" width="13.7109375" style="2765" customWidth="1"/>
    <col min="15627" max="15872" width="9.140625" style="2765"/>
    <col min="15873" max="15873" width="38.140625" style="2765" customWidth="1"/>
    <col min="15874" max="15874" width="10.140625" style="2765" customWidth="1"/>
    <col min="15875" max="15875" width="12.85546875" style="2765" customWidth="1"/>
    <col min="15876" max="15876" width="11.7109375" style="2765" customWidth="1"/>
    <col min="15877" max="15877" width="11.42578125" style="2765" customWidth="1"/>
    <col min="15878" max="15878" width="11.28515625" style="2765" customWidth="1"/>
    <col min="15879" max="15879" width="13.5703125" style="2765" customWidth="1"/>
    <col min="15880" max="15880" width="10.5703125" style="2765" customWidth="1"/>
    <col min="15881" max="15881" width="11.7109375" style="2765" customWidth="1"/>
    <col min="15882" max="15882" width="13.7109375" style="2765" customWidth="1"/>
    <col min="15883" max="16128" width="9.140625" style="2765"/>
    <col min="16129" max="16129" width="38.140625" style="2765" customWidth="1"/>
    <col min="16130" max="16130" width="10.140625" style="2765" customWidth="1"/>
    <col min="16131" max="16131" width="12.85546875" style="2765" customWidth="1"/>
    <col min="16132" max="16132" width="11.7109375" style="2765" customWidth="1"/>
    <col min="16133" max="16133" width="11.42578125" style="2765" customWidth="1"/>
    <col min="16134" max="16134" width="11.28515625" style="2765" customWidth="1"/>
    <col min="16135" max="16135" width="13.5703125" style="2765" customWidth="1"/>
    <col min="16136" max="16136" width="10.5703125" style="2765" customWidth="1"/>
    <col min="16137" max="16137" width="11.7109375" style="2765" customWidth="1"/>
    <col min="16138" max="16138" width="13.7109375" style="2765" customWidth="1"/>
    <col min="16139" max="16384" width="9.140625" style="2765"/>
  </cols>
  <sheetData>
    <row r="1" spans="1:10" ht="15" customHeight="1">
      <c r="A1" s="2762" t="s">
        <v>4123</v>
      </c>
      <c r="B1" s="2763"/>
      <c r="C1" s="2764"/>
      <c r="D1" s="2764"/>
      <c r="E1" s="2764"/>
      <c r="F1" s="2764"/>
      <c r="G1" s="2764"/>
      <c r="H1" s="2764"/>
      <c r="I1" s="2764"/>
      <c r="J1" s="2764"/>
    </row>
    <row r="2" spans="1:10" ht="15.75" customHeight="1">
      <c r="A2" s="2764"/>
      <c r="B2" s="2764"/>
      <c r="C2" s="2764"/>
      <c r="D2" s="2764"/>
      <c r="E2" s="2764"/>
      <c r="F2" s="2764"/>
      <c r="G2" s="2764"/>
      <c r="H2" s="2764"/>
      <c r="I2" s="2764"/>
      <c r="J2" s="2764"/>
    </row>
    <row r="3" spans="1:10" ht="16.5" customHeight="1">
      <c r="A3" s="2766"/>
      <c r="B3" s="2767"/>
      <c r="C3" s="2767"/>
      <c r="D3" s="2767"/>
      <c r="E3" s="2767"/>
      <c r="F3" s="2767"/>
      <c r="G3" s="2767"/>
      <c r="H3" s="2767"/>
      <c r="I3" s="2767"/>
      <c r="J3" s="2768" t="s">
        <v>49</v>
      </c>
    </row>
    <row r="4" spans="1:10" s="2770" customFormat="1" ht="17.100000000000001" customHeight="1">
      <c r="A4" s="2769" t="s">
        <v>2368</v>
      </c>
      <c r="B4" s="3324" t="s">
        <v>4124</v>
      </c>
      <c r="C4" s="3325"/>
      <c r="D4" s="3326"/>
      <c r="E4" s="3326" t="s">
        <v>4125</v>
      </c>
      <c r="F4" s="3331" t="s">
        <v>4126</v>
      </c>
      <c r="G4" s="3332"/>
      <c r="H4" s="3333"/>
      <c r="I4" s="3334" t="s">
        <v>2168</v>
      </c>
      <c r="J4" s="3334" t="s">
        <v>54</v>
      </c>
    </row>
    <row r="5" spans="1:10" s="2770" customFormat="1" ht="17.100000000000001" customHeight="1">
      <c r="A5" s="2771"/>
      <c r="B5" s="3327"/>
      <c r="C5" s="3328"/>
      <c r="D5" s="3329"/>
      <c r="E5" s="3330"/>
      <c r="F5" s="3324" t="s">
        <v>4127</v>
      </c>
      <c r="G5" s="3334" t="s">
        <v>4128</v>
      </c>
      <c r="H5" s="3326" t="s">
        <v>2168</v>
      </c>
      <c r="I5" s="3335"/>
      <c r="J5" s="3335"/>
    </row>
    <row r="6" spans="1:10" s="2770" customFormat="1" ht="39.75" customHeight="1">
      <c r="A6" s="2772"/>
      <c r="B6" s="2773" t="s">
        <v>4129</v>
      </c>
      <c r="C6" s="2773" t="s">
        <v>2312</v>
      </c>
      <c r="D6" s="2773" t="s">
        <v>2168</v>
      </c>
      <c r="E6" s="3329"/>
      <c r="F6" s="3337"/>
      <c r="G6" s="3338"/>
      <c r="H6" s="3339"/>
      <c r="I6" s="3336"/>
      <c r="J6" s="3336"/>
    </row>
    <row r="7" spans="1:10" ht="20.25" customHeight="1">
      <c r="A7" s="2774" t="s">
        <v>2379</v>
      </c>
      <c r="B7" s="2775">
        <v>677.96942076070798</v>
      </c>
      <c r="C7" s="2776">
        <v>10003.6862922767</v>
      </c>
      <c r="D7" s="2776">
        <v>0</v>
      </c>
      <c r="E7" s="2775">
        <v>93.209525999999997</v>
      </c>
      <c r="F7" s="2775">
        <v>187.705818513152</v>
      </c>
      <c r="G7" s="2775">
        <v>0</v>
      </c>
      <c r="H7" s="2775">
        <v>134.495</v>
      </c>
      <c r="I7" s="2777">
        <v>0.15351999999999999</v>
      </c>
      <c r="J7" s="2778">
        <v>11097.081409550499</v>
      </c>
    </row>
    <row r="8" spans="1:10" ht="19.5" customHeight="1">
      <c r="A8" s="2779" t="s">
        <v>2390</v>
      </c>
      <c r="B8" s="2778">
        <v>501.852026313897</v>
      </c>
      <c r="C8" s="2780">
        <v>69884.144234380394</v>
      </c>
      <c r="D8" s="2780">
        <v>8663.9545894886396</v>
      </c>
      <c r="E8" s="2778">
        <v>1602.05329420985</v>
      </c>
      <c r="F8" s="2778">
        <v>644.50747816076796</v>
      </c>
      <c r="G8" s="2778">
        <v>0</v>
      </c>
      <c r="H8" s="2778">
        <v>0</v>
      </c>
      <c r="I8" s="2777">
        <v>1204.5095465300001</v>
      </c>
      <c r="J8" s="2778">
        <v>82501.0211690836</v>
      </c>
    </row>
    <row r="9" spans="1:10" ht="21.75" customHeight="1">
      <c r="A9" s="2779" t="s">
        <v>2407</v>
      </c>
      <c r="B9" s="2778">
        <v>1433.02166229</v>
      </c>
      <c r="C9" s="2780">
        <v>17837.545912810801</v>
      </c>
      <c r="D9" s="2780">
        <v>0</v>
      </c>
      <c r="E9" s="2778">
        <v>229.27088800000001</v>
      </c>
      <c r="F9" s="2778">
        <v>0</v>
      </c>
      <c r="G9" s="2778">
        <v>0</v>
      </c>
      <c r="H9" s="2778">
        <v>0</v>
      </c>
      <c r="I9" s="2777">
        <v>0.47333500000000001</v>
      </c>
      <c r="J9" s="2778">
        <v>19500.3117981008</v>
      </c>
    </row>
    <row r="10" spans="1:10" ht="19.5" customHeight="1">
      <c r="A10" s="2779" t="s">
        <v>2414</v>
      </c>
      <c r="B10" s="2778">
        <v>2.2047000000000001E-2</v>
      </c>
      <c r="C10" s="2780">
        <v>10708.432011406499</v>
      </c>
      <c r="D10" s="2780">
        <v>0</v>
      </c>
      <c r="E10" s="2778">
        <v>12.613858</v>
      </c>
      <c r="F10" s="2778">
        <v>56.1276654489359</v>
      </c>
      <c r="G10" s="2778">
        <v>0</v>
      </c>
      <c r="H10" s="2778">
        <v>6.5430000000000001</v>
      </c>
      <c r="I10" s="2777">
        <v>298.06304066000001</v>
      </c>
      <c r="J10" s="2778">
        <v>11081.801622515401</v>
      </c>
    </row>
    <row r="11" spans="1:10" ht="18.75" customHeight="1">
      <c r="A11" s="2779" t="s">
        <v>2418</v>
      </c>
      <c r="B11" s="2778">
        <v>5.2307604333760001</v>
      </c>
      <c r="C11" s="2780">
        <v>21593.7313483576</v>
      </c>
      <c r="D11" s="2780">
        <v>287.17517212353999</v>
      </c>
      <c r="E11" s="2778">
        <v>13.848248999999999</v>
      </c>
      <c r="F11" s="2778">
        <v>348.23526464510002</v>
      </c>
      <c r="G11" s="2778">
        <v>8779.3435058167706</v>
      </c>
      <c r="H11" s="2778">
        <v>0</v>
      </c>
      <c r="I11" s="2777">
        <v>935.51038504999997</v>
      </c>
      <c r="J11" s="2778">
        <v>31963.0746854264</v>
      </c>
    </row>
    <row r="12" spans="1:10" ht="18.75" customHeight="1">
      <c r="A12" s="2779" t="s">
        <v>2430</v>
      </c>
      <c r="B12" s="2778">
        <v>442.04757365633901</v>
      </c>
      <c r="C12" s="2780">
        <v>8806.3385854621993</v>
      </c>
      <c r="D12" s="2780">
        <v>11898.2616162781</v>
      </c>
      <c r="E12" s="2778">
        <v>531.97330443082399</v>
      </c>
      <c r="F12" s="2778">
        <v>2452.77678121699</v>
      </c>
      <c r="G12" s="2778">
        <v>1759.4137875158201</v>
      </c>
      <c r="H12" s="2778">
        <v>0</v>
      </c>
      <c r="I12" s="2777">
        <v>2.4427540599999999</v>
      </c>
      <c r="J12" s="2778">
        <v>25893.254402620201</v>
      </c>
    </row>
    <row r="13" spans="1:10" ht="22.5" customHeight="1">
      <c r="A13" s="2779" t="s">
        <v>2441</v>
      </c>
      <c r="B13" s="2778">
        <v>1.2866143800000001</v>
      </c>
      <c r="C13" s="2780">
        <v>12779.677933769501</v>
      </c>
      <c r="D13" s="2780">
        <v>9.9339999999999994E-5</v>
      </c>
      <c r="E13" s="2778">
        <v>0.46450200000000003</v>
      </c>
      <c r="F13" s="2778">
        <v>1382.9721020800901</v>
      </c>
      <c r="G13" s="2778">
        <v>3147.5304886435301</v>
      </c>
      <c r="H13" s="2778">
        <v>0</v>
      </c>
      <c r="I13" s="2777">
        <v>0.312946</v>
      </c>
      <c r="J13" s="2778">
        <v>17312.2446862131</v>
      </c>
    </row>
    <row r="14" spans="1:10" ht="18" customHeight="1">
      <c r="A14" s="2779" t="s">
        <v>2448</v>
      </c>
      <c r="B14" s="2778">
        <v>272.71791716739102</v>
      </c>
      <c r="C14" s="2780">
        <v>43871.417732640897</v>
      </c>
      <c r="D14" s="2780">
        <v>73512.518938965804</v>
      </c>
      <c r="E14" s="2778">
        <v>5807.4996238273998</v>
      </c>
      <c r="F14" s="2778">
        <v>5769.8599474060602</v>
      </c>
      <c r="G14" s="2778">
        <v>22374.984466871301</v>
      </c>
      <c r="H14" s="2778">
        <v>8977.3458114676705</v>
      </c>
      <c r="I14" s="2777">
        <v>99.895139999999998</v>
      </c>
      <c r="J14" s="2778">
        <v>160686.23957834599</v>
      </c>
    </row>
    <row r="15" spans="1:10" ht="19.5" customHeight="1">
      <c r="A15" s="2779" t="s">
        <v>2456</v>
      </c>
      <c r="B15" s="2778">
        <v>24.353307720191999</v>
      </c>
      <c r="C15" s="2780">
        <v>7403.7383361555103</v>
      </c>
      <c r="D15" s="2780">
        <v>2297.858815</v>
      </c>
      <c r="E15" s="2778">
        <v>30.218457999999998</v>
      </c>
      <c r="F15" s="2778">
        <v>618.31963646313397</v>
      </c>
      <c r="G15" s="2778">
        <v>9258.9212953576098</v>
      </c>
      <c r="H15" s="2778">
        <v>0</v>
      </c>
      <c r="I15" s="2777">
        <v>5.0236999999999997E-2</v>
      </c>
      <c r="J15" s="2778">
        <v>19633.460085696399</v>
      </c>
    </row>
    <row r="16" spans="1:10" ht="20.25" customHeight="1">
      <c r="A16" s="2779" t="s">
        <v>4130</v>
      </c>
      <c r="B16" s="2778">
        <v>130.63368144141199</v>
      </c>
      <c r="C16" s="2780">
        <v>3117.6400450780602</v>
      </c>
      <c r="D16" s="2780">
        <v>75.591854400000003</v>
      </c>
      <c r="E16" s="2778">
        <v>9.1846434400000003</v>
      </c>
      <c r="F16" s="2778">
        <v>0</v>
      </c>
      <c r="G16" s="2778">
        <v>0</v>
      </c>
      <c r="H16" s="2778">
        <v>0</v>
      </c>
      <c r="I16" s="2777">
        <v>261.68021250999999</v>
      </c>
      <c r="J16" s="2778">
        <v>3594.7304368694799</v>
      </c>
    </row>
    <row r="17" spans="1:13" ht="21" customHeight="1">
      <c r="A17" s="2779" t="s">
        <v>2305</v>
      </c>
      <c r="B17" s="2781">
        <v>1285.09885869051</v>
      </c>
      <c r="C17" s="2782">
        <v>8221.1420687644604</v>
      </c>
      <c r="D17" s="2782">
        <v>4076.73847296044</v>
      </c>
      <c r="E17" s="2781">
        <v>3660.3152890000001</v>
      </c>
      <c r="F17" s="2781">
        <v>1236.28121138442</v>
      </c>
      <c r="G17" s="2781">
        <v>22702.710274448498</v>
      </c>
      <c r="H17" s="2781">
        <v>40.662972000000003</v>
      </c>
      <c r="I17" s="2783">
        <v>30.576925119999402</v>
      </c>
      <c r="J17" s="2781">
        <v>41253.526072368302</v>
      </c>
    </row>
    <row r="18" spans="1:13" ht="23.25" customHeight="1">
      <c r="A18" s="2784" t="s">
        <v>54</v>
      </c>
      <c r="B18" s="2781">
        <v>4774.2338698538297</v>
      </c>
      <c r="C18" s="2781">
        <v>214227.49450110301</v>
      </c>
      <c r="D18" s="2781">
        <v>100812.09955855701</v>
      </c>
      <c r="E18" s="2781">
        <v>11990.6516359081</v>
      </c>
      <c r="F18" s="2781">
        <v>12696.7859053186</v>
      </c>
      <c r="G18" s="2781">
        <v>68022.903818653402</v>
      </c>
      <c r="H18" s="2781">
        <v>9159.0467834676692</v>
      </c>
      <c r="I18" s="2781">
        <v>2833.5298739300001</v>
      </c>
      <c r="J18" s="2781">
        <v>424516.74594679102</v>
      </c>
      <c r="M18" s="2785"/>
    </row>
    <row r="19" spans="1:13" ht="18.75" customHeight="1">
      <c r="A19" s="2764"/>
      <c r="B19" s="2786"/>
      <c r="C19" s="2764"/>
      <c r="D19" s="2764"/>
      <c r="E19" s="2764"/>
      <c r="F19" s="2764"/>
      <c r="G19" s="2764"/>
      <c r="H19" s="2764"/>
      <c r="I19" s="2764"/>
      <c r="J19" s="2764"/>
    </row>
    <row r="20" spans="1:13" ht="15" customHeight="1">
      <c r="A20" s="2787" t="s">
        <v>2346</v>
      </c>
      <c r="B20" s="2788"/>
      <c r="C20" s="2764"/>
      <c r="D20" s="2764"/>
      <c r="E20" s="2764"/>
      <c r="F20" s="2764"/>
      <c r="G20" s="2764"/>
      <c r="H20" s="2764"/>
      <c r="I20" s="2764"/>
      <c r="J20" s="2764"/>
    </row>
    <row r="21" spans="1:13" ht="12.75" customHeight="1">
      <c r="A21" s="2789" t="s">
        <v>4131</v>
      </c>
      <c r="B21" s="2788"/>
      <c r="C21" s="2764"/>
      <c r="D21" s="2764"/>
      <c r="E21" s="2764"/>
      <c r="F21" s="2764"/>
      <c r="G21" s="2764"/>
      <c r="H21" s="2764"/>
      <c r="I21" s="2764"/>
      <c r="J21" s="2764"/>
    </row>
    <row r="22" spans="1:13" ht="15.75">
      <c r="A22" s="2790"/>
    </row>
    <row r="23" spans="1:13" ht="15.75">
      <c r="A23" s="2791"/>
      <c r="B23" s="2792"/>
      <c r="C23" s="2792"/>
      <c r="D23" s="2792"/>
      <c r="E23" s="2792"/>
      <c r="F23" s="2792"/>
      <c r="G23" s="2792"/>
      <c r="H23" s="2792"/>
      <c r="I23" s="2792"/>
      <c r="J23" s="2792"/>
    </row>
    <row r="24" spans="1:13">
      <c r="A24" s="2793"/>
      <c r="C24" s="2794"/>
      <c r="D24" s="2794"/>
      <c r="E24" s="2794"/>
      <c r="F24" s="2794"/>
      <c r="G24" s="2795"/>
      <c r="H24" s="2795"/>
      <c r="I24" s="2795"/>
    </row>
    <row r="25" spans="1:13" ht="15.75">
      <c r="A25" s="2790"/>
      <c r="C25" s="2794"/>
      <c r="D25" s="2794"/>
      <c r="E25" s="2794"/>
      <c r="F25" s="2794"/>
      <c r="G25" s="2795"/>
      <c r="H25" s="2795"/>
      <c r="I25" s="2795"/>
    </row>
    <row r="26" spans="1:13" ht="15.75">
      <c r="A26" s="2790"/>
      <c r="C26" s="2794"/>
      <c r="D26" s="2794"/>
      <c r="E26" s="2794"/>
      <c r="F26" s="2794"/>
      <c r="G26" s="2795"/>
      <c r="H26" s="2795"/>
      <c r="I26" s="2795"/>
    </row>
    <row r="27" spans="1:13" ht="15.75">
      <c r="A27" s="2790"/>
      <c r="C27" s="2794"/>
      <c r="D27" s="2794"/>
      <c r="E27" s="2794"/>
      <c r="F27" s="2794"/>
      <c r="G27" s="2795"/>
      <c r="H27" s="2795"/>
      <c r="I27" s="2795"/>
    </row>
    <row r="28" spans="1:13" ht="15.75">
      <c r="A28" s="2790"/>
      <c r="C28" s="2794"/>
      <c r="D28" s="2794"/>
      <c r="E28" s="2794"/>
      <c r="F28" s="2794"/>
      <c r="G28" s="2795"/>
      <c r="H28" s="2795"/>
      <c r="I28" s="2795"/>
    </row>
    <row r="29" spans="1:13" ht="15.75">
      <c r="A29" s="2790"/>
      <c r="C29" s="2794"/>
      <c r="D29" s="2794"/>
      <c r="E29" s="2794"/>
      <c r="F29" s="2794"/>
      <c r="G29" s="2795"/>
      <c r="H29" s="2795"/>
      <c r="I29" s="2795"/>
    </row>
    <row r="30" spans="1:13" ht="15.75">
      <c r="A30" s="2790"/>
      <c r="C30" s="2794"/>
      <c r="D30" s="2794"/>
      <c r="E30" s="2794"/>
      <c r="F30" s="2794"/>
      <c r="G30" s="2795"/>
      <c r="H30" s="2795"/>
      <c r="I30" s="2795"/>
    </row>
    <row r="31" spans="1:13" ht="15.75">
      <c r="A31" s="2790"/>
      <c r="C31" s="2794"/>
      <c r="D31" s="2794"/>
      <c r="E31" s="2794"/>
      <c r="F31" s="2794"/>
      <c r="G31" s="2795"/>
      <c r="H31" s="2795"/>
      <c r="I31" s="2795"/>
    </row>
    <row r="32" spans="1:13" ht="15.75">
      <c r="A32" s="2790"/>
      <c r="C32" s="2794"/>
      <c r="D32" s="2794"/>
      <c r="E32" s="2794"/>
      <c r="F32" s="2794"/>
      <c r="G32" s="2795"/>
      <c r="H32" s="2795"/>
      <c r="I32" s="2795"/>
    </row>
    <row r="33" spans="1:9" ht="15.75">
      <c r="A33" s="2790"/>
      <c r="C33" s="2794"/>
      <c r="D33" s="2794"/>
      <c r="E33" s="2794"/>
      <c r="F33" s="2794"/>
      <c r="G33" s="2795"/>
      <c r="H33" s="2795"/>
      <c r="I33" s="2795"/>
    </row>
    <row r="34" spans="1:9" ht="15.75">
      <c r="A34" s="2790"/>
    </row>
    <row r="35" spans="1:9" ht="15.75">
      <c r="A35" s="2790"/>
    </row>
    <row r="36" spans="1:9" ht="15.75">
      <c r="A36" s="2790"/>
    </row>
    <row r="37" spans="1:9" ht="15.75">
      <c r="A37" s="2790"/>
    </row>
    <row r="38" spans="1:9" ht="15.75">
      <c r="A38" s="2790"/>
    </row>
    <row r="39" spans="1:9" ht="15.75">
      <c r="A39" s="2790"/>
    </row>
    <row r="40" spans="1:9" ht="15.75">
      <c r="A40" s="2790"/>
    </row>
    <row r="41" spans="1:9" ht="15.75">
      <c r="A41" s="2790"/>
    </row>
    <row r="42" spans="1:9" ht="15.75">
      <c r="A42" s="2790"/>
    </row>
    <row r="43" spans="1:9" ht="15.75">
      <c r="A43" s="2790"/>
    </row>
    <row r="44" spans="1:9" ht="15.75">
      <c r="A44" s="2790"/>
    </row>
    <row r="45" spans="1:9" ht="15.75">
      <c r="A45" s="2790"/>
    </row>
    <row r="46" spans="1:9" ht="15.75">
      <c r="A46" s="2790"/>
    </row>
    <row r="47" spans="1:9" ht="15.75">
      <c r="A47" s="2790"/>
    </row>
    <row r="48" spans="1:9" ht="15.75">
      <c r="A48" s="2790"/>
    </row>
    <row r="49" spans="1:1" ht="15.75">
      <c r="A49" s="2790"/>
    </row>
    <row r="50" spans="1:1" ht="15.75">
      <c r="A50" s="2790"/>
    </row>
    <row r="51" spans="1:1" ht="15.75">
      <c r="A51" s="2790"/>
    </row>
    <row r="52" spans="1:1" ht="15.75">
      <c r="A52" s="2790"/>
    </row>
    <row r="53" spans="1:1" ht="15.75">
      <c r="A53" s="2790"/>
    </row>
    <row r="54" spans="1:1" ht="15.75">
      <c r="A54" s="2790"/>
    </row>
    <row r="55" spans="1:1" ht="15.75">
      <c r="A55" s="2790"/>
    </row>
    <row r="56" spans="1:1" ht="15.75">
      <c r="A56" s="2790"/>
    </row>
    <row r="57" spans="1:1" ht="15.75">
      <c r="A57" s="2790"/>
    </row>
    <row r="58" spans="1:1" ht="15.75">
      <c r="A58" s="2790"/>
    </row>
    <row r="59" spans="1:1" ht="15.75">
      <c r="A59" s="2790"/>
    </row>
    <row r="60" spans="1:1" ht="15.75">
      <c r="A60" s="2790"/>
    </row>
    <row r="61" spans="1:1" ht="15.75">
      <c r="A61" s="2790"/>
    </row>
    <row r="62" spans="1:1" ht="15.75">
      <c r="A62" s="2796"/>
    </row>
    <row r="63" spans="1:1" ht="15.75">
      <c r="A63" s="2796"/>
    </row>
    <row r="64" spans="1:1" ht="15.75">
      <c r="A64" s="2796"/>
    </row>
    <row r="65" spans="1:1" ht="15.75">
      <c r="A65" s="2796"/>
    </row>
    <row r="66" spans="1:1" ht="15.75">
      <c r="A66" s="2796"/>
    </row>
    <row r="67" spans="1:1" ht="15.75">
      <c r="A67" s="2796"/>
    </row>
    <row r="68" spans="1:1" ht="15.75">
      <c r="A68" s="2796"/>
    </row>
    <row r="69" spans="1:1" ht="15.75">
      <c r="A69" s="2796"/>
    </row>
    <row r="70" spans="1:1" ht="15.75">
      <c r="A70" s="2796"/>
    </row>
    <row r="71" spans="1:1" ht="15.75">
      <c r="A71" s="2796"/>
    </row>
    <row r="72" spans="1:1" ht="15.75">
      <c r="A72" s="2796"/>
    </row>
    <row r="73" spans="1:1" ht="15.75">
      <c r="A73" s="2796"/>
    </row>
    <row r="74" spans="1:1" ht="15.75">
      <c r="A74" s="2796"/>
    </row>
    <row r="75" spans="1:1" ht="15.75">
      <c r="A75" s="2796"/>
    </row>
    <row r="76" spans="1:1" ht="15.75">
      <c r="A76" s="2796"/>
    </row>
  </sheetData>
  <mergeCells count="8">
    <mergeCell ref="B4:D5"/>
    <mergeCell ref="E4:E6"/>
    <mergeCell ref="F4:H4"/>
    <mergeCell ref="I4:I6"/>
    <mergeCell ref="J4:J6"/>
    <mergeCell ref="F5:F6"/>
    <mergeCell ref="G5:G6"/>
    <mergeCell ref="H5:H6"/>
  </mergeCells>
  <printOptions horizontalCentered="1"/>
  <pageMargins left="0.15748031496062992" right="0.15748031496062992" top="0.78740157480314965" bottom="0" header="0.11811023622047245"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62"/>
  <sheetViews>
    <sheetView zoomScale="90" zoomScaleNormal="90" workbookViewId="0">
      <selection activeCell="M167" sqref="M167"/>
    </sheetView>
  </sheetViews>
  <sheetFormatPr defaultRowHeight="12.75"/>
  <cols>
    <col min="1" max="1" width="14.42578125" style="2418" customWidth="1"/>
    <col min="2" max="2" width="12.7109375" style="2418" customWidth="1"/>
    <col min="3" max="4" width="16.7109375" style="2419" customWidth="1"/>
    <col min="5" max="5" width="13.7109375" style="2418" customWidth="1"/>
    <col min="6" max="6" width="12.42578125" style="2418" customWidth="1"/>
    <col min="7" max="7" width="12.5703125" style="2418" customWidth="1"/>
    <col min="8" max="8" width="12.7109375" style="2418" customWidth="1"/>
    <col min="9" max="9" width="9.140625" style="2418" customWidth="1"/>
    <col min="10" max="10" width="9.28515625" style="2418" customWidth="1"/>
    <col min="11" max="13" width="9.28515625" style="2418" bestFit="1" customWidth="1"/>
    <col min="14" max="14" width="14.85546875" style="2418" bestFit="1" customWidth="1"/>
    <col min="15" max="15" width="14.5703125" style="2418" bestFit="1" customWidth="1"/>
    <col min="16" max="256" width="9.140625" style="2418"/>
    <col min="257" max="257" width="14.42578125" style="2418" customWidth="1"/>
    <col min="258" max="258" width="12.7109375" style="2418" customWidth="1"/>
    <col min="259" max="260" width="16.7109375" style="2418" customWidth="1"/>
    <col min="261" max="261" width="13.7109375" style="2418" customWidth="1"/>
    <col min="262" max="262" width="12.42578125" style="2418" customWidth="1"/>
    <col min="263" max="263" width="12.5703125" style="2418" customWidth="1"/>
    <col min="264" max="264" width="12.7109375" style="2418" customWidth="1"/>
    <col min="265" max="265" width="9.140625" style="2418" customWidth="1"/>
    <col min="266" max="266" width="9.28515625" style="2418" customWidth="1"/>
    <col min="267" max="269" width="9.28515625" style="2418" bestFit="1" customWidth="1"/>
    <col min="270" max="270" width="14.85546875" style="2418" bestFit="1" customWidth="1"/>
    <col min="271" max="271" width="14.5703125" style="2418" bestFit="1" customWidth="1"/>
    <col min="272" max="512" width="9.140625" style="2418"/>
    <col min="513" max="513" width="14.42578125" style="2418" customWidth="1"/>
    <col min="514" max="514" width="12.7109375" style="2418" customWidth="1"/>
    <col min="515" max="516" width="16.7109375" style="2418" customWidth="1"/>
    <col min="517" max="517" width="13.7109375" style="2418" customWidth="1"/>
    <col min="518" max="518" width="12.42578125" style="2418" customWidth="1"/>
    <col min="519" max="519" width="12.5703125" style="2418" customWidth="1"/>
    <col min="520" max="520" width="12.7109375" style="2418" customWidth="1"/>
    <col min="521" max="521" width="9.140625" style="2418" customWidth="1"/>
    <col min="522" max="522" width="9.28515625" style="2418" customWidth="1"/>
    <col min="523" max="525" width="9.28515625" style="2418" bestFit="1" customWidth="1"/>
    <col min="526" max="526" width="14.85546875" style="2418" bestFit="1" customWidth="1"/>
    <col min="527" max="527" width="14.5703125" style="2418" bestFit="1" customWidth="1"/>
    <col min="528" max="768" width="9.140625" style="2418"/>
    <col min="769" max="769" width="14.42578125" style="2418" customWidth="1"/>
    <col min="770" max="770" width="12.7109375" style="2418" customWidth="1"/>
    <col min="771" max="772" width="16.7109375" style="2418" customWidth="1"/>
    <col min="773" max="773" width="13.7109375" style="2418" customWidth="1"/>
    <col min="774" max="774" width="12.42578125" style="2418" customWidth="1"/>
    <col min="775" max="775" width="12.5703125" style="2418" customWidth="1"/>
    <col min="776" max="776" width="12.7109375" style="2418" customWidth="1"/>
    <col min="777" max="777" width="9.140625" style="2418" customWidth="1"/>
    <col min="778" max="778" width="9.28515625" style="2418" customWidth="1"/>
    <col min="779" max="781" width="9.28515625" style="2418" bestFit="1" customWidth="1"/>
    <col min="782" max="782" width="14.85546875" style="2418" bestFit="1" customWidth="1"/>
    <col min="783" max="783" width="14.5703125" style="2418" bestFit="1" customWidth="1"/>
    <col min="784" max="1024" width="9.140625" style="2418"/>
    <col min="1025" max="1025" width="14.42578125" style="2418" customWidth="1"/>
    <col min="1026" max="1026" width="12.7109375" style="2418" customWidth="1"/>
    <col min="1027" max="1028" width="16.7109375" style="2418" customWidth="1"/>
    <col min="1029" max="1029" width="13.7109375" style="2418" customWidth="1"/>
    <col min="1030" max="1030" width="12.42578125" style="2418" customWidth="1"/>
    <col min="1031" max="1031" width="12.5703125" style="2418" customWidth="1"/>
    <col min="1032" max="1032" width="12.7109375" style="2418" customWidth="1"/>
    <col min="1033" max="1033" width="9.140625" style="2418" customWidth="1"/>
    <col min="1034" max="1034" width="9.28515625" style="2418" customWidth="1"/>
    <col min="1035" max="1037" width="9.28515625" style="2418" bestFit="1" customWidth="1"/>
    <col min="1038" max="1038" width="14.85546875" style="2418" bestFit="1" customWidth="1"/>
    <col min="1039" max="1039" width="14.5703125" style="2418" bestFit="1" customWidth="1"/>
    <col min="1040" max="1280" width="9.140625" style="2418"/>
    <col min="1281" max="1281" width="14.42578125" style="2418" customWidth="1"/>
    <col min="1282" max="1282" width="12.7109375" style="2418" customWidth="1"/>
    <col min="1283" max="1284" width="16.7109375" style="2418" customWidth="1"/>
    <col min="1285" max="1285" width="13.7109375" style="2418" customWidth="1"/>
    <col min="1286" max="1286" width="12.42578125" style="2418" customWidth="1"/>
    <col min="1287" max="1287" width="12.5703125" style="2418" customWidth="1"/>
    <col min="1288" max="1288" width="12.7109375" style="2418" customWidth="1"/>
    <col min="1289" max="1289" width="9.140625" style="2418" customWidth="1"/>
    <col min="1290" max="1290" width="9.28515625" style="2418" customWidth="1"/>
    <col min="1291" max="1293" width="9.28515625" style="2418" bestFit="1" customWidth="1"/>
    <col min="1294" max="1294" width="14.85546875" style="2418" bestFit="1" customWidth="1"/>
    <col min="1295" max="1295" width="14.5703125" style="2418" bestFit="1" customWidth="1"/>
    <col min="1296" max="1536" width="9.140625" style="2418"/>
    <col min="1537" max="1537" width="14.42578125" style="2418" customWidth="1"/>
    <col min="1538" max="1538" width="12.7109375" style="2418" customWidth="1"/>
    <col min="1539" max="1540" width="16.7109375" style="2418" customWidth="1"/>
    <col min="1541" max="1541" width="13.7109375" style="2418" customWidth="1"/>
    <col min="1542" max="1542" width="12.42578125" style="2418" customWidth="1"/>
    <col min="1543" max="1543" width="12.5703125" style="2418" customWidth="1"/>
    <col min="1544" max="1544" width="12.7109375" style="2418" customWidth="1"/>
    <col min="1545" max="1545" width="9.140625" style="2418" customWidth="1"/>
    <col min="1546" max="1546" width="9.28515625" style="2418" customWidth="1"/>
    <col min="1547" max="1549" width="9.28515625" style="2418" bestFit="1" customWidth="1"/>
    <col min="1550" max="1550" width="14.85546875" style="2418" bestFit="1" customWidth="1"/>
    <col min="1551" max="1551" width="14.5703125" style="2418" bestFit="1" customWidth="1"/>
    <col min="1552" max="1792" width="9.140625" style="2418"/>
    <col min="1793" max="1793" width="14.42578125" style="2418" customWidth="1"/>
    <col min="1794" max="1794" width="12.7109375" style="2418" customWidth="1"/>
    <col min="1795" max="1796" width="16.7109375" style="2418" customWidth="1"/>
    <col min="1797" max="1797" width="13.7109375" style="2418" customWidth="1"/>
    <col min="1798" max="1798" width="12.42578125" style="2418" customWidth="1"/>
    <col min="1799" max="1799" width="12.5703125" style="2418" customWidth="1"/>
    <col min="1800" max="1800" width="12.7109375" style="2418" customWidth="1"/>
    <col min="1801" max="1801" width="9.140625" style="2418" customWidth="1"/>
    <col min="1802" max="1802" width="9.28515625" style="2418" customWidth="1"/>
    <col min="1803" max="1805" width="9.28515625" style="2418" bestFit="1" customWidth="1"/>
    <col min="1806" max="1806" width="14.85546875" style="2418" bestFit="1" customWidth="1"/>
    <col min="1807" max="1807" width="14.5703125" style="2418" bestFit="1" customWidth="1"/>
    <col min="1808" max="2048" width="9.140625" style="2418"/>
    <col min="2049" max="2049" width="14.42578125" style="2418" customWidth="1"/>
    <col min="2050" max="2050" width="12.7109375" style="2418" customWidth="1"/>
    <col min="2051" max="2052" width="16.7109375" style="2418" customWidth="1"/>
    <col min="2053" max="2053" width="13.7109375" style="2418" customWidth="1"/>
    <col min="2054" max="2054" width="12.42578125" style="2418" customWidth="1"/>
    <col min="2055" max="2055" width="12.5703125" style="2418" customWidth="1"/>
    <col min="2056" max="2056" width="12.7109375" style="2418" customWidth="1"/>
    <col min="2057" max="2057" width="9.140625" style="2418" customWidth="1"/>
    <col min="2058" max="2058" width="9.28515625" style="2418" customWidth="1"/>
    <col min="2059" max="2061" width="9.28515625" style="2418" bestFit="1" customWidth="1"/>
    <col min="2062" max="2062" width="14.85546875" style="2418" bestFit="1" customWidth="1"/>
    <col min="2063" max="2063" width="14.5703125" style="2418" bestFit="1" customWidth="1"/>
    <col min="2064" max="2304" width="9.140625" style="2418"/>
    <col min="2305" max="2305" width="14.42578125" style="2418" customWidth="1"/>
    <col min="2306" max="2306" width="12.7109375" style="2418" customWidth="1"/>
    <col min="2307" max="2308" width="16.7109375" style="2418" customWidth="1"/>
    <col min="2309" max="2309" width="13.7109375" style="2418" customWidth="1"/>
    <col min="2310" max="2310" width="12.42578125" style="2418" customWidth="1"/>
    <col min="2311" max="2311" width="12.5703125" style="2418" customWidth="1"/>
    <col min="2312" max="2312" width="12.7109375" style="2418" customWidth="1"/>
    <col min="2313" max="2313" width="9.140625" style="2418" customWidth="1"/>
    <col min="2314" max="2314" width="9.28515625" style="2418" customWidth="1"/>
    <col min="2315" max="2317" width="9.28515625" style="2418" bestFit="1" customWidth="1"/>
    <col min="2318" max="2318" width="14.85546875" style="2418" bestFit="1" customWidth="1"/>
    <col min="2319" max="2319" width="14.5703125" style="2418" bestFit="1" customWidth="1"/>
    <col min="2320" max="2560" width="9.140625" style="2418"/>
    <col min="2561" max="2561" width="14.42578125" style="2418" customWidth="1"/>
    <col min="2562" max="2562" width="12.7109375" style="2418" customWidth="1"/>
    <col min="2563" max="2564" width="16.7109375" style="2418" customWidth="1"/>
    <col min="2565" max="2565" width="13.7109375" style="2418" customWidth="1"/>
    <col min="2566" max="2566" width="12.42578125" style="2418" customWidth="1"/>
    <col min="2567" max="2567" width="12.5703125" style="2418" customWidth="1"/>
    <col min="2568" max="2568" width="12.7109375" style="2418" customWidth="1"/>
    <col min="2569" max="2569" width="9.140625" style="2418" customWidth="1"/>
    <col min="2570" max="2570" width="9.28515625" style="2418" customWidth="1"/>
    <col min="2571" max="2573" width="9.28515625" style="2418" bestFit="1" customWidth="1"/>
    <col min="2574" max="2574" width="14.85546875" style="2418" bestFit="1" customWidth="1"/>
    <col min="2575" max="2575" width="14.5703125" style="2418" bestFit="1" customWidth="1"/>
    <col min="2576" max="2816" width="9.140625" style="2418"/>
    <col min="2817" max="2817" width="14.42578125" style="2418" customWidth="1"/>
    <col min="2818" max="2818" width="12.7109375" style="2418" customWidth="1"/>
    <col min="2819" max="2820" width="16.7109375" style="2418" customWidth="1"/>
    <col min="2821" max="2821" width="13.7109375" style="2418" customWidth="1"/>
    <col min="2822" max="2822" width="12.42578125" style="2418" customWidth="1"/>
    <col min="2823" max="2823" width="12.5703125" style="2418" customWidth="1"/>
    <col min="2824" max="2824" width="12.7109375" style="2418" customWidth="1"/>
    <col min="2825" max="2825" width="9.140625" style="2418" customWidth="1"/>
    <col min="2826" max="2826" width="9.28515625" style="2418" customWidth="1"/>
    <col min="2827" max="2829" width="9.28515625" style="2418" bestFit="1" customWidth="1"/>
    <col min="2830" max="2830" width="14.85546875" style="2418" bestFit="1" customWidth="1"/>
    <col min="2831" max="2831" width="14.5703125" style="2418" bestFit="1" customWidth="1"/>
    <col min="2832" max="3072" width="9.140625" style="2418"/>
    <col min="3073" max="3073" width="14.42578125" style="2418" customWidth="1"/>
    <col min="3074" max="3074" width="12.7109375" style="2418" customWidth="1"/>
    <col min="3075" max="3076" width="16.7109375" style="2418" customWidth="1"/>
    <col min="3077" max="3077" width="13.7109375" style="2418" customWidth="1"/>
    <col min="3078" max="3078" width="12.42578125" style="2418" customWidth="1"/>
    <col min="3079" max="3079" width="12.5703125" style="2418" customWidth="1"/>
    <col min="3080" max="3080" width="12.7109375" style="2418" customWidth="1"/>
    <col min="3081" max="3081" width="9.140625" style="2418" customWidth="1"/>
    <col min="3082" max="3082" width="9.28515625" style="2418" customWidth="1"/>
    <col min="3083" max="3085" width="9.28515625" style="2418" bestFit="1" customWidth="1"/>
    <col min="3086" max="3086" width="14.85546875" style="2418" bestFit="1" customWidth="1"/>
    <col min="3087" max="3087" width="14.5703125" style="2418" bestFit="1" customWidth="1"/>
    <col min="3088" max="3328" width="9.140625" style="2418"/>
    <col min="3329" max="3329" width="14.42578125" style="2418" customWidth="1"/>
    <col min="3330" max="3330" width="12.7109375" style="2418" customWidth="1"/>
    <col min="3331" max="3332" width="16.7109375" style="2418" customWidth="1"/>
    <col min="3333" max="3333" width="13.7109375" style="2418" customWidth="1"/>
    <col min="3334" max="3334" width="12.42578125" style="2418" customWidth="1"/>
    <col min="3335" max="3335" width="12.5703125" style="2418" customWidth="1"/>
    <col min="3336" max="3336" width="12.7109375" style="2418" customWidth="1"/>
    <col min="3337" max="3337" width="9.140625" style="2418" customWidth="1"/>
    <col min="3338" max="3338" width="9.28515625" style="2418" customWidth="1"/>
    <col min="3339" max="3341" width="9.28515625" style="2418" bestFit="1" customWidth="1"/>
    <col min="3342" max="3342" width="14.85546875" style="2418" bestFit="1" customWidth="1"/>
    <col min="3343" max="3343" width="14.5703125" style="2418" bestFit="1" customWidth="1"/>
    <col min="3344" max="3584" width="9.140625" style="2418"/>
    <col min="3585" max="3585" width="14.42578125" style="2418" customWidth="1"/>
    <col min="3586" max="3586" width="12.7109375" style="2418" customWidth="1"/>
    <col min="3587" max="3588" width="16.7109375" style="2418" customWidth="1"/>
    <col min="3589" max="3589" width="13.7109375" style="2418" customWidth="1"/>
    <col min="3590" max="3590" width="12.42578125" style="2418" customWidth="1"/>
    <col min="3591" max="3591" width="12.5703125" style="2418" customWidth="1"/>
    <col min="3592" max="3592" width="12.7109375" style="2418" customWidth="1"/>
    <col min="3593" max="3593" width="9.140625" style="2418" customWidth="1"/>
    <col min="3594" max="3594" width="9.28515625" style="2418" customWidth="1"/>
    <col min="3595" max="3597" width="9.28515625" style="2418" bestFit="1" customWidth="1"/>
    <col min="3598" max="3598" width="14.85546875" style="2418" bestFit="1" customWidth="1"/>
    <col min="3599" max="3599" width="14.5703125" style="2418" bestFit="1" customWidth="1"/>
    <col min="3600" max="3840" width="9.140625" style="2418"/>
    <col min="3841" max="3841" width="14.42578125" style="2418" customWidth="1"/>
    <col min="3842" max="3842" width="12.7109375" style="2418" customWidth="1"/>
    <col min="3843" max="3844" width="16.7109375" style="2418" customWidth="1"/>
    <col min="3845" max="3845" width="13.7109375" style="2418" customWidth="1"/>
    <col min="3846" max="3846" width="12.42578125" style="2418" customWidth="1"/>
    <col min="3847" max="3847" width="12.5703125" style="2418" customWidth="1"/>
    <col min="3848" max="3848" width="12.7109375" style="2418" customWidth="1"/>
    <col min="3849" max="3849" width="9.140625" style="2418" customWidth="1"/>
    <col min="3850" max="3850" width="9.28515625" style="2418" customWidth="1"/>
    <col min="3851" max="3853" width="9.28515625" style="2418" bestFit="1" customWidth="1"/>
    <col min="3854" max="3854" width="14.85546875" style="2418" bestFit="1" customWidth="1"/>
    <col min="3855" max="3855" width="14.5703125" style="2418" bestFit="1" customWidth="1"/>
    <col min="3856" max="4096" width="9.140625" style="2418"/>
    <col min="4097" max="4097" width="14.42578125" style="2418" customWidth="1"/>
    <col min="4098" max="4098" width="12.7109375" style="2418" customWidth="1"/>
    <col min="4099" max="4100" width="16.7109375" style="2418" customWidth="1"/>
    <col min="4101" max="4101" width="13.7109375" style="2418" customWidth="1"/>
    <col min="4102" max="4102" width="12.42578125" style="2418" customWidth="1"/>
    <col min="4103" max="4103" width="12.5703125" style="2418" customWidth="1"/>
    <col min="4104" max="4104" width="12.7109375" style="2418" customWidth="1"/>
    <col min="4105" max="4105" width="9.140625" style="2418" customWidth="1"/>
    <col min="4106" max="4106" width="9.28515625" style="2418" customWidth="1"/>
    <col min="4107" max="4109" width="9.28515625" style="2418" bestFit="1" customWidth="1"/>
    <col min="4110" max="4110" width="14.85546875" style="2418" bestFit="1" customWidth="1"/>
    <col min="4111" max="4111" width="14.5703125" style="2418" bestFit="1" customWidth="1"/>
    <col min="4112" max="4352" width="9.140625" style="2418"/>
    <col min="4353" max="4353" width="14.42578125" style="2418" customWidth="1"/>
    <col min="4354" max="4354" width="12.7109375" style="2418" customWidth="1"/>
    <col min="4355" max="4356" width="16.7109375" style="2418" customWidth="1"/>
    <col min="4357" max="4357" width="13.7109375" style="2418" customWidth="1"/>
    <col min="4358" max="4358" width="12.42578125" style="2418" customWidth="1"/>
    <col min="4359" max="4359" width="12.5703125" style="2418" customWidth="1"/>
    <col min="4360" max="4360" width="12.7109375" style="2418" customWidth="1"/>
    <col min="4361" max="4361" width="9.140625" style="2418" customWidth="1"/>
    <col min="4362" max="4362" width="9.28515625" style="2418" customWidth="1"/>
    <col min="4363" max="4365" width="9.28515625" style="2418" bestFit="1" customWidth="1"/>
    <col min="4366" max="4366" width="14.85546875" style="2418" bestFit="1" customWidth="1"/>
    <col min="4367" max="4367" width="14.5703125" style="2418" bestFit="1" customWidth="1"/>
    <col min="4368" max="4608" width="9.140625" style="2418"/>
    <col min="4609" max="4609" width="14.42578125" style="2418" customWidth="1"/>
    <col min="4610" max="4610" width="12.7109375" style="2418" customWidth="1"/>
    <col min="4611" max="4612" width="16.7109375" style="2418" customWidth="1"/>
    <col min="4613" max="4613" width="13.7109375" style="2418" customWidth="1"/>
    <col min="4614" max="4614" width="12.42578125" style="2418" customWidth="1"/>
    <col min="4615" max="4615" width="12.5703125" style="2418" customWidth="1"/>
    <col min="4616" max="4616" width="12.7109375" style="2418" customWidth="1"/>
    <col min="4617" max="4617" width="9.140625" style="2418" customWidth="1"/>
    <col min="4618" max="4618" width="9.28515625" style="2418" customWidth="1"/>
    <col min="4619" max="4621" width="9.28515625" style="2418" bestFit="1" customWidth="1"/>
    <col min="4622" max="4622" width="14.85546875" style="2418" bestFit="1" customWidth="1"/>
    <col min="4623" max="4623" width="14.5703125" style="2418" bestFit="1" customWidth="1"/>
    <col min="4624" max="4864" width="9.140625" style="2418"/>
    <col min="4865" max="4865" width="14.42578125" style="2418" customWidth="1"/>
    <col min="4866" max="4866" width="12.7109375" style="2418" customWidth="1"/>
    <col min="4867" max="4868" width="16.7109375" style="2418" customWidth="1"/>
    <col min="4869" max="4869" width="13.7109375" style="2418" customWidth="1"/>
    <col min="4870" max="4870" width="12.42578125" style="2418" customWidth="1"/>
    <col min="4871" max="4871" width="12.5703125" style="2418" customWidth="1"/>
    <col min="4872" max="4872" width="12.7109375" style="2418" customWidth="1"/>
    <col min="4873" max="4873" width="9.140625" style="2418" customWidth="1"/>
    <col min="4874" max="4874" width="9.28515625" style="2418" customWidth="1"/>
    <col min="4875" max="4877" width="9.28515625" style="2418" bestFit="1" customWidth="1"/>
    <col min="4878" max="4878" width="14.85546875" style="2418" bestFit="1" customWidth="1"/>
    <col min="4879" max="4879" width="14.5703125" style="2418" bestFit="1" customWidth="1"/>
    <col min="4880" max="5120" width="9.140625" style="2418"/>
    <col min="5121" max="5121" width="14.42578125" style="2418" customWidth="1"/>
    <col min="5122" max="5122" width="12.7109375" style="2418" customWidth="1"/>
    <col min="5123" max="5124" width="16.7109375" style="2418" customWidth="1"/>
    <col min="5125" max="5125" width="13.7109375" style="2418" customWidth="1"/>
    <col min="5126" max="5126" width="12.42578125" style="2418" customWidth="1"/>
    <col min="5127" max="5127" width="12.5703125" style="2418" customWidth="1"/>
    <col min="5128" max="5128" width="12.7109375" style="2418" customWidth="1"/>
    <col min="5129" max="5129" width="9.140625" style="2418" customWidth="1"/>
    <col min="5130" max="5130" width="9.28515625" style="2418" customWidth="1"/>
    <col min="5131" max="5133" width="9.28515625" style="2418" bestFit="1" customWidth="1"/>
    <col min="5134" max="5134" width="14.85546875" style="2418" bestFit="1" customWidth="1"/>
    <col min="5135" max="5135" width="14.5703125" style="2418" bestFit="1" customWidth="1"/>
    <col min="5136" max="5376" width="9.140625" style="2418"/>
    <col min="5377" max="5377" width="14.42578125" style="2418" customWidth="1"/>
    <col min="5378" max="5378" width="12.7109375" style="2418" customWidth="1"/>
    <col min="5379" max="5380" width="16.7109375" style="2418" customWidth="1"/>
    <col min="5381" max="5381" width="13.7109375" style="2418" customWidth="1"/>
    <col min="5382" max="5382" width="12.42578125" style="2418" customWidth="1"/>
    <col min="5383" max="5383" width="12.5703125" style="2418" customWidth="1"/>
    <col min="5384" max="5384" width="12.7109375" style="2418" customWidth="1"/>
    <col min="5385" max="5385" width="9.140625" style="2418" customWidth="1"/>
    <col min="5386" max="5386" width="9.28515625" style="2418" customWidth="1"/>
    <col min="5387" max="5389" width="9.28515625" style="2418" bestFit="1" customWidth="1"/>
    <col min="5390" max="5390" width="14.85546875" style="2418" bestFit="1" customWidth="1"/>
    <col min="5391" max="5391" width="14.5703125" style="2418" bestFit="1" customWidth="1"/>
    <col min="5392" max="5632" width="9.140625" style="2418"/>
    <col min="5633" max="5633" width="14.42578125" style="2418" customWidth="1"/>
    <col min="5634" max="5634" width="12.7109375" style="2418" customWidth="1"/>
    <col min="5635" max="5636" width="16.7109375" style="2418" customWidth="1"/>
    <col min="5637" max="5637" width="13.7109375" style="2418" customWidth="1"/>
    <col min="5638" max="5638" width="12.42578125" style="2418" customWidth="1"/>
    <col min="5639" max="5639" width="12.5703125" style="2418" customWidth="1"/>
    <col min="5640" max="5640" width="12.7109375" style="2418" customWidth="1"/>
    <col min="5641" max="5641" width="9.140625" style="2418" customWidth="1"/>
    <col min="5642" max="5642" width="9.28515625" style="2418" customWidth="1"/>
    <col min="5643" max="5645" width="9.28515625" style="2418" bestFit="1" customWidth="1"/>
    <col min="5646" max="5646" width="14.85546875" style="2418" bestFit="1" customWidth="1"/>
    <col min="5647" max="5647" width="14.5703125" style="2418" bestFit="1" customWidth="1"/>
    <col min="5648" max="5888" width="9.140625" style="2418"/>
    <col min="5889" max="5889" width="14.42578125" style="2418" customWidth="1"/>
    <col min="5890" max="5890" width="12.7109375" style="2418" customWidth="1"/>
    <col min="5891" max="5892" width="16.7109375" style="2418" customWidth="1"/>
    <col min="5893" max="5893" width="13.7109375" style="2418" customWidth="1"/>
    <col min="5894" max="5894" width="12.42578125" style="2418" customWidth="1"/>
    <col min="5895" max="5895" width="12.5703125" style="2418" customWidth="1"/>
    <col min="5896" max="5896" width="12.7109375" style="2418" customWidth="1"/>
    <col min="5897" max="5897" width="9.140625" style="2418" customWidth="1"/>
    <col min="5898" max="5898" width="9.28515625" style="2418" customWidth="1"/>
    <col min="5899" max="5901" width="9.28515625" style="2418" bestFit="1" customWidth="1"/>
    <col min="5902" max="5902" width="14.85546875" style="2418" bestFit="1" customWidth="1"/>
    <col min="5903" max="5903" width="14.5703125" style="2418" bestFit="1" customWidth="1"/>
    <col min="5904" max="6144" width="9.140625" style="2418"/>
    <col min="6145" max="6145" width="14.42578125" style="2418" customWidth="1"/>
    <col min="6146" max="6146" width="12.7109375" style="2418" customWidth="1"/>
    <col min="6147" max="6148" width="16.7109375" style="2418" customWidth="1"/>
    <col min="6149" max="6149" width="13.7109375" style="2418" customWidth="1"/>
    <col min="6150" max="6150" width="12.42578125" style="2418" customWidth="1"/>
    <col min="6151" max="6151" width="12.5703125" style="2418" customWidth="1"/>
    <col min="6152" max="6152" width="12.7109375" style="2418" customWidth="1"/>
    <col min="6153" max="6153" width="9.140625" style="2418" customWidth="1"/>
    <col min="6154" max="6154" width="9.28515625" style="2418" customWidth="1"/>
    <col min="6155" max="6157" width="9.28515625" style="2418" bestFit="1" customWidth="1"/>
    <col min="6158" max="6158" width="14.85546875" style="2418" bestFit="1" customWidth="1"/>
    <col min="6159" max="6159" width="14.5703125" style="2418" bestFit="1" customWidth="1"/>
    <col min="6160" max="6400" width="9.140625" style="2418"/>
    <col min="6401" max="6401" width="14.42578125" style="2418" customWidth="1"/>
    <col min="6402" max="6402" width="12.7109375" style="2418" customWidth="1"/>
    <col min="6403" max="6404" width="16.7109375" style="2418" customWidth="1"/>
    <col min="6405" max="6405" width="13.7109375" style="2418" customWidth="1"/>
    <col min="6406" max="6406" width="12.42578125" style="2418" customWidth="1"/>
    <col min="6407" max="6407" width="12.5703125" style="2418" customWidth="1"/>
    <col min="6408" max="6408" width="12.7109375" style="2418" customWidth="1"/>
    <col min="6409" max="6409" width="9.140625" style="2418" customWidth="1"/>
    <col min="6410" max="6410" width="9.28515625" style="2418" customWidth="1"/>
    <col min="6411" max="6413" width="9.28515625" style="2418" bestFit="1" customWidth="1"/>
    <col min="6414" max="6414" width="14.85546875" style="2418" bestFit="1" customWidth="1"/>
    <col min="6415" max="6415" width="14.5703125" style="2418" bestFit="1" customWidth="1"/>
    <col min="6416" max="6656" width="9.140625" style="2418"/>
    <col min="6657" max="6657" width="14.42578125" style="2418" customWidth="1"/>
    <col min="6658" max="6658" width="12.7109375" style="2418" customWidth="1"/>
    <col min="6659" max="6660" width="16.7109375" style="2418" customWidth="1"/>
    <col min="6661" max="6661" width="13.7109375" style="2418" customWidth="1"/>
    <col min="6662" max="6662" width="12.42578125" style="2418" customWidth="1"/>
    <col min="6663" max="6663" width="12.5703125" style="2418" customWidth="1"/>
    <col min="6664" max="6664" width="12.7109375" style="2418" customWidth="1"/>
    <col min="6665" max="6665" width="9.140625" style="2418" customWidth="1"/>
    <col min="6666" max="6666" width="9.28515625" style="2418" customWidth="1"/>
    <col min="6667" max="6669" width="9.28515625" style="2418" bestFit="1" customWidth="1"/>
    <col min="6670" max="6670" width="14.85546875" style="2418" bestFit="1" customWidth="1"/>
    <col min="6671" max="6671" width="14.5703125" style="2418" bestFit="1" customWidth="1"/>
    <col min="6672" max="6912" width="9.140625" style="2418"/>
    <col min="6913" max="6913" width="14.42578125" style="2418" customWidth="1"/>
    <col min="6914" max="6914" width="12.7109375" style="2418" customWidth="1"/>
    <col min="6915" max="6916" width="16.7109375" style="2418" customWidth="1"/>
    <col min="6917" max="6917" width="13.7109375" style="2418" customWidth="1"/>
    <col min="6918" max="6918" width="12.42578125" style="2418" customWidth="1"/>
    <col min="6919" max="6919" width="12.5703125" style="2418" customWidth="1"/>
    <col min="6920" max="6920" width="12.7109375" style="2418" customWidth="1"/>
    <col min="6921" max="6921" width="9.140625" style="2418" customWidth="1"/>
    <col min="6922" max="6922" width="9.28515625" style="2418" customWidth="1"/>
    <col min="6923" max="6925" width="9.28515625" style="2418" bestFit="1" customWidth="1"/>
    <col min="6926" max="6926" width="14.85546875" style="2418" bestFit="1" customWidth="1"/>
    <col min="6927" max="6927" width="14.5703125" style="2418" bestFit="1" customWidth="1"/>
    <col min="6928" max="7168" width="9.140625" style="2418"/>
    <col min="7169" max="7169" width="14.42578125" style="2418" customWidth="1"/>
    <col min="7170" max="7170" width="12.7109375" style="2418" customWidth="1"/>
    <col min="7171" max="7172" width="16.7109375" style="2418" customWidth="1"/>
    <col min="7173" max="7173" width="13.7109375" style="2418" customWidth="1"/>
    <col min="7174" max="7174" width="12.42578125" style="2418" customWidth="1"/>
    <col min="7175" max="7175" width="12.5703125" style="2418" customWidth="1"/>
    <col min="7176" max="7176" width="12.7109375" style="2418" customWidth="1"/>
    <col min="7177" max="7177" width="9.140625" style="2418" customWidth="1"/>
    <col min="7178" max="7178" width="9.28515625" style="2418" customWidth="1"/>
    <col min="7179" max="7181" width="9.28515625" style="2418" bestFit="1" customWidth="1"/>
    <col min="7182" max="7182" width="14.85546875" style="2418" bestFit="1" customWidth="1"/>
    <col min="7183" max="7183" width="14.5703125" style="2418" bestFit="1" customWidth="1"/>
    <col min="7184" max="7424" width="9.140625" style="2418"/>
    <col min="7425" max="7425" width="14.42578125" style="2418" customWidth="1"/>
    <col min="7426" max="7426" width="12.7109375" style="2418" customWidth="1"/>
    <col min="7427" max="7428" width="16.7109375" style="2418" customWidth="1"/>
    <col min="7429" max="7429" width="13.7109375" style="2418" customWidth="1"/>
    <col min="7430" max="7430" width="12.42578125" style="2418" customWidth="1"/>
    <col min="7431" max="7431" width="12.5703125" style="2418" customWidth="1"/>
    <col min="7432" max="7432" width="12.7109375" style="2418" customWidth="1"/>
    <col min="7433" max="7433" width="9.140625" style="2418" customWidth="1"/>
    <col min="7434" max="7434" width="9.28515625" style="2418" customWidth="1"/>
    <col min="7435" max="7437" width="9.28515625" style="2418" bestFit="1" customWidth="1"/>
    <col min="7438" max="7438" width="14.85546875" style="2418" bestFit="1" customWidth="1"/>
    <col min="7439" max="7439" width="14.5703125" style="2418" bestFit="1" customWidth="1"/>
    <col min="7440" max="7680" width="9.140625" style="2418"/>
    <col min="7681" max="7681" width="14.42578125" style="2418" customWidth="1"/>
    <col min="7682" max="7682" width="12.7109375" style="2418" customWidth="1"/>
    <col min="7683" max="7684" width="16.7109375" style="2418" customWidth="1"/>
    <col min="7685" max="7685" width="13.7109375" style="2418" customWidth="1"/>
    <col min="7686" max="7686" width="12.42578125" style="2418" customWidth="1"/>
    <col min="7687" max="7687" width="12.5703125" style="2418" customWidth="1"/>
    <col min="7688" max="7688" width="12.7109375" style="2418" customWidth="1"/>
    <col min="7689" max="7689" width="9.140625" style="2418" customWidth="1"/>
    <col min="7690" max="7690" width="9.28515625" style="2418" customWidth="1"/>
    <col min="7691" max="7693" width="9.28515625" style="2418" bestFit="1" customWidth="1"/>
    <col min="7694" max="7694" width="14.85546875" style="2418" bestFit="1" customWidth="1"/>
    <col min="7695" max="7695" width="14.5703125" style="2418" bestFit="1" customWidth="1"/>
    <col min="7696" max="7936" width="9.140625" style="2418"/>
    <col min="7937" max="7937" width="14.42578125" style="2418" customWidth="1"/>
    <col min="7938" max="7938" width="12.7109375" style="2418" customWidth="1"/>
    <col min="7939" max="7940" width="16.7109375" style="2418" customWidth="1"/>
    <col min="7941" max="7941" width="13.7109375" style="2418" customWidth="1"/>
    <col min="7942" max="7942" width="12.42578125" style="2418" customWidth="1"/>
    <col min="7943" max="7943" width="12.5703125" style="2418" customWidth="1"/>
    <col min="7944" max="7944" width="12.7109375" style="2418" customWidth="1"/>
    <col min="7945" max="7945" width="9.140625" style="2418" customWidth="1"/>
    <col min="7946" max="7946" width="9.28515625" style="2418" customWidth="1"/>
    <col min="7947" max="7949" width="9.28515625" style="2418" bestFit="1" customWidth="1"/>
    <col min="7950" max="7950" width="14.85546875" style="2418" bestFit="1" customWidth="1"/>
    <col min="7951" max="7951" width="14.5703125" style="2418" bestFit="1" customWidth="1"/>
    <col min="7952" max="8192" width="9.140625" style="2418"/>
    <col min="8193" max="8193" width="14.42578125" style="2418" customWidth="1"/>
    <col min="8194" max="8194" width="12.7109375" style="2418" customWidth="1"/>
    <col min="8195" max="8196" width="16.7109375" style="2418" customWidth="1"/>
    <col min="8197" max="8197" width="13.7109375" style="2418" customWidth="1"/>
    <col min="8198" max="8198" width="12.42578125" style="2418" customWidth="1"/>
    <col min="8199" max="8199" width="12.5703125" style="2418" customWidth="1"/>
    <col min="8200" max="8200" width="12.7109375" style="2418" customWidth="1"/>
    <col min="8201" max="8201" width="9.140625" style="2418" customWidth="1"/>
    <col min="8202" max="8202" width="9.28515625" style="2418" customWidth="1"/>
    <col min="8203" max="8205" width="9.28515625" style="2418" bestFit="1" customWidth="1"/>
    <col min="8206" max="8206" width="14.85546875" style="2418" bestFit="1" customWidth="1"/>
    <col min="8207" max="8207" width="14.5703125" style="2418" bestFit="1" customWidth="1"/>
    <col min="8208" max="8448" width="9.140625" style="2418"/>
    <col min="8449" max="8449" width="14.42578125" style="2418" customWidth="1"/>
    <col min="8450" max="8450" width="12.7109375" style="2418" customWidth="1"/>
    <col min="8451" max="8452" width="16.7109375" style="2418" customWidth="1"/>
    <col min="8453" max="8453" width="13.7109375" style="2418" customWidth="1"/>
    <col min="8454" max="8454" width="12.42578125" style="2418" customWidth="1"/>
    <col min="8455" max="8455" width="12.5703125" style="2418" customWidth="1"/>
    <col min="8456" max="8456" width="12.7109375" style="2418" customWidth="1"/>
    <col min="8457" max="8457" width="9.140625" style="2418" customWidth="1"/>
    <col min="8458" max="8458" width="9.28515625" style="2418" customWidth="1"/>
    <col min="8459" max="8461" width="9.28515625" style="2418" bestFit="1" customWidth="1"/>
    <col min="8462" max="8462" width="14.85546875" style="2418" bestFit="1" customWidth="1"/>
    <col min="8463" max="8463" width="14.5703125" style="2418" bestFit="1" customWidth="1"/>
    <col min="8464" max="8704" width="9.140625" style="2418"/>
    <col min="8705" max="8705" width="14.42578125" style="2418" customWidth="1"/>
    <col min="8706" max="8706" width="12.7109375" style="2418" customWidth="1"/>
    <col min="8707" max="8708" width="16.7109375" style="2418" customWidth="1"/>
    <col min="8709" max="8709" width="13.7109375" style="2418" customWidth="1"/>
    <col min="8710" max="8710" width="12.42578125" style="2418" customWidth="1"/>
    <col min="8711" max="8711" width="12.5703125" style="2418" customWidth="1"/>
    <col min="8712" max="8712" width="12.7109375" style="2418" customWidth="1"/>
    <col min="8713" max="8713" width="9.140625" style="2418" customWidth="1"/>
    <col min="8714" max="8714" width="9.28515625" style="2418" customWidth="1"/>
    <col min="8715" max="8717" width="9.28515625" style="2418" bestFit="1" customWidth="1"/>
    <col min="8718" max="8718" width="14.85546875" style="2418" bestFit="1" customWidth="1"/>
    <col min="8719" max="8719" width="14.5703125" style="2418" bestFit="1" customWidth="1"/>
    <col min="8720" max="8960" width="9.140625" style="2418"/>
    <col min="8961" max="8961" width="14.42578125" style="2418" customWidth="1"/>
    <col min="8962" max="8962" width="12.7109375" style="2418" customWidth="1"/>
    <col min="8963" max="8964" width="16.7109375" style="2418" customWidth="1"/>
    <col min="8965" max="8965" width="13.7109375" style="2418" customWidth="1"/>
    <col min="8966" max="8966" width="12.42578125" style="2418" customWidth="1"/>
    <col min="8967" max="8967" width="12.5703125" style="2418" customWidth="1"/>
    <col min="8968" max="8968" width="12.7109375" style="2418" customWidth="1"/>
    <col min="8969" max="8969" width="9.140625" style="2418" customWidth="1"/>
    <col min="8970" max="8970" width="9.28515625" style="2418" customWidth="1"/>
    <col min="8971" max="8973" width="9.28515625" style="2418" bestFit="1" customWidth="1"/>
    <col min="8974" max="8974" width="14.85546875" style="2418" bestFit="1" customWidth="1"/>
    <col min="8975" max="8975" width="14.5703125" style="2418" bestFit="1" customWidth="1"/>
    <col min="8976" max="9216" width="9.140625" style="2418"/>
    <col min="9217" max="9217" width="14.42578125" style="2418" customWidth="1"/>
    <col min="9218" max="9218" width="12.7109375" style="2418" customWidth="1"/>
    <col min="9219" max="9220" width="16.7109375" style="2418" customWidth="1"/>
    <col min="9221" max="9221" width="13.7109375" style="2418" customWidth="1"/>
    <col min="9222" max="9222" width="12.42578125" style="2418" customWidth="1"/>
    <col min="9223" max="9223" width="12.5703125" style="2418" customWidth="1"/>
    <col min="9224" max="9224" width="12.7109375" style="2418" customWidth="1"/>
    <col min="9225" max="9225" width="9.140625" style="2418" customWidth="1"/>
    <col min="9226" max="9226" width="9.28515625" style="2418" customWidth="1"/>
    <col min="9227" max="9229" width="9.28515625" style="2418" bestFit="1" customWidth="1"/>
    <col min="9230" max="9230" width="14.85546875" style="2418" bestFit="1" customWidth="1"/>
    <col min="9231" max="9231" width="14.5703125" style="2418" bestFit="1" customWidth="1"/>
    <col min="9232" max="9472" width="9.140625" style="2418"/>
    <col min="9473" max="9473" width="14.42578125" style="2418" customWidth="1"/>
    <col min="9474" max="9474" width="12.7109375" style="2418" customWidth="1"/>
    <col min="9475" max="9476" width="16.7109375" style="2418" customWidth="1"/>
    <col min="9477" max="9477" width="13.7109375" style="2418" customWidth="1"/>
    <col min="9478" max="9478" width="12.42578125" style="2418" customWidth="1"/>
    <col min="9479" max="9479" width="12.5703125" style="2418" customWidth="1"/>
    <col min="9480" max="9480" width="12.7109375" style="2418" customWidth="1"/>
    <col min="9481" max="9481" width="9.140625" style="2418" customWidth="1"/>
    <col min="9482" max="9482" width="9.28515625" style="2418" customWidth="1"/>
    <col min="9483" max="9485" width="9.28515625" style="2418" bestFit="1" customWidth="1"/>
    <col min="9486" max="9486" width="14.85546875" style="2418" bestFit="1" customWidth="1"/>
    <col min="9487" max="9487" width="14.5703125" style="2418" bestFit="1" customWidth="1"/>
    <col min="9488" max="9728" width="9.140625" style="2418"/>
    <col min="9729" max="9729" width="14.42578125" style="2418" customWidth="1"/>
    <col min="9730" max="9730" width="12.7109375" style="2418" customWidth="1"/>
    <col min="9731" max="9732" width="16.7109375" style="2418" customWidth="1"/>
    <col min="9733" max="9733" width="13.7109375" style="2418" customWidth="1"/>
    <col min="9734" max="9734" width="12.42578125" style="2418" customWidth="1"/>
    <col min="9735" max="9735" width="12.5703125" style="2418" customWidth="1"/>
    <col min="9736" max="9736" width="12.7109375" style="2418" customWidth="1"/>
    <col min="9737" max="9737" width="9.140625" style="2418" customWidth="1"/>
    <col min="9738" max="9738" width="9.28515625" style="2418" customWidth="1"/>
    <col min="9739" max="9741" width="9.28515625" style="2418" bestFit="1" customWidth="1"/>
    <col min="9742" max="9742" width="14.85546875" style="2418" bestFit="1" customWidth="1"/>
    <col min="9743" max="9743" width="14.5703125" style="2418" bestFit="1" customWidth="1"/>
    <col min="9744" max="9984" width="9.140625" style="2418"/>
    <col min="9985" max="9985" width="14.42578125" style="2418" customWidth="1"/>
    <col min="9986" max="9986" width="12.7109375" style="2418" customWidth="1"/>
    <col min="9987" max="9988" width="16.7109375" style="2418" customWidth="1"/>
    <col min="9989" max="9989" width="13.7109375" style="2418" customWidth="1"/>
    <col min="9990" max="9990" width="12.42578125" style="2418" customWidth="1"/>
    <col min="9991" max="9991" width="12.5703125" style="2418" customWidth="1"/>
    <col min="9992" max="9992" width="12.7109375" style="2418" customWidth="1"/>
    <col min="9993" max="9993" width="9.140625" style="2418" customWidth="1"/>
    <col min="9994" max="9994" width="9.28515625" style="2418" customWidth="1"/>
    <col min="9995" max="9997" width="9.28515625" style="2418" bestFit="1" customWidth="1"/>
    <col min="9998" max="9998" width="14.85546875" style="2418" bestFit="1" customWidth="1"/>
    <col min="9999" max="9999" width="14.5703125" style="2418" bestFit="1" customWidth="1"/>
    <col min="10000" max="10240" width="9.140625" style="2418"/>
    <col min="10241" max="10241" width="14.42578125" style="2418" customWidth="1"/>
    <col min="10242" max="10242" width="12.7109375" style="2418" customWidth="1"/>
    <col min="10243" max="10244" width="16.7109375" style="2418" customWidth="1"/>
    <col min="10245" max="10245" width="13.7109375" style="2418" customWidth="1"/>
    <col min="10246" max="10246" width="12.42578125" style="2418" customWidth="1"/>
    <col min="10247" max="10247" width="12.5703125" style="2418" customWidth="1"/>
    <col min="10248" max="10248" width="12.7109375" style="2418" customWidth="1"/>
    <col min="10249" max="10249" width="9.140625" style="2418" customWidth="1"/>
    <col min="10250" max="10250" width="9.28515625" style="2418" customWidth="1"/>
    <col min="10251" max="10253" width="9.28515625" style="2418" bestFit="1" customWidth="1"/>
    <col min="10254" max="10254" width="14.85546875" style="2418" bestFit="1" customWidth="1"/>
    <col min="10255" max="10255" width="14.5703125" style="2418" bestFit="1" customWidth="1"/>
    <col min="10256" max="10496" width="9.140625" style="2418"/>
    <col min="10497" max="10497" width="14.42578125" style="2418" customWidth="1"/>
    <col min="10498" max="10498" width="12.7109375" style="2418" customWidth="1"/>
    <col min="10499" max="10500" width="16.7109375" style="2418" customWidth="1"/>
    <col min="10501" max="10501" width="13.7109375" style="2418" customWidth="1"/>
    <col min="10502" max="10502" width="12.42578125" style="2418" customWidth="1"/>
    <col min="10503" max="10503" width="12.5703125" style="2418" customWidth="1"/>
    <col min="10504" max="10504" width="12.7109375" style="2418" customWidth="1"/>
    <col min="10505" max="10505" width="9.140625" style="2418" customWidth="1"/>
    <col min="10506" max="10506" width="9.28515625" style="2418" customWidth="1"/>
    <col min="10507" max="10509" width="9.28515625" style="2418" bestFit="1" customWidth="1"/>
    <col min="10510" max="10510" width="14.85546875" style="2418" bestFit="1" customWidth="1"/>
    <col min="10511" max="10511" width="14.5703125" style="2418" bestFit="1" customWidth="1"/>
    <col min="10512" max="10752" width="9.140625" style="2418"/>
    <col min="10753" max="10753" width="14.42578125" style="2418" customWidth="1"/>
    <col min="10754" max="10754" width="12.7109375" style="2418" customWidth="1"/>
    <col min="10755" max="10756" width="16.7109375" style="2418" customWidth="1"/>
    <col min="10757" max="10757" width="13.7109375" style="2418" customWidth="1"/>
    <col min="10758" max="10758" width="12.42578125" style="2418" customWidth="1"/>
    <col min="10759" max="10759" width="12.5703125" style="2418" customWidth="1"/>
    <col min="10760" max="10760" width="12.7109375" style="2418" customWidth="1"/>
    <col min="10761" max="10761" width="9.140625" style="2418" customWidth="1"/>
    <col min="10762" max="10762" width="9.28515625" style="2418" customWidth="1"/>
    <col min="10763" max="10765" width="9.28515625" style="2418" bestFit="1" customWidth="1"/>
    <col min="10766" max="10766" width="14.85546875" style="2418" bestFit="1" customWidth="1"/>
    <col min="10767" max="10767" width="14.5703125" style="2418" bestFit="1" customWidth="1"/>
    <col min="10768" max="11008" width="9.140625" style="2418"/>
    <col min="11009" max="11009" width="14.42578125" style="2418" customWidth="1"/>
    <col min="11010" max="11010" width="12.7109375" style="2418" customWidth="1"/>
    <col min="11011" max="11012" width="16.7109375" style="2418" customWidth="1"/>
    <col min="11013" max="11013" width="13.7109375" style="2418" customWidth="1"/>
    <col min="11014" max="11014" width="12.42578125" style="2418" customWidth="1"/>
    <col min="11015" max="11015" width="12.5703125" style="2418" customWidth="1"/>
    <col min="11016" max="11016" width="12.7109375" style="2418" customWidth="1"/>
    <col min="11017" max="11017" width="9.140625" style="2418" customWidth="1"/>
    <col min="11018" max="11018" width="9.28515625" style="2418" customWidth="1"/>
    <col min="11019" max="11021" width="9.28515625" style="2418" bestFit="1" customWidth="1"/>
    <col min="11022" max="11022" width="14.85546875" style="2418" bestFit="1" customWidth="1"/>
    <col min="11023" max="11023" width="14.5703125" style="2418" bestFit="1" customWidth="1"/>
    <col min="11024" max="11264" width="9.140625" style="2418"/>
    <col min="11265" max="11265" width="14.42578125" style="2418" customWidth="1"/>
    <col min="11266" max="11266" width="12.7109375" style="2418" customWidth="1"/>
    <col min="11267" max="11268" width="16.7109375" style="2418" customWidth="1"/>
    <col min="11269" max="11269" width="13.7109375" style="2418" customWidth="1"/>
    <col min="11270" max="11270" width="12.42578125" style="2418" customWidth="1"/>
    <col min="11271" max="11271" width="12.5703125" style="2418" customWidth="1"/>
    <col min="11272" max="11272" width="12.7109375" style="2418" customWidth="1"/>
    <col min="11273" max="11273" width="9.140625" style="2418" customWidth="1"/>
    <col min="11274" max="11274" width="9.28515625" style="2418" customWidth="1"/>
    <col min="11275" max="11277" width="9.28515625" style="2418" bestFit="1" customWidth="1"/>
    <col min="11278" max="11278" width="14.85546875" style="2418" bestFit="1" customWidth="1"/>
    <col min="11279" max="11279" width="14.5703125" style="2418" bestFit="1" customWidth="1"/>
    <col min="11280" max="11520" width="9.140625" style="2418"/>
    <col min="11521" max="11521" width="14.42578125" style="2418" customWidth="1"/>
    <col min="11522" max="11522" width="12.7109375" style="2418" customWidth="1"/>
    <col min="11523" max="11524" width="16.7109375" style="2418" customWidth="1"/>
    <col min="11525" max="11525" width="13.7109375" style="2418" customWidth="1"/>
    <col min="11526" max="11526" width="12.42578125" style="2418" customWidth="1"/>
    <col min="11527" max="11527" width="12.5703125" style="2418" customWidth="1"/>
    <col min="11528" max="11528" width="12.7109375" style="2418" customWidth="1"/>
    <col min="11529" max="11529" width="9.140625" style="2418" customWidth="1"/>
    <col min="11530" max="11530" width="9.28515625" style="2418" customWidth="1"/>
    <col min="11531" max="11533" width="9.28515625" style="2418" bestFit="1" customWidth="1"/>
    <col min="11534" max="11534" width="14.85546875" style="2418" bestFit="1" customWidth="1"/>
    <col min="11535" max="11535" width="14.5703125" style="2418" bestFit="1" customWidth="1"/>
    <col min="11536" max="11776" width="9.140625" style="2418"/>
    <col min="11777" max="11777" width="14.42578125" style="2418" customWidth="1"/>
    <col min="11778" max="11778" width="12.7109375" style="2418" customWidth="1"/>
    <col min="11779" max="11780" width="16.7109375" style="2418" customWidth="1"/>
    <col min="11781" max="11781" width="13.7109375" style="2418" customWidth="1"/>
    <col min="11782" max="11782" width="12.42578125" style="2418" customWidth="1"/>
    <col min="11783" max="11783" width="12.5703125" style="2418" customWidth="1"/>
    <col min="11784" max="11784" width="12.7109375" style="2418" customWidth="1"/>
    <col min="11785" max="11785" width="9.140625" style="2418" customWidth="1"/>
    <col min="11786" max="11786" width="9.28515625" style="2418" customWidth="1"/>
    <col min="11787" max="11789" width="9.28515625" style="2418" bestFit="1" customWidth="1"/>
    <col min="11790" max="11790" width="14.85546875" style="2418" bestFit="1" customWidth="1"/>
    <col min="11791" max="11791" width="14.5703125" style="2418" bestFit="1" customWidth="1"/>
    <col min="11792" max="12032" width="9.140625" style="2418"/>
    <col min="12033" max="12033" width="14.42578125" style="2418" customWidth="1"/>
    <col min="12034" max="12034" width="12.7109375" style="2418" customWidth="1"/>
    <col min="12035" max="12036" width="16.7109375" style="2418" customWidth="1"/>
    <col min="12037" max="12037" width="13.7109375" style="2418" customWidth="1"/>
    <col min="12038" max="12038" width="12.42578125" style="2418" customWidth="1"/>
    <col min="12039" max="12039" width="12.5703125" style="2418" customWidth="1"/>
    <col min="12040" max="12040" width="12.7109375" style="2418" customWidth="1"/>
    <col min="12041" max="12041" width="9.140625" style="2418" customWidth="1"/>
    <col min="12042" max="12042" width="9.28515625" style="2418" customWidth="1"/>
    <col min="12043" max="12045" width="9.28515625" style="2418" bestFit="1" customWidth="1"/>
    <col min="12046" max="12046" width="14.85546875" style="2418" bestFit="1" customWidth="1"/>
    <col min="12047" max="12047" width="14.5703125" style="2418" bestFit="1" customWidth="1"/>
    <col min="12048" max="12288" width="9.140625" style="2418"/>
    <col min="12289" max="12289" width="14.42578125" style="2418" customWidth="1"/>
    <col min="12290" max="12290" width="12.7109375" style="2418" customWidth="1"/>
    <col min="12291" max="12292" width="16.7109375" style="2418" customWidth="1"/>
    <col min="12293" max="12293" width="13.7109375" style="2418" customWidth="1"/>
    <col min="12294" max="12294" width="12.42578125" style="2418" customWidth="1"/>
    <col min="12295" max="12295" width="12.5703125" style="2418" customWidth="1"/>
    <col min="12296" max="12296" width="12.7109375" style="2418" customWidth="1"/>
    <col min="12297" max="12297" width="9.140625" style="2418" customWidth="1"/>
    <col min="12298" max="12298" width="9.28515625" style="2418" customWidth="1"/>
    <col min="12299" max="12301" width="9.28515625" style="2418" bestFit="1" customWidth="1"/>
    <col min="12302" max="12302" width="14.85546875" style="2418" bestFit="1" customWidth="1"/>
    <col min="12303" max="12303" width="14.5703125" style="2418" bestFit="1" customWidth="1"/>
    <col min="12304" max="12544" width="9.140625" style="2418"/>
    <col min="12545" max="12545" width="14.42578125" style="2418" customWidth="1"/>
    <col min="12546" max="12546" width="12.7109375" style="2418" customWidth="1"/>
    <col min="12547" max="12548" width="16.7109375" style="2418" customWidth="1"/>
    <col min="12549" max="12549" width="13.7109375" style="2418" customWidth="1"/>
    <col min="12550" max="12550" width="12.42578125" style="2418" customWidth="1"/>
    <col min="12551" max="12551" width="12.5703125" style="2418" customWidth="1"/>
    <col min="12552" max="12552" width="12.7109375" style="2418" customWidth="1"/>
    <col min="12553" max="12553" width="9.140625" style="2418" customWidth="1"/>
    <col min="12554" max="12554" width="9.28515625" style="2418" customWidth="1"/>
    <col min="12555" max="12557" width="9.28515625" style="2418" bestFit="1" customWidth="1"/>
    <col min="12558" max="12558" width="14.85546875" style="2418" bestFit="1" customWidth="1"/>
    <col min="12559" max="12559" width="14.5703125" style="2418" bestFit="1" customWidth="1"/>
    <col min="12560" max="12800" width="9.140625" style="2418"/>
    <col min="12801" max="12801" width="14.42578125" style="2418" customWidth="1"/>
    <col min="12802" max="12802" width="12.7109375" style="2418" customWidth="1"/>
    <col min="12803" max="12804" width="16.7109375" style="2418" customWidth="1"/>
    <col min="12805" max="12805" width="13.7109375" style="2418" customWidth="1"/>
    <col min="12806" max="12806" width="12.42578125" style="2418" customWidth="1"/>
    <col min="12807" max="12807" width="12.5703125" style="2418" customWidth="1"/>
    <col min="12808" max="12808" width="12.7109375" style="2418" customWidth="1"/>
    <col min="12809" max="12809" width="9.140625" style="2418" customWidth="1"/>
    <col min="12810" max="12810" width="9.28515625" style="2418" customWidth="1"/>
    <col min="12811" max="12813" width="9.28515625" style="2418" bestFit="1" customWidth="1"/>
    <col min="12814" max="12814" width="14.85546875" style="2418" bestFit="1" customWidth="1"/>
    <col min="12815" max="12815" width="14.5703125" style="2418" bestFit="1" customWidth="1"/>
    <col min="12816" max="13056" width="9.140625" style="2418"/>
    <col min="13057" max="13057" width="14.42578125" style="2418" customWidth="1"/>
    <col min="13058" max="13058" width="12.7109375" style="2418" customWidth="1"/>
    <col min="13059" max="13060" width="16.7109375" style="2418" customWidth="1"/>
    <col min="13061" max="13061" width="13.7109375" style="2418" customWidth="1"/>
    <col min="13062" max="13062" width="12.42578125" style="2418" customWidth="1"/>
    <col min="13063" max="13063" width="12.5703125" style="2418" customWidth="1"/>
    <col min="13064" max="13064" width="12.7109375" style="2418" customWidth="1"/>
    <col min="13065" max="13065" width="9.140625" style="2418" customWidth="1"/>
    <col min="13066" max="13066" width="9.28515625" style="2418" customWidth="1"/>
    <col min="13067" max="13069" width="9.28515625" style="2418" bestFit="1" customWidth="1"/>
    <col min="13070" max="13070" width="14.85546875" style="2418" bestFit="1" customWidth="1"/>
    <col min="13071" max="13071" width="14.5703125" style="2418" bestFit="1" customWidth="1"/>
    <col min="13072" max="13312" width="9.140625" style="2418"/>
    <col min="13313" max="13313" width="14.42578125" style="2418" customWidth="1"/>
    <col min="13314" max="13314" width="12.7109375" style="2418" customWidth="1"/>
    <col min="13315" max="13316" width="16.7109375" style="2418" customWidth="1"/>
    <col min="13317" max="13317" width="13.7109375" style="2418" customWidth="1"/>
    <col min="13318" max="13318" width="12.42578125" style="2418" customWidth="1"/>
    <col min="13319" max="13319" width="12.5703125" style="2418" customWidth="1"/>
    <col min="13320" max="13320" width="12.7109375" style="2418" customWidth="1"/>
    <col min="13321" max="13321" width="9.140625" style="2418" customWidth="1"/>
    <col min="13322" max="13322" width="9.28515625" style="2418" customWidth="1"/>
    <col min="13323" max="13325" width="9.28515625" style="2418" bestFit="1" customWidth="1"/>
    <col min="13326" max="13326" width="14.85546875" style="2418" bestFit="1" customWidth="1"/>
    <col min="13327" max="13327" width="14.5703125" style="2418" bestFit="1" customWidth="1"/>
    <col min="13328" max="13568" width="9.140625" style="2418"/>
    <col min="13569" max="13569" width="14.42578125" style="2418" customWidth="1"/>
    <col min="13570" max="13570" width="12.7109375" style="2418" customWidth="1"/>
    <col min="13571" max="13572" width="16.7109375" style="2418" customWidth="1"/>
    <col min="13573" max="13573" width="13.7109375" style="2418" customWidth="1"/>
    <col min="13574" max="13574" width="12.42578125" style="2418" customWidth="1"/>
    <col min="13575" max="13575" width="12.5703125" style="2418" customWidth="1"/>
    <col min="13576" max="13576" width="12.7109375" style="2418" customWidth="1"/>
    <col min="13577" max="13577" width="9.140625" style="2418" customWidth="1"/>
    <col min="13578" max="13578" width="9.28515625" style="2418" customWidth="1"/>
    <col min="13579" max="13581" width="9.28515625" style="2418" bestFit="1" customWidth="1"/>
    <col min="13582" max="13582" width="14.85546875" style="2418" bestFit="1" customWidth="1"/>
    <col min="13583" max="13583" width="14.5703125" style="2418" bestFit="1" customWidth="1"/>
    <col min="13584" max="13824" width="9.140625" style="2418"/>
    <col min="13825" max="13825" width="14.42578125" style="2418" customWidth="1"/>
    <col min="13826" max="13826" width="12.7109375" style="2418" customWidth="1"/>
    <col min="13827" max="13828" width="16.7109375" style="2418" customWidth="1"/>
    <col min="13829" max="13829" width="13.7109375" style="2418" customWidth="1"/>
    <col min="13830" max="13830" width="12.42578125" style="2418" customWidth="1"/>
    <col min="13831" max="13831" width="12.5703125" style="2418" customWidth="1"/>
    <col min="13832" max="13832" width="12.7109375" style="2418" customWidth="1"/>
    <col min="13833" max="13833" width="9.140625" style="2418" customWidth="1"/>
    <col min="13834" max="13834" width="9.28515625" style="2418" customWidth="1"/>
    <col min="13835" max="13837" width="9.28515625" style="2418" bestFit="1" customWidth="1"/>
    <col min="13838" max="13838" width="14.85546875" style="2418" bestFit="1" customWidth="1"/>
    <col min="13839" max="13839" width="14.5703125" style="2418" bestFit="1" customWidth="1"/>
    <col min="13840" max="14080" width="9.140625" style="2418"/>
    <col min="14081" max="14081" width="14.42578125" style="2418" customWidth="1"/>
    <col min="14082" max="14082" width="12.7109375" style="2418" customWidth="1"/>
    <col min="14083" max="14084" width="16.7109375" style="2418" customWidth="1"/>
    <col min="14085" max="14085" width="13.7109375" style="2418" customWidth="1"/>
    <col min="14086" max="14086" width="12.42578125" style="2418" customWidth="1"/>
    <col min="14087" max="14087" width="12.5703125" style="2418" customWidth="1"/>
    <col min="14088" max="14088" width="12.7109375" style="2418" customWidth="1"/>
    <col min="14089" max="14089" width="9.140625" style="2418" customWidth="1"/>
    <col min="14090" max="14090" width="9.28515625" style="2418" customWidth="1"/>
    <col min="14091" max="14093" width="9.28515625" style="2418" bestFit="1" customWidth="1"/>
    <col min="14094" max="14094" width="14.85546875" style="2418" bestFit="1" customWidth="1"/>
    <col min="14095" max="14095" width="14.5703125" style="2418" bestFit="1" customWidth="1"/>
    <col min="14096" max="14336" width="9.140625" style="2418"/>
    <col min="14337" max="14337" width="14.42578125" style="2418" customWidth="1"/>
    <col min="14338" max="14338" width="12.7109375" style="2418" customWidth="1"/>
    <col min="14339" max="14340" width="16.7109375" style="2418" customWidth="1"/>
    <col min="14341" max="14341" width="13.7109375" style="2418" customWidth="1"/>
    <col min="14342" max="14342" width="12.42578125" style="2418" customWidth="1"/>
    <col min="14343" max="14343" width="12.5703125" style="2418" customWidth="1"/>
    <col min="14344" max="14344" width="12.7109375" style="2418" customWidth="1"/>
    <col min="14345" max="14345" width="9.140625" style="2418" customWidth="1"/>
    <col min="14346" max="14346" width="9.28515625" style="2418" customWidth="1"/>
    <col min="14347" max="14349" width="9.28515625" style="2418" bestFit="1" customWidth="1"/>
    <col min="14350" max="14350" width="14.85546875" style="2418" bestFit="1" customWidth="1"/>
    <col min="14351" max="14351" width="14.5703125" style="2418" bestFit="1" customWidth="1"/>
    <col min="14352" max="14592" width="9.140625" style="2418"/>
    <col min="14593" max="14593" width="14.42578125" style="2418" customWidth="1"/>
    <col min="14594" max="14594" width="12.7109375" style="2418" customWidth="1"/>
    <col min="14595" max="14596" width="16.7109375" style="2418" customWidth="1"/>
    <col min="14597" max="14597" width="13.7109375" style="2418" customWidth="1"/>
    <col min="14598" max="14598" width="12.42578125" style="2418" customWidth="1"/>
    <col min="14599" max="14599" width="12.5703125" style="2418" customWidth="1"/>
    <col min="14600" max="14600" width="12.7109375" style="2418" customWidth="1"/>
    <col min="14601" max="14601" width="9.140625" style="2418" customWidth="1"/>
    <col min="14602" max="14602" width="9.28515625" style="2418" customWidth="1"/>
    <col min="14603" max="14605" width="9.28515625" style="2418" bestFit="1" customWidth="1"/>
    <col min="14606" max="14606" width="14.85546875" style="2418" bestFit="1" customWidth="1"/>
    <col min="14607" max="14607" width="14.5703125" style="2418" bestFit="1" customWidth="1"/>
    <col min="14608" max="14848" width="9.140625" style="2418"/>
    <col min="14849" max="14849" width="14.42578125" style="2418" customWidth="1"/>
    <col min="14850" max="14850" width="12.7109375" style="2418" customWidth="1"/>
    <col min="14851" max="14852" width="16.7109375" style="2418" customWidth="1"/>
    <col min="14853" max="14853" width="13.7109375" style="2418" customWidth="1"/>
    <col min="14854" max="14854" width="12.42578125" style="2418" customWidth="1"/>
    <col min="14855" max="14855" width="12.5703125" style="2418" customWidth="1"/>
    <col min="14856" max="14856" width="12.7109375" style="2418" customWidth="1"/>
    <col min="14857" max="14857" width="9.140625" style="2418" customWidth="1"/>
    <col min="14858" max="14858" width="9.28515625" style="2418" customWidth="1"/>
    <col min="14859" max="14861" width="9.28515625" style="2418" bestFit="1" customWidth="1"/>
    <col min="14862" max="14862" width="14.85546875" style="2418" bestFit="1" customWidth="1"/>
    <col min="14863" max="14863" width="14.5703125" style="2418" bestFit="1" customWidth="1"/>
    <col min="14864" max="15104" width="9.140625" style="2418"/>
    <col min="15105" max="15105" width="14.42578125" style="2418" customWidth="1"/>
    <col min="15106" max="15106" width="12.7109375" style="2418" customWidth="1"/>
    <col min="15107" max="15108" width="16.7109375" style="2418" customWidth="1"/>
    <col min="15109" max="15109" width="13.7109375" style="2418" customWidth="1"/>
    <col min="15110" max="15110" width="12.42578125" style="2418" customWidth="1"/>
    <col min="15111" max="15111" width="12.5703125" style="2418" customWidth="1"/>
    <col min="15112" max="15112" width="12.7109375" style="2418" customWidth="1"/>
    <col min="15113" max="15113" width="9.140625" style="2418" customWidth="1"/>
    <col min="15114" max="15114" width="9.28515625" style="2418" customWidth="1"/>
    <col min="15115" max="15117" width="9.28515625" style="2418" bestFit="1" customWidth="1"/>
    <col min="15118" max="15118" width="14.85546875" style="2418" bestFit="1" customWidth="1"/>
    <col min="15119" max="15119" width="14.5703125" style="2418" bestFit="1" customWidth="1"/>
    <col min="15120" max="15360" width="9.140625" style="2418"/>
    <col min="15361" max="15361" width="14.42578125" style="2418" customWidth="1"/>
    <col min="15362" max="15362" width="12.7109375" style="2418" customWidth="1"/>
    <col min="15363" max="15364" width="16.7109375" style="2418" customWidth="1"/>
    <col min="15365" max="15365" width="13.7109375" style="2418" customWidth="1"/>
    <col min="15366" max="15366" width="12.42578125" style="2418" customWidth="1"/>
    <col min="15367" max="15367" width="12.5703125" style="2418" customWidth="1"/>
    <col min="15368" max="15368" width="12.7109375" style="2418" customWidth="1"/>
    <col min="15369" max="15369" width="9.140625" style="2418" customWidth="1"/>
    <col min="15370" max="15370" width="9.28515625" style="2418" customWidth="1"/>
    <col min="15371" max="15373" width="9.28515625" style="2418" bestFit="1" customWidth="1"/>
    <col min="15374" max="15374" width="14.85546875" style="2418" bestFit="1" customWidth="1"/>
    <col min="15375" max="15375" width="14.5703125" style="2418" bestFit="1" customWidth="1"/>
    <col min="15376" max="15616" width="9.140625" style="2418"/>
    <col min="15617" max="15617" width="14.42578125" style="2418" customWidth="1"/>
    <col min="15618" max="15618" width="12.7109375" style="2418" customWidth="1"/>
    <col min="15619" max="15620" width="16.7109375" style="2418" customWidth="1"/>
    <col min="15621" max="15621" width="13.7109375" style="2418" customWidth="1"/>
    <col min="15622" max="15622" width="12.42578125" style="2418" customWidth="1"/>
    <col min="15623" max="15623" width="12.5703125" style="2418" customWidth="1"/>
    <col min="15624" max="15624" width="12.7109375" style="2418" customWidth="1"/>
    <col min="15625" max="15625" width="9.140625" style="2418" customWidth="1"/>
    <col min="15626" max="15626" width="9.28515625" style="2418" customWidth="1"/>
    <col min="15627" max="15629" width="9.28515625" style="2418" bestFit="1" customWidth="1"/>
    <col min="15630" max="15630" width="14.85546875" style="2418" bestFit="1" customWidth="1"/>
    <col min="15631" max="15631" width="14.5703125" style="2418" bestFit="1" customWidth="1"/>
    <col min="15632" max="15872" width="9.140625" style="2418"/>
    <col min="15873" max="15873" width="14.42578125" style="2418" customWidth="1"/>
    <col min="15874" max="15874" width="12.7109375" style="2418" customWidth="1"/>
    <col min="15875" max="15876" width="16.7109375" style="2418" customWidth="1"/>
    <col min="15877" max="15877" width="13.7109375" style="2418" customWidth="1"/>
    <col min="15878" max="15878" width="12.42578125" style="2418" customWidth="1"/>
    <col min="15879" max="15879" width="12.5703125" style="2418" customWidth="1"/>
    <col min="15880" max="15880" width="12.7109375" style="2418" customWidth="1"/>
    <col min="15881" max="15881" width="9.140625" style="2418" customWidth="1"/>
    <col min="15882" max="15882" width="9.28515625" style="2418" customWidth="1"/>
    <col min="15883" max="15885" width="9.28515625" style="2418" bestFit="1" customWidth="1"/>
    <col min="15886" max="15886" width="14.85546875" style="2418" bestFit="1" customWidth="1"/>
    <col min="15887" max="15887" width="14.5703125" style="2418" bestFit="1" customWidth="1"/>
    <col min="15888" max="16128" width="9.140625" style="2418"/>
    <col min="16129" max="16129" width="14.42578125" style="2418" customWidth="1"/>
    <col min="16130" max="16130" width="12.7109375" style="2418" customWidth="1"/>
    <col min="16131" max="16132" width="16.7109375" style="2418" customWidth="1"/>
    <col min="16133" max="16133" width="13.7109375" style="2418" customWidth="1"/>
    <col min="16134" max="16134" width="12.42578125" style="2418" customWidth="1"/>
    <col min="16135" max="16135" width="12.5703125" style="2418" customWidth="1"/>
    <col min="16136" max="16136" width="12.7109375" style="2418" customWidth="1"/>
    <col min="16137" max="16137" width="9.140625" style="2418" customWidth="1"/>
    <col min="16138" max="16138" width="9.28515625" style="2418" customWidth="1"/>
    <col min="16139" max="16141" width="9.28515625" style="2418" bestFit="1" customWidth="1"/>
    <col min="16142" max="16142" width="14.85546875" style="2418" bestFit="1" customWidth="1"/>
    <col min="16143" max="16143" width="14.5703125" style="2418" bestFit="1" customWidth="1"/>
    <col min="16144" max="16384" width="9.140625" style="2418"/>
  </cols>
  <sheetData>
    <row r="1" spans="1:8" s="2416" customFormat="1" ht="18.75" customHeight="1">
      <c r="A1" s="2415" t="s">
        <v>3804</v>
      </c>
      <c r="C1" s="2417"/>
      <c r="D1" s="2417"/>
    </row>
    <row r="2" spans="1:8" ht="7.5" customHeight="1" thickBot="1">
      <c r="F2" s="2420"/>
    </row>
    <row r="3" spans="1:8" ht="13.5" thickBot="1">
      <c r="A3" s="2421"/>
      <c r="B3" s="3340" t="s">
        <v>3805</v>
      </c>
      <c r="C3" s="3341"/>
      <c r="D3" s="3341"/>
      <c r="E3" s="3341"/>
      <c r="F3" s="3341"/>
      <c r="G3" s="3341"/>
      <c r="H3" s="3342"/>
    </row>
    <row r="4" spans="1:8" ht="12.75" customHeight="1" thickBot="1">
      <c r="A4" s="2422" t="s">
        <v>78</v>
      </c>
      <c r="B4" s="2423" t="s">
        <v>116</v>
      </c>
      <c r="C4" s="2424"/>
      <c r="D4" s="2425"/>
      <c r="E4" s="3343" t="s">
        <v>2059</v>
      </c>
      <c r="F4" s="3343"/>
      <c r="G4" s="3343"/>
      <c r="H4" s="3344"/>
    </row>
    <row r="5" spans="1:8" ht="12.75" customHeight="1">
      <c r="A5" s="2422"/>
      <c r="B5" s="2426" t="s">
        <v>118</v>
      </c>
      <c r="C5" s="2421" t="s">
        <v>3806</v>
      </c>
      <c r="D5" s="2423" t="s">
        <v>3806</v>
      </c>
      <c r="E5" s="2427" t="s">
        <v>3807</v>
      </c>
      <c r="F5" s="2427" t="s">
        <v>3808</v>
      </c>
      <c r="G5" s="2421" t="s">
        <v>3809</v>
      </c>
      <c r="H5" s="2421" t="s">
        <v>3810</v>
      </c>
    </row>
    <row r="6" spans="1:8" ht="15" customHeight="1">
      <c r="A6" s="2422"/>
      <c r="B6" s="2426" t="s">
        <v>3811</v>
      </c>
      <c r="C6" s="2428" t="s">
        <v>3812</v>
      </c>
      <c r="D6" s="2426" t="s">
        <v>3813</v>
      </c>
      <c r="E6" s="2426" t="s">
        <v>3814</v>
      </c>
      <c r="F6" s="2429"/>
      <c r="G6" s="2428" t="s">
        <v>2808</v>
      </c>
      <c r="H6" s="2428" t="s">
        <v>2808</v>
      </c>
    </row>
    <row r="7" spans="1:8" ht="12.75" customHeight="1" thickBot="1">
      <c r="A7" s="2430"/>
      <c r="B7" s="2431"/>
      <c r="C7" s="2432"/>
      <c r="D7" s="2431"/>
      <c r="E7" s="2431"/>
      <c r="F7" s="2433" t="s">
        <v>42</v>
      </c>
      <c r="G7" s="2432" t="s">
        <v>119</v>
      </c>
      <c r="H7" s="2432" t="s">
        <v>3815</v>
      </c>
    </row>
    <row r="8" spans="1:8" ht="12.75" hidden="1" customHeight="1">
      <c r="A8" s="2434">
        <v>37438</v>
      </c>
      <c r="B8" s="2435">
        <v>23</v>
      </c>
      <c r="C8" s="2436">
        <v>703.38</v>
      </c>
      <c r="D8" s="2436">
        <v>375.02</v>
      </c>
      <c r="E8" s="2437">
        <v>79.459999999999994</v>
      </c>
      <c r="F8" s="2438">
        <v>359.86</v>
      </c>
      <c r="G8" s="2439">
        <v>5462</v>
      </c>
      <c r="H8" s="2439">
        <v>390</v>
      </c>
    </row>
    <row r="9" spans="1:8" ht="12.75" hidden="1" customHeight="1">
      <c r="A9" s="2434">
        <v>37469</v>
      </c>
      <c r="B9" s="2435">
        <v>21</v>
      </c>
      <c r="C9" s="2436">
        <v>724.61</v>
      </c>
      <c r="D9" s="2436">
        <v>383.5</v>
      </c>
      <c r="E9" s="2437">
        <v>81.349999999999994</v>
      </c>
      <c r="F9" s="2438">
        <v>369.27</v>
      </c>
      <c r="G9" s="2439">
        <v>4237</v>
      </c>
      <c r="H9" s="2439">
        <v>334</v>
      </c>
    </row>
    <row r="10" spans="1:8" ht="12.75" hidden="1" customHeight="1">
      <c r="A10" s="2434">
        <v>37500</v>
      </c>
      <c r="B10" s="2435">
        <v>20</v>
      </c>
      <c r="C10" s="2436">
        <v>748.41</v>
      </c>
      <c r="D10" s="2436">
        <v>393.72</v>
      </c>
      <c r="E10" s="2437">
        <v>82.34</v>
      </c>
      <c r="F10" s="2438">
        <v>381.25</v>
      </c>
      <c r="G10" s="2439">
        <v>6328</v>
      </c>
      <c r="H10" s="2439">
        <v>488</v>
      </c>
    </row>
    <row r="11" spans="1:8" ht="12.75" hidden="1" customHeight="1">
      <c r="A11" s="2434">
        <v>37530</v>
      </c>
      <c r="B11" s="2435">
        <v>23</v>
      </c>
      <c r="C11" s="2436">
        <v>751.53</v>
      </c>
      <c r="D11" s="2436">
        <v>395.52</v>
      </c>
      <c r="E11" s="2437">
        <v>82.38</v>
      </c>
      <c r="F11" s="2438">
        <v>379.09</v>
      </c>
      <c r="G11" s="2439">
        <v>4380</v>
      </c>
      <c r="H11" s="2439">
        <v>399</v>
      </c>
    </row>
    <row r="12" spans="1:8" ht="12.75" hidden="1" customHeight="1">
      <c r="A12" s="2434">
        <v>37562</v>
      </c>
      <c r="B12" s="2435">
        <v>20</v>
      </c>
      <c r="C12" s="2436">
        <v>757.45</v>
      </c>
      <c r="D12" s="2436">
        <v>400.61</v>
      </c>
      <c r="E12" s="2437">
        <v>82.79</v>
      </c>
      <c r="F12" s="2438">
        <v>380.92</v>
      </c>
      <c r="G12" s="2439">
        <v>5790</v>
      </c>
      <c r="H12" s="2439">
        <v>455</v>
      </c>
    </row>
    <row r="13" spans="1:8" ht="12.75" hidden="1" customHeight="1">
      <c r="A13" s="2434">
        <v>37592</v>
      </c>
      <c r="B13" s="2435">
        <v>20</v>
      </c>
      <c r="C13" s="2436">
        <v>792.91</v>
      </c>
      <c r="D13" s="2436">
        <v>420.66</v>
      </c>
      <c r="E13" s="2437">
        <v>86.5</v>
      </c>
      <c r="F13" s="2438">
        <v>394.26</v>
      </c>
      <c r="G13" s="2439">
        <v>5671</v>
      </c>
      <c r="H13" s="2439">
        <v>421</v>
      </c>
    </row>
    <row r="14" spans="1:8" ht="12.75" hidden="1" customHeight="1">
      <c r="A14" s="2434">
        <v>37624</v>
      </c>
      <c r="B14" s="2435">
        <v>21</v>
      </c>
      <c r="C14" s="2436">
        <v>855</v>
      </c>
      <c r="D14" s="2440">
        <v>463.05</v>
      </c>
      <c r="E14" s="2441">
        <v>94.07</v>
      </c>
      <c r="F14" s="2438">
        <v>419.4</v>
      </c>
      <c r="G14" s="2439">
        <v>7066</v>
      </c>
      <c r="H14" s="2439">
        <v>370</v>
      </c>
    </row>
    <row r="15" spans="1:8" ht="12.75" hidden="1" customHeight="1">
      <c r="A15" s="2434">
        <v>37655</v>
      </c>
      <c r="B15" s="2435">
        <v>19</v>
      </c>
      <c r="C15" s="2436">
        <v>879.71</v>
      </c>
      <c r="D15" s="2440">
        <v>491.9</v>
      </c>
      <c r="E15" s="2441">
        <v>96.74</v>
      </c>
      <c r="F15" s="2438">
        <v>430.16</v>
      </c>
      <c r="G15" s="2439">
        <v>8543</v>
      </c>
      <c r="H15" s="2439">
        <v>419.83</v>
      </c>
    </row>
    <row r="16" spans="1:8" ht="12.75" hidden="1" customHeight="1">
      <c r="A16" s="2434">
        <v>37683</v>
      </c>
      <c r="B16" s="2435">
        <v>20</v>
      </c>
      <c r="C16" s="2436">
        <v>870.27</v>
      </c>
      <c r="D16" s="2440">
        <v>492.47</v>
      </c>
      <c r="E16" s="2441">
        <v>95.12</v>
      </c>
      <c r="F16" s="2438">
        <v>425.16</v>
      </c>
      <c r="G16" s="2439">
        <v>6958</v>
      </c>
      <c r="H16" s="2439">
        <v>440</v>
      </c>
    </row>
    <row r="17" spans="1:8" ht="12.75" hidden="1" customHeight="1">
      <c r="A17" s="2434">
        <v>37714</v>
      </c>
      <c r="B17" s="2435">
        <v>21</v>
      </c>
      <c r="C17" s="2436">
        <v>910.33</v>
      </c>
      <c r="D17" s="2440">
        <v>518.30999999999995</v>
      </c>
      <c r="E17" s="2441">
        <v>98.54</v>
      </c>
      <c r="F17" s="2438">
        <v>440</v>
      </c>
      <c r="G17" s="2439">
        <v>7399</v>
      </c>
      <c r="H17" s="2439">
        <v>814</v>
      </c>
    </row>
    <row r="18" spans="1:8" ht="12.75" hidden="1" customHeight="1">
      <c r="A18" s="2434">
        <v>37742</v>
      </c>
      <c r="B18" s="2435">
        <v>21</v>
      </c>
      <c r="C18" s="2436">
        <v>968.13</v>
      </c>
      <c r="D18" s="2440">
        <v>548.11</v>
      </c>
      <c r="E18" s="2441">
        <v>104.06</v>
      </c>
      <c r="F18" s="2438">
        <v>465.27</v>
      </c>
      <c r="G18" s="2439">
        <v>10253</v>
      </c>
      <c r="H18" s="2439">
        <v>659</v>
      </c>
    </row>
    <row r="19" spans="1:8" ht="12.75" hidden="1" customHeight="1">
      <c r="A19" s="2434">
        <v>37773</v>
      </c>
      <c r="B19" s="2435">
        <v>21</v>
      </c>
      <c r="C19" s="2436">
        <v>1004.17</v>
      </c>
      <c r="D19" s="2440">
        <v>551.09</v>
      </c>
      <c r="E19" s="2441">
        <v>105.98</v>
      </c>
      <c r="F19" s="2438">
        <v>481.03</v>
      </c>
      <c r="G19" s="2439">
        <v>10462</v>
      </c>
      <c r="H19" s="2439">
        <v>970</v>
      </c>
    </row>
    <row r="20" spans="1:8" ht="12.75" hidden="1" customHeight="1">
      <c r="A20" s="2434">
        <v>37805</v>
      </c>
      <c r="B20" s="2435">
        <v>20</v>
      </c>
      <c r="C20" s="2436">
        <v>1013.62</v>
      </c>
      <c r="D20" s="2440">
        <v>537.32000000000005</v>
      </c>
      <c r="E20" s="2441">
        <v>105.19</v>
      </c>
      <c r="F20" s="2438">
        <v>480.96</v>
      </c>
      <c r="G20" s="2439">
        <v>20172</v>
      </c>
      <c r="H20" s="2439">
        <v>1026</v>
      </c>
    </row>
    <row r="21" spans="1:8" ht="13.5" hidden="1" customHeight="1">
      <c r="A21" s="2434">
        <v>37836</v>
      </c>
      <c r="B21" s="2435">
        <v>21</v>
      </c>
      <c r="C21" s="2440">
        <v>995.12</v>
      </c>
      <c r="D21" s="2440">
        <v>531.36</v>
      </c>
      <c r="E21" s="2441">
        <v>102.27</v>
      </c>
      <c r="F21" s="2438">
        <v>472.29</v>
      </c>
      <c r="G21" s="2439">
        <v>11623</v>
      </c>
      <c r="H21" s="2439">
        <v>855</v>
      </c>
    </row>
    <row r="22" spans="1:8" ht="12.75" hidden="1" customHeight="1">
      <c r="A22" s="2434">
        <v>37867</v>
      </c>
      <c r="B22" s="2442">
        <v>21</v>
      </c>
      <c r="C22" s="2440">
        <v>1018.06</v>
      </c>
      <c r="D22" s="2440">
        <v>544.78</v>
      </c>
      <c r="E22" s="2441">
        <v>105.32</v>
      </c>
      <c r="F22" s="2438">
        <v>483.08</v>
      </c>
      <c r="G22" s="2439">
        <v>6792</v>
      </c>
      <c r="H22" s="2439">
        <v>464</v>
      </c>
    </row>
    <row r="23" spans="1:8" ht="12.75" hidden="1" customHeight="1">
      <c r="A23" s="2434">
        <v>37897</v>
      </c>
      <c r="B23" s="2442">
        <v>23</v>
      </c>
      <c r="C23" s="2440">
        <v>1089.51</v>
      </c>
      <c r="D23" s="2440">
        <v>591.4</v>
      </c>
      <c r="E23" s="2441">
        <v>113.54</v>
      </c>
      <c r="F23" s="2438">
        <v>512.29</v>
      </c>
      <c r="G23" s="2439">
        <v>19436</v>
      </c>
      <c r="H23" s="2439">
        <v>995</v>
      </c>
    </row>
    <row r="24" spans="1:8" ht="12.75" hidden="1" customHeight="1">
      <c r="A24" s="2434">
        <v>37928</v>
      </c>
      <c r="B24" s="2435">
        <v>19</v>
      </c>
      <c r="C24" s="2440">
        <v>1163.97</v>
      </c>
      <c r="D24" s="2440">
        <v>639.53</v>
      </c>
      <c r="E24" s="2441">
        <v>120.18</v>
      </c>
      <c r="F24" s="2438">
        <v>545.24</v>
      </c>
      <c r="G24" s="2439">
        <v>7775</v>
      </c>
      <c r="H24" s="2439">
        <v>545</v>
      </c>
    </row>
    <row r="25" spans="1:8" ht="12.75" hidden="1" customHeight="1">
      <c r="A25" s="2434">
        <v>37958</v>
      </c>
      <c r="B25" s="2435">
        <v>22</v>
      </c>
      <c r="C25" s="2440">
        <v>1194.27</v>
      </c>
      <c r="D25" s="2440">
        <v>691.95</v>
      </c>
      <c r="E25" s="2441">
        <v>121.5</v>
      </c>
      <c r="F25" s="2438">
        <v>554.84</v>
      </c>
      <c r="G25" s="2439">
        <v>9682.2000000000007</v>
      </c>
      <c r="H25" s="2439">
        <v>408</v>
      </c>
    </row>
    <row r="26" spans="1:8" ht="12.75" hidden="1" customHeight="1">
      <c r="A26" s="2434">
        <v>37989</v>
      </c>
      <c r="B26" s="2443">
        <v>19</v>
      </c>
      <c r="C26" s="2440">
        <v>1231.02</v>
      </c>
      <c r="D26" s="2440">
        <v>732.75</v>
      </c>
      <c r="E26" s="2440">
        <v>123.2</v>
      </c>
      <c r="F26" s="2444">
        <v>565.4</v>
      </c>
      <c r="G26" s="2445">
        <v>13223</v>
      </c>
      <c r="H26" s="2445">
        <v>703</v>
      </c>
    </row>
    <row r="27" spans="1:8" ht="12.75" hidden="1" customHeight="1">
      <c r="A27" s="2434">
        <v>38021</v>
      </c>
      <c r="B27" s="2443">
        <v>18</v>
      </c>
      <c r="C27" s="2440">
        <v>1306.7</v>
      </c>
      <c r="D27" s="2440">
        <v>787.86</v>
      </c>
      <c r="E27" s="2440">
        <v>130.58000000000001</v>
      </c>
      <c r="F27" s="2444">
        <v>599.33000000000004</v>
      </c>
      <c r="G27" s="2445">
        <v>15372</v>
      </c>
      <c r="H27" s="2445">
        <v>825</v>
      </c>
    </row>
    <row r="28" spans="1:8" ht="12.75" hidden="1" customHeight="1">
      <c r="A28" s="2434">
        <v>38047</v>
      </c>
      <c r="B28" s="2443">
        <v>22</v>
      </c>
      <c r="C28" s="2440">
        <v>1322.36</v>
      </c>
      <c r="D28" s="2440">
        <v>785.43</v>
      </c>
      <c r="E28" s="2440">
        <v>130.88999999999999</v>
      </c>
      <c r="F28" s="2444">
        <v>605.41</v>
      </c>
      <c r="G28" s="2445">
        <v>10015</v>
      </c>
      <c r="H28" s="2445">
        <v>369</v>
      </c>
    </row>
    <row r="29" spans="1:8" ht="12.75" hidden="1" customHeight="1">
      <c r="A29" s="2434">
        <v>38078</v>
      </c>
      <c r="B29" s="2446">
        <v>22</v>
      </c>
      <c r="C29" s="2440">
        <v>1376.95</v>
      </c>
      <c r="D29" s="2440">
        <v>788.88</v>
      </c>
      <c r="E29" s="2440">
        <v>132.37</v>
      </c>
      <c r="F29" s="2444">
        <v>623.96</v>
      </c>
      <c r="G29" s="2445">
        <v>8819</v>
      </c>
      <c r="H29" s="2445">
        <v>321</v>
      </c>
    </row>
    <row r="30" spans="1:8" ht="12.75" hidden="1" customHeight="1">
      <c r="A30" s="2434">
        <v>38108</v>
      </c>
      <c r="B30" s="2446">
        <v>21</v>
      </c>
      <c r="C30" s="2440">
        <v>1441.08</v>
      </c>
      <c r="D30" s="2440">
        <v>802.63</v>
      </c>
      <c r="E30" s="2440">
        <v>137.75</v>
      </c>
      <c r="F30" s="2444">
        <v>650.94000000000005</v>
      </c>
      <c r="G30" s="2445">
        <v>14037</v>
      </c>
      <c r="H30" s="2445">
        <v>624</v>
      </c>
    </row>
    <row r="31" spans="1:8" ht="12.75" hidden="1" customHeight="1">
      <c r="A31" s="2434">
        <v>38139</v>
      </c>
      <c r="B31" s="2443">
        <v>22</v>
      </c>
      <c r="C31" s="2440">
        <v>1457.2</v>
      </c>
      <c r="D31" s="2440">
        <v>805.75</v>
      </c>
      <c r="E31" s="2440">
        <v>138.49</v>
      </c>
      <c r="F31" s="2444">
        <v>656.8</v>
      </c>
      <c r="G31" s="2445">
        <v>12794</v>
      </c>
      <c r="H31" s="2445">
        <v>670</v>
      </c>
    </row>
    <row r="32" spans="1:8" ht="12.75" hidden="1" customHeight="1">
      <c r="A32" s="2434">
        <v>38169</v>
      </c>
      <c r="B32" s="2443">
        <v>22</v>
      </c>
      <c r="C32" s="2440">
        <v>1453.15</v>
      </c>
      <c r="D32" s="2440">
        <v>801.78</v>
      </c>
      <c r="E32" s="2440">
        <v>136.01</v>
      </c>
      <c r="F32" s="2444">
        <v>651.09</v>
      </c>
      <c r="G32" s="2445">
        <v>7884</v>
      </c>
      <c r="H32" s="2445">
        <v>459</v>
      </c>
    </row>
    <row r="33" spans="1:8" ht="12.75" hidden="1" customHeight="1">
      <c r="A33" s="2434">
        <v>38200</v>
      </c>
      <c r="B33" s="2443">
        <v>22</v>
      </c>
      <c r="C33" s="2440">
        <v>1444.65</v>
      </c>
      <c r="D33" s="2440">
        <v>793.9</v>
      </c>
      <c r="E33" s="2440">
        <v>134.07</v>
      </c>
      <c r="F33" s="2444">
        <v>646.79</v>
      </c>
      <c r="G33" s="2445">
        <v>7304</v>
      </c>
      <c r="H33" s="2445">
        <v>482</v>
      </c>
    </row>
    <row r="34" spans="1:8" ht="12.75" hidden="1" customHeight="1">
      <c r="A34" s="2434">
        <v>38231</v>
      </c>
      <c r="B34" s="2443">
        <v>22</v>
      </c>
      <c r="C34" s="2440">
        <v>1455.79</v>
      </c>
      <c r="D34" s="2440">
        <v>794.7</v>
      </c>
      <c r="E34" s="2440">
        <v>135.30000000000001</v>
      </c>
      <c r="F34" s="2444">
        <v>651.04</v>
      </c>
      <c r="G34" s="2445">
        <v>9027</v>
      </c>
      <c r="H34" s="2445">
        <v>558</v>
      </c>
    </row>
    <row r="35" spans="1:8" ht="12.75" hidden="1" customHeight="1">
      <c r="A35" s="2447">
        <v>38261</v>
      </c>
      <c r="B35" s="2443">
        <v>21</v>
      </c>
      <c r="C35" s="2440">
        <v>1499.44</v>
      </c>
      <c r="D35" s="2440">
        <v>817.72</v>
      </c>
      <c r="E35" s="2440">
        <v>138.04</v>
      </c>
      <c r="F35" s="2444">
        <v>666.32</v>
      </c>
      <c r="G35" s="2445">
        <v>12770</v>
      </c>
      <c r="H35" s="2448">
        <v>573.98400000000004</v>
      </c>
    </row>
    <row r="36" spans="1:8" ht="12.75" hidden="1" customHeight="1">
      <c r="A36" s="2434">
        <v>38292</v>
      </c>
      <c r="B36" s="2443">
        <v>20</v>
      </c>
      <c r="C36" s="2440">
        <v>1529.97</v>
      </c>
      <c r="D36" s="2440">
        <v>836.12</v>
      </c>
      <c r="E36" s="2440">
        <v>141.09</v>
      </c>
      <c r="F36" s="2444">
        <v>677.77</v>
      </c>
      <c r="G36" s="2445">
        <v>12281</v>
      </c>
      <c r="H36" s="2445">
        <v>640</v>
      </c>
    </row>
    <row r="37" spans="1:8" ht="12.75" hidden="1" customHeight="1">
      <c r="A37" s="2434">
        <v>38322</v>
      </c>
      <c r="B37" s="2443">
        <v>23</v>
      </c>
      <c r="C37" s="2440">
        <v>1585.78</v>
      </c>
      <c r="D37" s="2440">
        <v>873.31</v>
      </c>
      <c r="E37" s="2440">
        <v>146.06</v>
      </c>
      <c r="F37" s="2444">
        <v>697.01</v>
      </c>
      <c r="G37" s="2445">
        <v>11043</v>
      </c>
      <c r="H37" s="2445">
        <v>753</v>
      </c>
    </row>
    <row r="38" spans="1:8" ht="12.75" hidden="1" customHeight="1">
      <c r="A38" s="2434">
        <v>38353</v>
      </c>
      <c r="B38" s="2443">
        <v>19</v>
      </c>
      <c r="C38" s="2440">
        <v>1656.32</v>
      </c>
      <c r="D38" s="2440">
        <v>909.02</v>
      </c>
      <c r="E38" s="2440">
        <v>151.65</v>
      </c>
      <c r="F38" s="2444">
        <v>722.2</v>
      </c>
      <c r="G38" s="2445">
        <v>11864</v>
      </c>
      <c r="H38" s="2445">
        <v>1010.5</v>
      </c>
    </row>
    <row r="39" spans="1:8" ht="12.75" hidden="1" customHeight="1">
      <c r="A39" s="2434">
        <v>38384</v>
      </c>
      <c r="B39" s="2443">
        <v>18</v>
      </c>
      <c r="C39" s="2440">
        <v>1684.81</v>
      </c>
      <c r="D39" s="2440">
        <v>913.47</v>
      </c>
      <c r="E39" s="2440">
        <v>153.96</v>
      </c>
      <c r="F39" s="2444">
        <v>731.03</v>
      </c>
      <c r="G39" s="2445">
        <v>10978</v>
      </c>
      <c r="H39" s="2445">
        <v>400</v>
      </c>
    </row>
    <row r="40" spans="1:8" ht="12.75" hidden="1" customHeight="1">
      <c r="A40" s="2434">
        <v>38412</v>
      </c>
      <c r="B40" s="2443">
        <v>20</v>
      </c>
      <c r="C40" s="2440">
        <v>1713.2</v>
      </c>
      <c r="D40" s="2440">
        <v>922.99</v>
      </c>
      <c r="E40" s="2440">
        <v>158.25</v>
      </c>
      <c r="F40" s="2444">
        <v>742.65</v>
      </c>
      <c r="G40" s="2445">
        <v>18126</v>
      </c>
      <c r="H40" s="2445">
        <v>805</v>
      </c>
    </row>
    <row r="41" spans="1:8" ht="12.75" hidden="1" customHeight="1">
      <c r="A41" s="2434">
        <v>38443</v>
      </c>
      <c r="B41" s="2443">
        <v>21</v>
      </c>
      <c r="C41" s="2440">
        <v>1705.97</v>
      </c>
      <c r="D41" s="2440">
        <v>915.09</v>
      </c>
      <c r="E41" s="2440">
        <v>155.06</v>
      </c>
      <c r="F41" s="2444">
        <v>730.93</v>
      </c>
      <c r="G41" s="2445">
        <v>12972</v>
      </c>
      <c r="H41" s="2445">
        <v>463</v>
      </c>
    </row>
    <row r="42" spans="1:8" ht="12.75" hidden="1" customHeight="1">
      <c r="A42" s="2434">
        <v>38473</v>
      </c>
      <c r="B42" s="2443">
        <v>22</v>
      </c>
      <c r="C42" s="2440">
        <v>1649.42</v>
      </c>
      <c r="D42" s="2440">
        <v>883.36</v>
      </c>
      <c r="E42" s="2440">
        <v>148.54</v>
      </c>
      <c r="F42" s="2444">
        <v>705.22</v>
      </c>
      <c r="G42" s="2445">
        <v>9013</v>
      </c>
      <c r="H42" s="2445">
        <v>272</v>
      </c>
    </row>
    <row r="43" spans="1:8" ht="12.75" hidden="1" customHeight="1">
      <c r="A43" s="2434">
        <v>38504</v>
      </c>
      <c r="B43" s="2443">
        <v>22</v>
      </c>
      <c r="C43" s="2440">
        <v>1681.86</v>
      </c>
      <c r="D43" s="2440">
        <v>895.08</v>
      </c>
      <c r="E43" s="2440">
        <v>152.52000000000001</v>
      </c>
      <c r="F43" s="2444">
        <v>717.54</v>
      </c>
      <c r="G43" s="2445">
        <v>29856</v>
      </c>
      <c r="H43" s="2445">
        <v>804</v>
      </c>
    </row>
    <row r="44" spans="1:8" ht="12.75" hidden="1" customHeight="1">
      <c r="A44" s="2434">
        <v>38534</v>
      </c>
      <c r="B44" s="2443">
        <v>21</v>
      </c>
      <c r="C44" s="2440">
        <v>1724.38</v>
      </c>
      <c r="D44" s="2440">
        <v>911.56</v>
      </c>
      <c r="E44" s="2440">
        <v>155.41999999999999</v>
      </c>
      <c r="F44" s="2444">
        <v>726.77</v>
      </c>
      <c r="G44" s="2445">
        <v>8071</v>
      </c>
      <c r="H44" s="2445">
        <v>520</v>
      </c>
    </row>
    <row r="45" spans="1:8" ht="12.75" hidden="1" customHeight="1">
      <c r="A45" s="2434">
        <v>38565</v>
      </c>
      <c r="B45" s="2443">
        <v>23</v>
      </c>
      <c r="C45" s="2440">
        <v>1812.43</v>
      </c>
      <c r="D45" s="2440">
        <v>952.76</v>
      </c>
      <c r="E45" s="2449">
        <v>164.74</v>
      </c>
      <c r="F45" s="2438">
        <v>759.86</v>
      </c>
      <c r="G45" s="2439">
        <v>11593</v>
      </c>
      <c r="H45" s="2439">
        <v>612</v>
      </c>
    </row>
    <row r="46" spans="1:8" ht="12.75" hidden="1" customHeight="1">
      <c r="A46" s="2434">
        <v>38596</v>
      </c>
      <c r="B46" s="2443">
        <v>21</v>
      </c>
      <c r="C46" s="2440">
        <v>1922.12</v>
      </c>
      <c r="D46" s="2440">
        <v>1003.55</v>
      </c>
      <c r="E46" s="2441">
        <v>176.47</v>
      </c>
      <c r="F46" s="2438">
        <v>805.72</v>
      </c>
      <c r="G46" s="2439">
        <v>17669</v>
      </c>
      <c r="H46" s="2439">
        <v>1026</v>
      </c>
    </row>
    <row r="47" spans="1:8" ht="12.75" hidden="1" customHeight="1">
      <c r="A47" s="2434">
        <v>38626</v>
      </c>
      <c r="B47" s="2443">
        <v>21</v>
      </c>
      <c r="C47" s="2440">
        <v>1957.01</v>
      </c>
      <c r="D47" s="2440">
        <v>1007.65</v>
      </c>
      <c r="E47" s="2441">
        <v>178.24</v>
      </c>
      <c r="F47" s="2438">
        <v>815.68</v>
      </c>
      <c r="G47" s="2439">
        <v>15882</v>
      </c>
      <c r="H47" s="2439">
        <v>762</v>
      </c>
    </row>
    <row r="48" spans="1:8" ht="12.75" hidden="1" customHeight="1">
      <c r="A48" s="2434">
        <v>38657</v>
      </c>
      <c r="B48" s="2443">
        <v>19</v>
      </c>
      <c r="C48" s="2440">
        <v>1965.17</v>
      </c>
      <c r="D48" s="2440">
        <v>1007.33</v>
      </c>
      <c r="E48" s="2441">
        <v>177.89</v>
      </c>
      <c r="F48" s="2438">
        <v>816.57</v>
      </c>
      <c r="G48" s="2439">
        <v>25540</v>
      </c>
      <c r="H48" s="2439">
        <v>935</v>
      </c>
    </row>
    <row r="49" spans="1:8" ht="12.75" hidden="1" customHeight="1">
      <c r="A49" s="2434">
        <v>38687</v>
      </c>
      <c r="B49" s="2443">
        <v>22</v>
      </c>
      <c r="C49" s="2440">
        <v>1958.47</v>
      </c>
      <c r="D49" s="2440">
        <v>1000.5</v>
      </c>
      <c r="E49" s="2441">
        <v>176.76</v>
      </c>
      <c r="F49" s="2438">
        <v>807.72</v>
      </c>
      <c r="G49" s="2439">
        <v>45862</v>
      </c>
      <c r="H49" s="2439">
        <v>5243</v>
      </c>
    </row>
    <row r="50" spans="1:8" ht="12.75" hidden="1" customHeight="1">
      <c r="A50" s="2447">
        <v>38718</v>
      </c>
      <c r="B50" s="2443">
        <v>21</v>
      </c>
      <c r="C50" s="2440">
        <v>1982.3</v>
      </c>
      <c r="D50" s="2440">
        <v>1012.04</v>
      </c>
      <c r="E50" s="2441">
        <v>178.52</v>
      </c>
      <c r="F50" s="2438">
        <v>816.24</v>
      </c>
      <c r="G50" s="2439">
        <v>19067</v>
      </c>
      <c r="H50" s="2450">
        <v>700</v>
      </c>
    </row>
    <row r="51" spans="1:8" ht="12.75" hidden="1" customHeight="1">
      <c r="A51" s="2447">
        <v>38749</v>
      </c>
      <c r="B51" s="2443">
        <v>19</v>
      </c>
      <c r="C51" s="2440">
        <v>2028.15</v>
      </c>
      <c r="D51" s="2440">
        <v>1033.42</v>
      </c>
      <c r="E51" s="2441">
        <v>183.78</v>
      </c>
      <c r="F51" s="2438">
        <v>834.57</v>
      </c>
      <c r="G51" s="2439">
        <v>21168</v>
      </c>
      <c r="H51" s="2450">
        <v>865</v>
      </c>
    </row>
    <row r="52" spans="1:8" ht="12.75" hidden="1" customHeight="1">
      <c r="A52" s="2447">
        <v>38777</v>
      </c>
      <c r="B52" s="2443">
        <v>22</v>
      </c>
      <c r="C52" s="2440">
        <v>2059.31</v>
      </c>
      <c r="D52" s="2440">
        <v>1047.3599999999999</v>
      </c>
      <c r="E52" s="2441">
        <v>184.86</v>
      </c>
      <c r="F52" s="2438">
        <v>845.69</v>
      </c>
      <c r="G52" s="2439">
        <v>12508</v>
      </c>
      <c r="H52" s="2450">
        <v>684</v>
      </c>
    </row>
    <row r="53" spans="1:8" ht="12.75" hidden="1" customHeight="1">
      <c r="A53" s="2434">
        <v>38808</v>
      </c>
      <c r="B53" s="2443">
        <v>20</v>
      </c>
      <c r="C53" s="2440">
        <v>2044.66</v>
      </c>
      <c r="D53" s="2440">
        <v>1037.69</v>
      </c>
      <c r="E53" s="2441">
        <v>181.23</v>
      </c>
      <c r="F53" s="2438">
        <v>833.78</v>
      </c>
      <c r="G53" s="2439">
        <v>10726</v>
      </c>
      <c r="H53" s="2450">
        <v>631</v>
      </c>
    </row>
    <row r="54" spans="1:8" ht="12.75" hidden="1" customHeight="1">
      <c r="A54" s="2434">
        <v>38838</v>
      </c>
      <c r="B54" s="2443">
        <v>22</v>
      </c>
      <c r="C54" s="2440">
        <v>2038.16</v>
      </c>
      <c r="D54" s="2440">
        <v>1034.25</v>
      </c>
      <c r="E54" s="2441">
        <v>180.08</v>
      </c>
      <c r="F54" s="2438">
        <v>828.41</v>
      </c>
      <c r="G54" s="2439">
        <v>13755.8</v>
      </c>
      <c r="H54" s="2439">
        <v>386</v>
      </c>
    </row>
    <row r="55" spans="1:8" ht="12.75" hidden="1" customHeight="1">
      <c r="A55" s="2434">
        <v>38869</v>
      </c>
      <c r="B55" s="2443">
        <v>22</v>
      </c>
      <c r="C55" s="2440">
        <v>2023.92</v>
      </c>
      <c r="D55" s="2440">
        <v>1026.75</v>
      </c>
      <c r="E55" s="2441">
        <v>178.23</v>
      </c>
      <c r="F55" s="2438">
        <v>818.95</v>
      </c>
      <c r="G55" s="2439">
        <v>15269</v>
      </c>
      <c r="H55" s="2439">
        <v>1054</v>
      </c>
    </row>
    <row r="56" spans="1:8" ht="12.75" hidden="1" customHeight="1">
      <c r="A56" s="2434">
        <v>38899</v>
      </c>
      <c r="B56" s="2443">
        <v>21</v>
      </c>
      <c r="C56" s="2440">
        <v>2110.1</v>
      </c>
      <c r="D56" s="2440">
        <v>1060.6300000000001</v>
      </c>
      <c r="E56" s="2441">
        <v>187</v>
      </c>
      <c r="F56" s="2438">
        <v>852.36</v>
      </c>
      <c r="G56" s="2439">
        <v>18819</v>
      </c>
      <c r="H56" s="2439">
        <v>425.6</v>
      </c>
    </row>
    <row r="57" spans="1:8" ht="12.75" hidden="1" customHeight="1">
      <c r="A57" s="2434">
        <v>38930</v>
      </c>
      <c r="B57" s="2443">
        <v>21</v>
      </c>
      <c r="C57" s="2440">
        <v>2223.5500000000002</v>
      </c>
      <c r="D57" s="2440">
        <v>1089.49</v>
      </c>
      <c r="E57" s="2441">
        <v>195.58</v>
      </c>
      <c r="F57" s="2438">
        <v>890.52</v>
      </c>
      <c r="G57" s="2439">
        <v>14331</v>
      </c>
      <c r="H57" s="2439">
        <v>794</v>
      </c>
    </row>
    <row r="58" spans="1:8" ht="12.75" hidden="1" customHeight="1">
      <c r="A58" s="2434">
        <v>38961</v>
      </c>
      <c r="B58" s="2443">
        <v>21</v>
      </c>
      <c r="C58" s="2440">
        <v>2394.35</v>
      </c>
      <c r="D58" s="2440">
        <v>1154.33</v>
      </c>
      <c r="E58" s="2441">
        <v>207.36</v>
      </c>
      <c r="F58" s="2438">
        <v>957.06</v>
      </c>
      <c r="G58" s="2439">
        <v>16903.900000000001</v>
      </c>
      <c r="H58" s="2439">
        <v>622.79999999999995</v>
      </c>
    </row>
    <row r="59" spans="1:8" ht="12.75" hidden="1" customHeight="1">
      <c r="A59" s="2434">
        <v>38991</v>
      </c>
      <c r="B59" s="2443">
        <v>21</v>
      </c>
      <c r="C59" s="2440">
        <v>2631.06</v>
      </c>
      <c r="D59" s="2440">
        <v>1259.0899999999999</v>
      </c>
      <c r="E59" s="2441">
        <v>228.19</v>
      </c>
      <c r="F59" s="2438">
        <v>1046.08</v>
      </c>
      <c r="G59" s="2439">
        <v>17704</v>
      </c>
      <c r="H59" s="2439">
        <v>551.31799999999998</v>
      </c>
    </row>
    <row r="60" spans="1:8" ht="12.75" hidden="1" customHeight="1">
      <c r="A60" s="2434">
        <v>39022</v>
      </c>
      <c r="B60" s="2443">
        <v>21</v>
      </c>
      <c r="C60" s="2440">
        <v>2979.76</v>
      </c>
      <c r="D60" s="2440">
        <v>1412.8</v>
      </c>
      <c r="E60" s="2441">
        <v>255.29</v>
      </c>
      <c r="F60" s="2438">
        <v>1181.17</v>
      </c>
      <c r="G60" s="2439">
        <v>24762</v>
      </c>
      <c r="H60" s="2439">
        <v>771</v>
      </c>
    </row>
    <row r="61" spans="1:8" ht="12.75" hidden="1" customHeight="1">
      <c r="A61" s="2434">
        <v>39052</v>
      </c>
      <c r="B61" s="2443">
        <v>20</v>
      </c>
      <c r="C61" s="2440">
        <v>3028.73</v>
      </c>
      <c r="D61" s="2440">
        <v>1426.82</v>
      </c>
      <c r="E61" s="2441">
        <v>259.47000000000003</v>
      </c>
      <c r="F61" s="2438">
        <v>1193.69</v>
      </c>
      <c r="G61" s="2439">
        <v>105922</v>
      </c>
      <c r="H61" s="2439">
        <v>3221</v>
      </c>
    </row>
    <row r="62" spans="1:8" ht="12.75" hidden="1" customHeight="1">
      <c r="A62" s="2434">
        <v>39083</v>
      </c>
      <c r="B62" s="2443">
        <v>21</v>
      </c>
      <c r="C62" s="2440">
        <v>3244.01</v>
      </c>
      <c r="D62" s="2440">
        <v>1515.07</v>
      </c>
      <c r="E62" s="2441">
        <v>281.14999999999998</v>
      </c>
      <c r="F62" s="2438">
        <v>1276.51</v>
      </c>
      <c r="G62" s="2439">
        <v>25890</v>
      </c>
      <c r="H62" s="2439">
        <v>686.3</v>
      </c>
    </row>
    <row r="63" spans="1:8" ht="12.75" hidden="1" customHeight="1">
      <c r="A63" s="2434">
        <v>39114</v>
      </c>
      <c r="B63" s="2443">
        <v>18</v>
      </c>
      <c r="C63" s="2440">
        <v>3265.93</v>
      </c>
      <c r="D63" s="2440">
        <v>1534.24</v>
      </c>
      <c r="E63" s="2441">
        <v>286.47000000000003</v>
      </c>
      <c r="F63" s="2438">
        <v>1284.03</v>
      </c>
      <c r="G63" s="2439">
        <v>215289.557</v>
      </c>
      <c r="H63" s="2439">
        <v>4616.0870000000004</v>
      </c>
    </row>
    <row r="64" spans="1:8" ht="12.75" hidden="1" customHeight="1">
      <c r="A64" s="2434">
        <v>39142</v>
      </c>
      <c r="B64" s="2443">
        <v>20</v>
      </c>
      <c r="C64" s="2440">
        <v>3327.8</v>
      </c>
      <c r="D64" s="2440">
        <v>1591.49</v>
      </c>
      <c r="E64" s="2441">
        <v>294.11</v>
      </c>
      <c r="F64" s="2438">
        <v>1305.58</v>
      </c>
      <c r="G64" s="2439">
        <v>20607.429</v>
      </c>
      <c r="H64" s="2439">
        <v>529.08500000000004</v>
      </c>
    </row>
    <row r="65" spans="1:8" ht="12.75" hidden="1" customHeight="1">
      <c r="A65" s="2434">
        <v>39173</v>
      </c>
      <c r="B65" s="2443">
        <v>21</v>
      </c>
      <c r="C65" s="2440">
        <v>3444.42</v>
      </c>
      <c r="D65" s="2440">
        <v>1669.21</v>
      </c>
      <c r="E65" s="2441">
        <v>304.26</v>
      </c>
      <c r="F65" s="2438">
        <v>1345.27</v>
      </c>
      <c r="G65" s="2439">
        <v>27817</v>
      </c>
      <c r="H65" s="2439">
        <v>684</v>
      </c>
    </row>
    <row r="66" spans="1:8" ht="12.75" hidden="1" customHeight="1">
      <c r="A66" s="2434">
        <v>39203</v>
      </c>
      <c r="B66" s="2443">
        <v>22</v>
      </c>
      <c r="C66" s="2440">
        <v>3513.32</v>
      </c>
      <c r="D66" s="2440">
        <v>1730.77</v>
      </c>
      <c r="E66" s="2441">
        <v>317.95</v>
      </c>
      <c r="F66" s="2438">
        <v>1369.27</v>
      </c>
      <c r="G66" s="2439">
        <v>31129.279999999999</v>
      </c>
      <c r="H66" s="2439">
        <v>636.38300000000004</v>
      </c>
    </row>
    <row r="67" spans="1:8" ht="12.75" hidden="1" customHeight="1">
      <c r="A67" s="2434">
        <v>39234</v>
      </c>
      <c r="B67" s="2443">
        <v>21</v>
      </c>
      <c r="C67" s="2440">
        <v>3698.34</v>
      </c>
      <c r="D67" s="2440">
        <v>1811.6</v>
      </c>
      <c r="E67" s="2441">
        <v>327.11</v>
      </c>
      <c r="F67" s="2438">
        <v>1386.03</v>
      </c>
      <c r="G67" s="2439">
        <v>28688</v>
      </c>
      <c r="H67" s="2439">
        <v>641.274</v>
      </c>
    </row>
    <row r="68" spans="1:8" ht="12.75" hidden="1" customHeight="1">
      <c r="A68" s="2434">
        <v>39264</v>
      </c>
      <c r="B68" s="2443">
        <v>22</v>
      </c>
      <c r="C68" s="2440">
        <v>3758.4</v>
      </c>
      <c r="D68" s="2440">
        <v>1851.74</v>
      </c>
      <c r="E68" s="2441">
        <v>347.12</v>
      </c>
      <c r="F68" s="2438">
        <v>1457.49</v>
      </c>
      <c r="G68" s="2439">
        <v>19415.598000000002</v>
      </c>
      <c r="H68" s="2439">
        <v>436.88600000000002</v>
      </c>
    </row>
    <row r="69" spans="1:8" ht="12.75" hidden="1" customHeight="1">
      <c r="A69" s="2434">
        <v>39295</v>
      </c>
      <c r="B69" s="2443">
        <v>23</v>
      </c>
      <c r="C69" s="2440">
        <v>3823.44</v>
      </c>
      <c r="D69" s="2440">
        <v>1909.21</v>
      </c>
      <c r="E69" s="2441">
        <v>356.91</v>
      </c>
      <c r="F69" s="2438">
        <v>1480.6</v>
      </c>
      <c r="G69" s="2439">
        <v>21702</v>
      </c>
      <c r="H69" s="2439">
        <v>625</v>
      </c>
    </row>
    <row r="70" spans="1:8" ht="12.75" hidden="1" customHeight="1">
      <c r="A70" s="2434">
        <v>39326</v>
      </c>
      <c r="B70" s="2443">
        <v>20</v>
      </c>
      <c r="C70" s="2440">
        <v>3848.39</v>
      </c>
      <c r="D70" s="2440">
        <v>1928.04</v>
      </c>
      <c r="E70" s="2441">
        <v>362</v>
      </c>
      <c r="F70" s="2438">
        <v>1484.38</v>
      </c>
      <c r="G70" s="2439">
        <v>26549.976999999999</v>
      </c>
      <c r="H70" s="2439">
        <v>566.15899999999999</v>
      </c>
    </row>
    <row r="71" spans="1:8" ht="12.75" hidden="1" customHeight="1">
      <c r="A71" s="2434">
        <v>39356</v>
      </c>
      <c r="B71" s="2443">
        <v>23</v>
      </c>
      <c r="C71" s="2440">
        <v>4289.03</v>
      </c>
      <c r="D71" s="2440">
        <v>2182.33</v>
      </c>
      <c r="E71" s="2441">
        <v>409.25</v>
      </c>
      <c r="F71" s="2438">
        <v>1644.98</v>
      </c>
      <c r="G71" s="2439">
        <v>49955.307999999997</v>
      </c>
      <c r="H71" s="2439">
        <v>806.62400000000002</v>
      </c>
    </row>
    <row r="72" spans="1:8" ht="12.75" hidden="1" customHeight="1">
      <c r="A72" s="2434">
        <v>39387</v>
      </c>
      <c r="B72" s="2443">
        <v>19</v>
      </c>
      <c r="C72" s="2440">
        <v>4729.45</v>
      </c>
      <c r="D72" s="2440">
        <v>2423.71</v>
      </c>
      <c r="E72" s="2441">
        <v>464.41</v>
      </c>
      <c r="F72" s="2438">
        <v>1809.61</v>
      </c>
      <c r="G72" s="2439">
        <v>66924.271999999997</v>
      </c>
      <c r="H72" s="2439">
        <v>1736.2529999999999</v>
      </c>
    </row>
    <row r="73" spans="1:8" ht="12.75" hidden="1" customHeight="1">
      <c r="A73" s="2434">
        <v>39417</v>
      </c>
      <c r="B73" s="2443">
        <v>20</v>
      </c>
      <c r="C73" s="2440">
        <v>4779.3615000000009</v>
      </c>
      <c r="D73" s="2440">
        <v>2506.6840000000002</v>
      </c>
      <c r="E73" s="2441">
        <v>468.03199999999998</v>
      </c>
      <c r="F73" s="2438">
        <v>1819.6895</v>
      </c>
      <c r="G73" s="2439">
        <v>62188</v>
      </c>
      <c r="H73" s="2439">
        <v>1041</v>
      </c>
    </row>
    <row r="74" spans="1:8" ht="12.75" hidden="1" customHeight="1">
      <c r="A74" s="2434">
        <v>39448</v>
      </c>
      <c r="B74" s="2443">
        <v>20</v>
      </c>
      <c r="C74" s="2440">
        <v>5097.03</v>
      </c>
      <c r="D74" s="2440">
        <v>2739.86</v>
      </c>
      <c r="E74" s="2441">
        <v>505.55</v>
      </c>
      <c r="F74" s="2438">
        <v>1938.86</v>
      </c>
      <c r="G74" s="2439">
        <v>52533</v>
      </c>
      <c r="H74" s="2439">
        <v>1097</v>
      </c>
    </row>
    <row r="75" spans="1:8" ht="12.75" hidden="1" customHeight="1">
      <c r="A75" s="2434">
        <v>39479</v>
      </c>
      <c r="B75" s="2443">
        <v>19</v>
      </c>
      <c r="C75" s="2440">
        <v>5334.6215789473672</v>
      </c>
      <c r="D75" s="2440">
        <v>2906.4263157894734</v>
      </c>
      <c r="E75" s="2441">
        <v>523.21421052631592</v>
      </c>
      <c r="F75" s="2438">
        <v>2028.65</v>
      </c>
      <c r="G75" s="2439">
        <v>65724</v>
      </c>
      <c r="H75" s="2439">
        <v>870</v>
      </c>
    </row>
    <row r="76" spans="1:8" ht="12.75" hidden="1" customHeight="1">
      <c r="A76" s="2434">
        <v>39508</v>
      </c>
      <c r="B76" s="2443">
        <v>19</v>
      </c>
      <c r="C76" s="2440">
        <v>5047.18</v>
      </c>
      <c r="D76" s="2440">
        <v>2897.84</v>
      </c>
      <c r="E76" s="2441">
        <v>486.33</v>
      </c>
      <c r="F76" s="2438">
        <v>1916.63</v>
      </c>
      <c r="G76" s="2439">
        <v>50776</v>
      </c>
      <c r="H76" s="2439">
        <v>854</v>
      </c>
    </row>
    <row r="77" spans="1:8" ht="12.75" hidden="1" customHeight="1">
      <c r="A77" s="2434">
        <v>39539</v>
      </c>
      <c r="B77" s="2443">
        <v>21</v>
      </c>
      <c r="C77" s="2440">
        <v>4752.76</v>
      </c>
      <c r="D77" s="2440">
        <v>2815.46</v>
      </c>
      <c r="E77" s="2441">
        <v>446.57</v>
      </c>
      <c r="F77" s="2438">
        <v>1796.01</v>
      </c>
      <c r="G77" s="2439">
        <v>36358</v>
      </c>
      <c r="H77" s="2439">
        <v>1091</v>
      </c>
    </row>
    <row r="78" spans="1:8" ht="12.75" hidden="1" customHeight="1">
      <c r="A78" s="2434">
        <v>39569</v>
      </c>
      <c r="B78" s="2443">
        <v>21</v>
      </c>
      <c r="C78" s="2440">
        <v>4960.6499999999996</v>
      </c>
      <c r="D78" s="2440">
        <v>2800.19</v>
      </c>
      <c r="E78" s="2441">
        <v>471.43</v>
      </c>
      <c r="F78" s="2438">
        <v>1870.7</v>
      </c>
      <c r="G78" s="2439">
        <v>56054</v>
      </c>
      <c r="H78" s="2439">
        <v>1132</v>
      </c>
    </row>
    <row r="79" spans="1:8" ht="12.75" hidden="1" customHeight="1">
      <c r="A79" s="2434">
        <v>39600</v>
      </c>
      <c r="B79" s="2443">
        <v>21</v>
      </c>
      <c r="C79" s="2440">
        <v>4966.8900000000003</v>
      </c>
      <c r="D79" s="2440">
        <v>2797.4</v>
      </c>
      <c r="E79" s="2441">
        <v>469.24</v>
      </c>
      <c r="F79" s="2438">
        <v>1871.83</v>
      </c>
      <c r="G79" s="2439">
        <v>70459</v>
      </c>
      <c r="H79" s="2439">
        <v>1700</v>
      </c>
    </row>
    <row r="80" spans="1:8" ht="12.75" hidden="1" customHeight="1">
      <c r="A80" s="2434">
        <v>39630</v>
      </c>
      <c r="B80" s="2443">
        <v>23</v>
      </c>
      <c r="C80" s="2440">
        <v>4557.3900000000003</v>
      </c>
      <c r="D80" s="2440">
        <v>2626.4</v>
      </c>
      <c r="E80" s="2441">
        <v>420.36</v>
      </c>
      <c r="F80" s="2438">
        <v>1709.9</v>
      </c>
      <c r="G80" s="2439">
        <v>25202</v>
      </c>
      <c r="H80" s="2439">
        <v>876</v>
      </c>
    </row>
    <row r="81" spans="1:8" ht="12.75" hidden="1" customHeight="1">
      <c r="A81" s="2434">
        <v>39661</v>
      </c>
      <c r="B81" s="2443">
        <v>20</v>
      </c>
      <c r="C81" s="2440">
        <v>4564.1099999999997</v>
      </c>
      <c r="D81" s="2440">
        <v>2550.79</v>
      </c>
      <c r="E81" s="2441">
        <v>418.64</v>
      </c>
      <c r="F81" s="2438">
        <v>1708.4</v>
      </c>
      <c r="G81" s="2439">
        <v>43094</v>
      </c>
      <c r="H81" s="2439">
        <v>705</v>
      </c>
    </row>
    <row r="82" spans="1:8" ht="12.75" hidden="1" customHeight="1">
      <c r="A82" s="2434">
        <v>39699</v>
      </c>
      <c r="B82" s="2443">
        <v>21</v>
      </c>
      <c r="C82" s="2440">
        <v>4369.83</v>
      </c>
      <c r="D82" s="2440">
        <v>2326.5700000000002</v>
      </c>
      <c r="E82" s="2441">
        <v>393.49</v>
      </c>
      <c r="F82" s="2438">
        <v>1630.66</v>
      </c>
      <c r="G82" s="2439">
        <v>37203</v>
      </c>
      <c r="H82" s="2439">
        <v>504</v>
      </c>
    </row>
    <row r="83" spans="1:8" ht="12.75" hidden="1" customHeight="1">
      <c r="A83" s="2434">
        <v>39729</v>
      </c>
      <c r="B83" s="2443">
        <v>21</v>
      </c>
      <c r="C83" s="2440">
        <v>3873.6</v>
      </c>
      <c r="D83" s="2440">
        <v>1976.09</v>
      </c>
      <c r="E83" s="2441">
        <v>339.74</v>
      </c>
      <c r="F83" s="2438">
        <v>1434.25</v>
      </c>
      <c r="G83" s="2439">
        <v>45100</v>
      </c>
      <c r="H83" s="2439">
        <v>902</v>
      </c>
    </row>
    <row r="84" spans="1:8" ht="12.75" hidden="1" customHeight="1">
      <c r="A84" s="2434">
        <v>39760</v>
      </c>
      <c r="B84" s="2443">
        <v>20</v>
      </c>
      <c r="C84" s="2440">
        <v>3431.06</v>
      </c>
      <c r="D84" s="2440">
        <v>1653.51</v>
      </c>
      <c r="E84" s="2441">
        <v>289.25450000000001</v>
      </c>
      <c r="F84" s="2438">
        <v>1266.8094999999998</v>
      </c>
      <c r="G84" s="2439">
        <v>40288</v>
      </c>
      <c r="H84" s="2439">
        <v>766</v>
      </c>
    </row>
    <row r="85" spans="1:8" ht="12.75" hidden="1" customHeight="1">
      <c r="A85" s="2434">
        <v>39790</v>
      </c>
      <c r="B85" s="2443">
        <v>22</v>
      </c>
      <c r="C85" s="2440">
        <v>3220.7404545454551</v>
      </c>
      <c r="D85" s="2440">
        <v>1551.9959090909092</v>
      </c>
      <c r="E85" s="2441">
        <v>266.05318181818183</v>
      </c>
      <c r="F85" s="2438">
        <v>1179.2677272727271</v>
      </c>
      <c r="G85" s="2439">
        <v>38757</v>
      </c>
      <c r="H85" s="2439">
        <v>674</v>
      </c>
    </row>
    <row r="86" spans="1:8" ht="12.75" hidden="1" customHeight="1">
      <c r="A86" s="2434">
        <v>39821</v>
      </c>
      <c r="B86" s="2443">
        <v>19</v>
      </c>
      <c r="C86" s="2440">
        <v>3205.9642105263156</v>
      </c>
      <c r="D86" s="2440">
        <v>1528.0031578947367</v>
      </c>
      <c r="E86" s="2441">
        <v>265.43842105263167</v>
      </c>
      <c r="F86" s="2438">
        <v>1171.0794736842101</v>
      </c>
      <c r="G86" s="2439">
        <v>14198</v>
      </c>
      <c r="H86" s="2439">
        <v>370</v>
      </c>
    </row>
    <row r="87" spans="1:8" ht="12.75" hidden="1" customHeight="1">
      <c r="A87" s="2434">
        <v>39852</v>
      </c>
      <c r="B87" s="2443">
        <v>19</v>
      </c>
      <c r="C87" s="2440">
        <v>2771.1478947368423</v>
      </c>
      <c r="D87" s="2440">
        <v>1286.3705263157894</v>
      </c>
      <c r="E87" s="2441">
        <v>219.57157894736847</v>
      </c>
      <c r="F87" s="2438">
        <v>1011.6305263157897</v>
      </c>
      <c r="G87" s="2439">
        <v>30908</v>
      </c>
      <c r="H87" s="2439">
        <v>664</v>
      </c>
    </row>
    <row r="88" spans="1:8" ht="12.75" hidden="1" customHeight="1">
      <c r="A88" s="2434">
        <v>39880</v>
      </c>
      <c r="B88" s="2443">
        <v>20</v>
      </c>
      <c r="C88" s="2440">
        <v>2673.8294999999994</v>
      </c>
      <c r="D88" s="2440">
        <v>1220.9910000000002</v>
      </c>
      <c r="E88" s="2441">
        <v>210.45700000000005</v>
      </c>
      <c r="F88" s="2438">
        <v>974.81600000000003</v>
      </c>
      <c r="G88" s="2439">
        <v>22700</v>
      </c>
      <c r="H88" s="2439">
        <v>594</v>
      </c>
    </row>
    <row r="89" spans="1:8" ht="12.75" hidden="1" customHeight="1">
      <c r="A89" s="2434">
        <v>39911</v>
      </c>
      <c r="B89" s="2443">
        <v>22</v>
      </c>
      <c r="C89" s="2440">
        <v>3146.7736363636359</v>
      </c>
      <c r="D89" s="2440">
        <v>1446.2295454545456</v>
      </c>
      <c r="E89" s="2441">
        <v>250.3868181818182</v>
      </c>
      <c r="F89" s="2438">
        <v>1141.6222727272725</v>
      </c>
      <c r="G89" s="2439">
        <v>61733</v>
      </c>
      <c r="H89" s="2439">
        <v>1170</v>
      </c>
    </row>
    <row r="90" spans="1:8" ht="12.75" hidden="1" customHeight="1">
      <c r="A90" s="2434">
        <v>39941</v>
      </c>
      <c r="B90" s="2443">
        <v>20</v>
      </c>
      <c r="C90" s="2440">
        <v>3297.8479999999995</v>
      </c>
      <c r="D90" s="2440">
        <v>1537.1479999999999</v>
      </c>
      <c r="E90" s="2441">
        <v>263.45</v>
      </c>
      <c r="F90" s="2438">
        <v>1194.3605</v>
      </c>
      <c r="G90" s="2439">
        <v>64090</v>
      </c>
      <c r="H90" s="2439">
        <v>1116</v>
      </c>
    </row>
    <row r="91" spans="1:8" ht="12.75" hidden="1" customHeight="1">
      <c r="A91" s="2434">
        <v>39972</v>
      </c>
      <c r="B91" s="2443">
        <v>22</v>
      </c>
      <c r="C91" s="2440">
        <v>3903.7250000000004</v>
      </c>
      <c r="D91" s="2440">
        <v>1846.6913636363633</v>
      </c>
      <c r="E91" s="2441">
        <v>319.95227272727271</v>
      </c>
      <c r="F91" s="2438">
        <v>1412.1186363636361</v>
      </c>
      <c r="G91" s="2439">
        <v>54702</v>
      </c>
      <c r="H91" s="2439">
        <v>918</v>
      </c>
    </row>
    <row r="92" spans="1:8" ht="12.75" hidden="1" customHeight="1">
      <c r="A92" s="2434">
        <v>40002</v>
      </c>
      <c r="B92" s="2443">
        <v>23</v>
      </c>
      <c r="C92" s="2440">
        <v>3914.88</v>
      </c>
      <c r="D92" s="2440">
        <v>1869.76</v>
      </c>
      <c r="E92" s="2441">
        <v>318.86</v>
      </c>
      <c r="F92" s="2438">
        <v>1408.19</v>
      </c>
      <c r="G92" s="2439">
        <v>29655</v>
      </c>
      <c r="H92" s="2439">
        <v>919</v>
      </c>
    </row>
    <row r="93" spans="1:8" ht="12.75" hidden="1" customHeight="1">
      <c r="A93" s="2434">
        <v>40033</v>
      </c>
      <c r="B93" s="2443">
        <v>20</v>
      </c>
      <c r="C93" s="2440">
        <v>4160.22</v>
      </c>
      <c r="D93" s="2440">
        <v>2008.75</v>
      </c>
      <c r="E93" s="2441">
        <v>335.63</v>
      </c>
      <c r="F93" s="2438">
        <v>1493.15</v>
      </c>
      <c r="G93" s="2439">
        <v>36738</v>
      </c>
      <c r="H93" s="2439">
        <v>822</v>
      </c>
    </row>
    <row r="94" spans="1:8" ht="12.75" hidden="1" customHeight="1">
      <c r="A94" s="2434">
        <v>40064</v>
      </c>
      <c r="B94" s="2443">
        <v>21</v>
      </c>
      <c r="C94" s="2440">
        <v>4464.2119047619053</v>
      </c>
      <c r="D94" s="2440">
        <v>2197.2742857142857</v>
      </c>
      <c r="E94" s="2441">
        <v>362.01428571428568</v>
      </c>
      <c r="F94" s="2438">
        <v>1597.3671428571431</v>
      </c>
      <c r="G94" s="2439">
        <v>42226</v>
      </c>
      <c r="H94" s="2439">
        <v>863</v>
      </c>
    </row>
    <row r="95" spans="1:8" ht="12.75" hidden="1" customHeight="1">
      <c r="A95" s="2434">
        <v>40094</v>
      </c>
      <c r="B95" s="2443">
        <v>22</v>
      </c>
      <c r="C95" s="2440">
        <v>4767.124545454546</v>
      </c>
      <c r="D95" s="2440">
        <v>2403.7390909090905</v>
      </c>
      <c r="E95" s="2441">
        <v>381.49681818181813</v>
      </c>
      <c r="F95" s="2438">
        <v>1696.5281818181816</v>
      </c>
      <c r="G95" s="2439">
        <v>43510</v>
      </c>
      <c r="H95" s="2439">
        <v>769</v>
      </c>
    </row>
    <row r="96" spans="1:8" ht="12.75" hidden="1" customHeight="1">
      <c r="A96" s="2434">
        <v>40125</v>
      </c>
      <c r="B96" s="2443">
        <v>20</v>
      </c>
      <c r="C96" s="2440">
        <v>4721.5674129955196</v>
      </c>
      <c r="D96" s="2440">
        <v>2406.3637595919799</v>
      </c>
      <c r="E96" s="2441">
        <v>372.11362115828592</v>
      </c>
      <c r="F96" s="2438">
        <v>1677.3474031503495</v>
      </c>
      <c r="G96" s="2439">
        <v>40743</v>
      </c>
      <c r="H96" s="2439">
        <v>877</v>
      </c>
    </row>
    <row r="97" spans="1:8" ht="12.75" hidden="1" customHeight="1">
      <c r="A97" s="2434">
        <v>40155</v>
      </c>
      <c r="B97" s="2443">
        <v>22</v>
      </c>
      <c r="C97" s="2440">
        <v>4701.4132797052725</v>
      </c>
      <c r="D97" s="2440">
        <v>2446.8369212574939</v>
      </c>
      <c r="E97" s="2441">
        <v>362.67871098361297</v>
      </c>
      <c r="F97" s="2438">
        <v>1657.6934882367291</v>
      </c>
      <c r="G97" s="2439">
        <v>56531</v>
      </c>
      <c r="H97" s="2439">
        <v>1654</v>
      </c>
    </row>
    <row r="98" spans="1:8" ht="12.75" hidden="1" customHeight="1">
      <c r="A98" s="2434">
        <v>40186</v>
      </c>
      <c r="B98" s="2443">
        <v>20</v>
      </c>
      <c r="C98" s="2440">
        <v>4827.1281697691684</v>
      </c>
      <c r="D98" s="2440">
        <v>2475.0554744435585</v>
      </c>
      <c r="E98" s="2441">
        <v>365.83203606426071</v>
      </c>
      <c r="F98" s="2438">
        <v>1700.434026533318</v>
      </c>
      <c r="G98" s="2439">
        <v>38064</v>
      </c>
      <c r="H98" s="2439">
        <v>1413</v>
      </c>
    </row>
    <row r="99" spans="1:8" ht="12.75" hidden="1" customHeight="1">
      <c r="A99" s="2434">
        <v>40217</v>
      </c>
      <c r="B99" s="2443">
        <v>18</v>
      </c>
      <c r="C99" s="2440">
        <v>4805.5193926340053</v>
      </c>
      <c r="D99" s="2440">
        <v>2430.7307198612152</v>
      </c>
      <c r="E99" s="2441">
        <v>353.9740535310724</v>
      </c>
      <c r="F99" s="2438">
        <v>1692.2094895967871</v>
      </c>
      <c r="G99" s="2439">
        <v>40847</v>
      </c>
      <c r="H99" s="2439">
        <v>785</v>
      </c>
    </row>
    <row r="100" spans="1:8" ht="12.75" hidden="1" customHeight="1">
      <c r="A100" s="2434">
        <v>40245</v>
      </c>
      <c r="B100" s="2443">
        <v>21</v>
      </c>
      <c r="C100" s="2440">
        <v>4674.8081776468707</v>
      </c>
      <c r="D100" s="2440">
        <v>2350.0572374430562</v>
      </c>
      <c r="E100" s="2441">
        <v>341.97600536861296</v>
      </c>
      <c r="F100" s="2438">
        <v>1643.7926014056338</v>
      </c>
      <c r="G100" s="2439">
        <v>82793</v>
      </c>
      <c r="H100" s="2439">
        <v>4025</v>
      </c>
    </row>
    <row r="101" spans="1:8" ht="12.75" hidden="1" customHeight="1">
      <c r="A101" s="2434">
        <v>40276</v>
      </c>
      <c r="B101" s="2443">
        <v>22</v>
      </c>
      <c r="C101" s="2440">
        <v>4760.5342160712489</v>
      </c>
      <c r="D101" s="2440">
        <v>2382.7889710460195</v>
      </c>
      <c r="E101" s="2441">
        <v>345.60349215515083</v>
      </c>
      <c r="F101" s="2438">
        <v>1668.8078676625278</v>
      </c>
      <c r="G101" s="2439">
        <v>54778</v>
      </c>
      <c r="H101" s="2439">
        <v>1748</v>
      </c>
    </row>
    <row r="102" spans="1:8" ht="12.75" hidden="1" customHeight="1">
      <c r="A102" s="2434">
        <v>40306</v>
      </c>
      <c r="B102" s="2443">
        <v>20</v>
      </c>
      <c r="C102" s="2440">
        <v>4662.6628687485299</v>
      </c>
      <c r="D102" s="2440">
        <v>2210.6989462763413</v>
      </c>
      <c r="E102" s="2441">
        <v>332.38117521174797</v>
      </c>
      <c r="F102" s="2438">
        <v>1631.7926129041973</v>
      </c>
      <c r="G102" s="2439">
        <v>67156</v>
      </c>
      <c r="H102" s="2439">
        <v>868</v>
      </c>
    </row>
    <row r="103" spans="1:8" ht="12.75" hidden="1" customHeight="1">
      <c r="A103" s="2434">
        <v>40337</v>
      </c>
      <c r="B103" s="2443">
        <v>22</v>
      </c>
      <c r="C103" s="2440">
        <v>4672.8805318184213</v>
      </c>
      <c r="D103" s="2440">
        <v>2190.7194830182489</v>
      </c>
      <c r="E103" s="2441">
        <v>331.08397814321273</v>
      </c>
      <c r="F103" s="2438">
        <v>1632.9807664416192</v>
      </c>
      <c r="G103" s="2439">
        <v>32840</v>
      </c>
      <c r="H103" s="2439">
        <v>564</v>
      </c>
    </row>
    <row r="104" spans="1:8" s="2452" customFormat="1" ht="21.75" hidden="1" customHeight="1">
      <c r="A104" s="2451">
        <v>40367</v>
      </c>
      <c r="B104" s="2443">
        <v>22</v>
      </c>
      <c r="C104" s="2440">
        <v>4838.2017363038049</v>
      </c>
      <c r="D104" s="2440">
        <v>2387.9606222700363</v>
      </c>
      <c r="E104" s="2441">
        <v>335.74937648069584</v>
      </c>
      <c r="F104" s="2438">
        <v>1682.4248521466639</v>
      </c>
      <c r="G104" s="2439">
        <v>54326</v>
      </c>
      <c r="H104" s="2439">
        <v>2003</v>
      </c>
    </row>
    <row r="105" spans="1:8" s="2452" customFormat="1" ht="21.75" hidden="1" customHeight="1">
      <c r="A105" s="2451">
        <v>40398</v>
      </c>
      <c r="B105" s="2443">
        <v>22</v>
      </c>
      <c r="C105" s="2440">
        <v>4988.2433227794754</v>
      </c>
      <c r="D105" s="2440">
        <v>2514.5728062364096</v>
      </c>
      <c r="E105" s="2441">
        <v>342.64115513215557</v>
      </c>
      <c r="F105" s="2438">
        <v>1732.0934897286488</v>
      </c>
      <c r="G105" s="2439">
        <v>27448</v>
      </c>
      <c r="H105" s="2439">
        <v>980</v>
      </c>
    </row>
    <row r="106" spans="1:8" s="2452" customFormat="1" ht="21.75" hidden="1" customHeight="1">
      <c r="A106" s="2451">
        <v>40429</v>
      </c>
      <c r="B106" s="2443">
        <v>21</v>
      </c>
      <c r="C106" s="2440">
        <v>5022.4022225149456</v>
      </c>
      <c r="D106" s="2440">
        <v>2518.2450421749295</v>
      </c>
      <c r="E106" s="2441">
        <v>334.51944034010921</v>
      </c>
      <c r="F106" s="2438">
        <v>1738.0269440402251</v>
      </c>
      <c r="G106" s="2439">
        <v>43286</v>
      </c>
      <c r="H106" s="2439">
        <v>1176</v>
      </c>
    </row>
    <row r="107" spans="1:8" s="2452" customFormat="1" ht="21.75" hidden="1" customHeight="1">
      <c r="A107" s="2451">
        <v>40459</v>
      </c>
      <c r="B107" s="2443">
        <v>21</v>
      </c>
      <c r="C107" s="2440">
        <v>5285.4285551968696</v>
      </c>
      <c r="D107" s="2440">
        <v>2713.2079883741744</v>
      </c>
      <c r="E107" s="2441">
        <v>348.07677117991886</v>
      </c>
      <c r="F107" s="2438">
        <v>1823.9338179872177</v>
      </c>
      <c r="G107" s="2439">
        <v>51066</v>
      </c>
      <c r="H107" s="2439">
        <v>895</v>
      </c>
    </row>
    <row r="108" spans="1:8" s="2452" customFormat="1" ht="21.75" hidden="1" customHeight="1">
      <c r="A108" s="2451">
        <v>40490</v>
      </c>
      <c r="B108" s="2443">
        <v>20</v>
      </c>
      <c r="C108" s="2440">
        <v>5501.1338542679714</v>
      </c>
      <c r="D108" s="2440">
        <v>2807.6990289142145</v>
      </c>
      <c r="E108" s="2441">
        <v>361.86941521596083</v>
      </c>
      <c r="F108" s="2438">
        <v>1896.7225727265977</v>
      </c>
      <c r="G108" s="2439">
        <v>45840</v>
      </c>
      <c r="H108" s="2439">
        <v>970</v>
      </c>
    </row>
    <row r="109" spans="1:8" s="2452" customFormat="1" ht="21.75" hidden="1" customHeight="1">
      <c r="A109" s="2451">
        <v>40520</v>
      </c>
      <c r="B109" s="2443">
        <v>23</v>
      </c>
      <c r="C109" s="2440">
        <v>5618.3541600930466</v>
      </c>
      <c r="D109" s="2440">
        <v>2822.6191139903472</v>
      </c>
      <c r="E109" s="2441">
        <v>366.39261578827808</v>
      </c>
      <c r="F109" s="2438">
        <v>1924.7444906555879</v>
      </c>
      <c r="G109" s="2439">
        <v>24223</v>
      </c>
      <c r="H109" s="2439">
        <v>687</v>
      </c>
    </row>
    <row r="110" spans="1:8" s="2452" customFormat="1" ht="21.75" hidden="1" customHeight="1">
      <c r="A110" s="2451">
        <v>40551</v>
      </c>
      <c r="B110" s="2443">
        <v>19</v>
      </c>
      <c r="C110" s="2440">
        <v>5913.2862330420758</v>
      </c>
      <c r="D110" s="2440">
        <v>3006.7265101479898</v>
      </c>
      <c r="E110" s="2441">
        <v>385.70946088370619</v>
      </c>
      <c r="F110" s="2438">
        <v>2023.8537404096467</v>
      </c>
      <c r="G110" s="2439">
        <v>63052</v>
      </c>
      <c r="H110" s="2439">
        <v>1131</v>
      </c>
    </row>
    <row r="111" spans="1:8" s="2452" customFormat="1" ht="21.75" hidden="1" customHeight="1">
      <c r="A111" s="2451">
        <v>40582</v>
      </c>
      <c r="B111" s="2443">
        <v>18</v>
      </c>
      <c r="C111" s="2440">
        <v>5971.5883042516125</v>
      </c>
      <c r="D111" s="2440">
        <v>3100.530430433852</v>
      </c>
      <c r="E111" s="2441">
        <v>388.02398015466383</v>
      </c>
      <c r="F111" s="2438">
        <v>2042.9682051176185</v>
      </c>
      <c r="G111" s="2439">
        <v>36863</v>
      </c>
      <c r="H111" s="2439">
        <v>798</v>
      </c>
    </row>
    <row r="112" spans="1:8" s="2452" customFormat="1" ht="21.75" hidden="1" customHeight="1">
      <c r="A112" s="2451">
        <v>40610</v>
      </c>
      <c r="B112" s="2443">
        <v>22</v>
      </c>
      <c r="C112" s="2440">
        <v>5831.1306084196221</v>
      </c>
      <c r="D112" s="2440">
        <v>3076.7769249677276</v>
      </c>
      <c r="E112" s="2441">
        <v>375.53189619666387</v>
      </c>
      <c r="F112" s="2438">
        <v>1992.36040584489</v>
      </c>
      <c r="G112" s="2439">
        <v>32668.889211363639</v>
      </c>
      <c r="H112" s="2439">
        <v>598</v>
      </c>
    </row>
    <row r="113" spans="1:8" s="2452" customFormat="1" ht="21.75" hidden="1" customHeight="1">
      <c r="A113" s="2451">
        <v>40641</v>
      </c>
      <c r="B113" s="2443">
        <v>20</v>
      </c>
      <c r="C113" s="2440">
        <v>5989.9702859358367</v>
      </c>
      <c r="D113" s="2440">
        <v>3269.5195610526985</v>
      </c>
      <c r="E113" s="2441">
        <v>382.92513075988165</v>
      </c>
      <c r="F113" s="2438">
        <v>2041.4989029438213</v>
      </c>
      <c r="G113" s="2439">
        <v>30257</v>
      </c>
      <c r="H113" s="2439">
        <v>623</v>
      </c>
    </row>
    <row r="114" spans="1:8" s="2452" customFormat="1" ht="21.75" hidden="1" customHeight="1">
      <c r="A114" s="2451">
        <v>40671</v>
      </c>
      <c r="B114" s="2443">
        <v>22</v>
      </c>
      <c r="C114" s="2440">
        <v>6123.3196184820754</v>
      </c>
      <c r="D114" s="2440">
        <v>3355.5446732187688</v>
      </c>
      <c r="E114" s="2441">
        <v>391.50420544999781</v>
      </c>
      <c r="F114" s="2438">
        <v>2084.7833272037842</v>
      </c>
      <c r="G114" s="2439">
        <v>52608</v>
      </c>
      <c r="H114" s="2439">
        <v>931</v>
      </c>
    </row>
    <row r="115" spans="1:8" s="2452" customFormat="1" ht="21.75" hidden="1" customHeight="1">
      <c r="A115" s="2451">
        <v>40702</v>
      </c>
      <c r="B115" s="2443">
        <v>22</v>
      </c>
      <c r="C115" s="2440">
        <v>6134.9756152538139</v>
      </c>
      <c r="D115" s="2440">
        <v>3330.8548858048957</v>
      </c>
      <c r="E115" s="2441">
        <v>393.56788981559907</v>
      </c>
      <c r="F115" s="2438">
        <v>2085.3614012646781</v>
      </c>
      <c r="G115" s="2439">
        <v>34508</v>
      </c>
      <c r="H115" s="2439">
        <v>655</v>
      </c>
    </row>
    <row r="116" spans="1:8" s="2452" customFormat="1" ht="21.75" hidden="1" customHeight="1">
      <c r="A116" s="2451">
        <v>40732</v>
      </c>
      <c r="B116" s="2443">
        <v>21</v>
      </c>
      <c r="C116" s="2440">
        <v>6100.5340312545441</v>
      </c>
      <c r="D116" s="2440">
        <v>3311.6270853551978</v>
      </c>
      <c r="E116" s="2441">
        <v>385.70675885352853</v>
      </c>
      <c r="F116" s="2438">
        <v>2064.2108597424194</v>
      </c>
      <c r="G116" s="2439">
        <v>34925</v>
      </c>
      <c r="H116" s="2439">
        <v>747</v>
      </c>
    </row>
    <row r="117" spans="1:8" s="2452" customFormat="1" ht="21.75" hidden="1" customHeight="1">
      <c r="A117" s="2451">
        <v>40763</v>
      </c>
      <c r="B117" s="2443">
        <v>22</v>
      </c>
      <c r="C117" s="2440">
        <v>5808.8463405194743</v>
      </c>
      <c r="D117" s="2440">
        <v>3183.1998574103122</v>
      </c>
      <c r="E117" s="2441">
        <v>364.34880298524291</v>
      </c>
      <c r="F117" s="2438">
        <v>1958.5331262179209</v>
      </c>
      <c r="G117" s="2439">
        <v>53001</v>
      </c>
      <c r="H117" s="2439">
        <v>881</v>
      </c>
    </row>
    <row r="118" spans="1:8" s="2452" customFormat="1" ht="21.75" hidden="1" customHeight="1">
      <c r="A118" s="2451">
        <v>40794</v>
      </c>
      <c r="B118" s="2443">
        <v>21</v>
      </c>
      <c r="C118" s="2440">
        <v>5670.9189604148805</v>
      </c>
      <c r="D118" s="2440">
        <v>3059.7972168683987</v>
      </c>
      <c r="E118" s="2441">
        <v>353.40800894684475</v>
      </c>
      <c r="F118" s="2438">
        <v>1905.4120639045841</v>
      </c>
      <c r="G118" s="2439">
        <v>28224</v>
      </c>
      <c r="H118" s="2439">
        <v>561</v>
      </c>
    </row>
    <row r="119" spans="1:8" s="2452" customFormat="1" ht="21.75" hidden="1" customHeight="1">
      <c r="A119" s="2451">
        <v>40824</v>
      </c>
      <c r="B119" s="2443">
        <v>20</v>
      </c>
      <c r="C119" s="2440">
        <v>5637.5744888979953</v>
      </c>
      <c r="D119" s="2440">
        <v>2995.3269299796339</v>
      </c>
      <c r="E119" s="2441">
        <v>349.34833664543714</v>
      </c>
      <c r="F119" s="2438">
        <v>1889.8135130994874</v>
      </c>
      <c r="G119" s="2439">
        <v>134903</v>
      </c>
      <c r="H119" s="2439">
        <v>2876</v>
      </c>
    </row>
    <row r="120" spans="1:8" s="2452" customFormat="1" ht="21.75" hidden="1" customHeight="1">
      <c r="A120" s="2451">
        <v>40855</v>
      </c>
      <c r="B120" s="2443">
        <v>20</v>
      </c>
      <c r="C120" s="2440">
        <v>5670.6592734865053</v>
      </c>
      <c r="D120" s="2440">
        <v>3004.8248623912759</v>
      </c>
      <c r="E120" s="2441">
        <v>351.42636680825899</v>
      </c>
      <c r="F120" s="2438">
        <v>1899.078404469974</v>
      </c>
      <c r="G120" s="2439">
        <v>203815</v>
      </c>
      <c r="H120" s="2439">
        <v>1755</v>
      </c>
    </row>
    <row r="121" spans="1:8" s="2452" customFormat="1" ht="21.75" hidden="1" customHeight="1">
      <c r="A121" s="2451">
        <v>40885</v>
      </c>
      <c r="B121" s="2443">
        <v>22</v>
      </c>
      <c r="C121" s="2440">
        <v>5594.3785752621407</v>
      </c>
      <c r="D121" s="2440">
        <v>2944.5615894899115</v>
      </c>
      <c r="E121" s="2441">
        <v>344.85004846409981</v>
      </c>
      <c r="F121" s="2438">
        <v>1864.2220738195088</v>
      </c>
      <c r="G121" s="2439">
        <v>26850</v>
      </c>
      <c r="H121" s="2439">
        <v>367</v>
      </c>
    </row>
    <row r="122" spans="1:8" s="2452" customFormat="1" ht="21.75" hidden="1" customHeight="1">
      <c r="A122" s="2451">
        <v>40916</v>
      </c>
      <c r="B122" s="2443">
        <v>20</v>
      </c>
      <c r="C122" s="2440">
        <v>5610.8151320798479</v>
      </c>
      <c r="D122" s="2440">
        <v>2953.8328536620202</v>
      </c>
      <c r="E122" s="2441">
        <v>346.98399905645067</v>
      </c>
      <c r="F122" s="2438">
        <v>1865.3933302329146</v>
      </c>
      <c r="G122" s="2439">
        <v>23760</v>
      </c>
      <c r="H122" s="2439">
        <v>463</v>
      </c>
    </row>
    <row r="123" spans="1:8" s="2452" customFormat="1" ht="21.75" hidden="1" customHeight="1">
      <c r="A123" s="2451">
        <v>40947</v>
      </c>
      <c r="B123" s="2443">
        <v>18</v>
      </c>
      <c r="C123" s="2440">
        <v>5470.1114168408585</v>
      </c>
      <c r="D123" s="2440">
        <v>2913.2561118098797</v>
      </c>
      <c r="E123" s="2441">
        <v>340.90402923250309</v>
      </c>
      <c r="F123" s="2438">
        <v>1816.4284835109709</v>
      </c>
      <c r="G123" s="2439">
        <v>29830</v>
      </c>
      <c r="H123" s="2439">
        <v>569</v>
      </c>
    </row>
    <row r="124" spans="1:8" s="2452" customFormat="1" ht="21.75" hidden="1" customHeight="1">
      <c r="A124" s="2451">
        <v>40976</v>
      </c>
      <c r="B124" s="2443">
        <v>20</v>
      </c>
      <c r="C124" s="2440">
        <v>5344.216449809076</v>
      </c>
      <c r="D124" s="2440">
        <v>2843.40224746678</v>
      </c>
      <c r="E124" s="2441">
        <v>331.90113355150743</v>
      </c>
      <c r="F124" s="2438">
        <v>1772.0401656764675</v>
      </c>
      <c r="G124" s="2439">
        <v>22808</v>
      </c>
      <c r="H124" s="2439">
        <v>587</v>
      </c>
    </row>
    <row r="125" spans="1:8" s="2452" customFormat="1" ht="21.75" hidden="1" customHeight="1">
      <c r="A125" s="2451">
        <v>41007</v>
      </c>
      <c r="B125" s="2443">
        <v>21</v>
      </c>
      <c r="C125" s="2440">
        <v>5432.8290132240727</v>
      </c>
      <c r="D125" s="2440">
        <v>2876.0336849063874</v>
      </c>
      <c r="E125" s="2441">
        <v>338.76382206302799</v>
      </c>
      <c r="F125" s="2438">
        <v>1797.9146441970308</v>
      </c>
      <c r="G125" s="2439">
        <v>27694</v>
      </c>
      <c r="H125" s="2439">
        <v>444</v>
      </c>
    </row>
    <row r="126" spans="1:8" s="2452" customFormat="1" ht="21.75" hidden="1" customHeight="1">
      <c r="A126" s="2451">
        <v>41030</v>
      </c>
      <c r="B126" s="2443">
        <v>22</v>
      </c>
      <c r="C126" s="2440">
        <v>5473.6417947698528</v>
      </c>
      <c r="D126" s="2440">
        <v>2864.68</v>
      </c>
      <c r="E126" s="2441">
        <v>342.88817332746271</v>
      </c>
      <c r="F126" s="2438">
        <v>1809.4602287430114</v>
      </c>
      <c r="G126" s="2439">
        <v>49260.276581363636</v>
      </c>
      <c r="H126" s="2439">
        <v>1218</v>
      </c>
    </row>
    <row r="127" spans="1:8" s="2452" customFormat="1" ht="21.75" hidden="1" customHeight="1">
      <c r="A127" s="2451">
        <v>41061</v>
      </c>
      <c r="B127" s="2443">
        <v>21</v>
      </c>
      <c r="C127" s="2440">
        <v>5420.0854013313028</v>
      </c>
      <c r="D127" s="2440">
        <v>2758.76320559943</v>
      </c>
      <c r="E127" s="2441">
        <v>340.89007235984388</v>
      </c>
      <c r="F127" s="2438">
        <v>1788.7070911958654</v>
      </c>
      <c r="G127" s="2439">
        <v>27132.0045942857</v>
      </c>
      <c r="H127" s="2439">
        <v>528.29661904761906</v>
      </c>
    </row>
    <row r="128" spans="1:8" s="2452" customFormat="1" ht="21.75" hidden="1" customHeight="1">
      <c r="A128" s="2451">
        <v>41091</v>
      </c>
      <c r="B128" s="2443">
        <v>22</v>
      </c>
      <c r="C128" s="2440">
        <v>5349.9797180510968</v>
      </c>
      <c r="D128" s="2440">
        <v>2662.3849025838758</v>
      </c>
      <c r="E128" s="2441">
        <v>337.62030270935105</v>
      </c>
      <c r="F128" s="2438">
        <v>1757.0258603567993</v>
      </c>
      <c r="G128" s="2439">
        <v>55150</v>
      </c>
      <c r="H128" s="2439">
        <v>835</v>
      </c>
    </row>
    <row r="129" spans="1:8" s="2452" customFormat="1" ht="21.75" hidden="1" customHeight="1">
      <c r="A129" s="2451">
        <v>41122</v>
      </c>
      <c r="B129" s="2443">
        <v>21</v>
      </c>
      <c r="C129" s="2440">
        <v>5245.0794021110551</v>
      </c>
      <c r="D129" s="2441">
        <v>2639.3387503780659</v>
      </c>
      <c r="E129" s="2441">
        <v>333.33846830889098</v>
      </c>
      <c r="F129" s="2438">
        <v>1719.9610192639136</v>
      </c>
      <c r="G129" s="2439">
        <v>44271</v>
      </c>
      <c r="H129" s="2439">
        <v>897</v>
      </c>
    </row>
    <row r="130" spans="1:8" s="2452" customFormat="1" ht="21.75" hidden="1" customHeight="1">
      <c r="A130" s="2451">
        <v>41153</v>
      </c>
      <c r="B130" s="2443">
        <v>19</v>
      </c>
      <c r="C130" s="2440">
        <v>5192.6105554554606</v>
      </c>
      <c r="D130" s="2440">
        <v>2641.6586168231688</v>
      </c>
      <c r="E130" s="2441">
        <v>330.92570796411428</v>
      </c>
      <c r="F130" s="2438">
        <v>1702.112424445781</v>
      </c>
      <c r="G130" s="2439">
        <v>48290</v>
      </c>
      <c r="H130" s="2439">
        <v>1046</v>
      </c>
    </row>
    <row r="131" spans="1:8" s="2452" customFormat="1" ht="21.75" hidden="1" customHeight="1">
      <c r="A131" s="2451">
        <v>41183</v>
      </c>
      <c r="B131" s="2443">
        <v>23</v>
      </c>
      <c r="C131" s="2440">
        <v>5167.6407259096486</v>
      </c>
      <c r="D131" s="2440">
        <v>2596.9531537295984</v>
      </c>
      <c r="E131" s="2441">
        <v>326.87429115643334</v>
      </c>
      <c r="F131" s="2438">
        <v>1692.5891542268419</v>
      </c>
      <c r="G131" s="2439">
        <v>42041</v>
      </c>
      <c r="H131" s="2439">
        <v>1208</v>
      </c>
    </row>
    <row r="132" spans="1:8" s="2452" customFormat="1" ht="21.75" hidden="1" customHeight="1">
      <c r="A132" s="2451">
        <v>41214</v>
      </c>
      <c r="B132" s="2443">
        <v>20</v>
      </c>
      <c r="C132" s="2440">
        <v>5111.2919006366801</v>
      </c>
      <c r="D132" s="2440">
        <v>2552.5462217573104</v>
      </c>
      <c r="E132" s="2441">
        <v>320.88367861160424</v>
      </c>
      <c r="F132" s="2438">
        <v>1663.6266381723792</v>
      </c>
      <c r="G132" s="2439">
        <v>43271</v>
      </c>
      <c r="H132" s="2439">
        <v>2242</v>
      </c>
    </row>
    <row r="133" spans="1:8" s="2452" customFormat="1" ht="21.75" hidden="1" customHeight="1">
      <c r="A133" s="2451">
        <v>41244</v>
      </c>
      <c r="B133" s="2443">
        <v>20</v>
      </c>
      <c r="C133" s="2440">
        <v>5289.9115873023793</v>
      </c>
      <c r="D133" s="2440">
        <v>2678.9063357086279</v>
      </c>
      <c r="E133" s="2441">
        <v>333.15411350648162</v>
      </c>
      <c r="F133" s="2438">
        <v>1710.9982147528208</v>
      </c>
      <c r="G133" s="2439">
        <v>43266</v>
      </c>
      <c r="H133" s="2439">
        <v>976</v>
      </c>
    </row>
    <row r="134" spans="1:8" s="2452" customFormat="1" ht="21.75" hidden="1" customHeight="1">
      <c r="A134" s="2451">
        <v>41275</v>
      </c>
      <c r="B134" s="2443">
        <v>21</v>
      </c>
      <c r="C134" s="2440">
        <v>5491.2625203959324</v>
      </c>
      <c r="D134" s="2440">
        <v>2797.8274260708181</v>
      </c>
      <c r="E134" s="2441">
        <v>347.03893506091526</v>
      </c>
      <c r="F134" s="2438">
        <v>1771.9293336032008</v>
      </c>
      <c r="G134" s="2439">
        <v>50325</v>
      </c>
      <c r="H134" s="2439">
        <v>1480</v>
      </c>
    </row>
    <row r="135" spans="1:8" s="2452" customFormat="1" ht="21.75" hidden="1" customHeight="1">
      <c r="A135" s="2451">
        <v>41306</v>
      </c>
      <c r="B135" s="2443">
        <v>19</v>
      </c>
      <c r="C135" s="2440">
        <v>5711.7698208890888</v>
      </c>
      <c r="D135" s="2440">
        <v>2913.3728545294202</v>
      </c>
      <c r="E135" s="2441">
        <v>361.36561988269057</v>
      </c>
      <c r="F135" s="2438">
        <v>1842.5341962184448</v>
      </c>
      <c r="G135" s="2439">
        <v>56805</v>
      </c>
      <c r="H135" s="2439">
        <v>1454</v>
      </c>
    </row>
    <row r="136" spans="1:8" s="2452" customFormat="1" ht="21.75" hidden="1" customHeight="1">
      <c r="A136" s="2451">
        <v>41334</v>
      </c>
      <c r="B136" s="2443">
        <v>20</v>
      </c>
      <c r="C136" s="2440">
        <v>5905.6085627081156</v>
      </c>
      <c r="D136" s="2440">
        <v>2970.1544057385718</v>
      </c>
      <c r="E136" s="2441">
        <v>378.60650682257977</v>
      </c>
      <c r="F136" s="2438">
        <v>1903.5645159361095</v>
      </c>
      <c r="G136" s="2439">
        <v>44332</v>
      </c>
      <c r="H136" s="2439">
        <v>6979</v>
      </c>
    </row>
    <row r="137" spans="1:8" s="2452" customFormat="1" ht="21.75" hidden="1" customHeight="1">
      <c r="A137" s="2451">
        <v>41365</v>
      </c>
      <c r="B137" s="2443">
        <v>20</v>
      </c>
      <c r="C137" s="2440">
        <v>5925.8694118838303</v>
      </c>
      <c r="D137" s="2440">
        <v>2977.7162584739845</v>
      </c>
      <c r="E137" s="2441">
        <v>379.77221068014592</v>
      </c>
      <c r="F137" s="2438">
        <v>1909.18382824572</v>
      </c>
      <c r="G137" s="2439">
        <v>23747</v>
      </c>
      <c r="H137" s="2439">
        <v>7035</v>
      </c>
    </row>
    <row r="138" spans="1:8" s="2452" customFormat="1" ht="21.75" hidden="1" customHeight="1">
      <c r="A138" s="2453">
        <v>41395</v>
      </c>
      <c r="B138" s="2443">
        <v>22</v>
      </c>
      <c r="C138" s="2440">
        <v>6035.6893429399342</v>
      </c>
      <c r="D138" s="2440">
        <v>3022.7819214621345</v>
      </c>
      <c r="E138" s="2441">
        <v>384.92912600965792</v>
      </c>
      <c r="F138" s="2438">
        <v>1943.3664041456955</v>
      </c>
      <c r="G138" s="2439">
        <v>34240</v>
      </c>
      <c r="H138" s="2439">
        <v>5315</v>
      </c>
    </row>
    <row r="139" spans="1:8" s="2452" customFormat="1" ht="21.75" hidden="1" customHeight="1">
      <c r="A139" s="2453">
        <v>41426</v>
      </c>
      <c r="B139" s="2443">
        <v>20</v>
      </c>
      <c r="C139" s="2440">
        <v>6003.8818344144211</v>
      </c>
      <c r="D139" s="2440">
        <v>3019.4429969149505</v>
      </c>
      <c r="E139" s="2441">
        <v>379.205154828746</v>
      </c>
      <c r="F139" s="2438">
        <v>1929.9368160751917</v>
      </c>
      <c r="G139" s="2439">
        <v>49521</v>
      </c>
      <c r="H139" s="2439">
        <v>13235</v>
      </c>
    </row>
    <row r="140" spans="1:8" s="2452" customFormat="1" ht="21.75" hidden="1" customHeight="1">
      <c r="A140" s="2453">
        <v>41456</v>
      </c>
      <c r="B140" s="2443">
        <v>23</v>
      </c>
      <c r="C140" s="2440">
        <v>5861.2335306335744</v>
      </c>
      <c r="D140" s="2440">
        <v>2932.1836157815283</v>
      </c>
      <c r="E140" s="2441">
        <v>365.89100458220588</v>
      </c>
      <c r="F140" s="2438">
        <v>1873.6728068604425</v>
      </c>
      <c r="G140" s="2439">
        <v>20939</v>
      </c>
      <c r="H140" s="2439">
        <v>2425</v>
      </c>
    </row>
    <row r="141" spans="1:8" s="2452" customFormat="1" ht="21.75" hidden="1" customHeight="1">
      <c r="A141" s="2454">
        <v>41487</v>
      </c>
      <c r="B141" s="2455">
        <v>21</v>
      </c>
      <c r="C141" s="2456">
        <v>5938.6437072263843</v>
      </c>
      <c r="D141" s="2456">
        <v>2987.154768060127</v>
      </c>
      <c r="E141" s="2457">
        <v>371.43416315744048</v>
      </c>
      <c r="F141" s="2458">
        <v>1894.1986776730573</v>
      </c>
      <c r="G141" s="2459">
        <f>35688769.0185714/1000</f>
        <v>35688.769018571402</v>
      </c>
      <c r="H141" s="2459">
        <f>11766444.7619048/1000</f>
        <v>11766.444761904801</v>
      </c>
    </row>
    <row r="142" spans="1:8" s="2452" customFormat="1" ht="21" hidden="1" customHeight="1">
      <c r="A142" s="2453">
        <v>41518</v>
      </c>
      <c r="B142" s="2443">
        <v>20</v>
      </c>
      <c r="C142" s="2440">
        <v>6135.9122365628855</v>
      </c>
      <c r="D142" s="2440">
        <v>3089.75435174942</v>
      </c>
      <c r="E142" s="2441">
        <v>378.95210710928052</v>
      </c>
      <c r="F142" s="2449">
        <v>1949.1574629356851</v>
      </c>
      <c r="G142" s="2439">
        <v>45673.182169500004</v>
      </c>
      <c r="H142" s="2439">
        <v>15597.3014</v>
      </c>
    </row>
    <row r="143" spans="1:8" s="2452" customFormat="1" ht="21" hidden="1" customHeight="1">
      <c r="A143" s="2453">
        <v>41548</v>
      </c>
      <c r="B143" s="2443">
        <v>23</v>
      </c>
      <c r="C143" s="2440">
        <v>6263.9843439559036</v>
      </c>
      <c r="D143" s="2440">
        <v>3209.972628184551</v>
      </c>
      <c r="E143" s="2441">
        <v>388.04733826287656</v>
      </c>
      <c r="F143" s="2449">
        <v>1984.2677177535472</v>
      </c>
      <c r="G143" s="2459">
        <v>71113.644136521732</v>
      </c>
      <c r="H143" s="2459">
        <v>8909.6984347826092</v>
      </c>
    </row>
    <row r="144" spans="1:8" s="2452" customFormat="1" ht="21" hidden="1" customHeight="1">
      <c r="A144" s="2453">
        <v>41579</v>
      </c>
      <c r="B144" s="2443">
        <v>23</v>
      </c>
      <c r="C144" s="2440">
        <v>6435.1746965896145</v>
      </c>
      <c r="D144" s="2440">
        <v>3276.4817615889151</v>
      </c>
      <c r="E144" s="2441">
        <v>397.34544073953288</v>
      </c>
      <c r="F144" s="2449">
        <v>2036.8240879558823</v>
      </c>
      <c r="G144" s="2459">
        <v>32633.431793500007</v>
      </c>
      <c r="H144" s="2459">
        <v>3966.7009500000004</v>
      </c>
    </row>
    <row r="145" spans="1:8" s="2452" customFormat="1" ht="21" hidden="1" customHeight="1">
      <c r="A145" s="2453">
        <v>41609</v>
      </c>
      <c r="B145" s="2443">
        <v>21</v>
      </c>
      <c r="C145" s="2440">
        <v>6565.9314861770808</v>
      </c>
      <c r="D145" s="2440">
        <v>3365.3160475398963</v>
      </c>
      <c r="E145" s="2441">
        <v>401.65649020014359</v>
      </c>
      <c r="F145" s="2449">
        <v>2064.8483022954238</v>
      </c>
      <c r="G145" s="2459">
        <v>41835.919750952402</v>
      </c>
      <c r="H145" s="2459">
        <v>5609.1432380952401</v>
      </c>
    </row>
    <row r="146" spans="1:8" s="2452" customFormat="1" ht="21" hidden="1" customHeight="1">
      <c r="A146" s="2453">
        <v>41640</v>
      </c>
      <c r="B146" s="2443">
        <v>19</v>
      </c>
      <c r="C146" s="2440">
        <v>6752.2293580895366</v>
      </c>
      <c r="D146" s="2440">
        <v>3464.2036812287797</v>
      </c>
      <c r="E146" s="2441">
        <v>407.15387740249116</v>
      </c>
      <c r="F146" s="2449">
        <v>2119.8054832397761</v>
      </c>
      <c r="G146" s="2459">
        <v>58767.026706315803</v>
      </c>
      <c r="H146" s="2459">
        <v>9147.1905789473713</v>
      </c>
    </row>
    <row r="147" spans="1:8" s="2452" customFormat="1" ht="21" hidden="1" customHeight="1">
      <c r="A147" s="2453">
        <v>41671</v>
      </c>
      <c r="B147" s="2443">
        <v>18</v>
      </c>
      <c r="C147" s="2440">
        <v>6622.5085866794834</v>
      </c>
      <c r="D147" s="2440">
        <v>3395.5105736274477</v>
      </c>
      <c r="E147" s="2441">
        <v>399.92717494601004</v>
      </c>
      <c r="F147" s="2449">
        <v>2078.3765063013252</v>
      </c>
      <c r="G147" s="2459">
        <v>51213.340688333301</v>
      </c>
      <c r="H147" s="2459">
        <v>6046.6841111111098</v>
      </c>
    </row>
    <row r="148" spans="1:8" s="2452" customFormat="1" ht="21" hidden="1" customHeight="1">
      <c r="A148" s="2453">
        <v>41699</v>
      </c>
      <c r="B148" s="2443">
        <v>19</v>
      </c>
      <c r="C148" s="2440">
        <v>6610.4170439451073</v>
      </c>
      <c r="D148" s="2440">
        <v>3406.4342368498687</v>
      </c>
      <c r="E148" s="2441">
        <v>402.2470838394197</v>
      </c>
      <c r="F148" s="2449">
        <v>2073.2155678745858</v>
      </c>
      <c r="G148" s="2459">
        <v>82767.679326315789</v>
      </c>
      <c r="H148" s="2459">
        <v>8674.0475263157896</v>
      </c>
    </row>
    <row r="149" spans="1:8" s="2452" customFormat="1" ht="21" hidden="1" customHeight="1">
      <c r="A149" s="2453">
        <v>41730</v>
      </c>
      <c r="B149" s="2443">
        <v>22</v>
      </c>
      <c r="C149" s="2440">
        <v>6677.2</v>
      </c>
      <c r="D149" s="2440">
        <v>3445.81</v>
      </c>
      <c r="E149" s="2441">
        <v>406.44</v>
      </c>
      <c r="F149" s="2449">
        <v>2089.04</v>
      </c>
      <c r="G149" s="2459">
        <v>47264.600630000001</v>
      </c>
      <c r="H149" s="2459">
        <v>8115.54864</v>
      </c>
    </row>
    <row r="150" spans="1:8" s="2452" customFormat="1" ht="21" hidden="1" customHeight="1">
      <c r="A150" s="2453">
        <v>41760</v>
      </c>
      <c r="B150" s="2443">
        <v>21</v>
      </c>
      <c r="C150" s="2440">
        <v>6583.58</v>
      </c>
      <c r="D150" s="2440">
        <v>3395.9570834660444</v>
      </c>
      <c r="E150" s="2441">
        <v>402.65869764358536</v>
      </c>
      <c r="F150" s="2449">
        <v>2056.1273025810301</v>
      </c>
      <c r="G150" s="2459">
        <v>69349.756773333298</v>
      </c>
      <c r="H150" s="2459">
        <v>19624.936047619001</v>
      </c>
    </row>
    <row r="151" spans="1:8" s="2452" customFormat="1" ht="21" hidden="1" customHeight="1">
      <c r="A151" s="2453">
        <v>41791</v>
      </c>
      <c r="B151" s="2443">
        <v>21</v>
      </c>
      <c r="C151" s="2440">
        <v>6680.5379999999996</v>
      </c>
      <c r="D151" s="2440">
        <v>3422.55</v>
      </c>
      <c r="E151" s="2441">
        <v>403.45600000000002</v>
      </c>
      <c r="F151" s="2449">
        <v>2078.529</v>
      </c>
      <c r="G151" s="2459">
        <v>117258.61</v>
      </c>
      <c r="H151" s="2459">
        <v>12715.77</v>
      </c>
    </row>
    <row r="152" spans="1:8" s="2452" customFormat="1" ht="21" customHeight="1">
      <c r="A152" s="2453">
        <v>41821</v>
      </c>
      <c r="B152" s="2443">
        <v>22</v>
      </c>
      <c r="C152" s="2440">
        <v>6721.4557813452557</v>
      </c>
      <c r="D152" s="2440">
        <v>3438.4133489568339</v>
      </c>
      <c r="E152" s="2441">
        <v>401.17550313104226</v>
      </c>
      <c r="F152" s="2449">
        <v>2081.9618208644174</v>
      </c>
      <c r="G152" s="2459">
        <v>41509</v>
      </c>
      <c r="H152" s="2459">
        <v>9324.2000000000007</v>
      </c>
    </row>
    <row r="153" spans="1:8" s="2452" customFormat="1" ht="21" customHeight="1">
      <c r="A153" s="2453">
        <v>41852</v>
      </c>
      <c r="B153" s="2443">
        <v>20</v>
      </c>
      <c r="C153" s="2440">
        <v>6815.1202922883949</v>
      </c>
      <c r="D153" s="2440">
        <v>3462.3438620628026</v>
      </c>
      <c r="E153" s="2441">
        <v>402.96856859730644</v>
      </c>
      <c r="F153" s="2449">
        <v>2106.1361546997364</v>
      </c>
      <c r="G153" s="2459">
        <f>59273479.044/1000</f>
        <v>59273.479044</v>
      </c>
      <c r="H153" s="2459">
        <f>13539874.4/1000</f>
        <v>13539.874400000001</v>
      </c>
    </row>
    <row r="154" spans="1:8" s="2452" customFormat="1" ht="21" customHeight="1">
      <c r="A154" s="2453">
        <v>41883</v>
      </c>
      <c r="B154" s="2443">
        <v>22</v>
      </c>
      <c r="C154" s="2440">
        <v>6890.44</v>
      </c>
      <c r="D154" s="2440">
        <v>3444.61</v>
      </c>
      <c r="E154" s="2441">
        <v>401.94</v>
      </c>
      <c r="F154" s="2449">
        <v>2124.36</v>
      </c>
      <c r="G154" s="2459">
        <v>62786.5</v>
      </c>
      <c r="H154" s="2459">
        <v>10950.7</v>
      </c>
    </row>
    <row r="155" spans="1:8" s="2452" customFormat="1" ht="21" customHeight="1">
      <c r="A155" s="2453">
        <v>41913</v>
      </c>
      <c r="B155" s="2443">
        <v>22</v>
      </c>
      <c r="C155" s="2440">
        <v>6964.3925702940796</v>
      </c>
      <c r="D155" s="2440">
        <v>3453.8254306361519</v>
      </c>
      <c r="E155" s="2441">
        <v>405.4765654159288</v>
      </c>
      <c r="F155" s="2449">
        <v>2145.0724929504572</v>
      </c>
      <c r="G155" s="2459">
        <v>69451.899999999994</v>
      </c>
      <c r="H155" s="2459">
        <v>8562</v>
      </c>
    </row>
    <row r="156" spans="1:8" s="2452" customFormat="1" ht="21" customHeight="1">
      <c r="A156" s="2453">
        <v>41944</v>
      </c>
      <c r="B156" s="2443">
        <v>20</v>
      </c>
      <c r="C156" s="2440">
        <v>6838.1</v>
      </c>
      <c r="D156" s="2440">
        <v>3373.62</v>
      </c>
      <c r="E156" s="2441">
        <v>397.18</v>
      </c>
      <c r="F156" s="2449">
        <v>2105.4699999999998</v>
      </c>
      <c r="G156" s="2459">
        <v>98178.6</v>
      </c>
      <c r="H156" s="2459">
        <v>14092.4</v>
      </c>
    </row>
    <row r="157" spans="1:8" s="2452" customFormat="1" ht="21" customHeight="1">
      <c r="A157" s="2453">
        <v>41974</v>
      </c>
      <c r="B157" s="2443">
        <v>21</v>
      </c>
      <c r="C157" s="2440">
        <v>6805.1104826814344</v>
      </c>
      <c r="D157" s="2440">
        <v>3344.9890173461076</v>
      </c>
      <c r="E157" s="2441">
        <v>389.40542403285434</v>
      </c>
      <c r="F157" s="2449">
        <v>2081.5829036052701</v>
      </c>
      <c r="G157" s="2459">
        <v>47971.6</v>
      </c>
      <c r="H157" s="2459">
        <v>5928.4</v>
      </c>
    </row>
    <row r="158" spans="1:8" s="2452" customFormat="1" ht="21" customHeight="1">
      <c r="A158" s="2453">
        <v>42005</v>
      </c>
      <c r="B158" s="2443">
        <v>20</v>
      </c>
      <c r="C158" s="2440">
        <v>6681.657434461149</v>
      </c>
      <c r="D158" s="2440">
        <v>3214.8859725586567</v>
      </c>
      <c r="E158" s="2441">
        <v>378.71998498982123</v>
      </c>
      <c r="F158" s="2449">
        <v>2038.2797993041488</v>
      </c>
      <c r="G158" s="2459">
        <v>48166</v>
      </c>
      <c r="H158" s="2459">
        <v>6767</v>
      </c>
    </row>
    <row r="159" spans="1:8" s="2452" customFormat="1" ht="21" customHeight="1">
      <c r="A159" s="2453">
        <v>42036</v>
      </c>
      <c r="B159" s="2443">
        <v>17</v>
      </c>
      <c r="C159" s="2440">
        <v>6564.078402524935</v>
      </c>
      <c r="D159" s="2440">
        <v>3094.8093036255532</v>
      </c>
      <c r="E159" s="2441">
        <v>374.60187170787367</v>
      </c>
      <c r="F159" s="2449">
        <v>2001.8371655006936</v>
      </c>
      <c r="G159" s="2459">
        <v>130776.954814706</v>
      </c>
      <c r="H159" s="2459">
        <v>13270.4126470588</v>
      </c>
    </row>
    <row r="160" spans="1:8" s="2452" customFormat="1" ht="21" customHeight="1">
      <c r="A160" s="2453">
        <v>42064</v>
      </c>
      <c r="B160" s="2443">
        <v>21</v>
      </c>
      <c r="C160" s="2440">
        <v>6510.4605770226863</v>
      </c>
      <c r="D160" s="2440">
        <v>2860.4329038230271</v>
      </c>
      <c r="E160" s="2441">
        <v>375.28144438807476</v>
      </c>
      <c r="F160" s="2449">
        <v>1983.7651045301907</v>
      </c>
      <c r="G160" s="2459">
        <f>79890772.9928571/1000</f>
        <v>79890.772992857092</v>
      </c>
      <c r="H160" s="2459">
        <f>7958053.42857143/1000</f>
        <v>7958.0534285714302</v>
      </c>
    </row>
    <row r="161" spans="1:15" s="2452" customFormat="1" ht="21" customHeight="1">
      <c r="A161" s="2453">
        <v>42095</v>
      </c>
      <c r="B161" s="2443">
        <v>22</v>
      </c>
      <c r="C161" s="2440">
        <v>6419.0132062999264</v>
      </c>
      <c r="D161" s="2440">
        <v>2755.1640692944438</v>
      </c>
      <c r="E161" s="2441">
        <v>370.31480636977938</v>
      </c>
      <c r="F161" s="2449">
        <v>1953.2978949349672</v>
      </c>
      <c r="G161" s="2459">
        <v>108403.788288636</v>
      </c>
      <c r="H161" s="2459">
        <v>36459.9070454545</v>
      </c>
    </row>
    <row r="162" spans="1:15" s="2452" customFormat="1" ht="21" customHeight="1">
      <c r="A162" s="2453">
        <v>42125</v>
      </c>
      <c r="B162" s="2443">
        <v>20</v>
      </c>
      <c r="C162" s="2440">
        <v>6450.478482469548</v>
      </c>
      <c r="D162" s="2440">
        <v>2851.1677596533727</v>
      </c>
      <c r="E162" s="2441">
        <v>372.54924064363382</v>
      </c>
      <c r="F162" s="2449">
        <v>1960.1243177372751</v>
      </c>
      <c r="G162" s="2459">
        <f>139535712.247/1000</f>
        <v>139535.71224700002</v>
      </c>
      <c r="H162" s="2459">
        <f>48918567.75/1000</f>
        <v>48918.567750000002</v>
      </c>
    </row>
    <row r="163" spans="1:15" s="2452" customFormat="1" ht="21" customHeight="1">
      <c r="A163" s="2453">
        <v>42156</v>
      </c>
      <c r="B163" s="2443">
        <v>22</v>
      </c>
      <c r="C163" s="2440">
        <v>6525.6866478424863</v>
      </c>
      <c r="D163" s="2440">
        <v>2870.9921802035224</v>
      </c>
      <c r="E163" s="2441">
        <v>376.4666297962583</v>
      </c>
      <c r="F163" s="2449">
        <v>1975.572525682066</v>
      </c>
      <c r="G163" s="2459">
        <f>57802550.9627273/1000</f>
        <v>57802.550962727299</v>
      </c>
      <c r="H163" s="2459">
        <f>21735266/1000</f>
        <v>21735.266</v>
      </c>
    </row>
    <row r="164" spans="1:15" s="2452" customFormat="1" ht="21" customHeight="1" thickBot="1">
      <c r="A164" s="2460">
        <v>42186</v>
      </c>
      <c r="B164" s="2461">
        <v>23</v>
      </c>
      <c r="C164" s="2462">
        <v>6516.2301700960934</v>
      </c>
      <c r="D164" s="2462">
        <v>2845.1468618665826</v>
      </c>
      <c r="E164" s="2463">
        <v>373.69061981631603</v>
      </c>
      <c r="F164" s="2464">
        <v>1960.7232310253328</v>
      </c>
      <c r="G164" s="2465">
        <f>41150161.2117391/1000</f>
        <v>41150.161211739098</v>
      </c>
      <c r="H164" s="2465">
        <f>11376320.6443478/1000</f>
        <v>11376.320644347799</v>
      </c>
    </row>
    <row r="165" spans="1:15" s="2470" customFormat="1" ht="12.75" customHeight="1">
      <c r="A165" s="2466"/>
      <c r="B165" s="2467"/>
      <c r="C165" s="2468"/>
      <c r="D165" s="2468"/>
      <c r="E165" s="2469"/>
      <c r="F165" s="2467"/>
      <c r="G165" s="2467"/>
      <c r="H165" s="2467"/>
    </row>
    <row r="166" spans="1:15" s="2470" customFormat="1" ht="12.75" customHeight="1">
      <c r="A166" s="2466" t="s">
        <v>3816</v>
      </c>
      <c r="B166" s="2467"/>
      <c r="C166" s="2468"/>
      <c r="D166" s="2468"/>
      <c r="E166" s="2469"/>
      <c r="F166" s="2467"/>
      <c r="G166" s="2467"/>
      <c r="H166" s="2467"/>
      <c r="J166" s="2471"/>
      <c r="K166" s="2471"/>
      <c r="L166" s="2471"/>
      <c r="M166" s="2471"/>
      <c r="N166" s="2471"/>
      <c r="O166" s="2471"/>
    </row>
    <row r="167" spans="1:15" s="2470" customFormat="1" ht="12.75" customHeight="1">
      <c r="A167" s="2472" t="s">
        <v>3817</v>
      </c>
      <c r="B167" s="2467"/>
      <c r="C167" s="2468"/>
      <c r="D167" s="2468"/>
      <c r="E167" s="2469"/>
      <c r="F167" s="2467"/>
      <c r="G167" s="2467"/>
      <c r="H167" s="2452"/>
    </row>
    <row r="168" spans="1:15" s="2470" customFormat="1" ht="12.75" customHeight="1">
      <c r="A168" s="2470" t="s">
        <v>3818</v>
      </c>
      <c r="C168" s="2473"/>
      <c r="D168" s="2473"/>
      <c r="E168" s="2472"/>
    </row>
    <row r="169" spans="1:15" s="2470" customFormat="1" ht="11.25">
      <c r="A169" s="3345" t="s">
        <v>3819</v>
      </c>
      <c r="B169" s="3345"/>
      <c r="C169" s="3345"/>
      <c r="D169" s="3345"/>
      <c r="E169" s="3345"/>
      <c r="F169" s="3345"/>
      <c r="G169" s="3345"/>
      <c r="H169" s="3345"/>
      <c r="J169" s="2474"/>
      <c r="K169" s="2474"/>
      <c r="L169" s="2474"/>
      <c r="M169" s="2474"/>
      <c r="N169" s="2474"/>
      <c r="O169" s="2474"/>
    </row>
    <row r="170" spans="1:15" s="2470" customFormat="1" ht="11.25">
      <c r="A170" s="2475" t="s">
        <v>3820</v>
      </c>
      <c r="B170" s="2476"/>
      <c r="C170" s="2476"/>
      <c r="D170" s="2476"/>
      <c r="E170" s="2476"/>
      <c r="F170" s="2476"/>
      <c r="G170" s="2476"/>
      <c r="H170" s="2476"/>
    </row>
    <row r="171" spans="1:15" s="2470" customFormat="1" ht="12.75" customHeight="1">
      <c r="A171" s="2472" t="s">
        <v>3821</v>
      </c>
      <c r="C171" s="2477"/>
      <c r="D171" s="2477"/>
      <c r="H171" s="2452"/>
    </row>
    <row r="172" spans="1:15" s="2416" customFormat="1" ht="57.75" customHeight="1">
      <c r="A172" s="3346" t="s">
        <v>3822</v>
      </c>
      <c r="B172" s="3346"/>
      <c r="C172" s="3346"/>
      <c r="D172" s="3346"/>
      <c r="E172" s="2478"/>
      <c r="F172" s="2479"/>
      <c r="G172" s="2479"/>
      <c r="H172" s="2452"/>
    </row>
    <row r="173" spans="1:15" ht="12.75" customHeight="1" thickBot="1">
      <c r="A173" s="2480"/>
      <c r="B173" s="2480"/>
      <c r="C173" s="2481"/>
      <c r="D173" s="2482" t="s">
        <v>49</v>
      </c>
      <c r="H173" s="2452"/>
    </row>
    <row r="174" spans="1:15" ht="46.5" customHeight="1" thickBot="1">
      <c r="A174" s="2483" t="s">
        <v>78</v>
      </c>
      <c r="B174" s="2483" t="s">
        <v>3823</v>
      </c>
      <c r="C174" s="2483" t="s">
        <v>3824</v>
      </c>
      <c r="D174" s="2484" t="s">
        <v>3825</v>
      </c>
      <c r="H174" s="2452"/>
    </row>
    <row r="175" spans="1:15" ht="16.5" hidden="1" customHeight="1">
      <c r="A175" s="2434">
        <v>40217</v>
      </c>
      <c r="B175" s="2485">
        <v>161.03771599999999</v>
      </c>
      <c r="C175" s="2486">
        <v>131.77647004000002</v>
      </c>
      <c r="D175" s="2487" t="s">
        <v>3826</v>
      </c>
      <c r="E175" s="2488"/>
      <c r="F175" s="2489"/>
    </row>
    <row r="176" spans="1:15" ht="15" hidden="1" customHeight="1">
      <c r="A176" s="2434">
        <v>40245</v>
      </c>
      <c r="B176" s="2485">
        <v>403.32256000000001</v>
      </c>
      <c r="C176" s="2486">
        <v>356.66909319999996</v>
      </c>
      <c r="D176" s="2487" t="s">
        <v>3827</v>
      </c>
      <c r="E176" s="2488"/>
      <c r="F176" s="2489"/>
    </row>
    <row r="177" spans="1:8" ht="15" hidden="1" customHeight="1">
      <c r="A177" s="2434">
        <v>40276</v>
      </c>
      <c r="B177" s="2485">
        <v>521.20303650000005</v>
      </c>
      <c r="C177" s="2486">
        <v>201.15583000000001</v>
      </c>
      <c r="D177" s="2487" t="s">
        <v>3828</v>
      </c>
      <c r="E177" s="2488"/>
      <c r="F177" s="2490"/>
      <c r="G177" s="2491"/>
      <c r="H177" s="2491"/>
    </row>
    <row r="178" spans="1:8" ht="15" hidden="1" customHeight="1">
      <c r="A178" s="2434">
        <v>40306</v>
      </c>
      <c r="B178" s="2485">
        <v>329.135806</v>
      </c>
      <c r="C178" s="2486">
        <v>128.8008695</v>
      </c>
      <c r="D178" s="2487" t="s">
        <v>3829</v>
      </c>
      <c r="E178" s="2488"/>
      <c r="F178" s="2489"/>
      <c r="G178" s="2491"/>
      <c r="H178" s="2491"/>
    </row>
    <row r="179" spans="1:8" ht="15" hidden="1" customHeight="1">
      <c r="A179" s="2434">
        <v>40337</v>
      </c>
      <c r="B179" s="2485">
        <v>207.11887580000001</v>
      </c>
      <c r="C179" s="2486">
        <v>28.417289</v>
      </c>
      <c r="D179" s="2487" t="s">
        <v>3830</v>
      </c>
      <c r="E179" s="2488"/>
      <c r="F179" s="2489"/>
      <c r="G179" s="2491"/>
      <c r="H179" s="2491"/>
    </row>
    <row r="180" spans="1:8" ht="15" hidden="1" customHeight="1">
      <c r="A180" s="2451">
        <v>40367</v>
      </c>
      <c r="B180" s="2485">
        <v>270.14908350000002</v>
      </c>
      <c r="C180" s="2486">
        <v>133.29416225</v>
      </c>
      <c r="D180" s="2487" t="s">
        <v>3831</v>
      </c>
      <c r="E180" s="2488"/>
      <c r="F180" s="2489"/>
      <c r="G180" s="2491"/>
      <c r="H180" s="2491"/>
    </row>
    <row r="181" spans="1:8" ht="15" hidden="1" customHeight="1">
      <c r="A181" s="2451">
        <v>40398</v>
      </c>
      <c r="B181" s="2485">
        <v>217.86438000000001</v>
      </c>
      <c r="C181" s="2486">
        <v>79.483020699999997</v>
      </c>
      <c r="D181" s="2487" t="s">
        <v>3832</v>
      </c>
      <c r="E181" s="2488"/>
      <c r="F181" s="2490"/>
      <c r="G181" s="2489"/>
    </row>
    <row r="182" spans="1:8" ht="15" hidden="1" customHeight="1">
      <c r="A182" s="2451">
        <v>40429</v>
      </c>
      <c r="B182" s="2485">
        <v>388.8727184</v>
      </c>
      <c r="C182" s="2486">
        <v>199.41526140000002</v>
      </c>
      <c r="D182" s="2487" t="s">
        <v>3833</v>
      </c>
      <c r="E182" s="2488"/>
      <c r="F182" s="2489"/>
      <c r="G182" s="2489"/>
    </row>
    <row r="183" spans="1:8" ht="15" hidden="1" customHeight="1">
      <c r="A183" s="2451">
        <v>40459</v>
      </c>
      <c r="B183" s="2485">
        <v>348.71195539999997</v>
      </c>
      <c r="C183" s="2486">
        <v>354.42421330000002</v>
      </c>
      <c r="D183" s="2487" t="s">
        <v>3834</v>
      </c>
      <c r="E183" s="2488"/>
      <c r="F183" s="2489"/>
      <c r="G183" s="2489"/>
    </row>
    <row r="184" spans="1:8" ht="15" hidden="1" customHeight="1">
      <c r="A184" s="2451">
        <v>40490</v>
      </c>
      <c r="B184" s="2485">
        <v>347.89406220000001</v>
      </c>
      <c r="C184" s="2486">
        <v>128.35713510000002</v>
      </c>
      <c r="D184" s="2487" t="s">
        <v>3835</v>
      </c>
      <c r="E184" s="2488"/>
      <c r="F184" s="2489"/>
      <c r="G184" s="2489"/>
    </row>
    <row r="185" spans="1:8" ht="15" hidden="1" customHeight="1">
      <c r="A185" s="2451">
        <v>40520</v>
      </c>
      <c r="B185" s="2485">
        <v>178.9509745</v>
      </c>
      <c r="C185" s="2486">
        <v>55.540696149999995</v>
      </c>
      <c r="D185" s="2487" t="s">
        <v>3836</v>
      </c>
      <c r="E185" s="2488"/>
      <c r="F185" s="2489"/>
    </row>
    <row r="186" spans="1:8" ht="15" hidden="1" customHeight="1">
      <c r="A186" s="2451">
        <v>40551</v>
      </c>
      <c r="B186" s="2492">
        <v>725.55969600000003</v>
      </c>
      <c r="C186" s="2493">
        <v>370.46430950000001</v>
      </c>
      <c r="D186" s="2487" t="s">
        <v>3837</v>
      </c>
      <c r="E186" s="2488"/>
      <c r="F186" s="2489"/>
    </row>
    <row r="187" spans="1:8" ht="15" hidden="1" customHeight="1">
      <c r="A187" s="2451">
        <v>40582</v>
      </c>
      <c r="B187" s="2492">
        <v>154.24198669999998</v>
      </c>
      <c r="C187" s="2494">
        <v>111.00644709999999</v>
      </c>
      <c r="D187" s="2487" t="s">
        <v>3838</v>
      </c>
      <c r="E187" s="2488"/>
      <c r="F187" s="2489"/>
    </row>
    <row r="188" spans="1:8" ht="15" hidden="1" customHeight="1">
      <c r="A188" s="2451">
        <v>40610</v>
      </c>
      <c r="B188" s="2492">
        <v>42.2</v>
      </c>
      <c r="C188" s="2494">
        <v>203.6</v>
      </c>
      <c r="D188" s="2487" t="s">
        <v>3839</v>
      </c>
      <c r="E188" s="2488"/>
      <c r="F188" s="2489"/>
    </row>
    <row r="189" spans="1:8" ht="15" hidden="1" customHeight="1">
      <c r="A189" s="2451">
        <v>40641</v>
      </c>
      <c r="B189" s="2492">
        <v>142.80000000000001</v>
      </c>
      <c r="C189" s="2494">
        <v>119.9</v>
      </c>
      <c r="D189" s="2487" t="s">
        <v>3840</v>
      </c>
      <c r="E189" s="2488"/>
      <c r="F189" s="2489"/>
    </row>
    <row r="190" spans="1:8" ht="15" hidden="1" customHeight="1">
      <c r="A190" s="2451">
        <v>40671</v>
      </c>
      <c r="B190" s="2492">
        <v>246.9</v>
      </c>
      <c r="C190" s="2494">
        <v>263.39999999999998</v>
      </c>
      <c r="D190" s="2487" t="s">
        <v>3841</v>
      </c>
      <c r="E190" s="2488"/>
      <c r="F190" s="2489"/>
    </row>
    <row r="191" spans="1:8" ht="15" hidden="1" customHeight="1">
      <c r="A191" s="2451">
        <v>40702</v>
      </c>
      <c r="B191" s="2492">
        <v>201.6</v>
      </c>
      <c r="C191" s="2494">
        <v>336.5</v>
      </c>
      <c r="D191" s="2487" t="s">
        <v>3842</v>
      </c>
      <c r="E191" s="2488"/>
      <c r="F191" s="2495"/>
    </row>
    <row r="192" spans="1:8" ht="15" hidden="1" customHeight="1">
      <c r="A192" s="2451">
        <v>40732</v>
      </c>
      <c r="B192" s="2492">
        <v>218.3</v>
      </c>
      <c r="C192" s="2494">
        <v>240.4</v>
      </c>
      <c r="D192" s="2487" t="s">
        <v>3843</v>
      </c>
      <c r="E192" s="2488"/>
      <c r="F192" s="2489"/>
      <c r="G192" s="2496"/>
    </row>
    <row r="193" spans="1:8" ht="15" hidden="1" customHeight="1">
      <c r="A193" s="2451">
        <v>40763</v>
      </c>
      <c r="B193" s="2492">
        <v>168.1</v>
      </c>
      <c r="C193" s="2494">
        <v>606.6</v>
      </c>
      <c r="D193" s="2487" t="s">
        <v>3844</v>
      </c>
      <c r="E193" s="2488"/>
      <c r="F193" s="2489"/>
      <c r="G193" s="2496"/>
    </row>
    <row r="194" spans="1:8" ht="15" hidden="1" customHeight="1">
      <c r="A194" s="2451">
        <v>40794</v>
      </c>
      <c r="B194" s="2492">
        <v>130.69999999999999</v>
      </c>
      <c r="C194" s="2494">
        <v>174.4</v>
      </c>
      <c r="D194" s="2487" t="s">
        <v>3845</v>
      </c>
      <c r="E194" s="2488"/>
      <c r="F194" s="2489"/>
      <c r="G194" s="2496"/>
    </row>
    <row r="195" spans="1:8" ht="15" hidden="1" customHeight="1">
      <c r="A195" s="2451">
        <v>40824</v>
      </c>
      <c r="B195" s="2492">
        <v>166.1</v>
      </c>
      <c r="C195" s="2494">
        <v>339.9</v>
      </c>
      <c r="D195" s="2487" t="s">
        <v>3846</v>
      </c>
      <c r="E195" s="2488"/>
      <c r="F195" s="2489"/>
      <c r="G195" s="2496"/>
      <c r="H195" s="2491"/>
    </row>
    <row r="196" spans="1:8" ht="15" hidden="1" customHeight="1">
      <c r="A196" s="2451">
        <v>40855</v>
      </c>
      <c r="B196" s="2492">
        <v>3631.7</v>
      </c>
      <c r="C196" s="2494">
        <v>3694.6</v>
      </c>
      <c r="D196" s="2487" t="s">
        <v>3847</v>
      </c>
      <c r="E196" s="2488"/>
      <c r="F196" s="2489"/>
      <c r="G196" s="2496"/>
      <c r="H196" s="2491"/>
    </row>
    <row r="197" spans="1:8" ht="15" hidden="1" customHeight="1">
      <c r="A197" s="2451">
        <v>40885</v>
      </c>
      <c r="B197" s="2494">
        <v>329.8</v>
      </c>
      <c r="C197" s="2494">
        <v>175.4</v>
      </c>
      <c r="D197" s="2487" t="s">
        <v>3848</v>
      </c>
      <c r="E197" s="2488"/>
      <c r="F197" s="2495"/>
      <c r="G197" s="2496"/>
      <c r="H197" s="2491"/>
    </row>
    <row r="198" spans="1:8" ht="15" hidden="1" customHeight="1">
      <c r="A198" s="2451">
        <v>40916</v>
      </c>
      <c r="B198" s="2494">
        <v>125.6</v>
      </c>
      <c r="C198" s="2494">
        <v>111.1</v>
      </c>
      <c r="D198" s="2487" t="s">
        <v>3849</v>
      </c>
      <c r="E198" s="2488"/>
      <c r="F198" s="2495"/>
      <c r="G198" s="2496"/>
      <c r="H198" s="2491"/>
    </row>
    <row r="199" spans="1:8" ht="15" hidden="1" customHeight="1">
      <c r="A199" s="2451">
        <v>40947</v>
      </c>
      <c r="B199" s="2494">
        <v>180</v>
      </c>
      <c r="C199" s="2494">
        <v>131.6</v>
      </c>
      <c r="D199" s="2487" t="s">
        <v>3850</v>
      </c>
      <c r="E199" s="2488"/>
      <c r="F199" s="2495"/>
      <c r="G199" s="2496"/>
      <c r="H199" s="2491"/>
    </row>
    <row r="200" spans="1:8" ht="15" hidden="1" customHeight="1">
      <c r="A200" s="2451">
        <v>40976</v>
      </c>
      <c r="B200" s="2494">
        <v>151.69999999999999</v>
      </c>
      <c r="C200" s="2494">
        <v>123.2</v>
      </c>
      <c r="D200" s="2487" t="s">
        <v>3851</v>
      </c>
      <c r="E200" s="2488"/>
      <c r="F200" s="2495"/>
      <c r="G200" s="2496"/>
      <c r="H200" s="2491"/>
    </row>
    <row r="201" spans="1:8" ht="15" hidden="1" customHeight="1">
      <c r="A201" s="2451">
        <v>41007</v>
      </c>
      <c r="B201" s="2494">
        <v>311.5</v>
      </c>
      <c r="C201" s="2494">
        <v>291.5</v>
      </c>
      <c r="D201" s="2487" t="s">
        <v>3852</v>
      </c>
      <c r="E201" s="2488"/>
      <c r="F201" s="2495"/>
      <c r="G201" s="2496"/>
      <c r="H201" s="2491"/>
    </row>
    <row r="202" spans="1:8" ht="15" hidden="1" customHeight="1">
      <c r="A202" s="2451">
        <v>41037</v>
      </c>
      <c r="B202" s="2494">
        <v>210.2</v>
      </c>
      <c r="C202" s="2494">
        <v>395.36</v>
      </c>
      <c r="D202" s="2497">
        <v>-185.2</v>
      </c>
      <c r="E202" s="2488"/>
      <c r="F202" s="2495"/>
      <c r="G202" s="2496"/>
      <c r="H202" s="2491"/>
    </row>
    <row r="203" spans="1:8" ht="15" hidden="1" customHeight="1">
      <c r="A203" s="2451">
        <v>41068</v>
      </c>
      <c r="B203" s="2494">
        <v>154.94</v>
      </c>
      <c r="C203" s="2494">
        <v>223.923</v>
      </c>
      <c r="D203" s="2497">
        <v>-68.983000000000004</v>
      </c>
      <c r="E203" s="2488"/>
      <c r="F203" s="2495"/>
      <c r="G203" s="2496"/>
      <c r="H203" s="2491"/>
    </row>
    <row r="204" spans="1:8" ht="15" hidden="1" customHeight="1">
      <c r="A204" s="2451">
        <v>41098</v>
      </c>
      <c r="B204" s="2494">
        <v>389.9</v>
      </c>
      <c r="C204" s="2494">
        <v>344.3</v>
      </c>
      <c r="D204" s="2497" t="s">
        <v>3853</v>
      </c>
      <c r="E204" s="2488"/>
      <c r="F204" s="2495"/>
      <c r="G204" s="2496"/>
      <c r="H204" s="2491"/>
    </row>
    <row r="205" spans="1:8" ht="15" hidden="1" customHeight="1">
      <c r="A205" s="2451">
        <v>41129</v>
      </c>
      <c r="B205" s="2494">
        <v>209.5</v>
      </c>
      <c r="C205" s="2494">
        <v>315.5</v>
      </c>
      <c r="D205" s="2497" t="s">
        <v>3854</v>
      </c>
      <c r="E205" s="2488"/>
      <c r="F205" s="2495"/>
      <c r="G205" s="2496"/>
      <c r="H205" s="2491"/>
    </row>
    <row r="206" spans="1:8" ht="15" hidden="1" customHeight="1">
      <c r="A206" s="2451">
        <v>41160</v>
      </c>
      <c r="B206" s="2494">
        <v>163.1</v>
      </c>
      <c r="C206" s="2494">
        <v>243.9</v>
      </c>
      <c r="D206" s="2497">
        <v>-80.8</v>
      </c>
      <c r="E206" s="2488"/>
      <c r="F206" s="2495"/>
      <c r="G206" s="2496"/>
      <c r="H206" s="2491"/>
    </row>
    <row r="207" spans="1:8" ht="15" hidden="1" customHeight="1">
      <c r="A207" s="2451">
        <v>41190</v>
      </c>
      <c r="B207" s="2494">
        <v>216.6</v>
      </c>
      <c r="C207" s="2494">
        <v>236.5</v>
      </c>
      <c r="D207" s="2497">
        <f>B207-C207</f>
        <v>-19.900000000000006</v>
      </c>
      <c r="E207" s="2488"/>
      <c r="F207" s="2495"/>
      <c r="G207" s="2496"/>
      <c r="H207" s="2491"/>
    </row>
    <row r="208" spans="1:8" ht="15" hidden="1" customHeight="1">
      <c r="A208" s="2451">
        <v>41221</v>
      </c>
      <c r="B208" s="2498">
        <v>347.4</v>
      </c>
      <c r="C208" s="2498">
        <v>135.5</v>
      </c>
      <c r="D208" s="2497">
        <f t="shared" ref="D208:D232" si="0">B208-C208</f>
        <v>211.89999999999998</v>
      </c>
      <c r="E208" s="2488"/>
      <c r="F208" s="2495"/>
      <c r="G208" s="2496"/>
      <c r="H208" s="2499"/>
    </row>
    <row r="209" spans="1:8" ht="15" hidden="1" customHeight="1">
      <c r="A209" s="2451">
        <v>41251</v>
      </c>
      <c r="B209" s="2494">
        <v>313.17</v>
      </c>
      <c r="C209" s="2494">
        <v>120.857</v>
      </c>
      <c r="D209" s="2497">
        <f t="shared" si="0"/>
        <v>192.31300000000002</v>
      </c>
      <c r="E209" s="2488"/>
      <c r="F209" s="2495"/>
      <c r="G209" s="2496"/>
      <c r="H209" s="2491"/>
    </row>
    <row r="210" spans="1:8" ht="15" hidden="1" customHeight="1">
      <c r="A210" s="2451">
        <v>41282</v>
      </c>
      <c r="B210" s="2494">
        <v>530.9</v>
      </c>
      <c r="C210" s="2494">
        <v>391.2</v>
      </c>
      <c r="D210" s="2497">
        <f t="shared" si="0"/>
        <v>139.69999999999999</v>
      </c>
      <c r="E210" s="2488"/>
      <c r="F210" s="2495"/>
      <c r="G210" s="2496"/>
      <c r="H210" s="2491"/>
    </row>
    <row r="211" spans="1:8" ht="15" hidden="1" customHeight="1">
      <c r="A211" s="2451">
        <v>41313</v>
      </c>
      <c r="B211" s="2494">
        <v>565.5</v>
      </c>
      <c r="C211" s="2494">
        <v>447.5</v>
      </c>
      <c r="D211" s="2497">
        <f t="shared" si="0"/>
        <v>118</v>
      </c>
      <c r="E211" s="2488"/>
      <c r="F211" s="2495"/>
      <c r="G211" s="2496"/>
      <c r="H211" s="2491"/>
    </row>
    <row r="212" spans="1:8" ht="15" hidden="1" customHeight="1">
      <c r="A212" s="2451">
        <v>41341</v>
      </c>
      <c r="B212" s="2494">
        <v>384.6</v>
      </c>
      <c r="C212" s="2494">
        <v>129.4</v>
      </c>
      <c r="D212" s="2497">
        <f t="shared" si="0"/>
        <v>255.20000000000002</v>
      </c>
      <c r="E212" s="2488"/>
      <c r="F212" s="2495"/>
      <c r="G212" s="2500"/>
      <c r="H212" s="2500"/>
    </row>
    <row r="213" spans="1:8" ht="15" hidden="1" customHeight="1">
      <c r="A213" s="2451">
        <v>41372</v>
      </c>
      <c r="B213" s="2494">
        <v>240.5</v>
      </c>
      <c r="C213" s="2494">
        <v>113.6</v>
      </c>
      <c r="D213" s="2497">
        <f t="shared" si="0"/>
        <v>126.9</v>
      </c>
      <c r="E213" s="2488"/>
      <c r="F213" s="2495"/>
      <c r="G213" s="2496"/>
      <c r="H213" s="2491"/>
    </row>
    <row r="214" spans="1:8" ht="15" hidden="1" customHeight="1">
      <c r="A214" s="2453">
        <v>41402</v>
      </c>
      <c r="B214" s="2494">
        <v>331.9</v>
      </c>
      <c r="C214" s="2494">
        <v>235.2</v>
      </c>
      <c r="D214" s="2497">
        <f t="shared" si="0"/>
        <v>96.699999999999989</v>
      </c>
      <c r="E214" s="2488"/>
      <c r="F214" s="2495"/>
      <c r="G214" s="2496"/>
      <c r="H214" s="2491"/>
    </row>
    <row r="215" spans="1:8" ht="15" hidden="1" customHeight="1">
      <c r="A215" s="2453">
        <v>41433</v>
      </c>
      <c r="B215" s="2494">
        <v>474.5</v>
      </c>
      <c r="C215" s="2494">
        <v>440</v>
      </c>
      <c r="D215" s="2497">
        <f t="shared" si="0"/>
        <v>34.5</v>
      </c>
      <c r="E215" s="2488"/>
      <c r="F215" s="2495"/>
      <c r="G215" s="2496"/>
      <c r="H215" s="2491"/>
    </row>
    <row r="216" spans="1:8" ht="15" hidden="1" customHeight="1">
      <c r="A216" s="2453">
        <v>41463</v>
      </c>
      <c r="B216" s="2494">
        <v>167.53213600000001</v>
      </c>
      <c r="C216" s="2498">
        <v>87.90154167</v>
      </c>
      <c r="D216" s="2497">
        <f t="shared" si="0"/>
        <v>79.630594330000008</v>
      </c>
      <c r="E216" s="2488"/>
      <c r="F216" s="2495"/>
      <c r="G216" s="2496"/>
      <c r="H216" s="2491"/>
    </row>
    <row r="217" spans="1:8" ht="15" hidden="1" customHeight="1">
      <c r="A217" s="2453">
        <v>41494</v>
      </c>
      <c r="B217" s="2494">
        <v>300.86</v>
      </c>
      <c r="C217" s="2494">
        <v>275.04000000000002</v>
      </c>
      <c r="D217" s="2497">
        <f t="shared" si="0"/>
        <v>25.819999999999993</v>
      </c>
      <c r="E217" s="2488"/>
      <c r="F217" s="2495"/>
      <c r="G217" s="2496"/>
      <c r="H217" s="2491"/>
    </row>
    <row r="218" spans="1:8" ht="18" hidden="1" customHeight="1">
      <c r="A218" s="2453">
        <v>41525</v>
      </c>
      <c r="B218" s="2498">
        <v>213.7</v>
      </c>
      <c r="C218" s="2494">
        <v>520.1</v>
      </c>
      <c r="D218" s="2497">
        <f t="shared" si="0"/>
        <v>-306.40000000000003</v>
      </c>
      <c r="E218" s="2488"/>
      <c r="F218" s="2495"/>
      <c r="G218" s="2496"/>
      <c r="H218" s="2491"/>
    </row>
    <row r="219" spans="1:8" ht="18" hidden="1" customHeight="1">
      <c r="A219" s="2453">
        <v>41555</v>
      </c>
      <c r="B219" s="2494">
        <v>743.9</v>
      </c>
      <c r="C219" s="2494">
        <v>1020.6</v>
      </c>
      <c r="D219" s="2497">
        <f t="shared" si="0"/>
        <v>-276.70000000000005</v>
      </c>
      <c r="E219" s="2488"/>
      <c r="F219" s="2495"/>
      <c r="G219" s="2496"/>
      <c r="H219" s="2501"/>
    </row>
    <row r="220" spans="1:8" ht="18" hidden="1" customHeight="1">
      <c r="A220" s="2453">
        <v>41586</v>
      </c>
      <c r="B220" s="2498">
        <v>184.5</v>
      </c>
      <c r="C220" s="2494">
        <v>112</v>
      </c>
      <c r="D220" s="2497">
        <f t="shared" si="0"/>
        <v>72.5</v>
      </c>
      <c r="E220" s="2488"/>
      <c r="F220" s="2495"/>
      <c r="G220" s="2500"/>
      <c r="H220" s="2500"/>
    </row>
    <row r="221" spans="1:8" ht="18" hidden="1" customHeight="1">
      <c r="A221" s="2453">
        <v>41616</v>
      </c>
      <c r="B221" s="2494">
        <v>501.6</v>
      </c>
      <c r="C221" s="2494">
        <v>493.5</v>
      </c>
      <c r="D221" s="2497">
        <f t="shared" si="0"/>
        <v>8.1000000000000227</v>
      </c>
      <c r="E221" s="2488"/>
      <c r="F221" s="2495"/>
      <c r="G221" s="2496"/>
      <c r="H221" s="2501"/>
    </row>
    <row r="222" spans="1:8" ht="18" hidden="1" customHeight="1">
      <c r="A222" s="2453">
        <v>41647</v>
      </c>
      <c r="B222" s="2494">
        <v>439.2</v>
      </c>
      <c r="C222" s="2494">
        <v>475</v>
      </c>
      <c r="D222" s="2497">
        <f t="shared" si="0"/>
        <v>-35.800000000000011</v>
      </c>
      <c r="E222" s="2488"/>
      <c r="F222" s="2495"/>
      <c r="G222" s="2496"/>
      <c r="H222" s="2501"/>
    </row>
    <row r="223" spans="1:8" ht="18" hidden="1" customHeight="1">
      <c r="A223" s="2453">
        <v>41678</v>
      </c>
      <c r="B223" s="2498">
        <v>455.9</v>
      </c>
      <c r="C223" s="2498">
        <v>475.2</v>
      </c>
      <c r="D223" s="2502">
        <f t="shared" si="0"/>
        <v>-19.300000000000011</v>
      </c>
      <c r="E223" s="2488"/>
      <c r="F223" s="2495"/>
      <c r="G223" s="2495"/>
      <c r="H223" s="2495"/>
    </row>
    <row r="224" spans="1:8" ht="18" hidden="1" customHeight="1">
      <c r="A224" s="2453">
        <v>41706</v>
      </c>
      <c r="B224" s="2494">
        <v>159.49</v>
      </c>
      <c r="C224" s="2494">
        <v>257</v>
      </c>
      <c r="D224" s="2497">
        <f t="shared" si="0"/>
        <v>-97.509999999999991</v>
      </c>
      <c r="E224" s="2488"/>
      <c r="F224" s="2495"/>
      <c r="G224" s="2495"/>
      <c r="H224" s="2495"/>
    </row>
    <row r="225" spans="1:11" ht="18" hidden="1" customHeight="1">
      <c r="A225" s="2453">
        <v>41737</v>
      </c>
      <c r="B225" s="2494">
        <v>516.6</v>
      </c>
      <c r="C225" s="2494">
        <v>528.29999999999995</v>
      </c>
      <c r="D225" s="2497">
        <f t="shared" si="0"/>
        <v>-11.699999999999932</v>
      </c>
      <c r="E225" s="2488"/>
      <c r="F225" s="2495"/>
      <c r="G225" s="2495"/>
      <c r="H225" s="2495"/>
    </row>
    <row r="226" spans="1:11" ht="18" hidden="1" customHeight="1">
      <c r="A226" s="2453">
        <v>41767</v>
      </c>
      <c r="B226" s="2494">
        <v>924.98</v>
      </c>
      <c r="C226" s="2494">
        <v>641.19000000000005</v>
      </c>
      <c r="D226" s="2497">
        <f t="shared" si="0"/>
        <v>283.78999999999996</v>
      </c>
      <c r="E226" s="2488"/>
      <c r="F226" s="2495"/>
      <c r="G226" s="2495"/>
      <c r="H226" s="2495"/>
    </row>
    <row r="227" spans="1:11" ht="18" hidden="1" customHeight="1">
      <c r="A227" s="2453">
        <v>41798</v>
      </c>
      <c r="B227" s="2494">
        <v>846.45</v>
      </c>
      <c r="C227" s="2494">
        <v>784.9</v>
      </c>
      <c r="D227" s="2497">
        <f t="shared" si="0"/>
        <v>61.550000000000068</v>
      </c>
      <c r="E227" s="2488"/>
      <c r="F227" s="2495"/>
      <c r="G227" s="2495"/>
      <c r="H227" s="2495"/>
    </row>
    <row r="228" spans="1:11" ht="18" customHeight="1">
      <c r="A228" s="2453">
        <v>41828</v>
      </c>
      <c r="B228" s="2494">
        <v>330.4</v>
      </c>
      <c r="C228" s="2494">
        <v>313.5</v>
      </c>
      <c r="D228" s="2497">
        <f t="shared" si="0"/>
        <v>16.899999999999977</v>
      </c>
      <c r="E228" s="2488"/>
      <c r="F228" s="2495"/>
      <c r="G228" s="2495"/>
      <c r="H228" s="2495"/>
    </row>
    <row r="229" spans="1:11" ht="18" customHeight="1">
      <c r="A229" s="2453">
        <v>41859</v>
      </c>
      <c r="B229" s="2494">
        <v>372.4</v>
      </c>
      <c r="C229" s="2494">
        <v>544.79999999999995</v>
      </c>
      <c r="D229" s="2497">
        <f t="shared" si="0"/>
        <v>-172.39999999999998</v>
      </c>
      <c r="E229" s="2488"/>
      <c r="F229" s="2495"/>
      <c r="G229" s="2495"/>
      <c r="H229" s="2495"/>
    </row>
    <row r="230" spans="1:11" ht="18" customHeight="1">
      <c r="A230" s="2453">
        <v>41890</v>
      </c>
      <c r="B230" s="2494">
        <v>539.20000000000005</v>
      </c>
      <c r="C230" s="2494">
        <v>515.16</v>
      </c>
      <c r="D230" s="2497">
        <f t="shared" si="0"/>
        <v>24.040000000000077</v>
      </c>
      <c r="E230" s="2488"/>
      <c r="F230" s="2495"/>
      <c r="G230" s="2495"/>
      <c r="H230" s="2495"/>
      <c r="I230" s="2491"/>
      <c r="J230" s="2501"/>
      <c r="K230" s="2501"/>
    </row>
    <row r="231" spans="1:11" ht="18" customHeight="1">
      <c r="A231" s="2453">
        <v>41920</v>
      </c>
      <c r="B231" s="2494">
        <v>442.86</v>
      </c>
      <c r="C231" s="2494">
        <v>664.5</v>
      </c>
      <c r="D231" s="2497">
        <f t="shared" si="0"/>
        <v>-221.64</v>
      </c>
      <c r="E231" s="2488"/>
      <c r="F231" s="2495"/>
      <c r="G231" s="2495"/>
      <c r="H231" s="2495"/>
    </row>
    <row r="232" spans="1:11" ht="18" customHeight="1">
      <c r="A232" s="2453">
        <v>41951</v>
      </c>
      <c r="B232" s="2494">
        <v>359.09500000000003</v>
      </c>
      <c r="C232" s="2494">
        <v>795.55</v>
      </c>
      <c r="D232" s="2497">
        <f t="shared" si="0"/>
        <v>-436.45499999999993</v>
      </c>
      <c r="E232" s="2488"/>
      <c r="F232" s="2495"/>
      <c r="G232" s="2495"/>
      <c r="H232" s="2495"/>
      <c r="I232" s="2495"/>
      <c r="J232" s="2495"/>
      <c r="K232" s="2495"/>
    </row>
    <row r="233" spans="1:11" ht="18" customHeight="1">
      <c r="A233" s="2453">
        <v>41981</v>
      </c>
      <c r="B233" s="2494">
        <v>216.4</v>
      </c>
      <c r="C233" s="2494">
        <v>432.38</v>
      </c>
      <c r="D233" s="2497">
        <v>-215.98</v>
      </c>
      <c r="E233" s="2488"/>
      <c r="F233" s="2495"/>
      <c r="G233" s="2495"/>
      <c r="H233" s="2495"/>
    </row>
    <row r="234" spans="1:11" ht="18" customHeight="1">
      <c r="A234" s="2453">
        <v>42005</v>
      </c>
      <c r="B234" s="2494">
        <v>221.6</v>
      </c>
      <c r="C234" s="2494">
        <v>445.3</v>
      </c>
      <c r="D234" s="2497">
        <f t="shared" ref="D234:D240" si="1">B234-C234</f>
        <v>-223.70000000000002</v>
      </c>
      <c r="E234" s="2488"/>
      <c r="F234" s="2495"/>
      <c r="G234" s="2495"/>
      <c r="H234" s="2495"/>
    </row>
    <row r="235" spans="1:11" ht="18" customHeight="1">
      <c r="A235" s="2453">
        <v>42036</v>
      </c>
      <c r="B235" s="2494">
        <v>232.3</v>
      </c>
      <c r="C235" s="2494">
        <v>730.7</v>
      </c>
      <c r="D235" s="2497">
        <f t="shared" si="1"/>
        <v>-498.40000000000003</v>
      </c>
      <c r="E235" s="2488"/>
      <c r="F235" s="2495"/>
      <c r="G235" s="2495"/>
      <c r="H235" s="2495"/>
    </row>
    <row r="236" spans="1:11" ht="18" customHeight="1">
      <c r="A236" s="2453">
        <v>42064</v>
      </c>
      <c r="B236" s="2494">
        <v>268.5</v>
      </c>
      <c r="C236" s="2494">
        <v>898.4</v>
      </c>
      <c r="D236" s="2497">
        <f t="shared" si="1"/>
        <v>-629.9</v>
      </c>
      <c r="E236" s="2488"/>
      <c r="F236" s="2495"/>
      <c r="G236" s="2495"/>
      <c r="H236" s="2495"/>
    </row>
    <row r="237" spans="1:11" ht="18" customHeight="1">
      <c r="A237" s="2453">
        <v>42095</v>
      </c>
      <c r="B237" s="2494">
        <v>424.5</v>
      </c>
      <c r="C237" s="2494">
        <v>1610.7</v>
      </c>
      <c r="D237" s="2497">
        <f t="shared" si="1"/>
        <v>-1186.2</v>
      </c>
      <c r="E237" s="2488"/>
      <c r="F237" s="2495"/>
      <c r="G237" s="2495"/>
      <c r="H237" s="2495"/>
    </row>
    <row r="238" spans="1:11" ht="18" customHeight="1">
      <c r="A238" s="2453">
        <v>42125</v>
      </c>
      <c r="B238" s="2494">
        <v>316.79000000000002</v>
      </c>
      <c r="C238" s="2494">
        <v>871.38900000000001</v>
      </c>
      <c r="D238" s="2497">
        <f>B238-C238</f>
        <v>-554.59899999999993</v>
      </c>
      <c r="E238" s="2488"/>
      <c r="F238" s="2495"/>
      <c r="G238" s="2495"/>
      <c r="H238" s="2495"/>
    </row>
    <row r="239" spans="1:11" ht="18" customHeight="1">
      <c r="A239" s="2453">
        <v>42156</v>
      </c>
      <c r="B239" s="2498">
        <v>223.7</v>
      </c>
      <c r="C239" s="2498">
        <v>679.1</v>
      </c>
      <c r="D239" s="2502">
        <f>B239-C239</f>
        <v>-455.40000000000003</v>
      </c>
      <c r="E239" s="2488"/>
      <c r="F239" s="2495"/>
      <c r="G239" s="2495"/>
      <c r="H239" s="2495"/>
    </row>
    <row r="240" spans="1:11" ht="18" customHeight="1" thickBot="1">
      <c r="A240" s="2453">
        <v>42186</v>
      </c>
      <c r="B240" s="2494">
        <v>299.5</v>
      </c>
      <c r="C240" s="2494">
        <v>294.8</v>
      </c>
      <c r="D240" s="2497">
        <f t="shared" si="1"/>
        <v>4.6999999999999886</v>
      </c>
      <c r="E240" s="2488"/>
      <c r="F240" s="2495"/>
      <c r="G240" s="2495"/>
      <c r="H240" s="2495"/>
    </row>
    <row r="241" spans="1:9" ht="23.25" customHeight="1" thickBot="1">
      <c r="A241" s="2503" t="s">
        <v>81</v>
      </c>
      <c r="B241" s="2504">
        <f>SUM(B228:B240)</f>
        <v>4247.2449999999999</v>
      </c>
      <c r="C241" s="2504">
        <f>SUM(C228:C240)</f>
        <v>8796.2789999999986</v>
      </c>
      <c r="D241" s="2504">
        <f>B241-C241</f>
        <v>-4549.0339999999987</v>
      </c>
      <c r="E241" s="2505"/>
      <c r="F241" s="2495"/>
      <c r="G241" s="2496"/>
      <c r="H241" s="2496"/>
      <c r="I241" s="2496"/>
    </row>
    <row r="242" spans="1:9" ht="14.25" customHeight="1">
      <c r="A242" s="2506"/>
      <c r="B242" s="2507"/>
      <c r="C242" s="2507"/>
      <c r="D242" s="2507"/>
      <c r="E242" s="2507"/>
      <c r="F242" s="2501"/>
    </row>
    <row r="243" spans="1:9" s="2509" customFormat="1" ht="12.75" customHeight="1">
      <c r="A243" s="2508" t="s">
        <v>3855</v>
      </c>
      <c r="C243" s="2510"/>
      <c r="D243" s="2511"/>
      <c r="E243" s="2512"/>
      <c r="F243" s="2501"/>
    </row>
    <row r="244" spans="1:9" s="2509" customFormat="1" ht="12.75" customHeight="1">
      <c r="A244" s="2508" t="s">
        <v>3821</v>
      </c>
      <c r="C244" s="2510"/>
      <c r="D244" s="2513"/>
      <c r="E244" s="2501"/>
      <c r="F244" s="2501"/>
      <c r="H244" s="2514"/>
    </row>
    <row r="245" spans="1:9" ht="12.75" customHeight="1">
      <c r="B245" s="2515"/>
      <c r="C245" s="2516"/>
      <c r="D245" s="2517"/>
      <c r="E245" s="2501"/>
      <c r="F245" s="2501"/>
      <c r="G245" s="2514"/>
    </row>
    <row r="246" spans="1:9" ht="12.75" customHeight="1">
      <c r="A246" s="2518"/>
    </row>
    <row r="247" spans="1:9" ht="12.75" customHeight="1">
      <c r="B247" s="2519"/>
      <c r="C247" s="2520"/>
      <c r="D247" s="2520"/>
      <c r="E247" s="2521"/>
      <c r="F247" s="2522"/>
      <c r="G247" s="2523"/>
      <c r="H247" s="2523"/>
    </row>
    <row r="248" spans="1:9" ht="12.75" customHeight="1"/>
    <row r="249" spans="1:9" ht="12.75" customHeight="1"/>
    <row r="250" spans="1:9" ht="12.75" customHeight="1"/>
    <row r="251" spans="1:9" ht="12.75" customHeight="1"/>
    <row r="252" spans="1:9" ht="12.75" customHeight="1"/>
    <row r="253" spans="1:9" ht="12.75" customHeight="1">
      <c r="C253" s="2524"/>
      <c r="D253" s="2517"/>
      <c r="E253" s="2501"/>
      <c r="F253" s="2501"/>
      <c r="G253" s="2491"/>
    </row>
    <row r="254" spans="1:9">
      <c r="B254" s="2491"/>
      <c r="C254" s="2513"/>
      <c r="D254" s="2513"/>
    </row>
    <row r="255" spans="1:9">
      <c r="C255" s="2513"/>
      <c r="D255" s="2524"/>
    </row>
    <row r="256" spans="1:9">
      <c r="C256" s="2524"/>
      <c r="D256" s="2524"/>
    </row>
    <row r="257" spans="3:4">
      <c r="D257" s="2524"/>
    </row>
    <row r="258" spans="3:4">
      <c r="D258" s="2524"/>
    </row>
    <row r="259" spans="3:4">
      <c r="C259" s="2524"/>
      <c r="D259" s="2524"/>
    </row>
    <row r="260" spans="3:4">
      <c r="C260" s="2524"/>
      <c r="D260" s="2524"/>
    </row>
    <row r="261" spans="3:4">
      <c r="C261" s="2524"/>
      <c r="D261" s="2524"/>
    </row>
    <row r="262" spans="3:4">
      <c r="D262" s="2524"/>
    </row>
  </sheetData>
  <mergeCells count="4">
    <mergeCell ref="B3:H3"/>
    <mergeCell ref="E4:H4"/>
    <mergeCell ref="A169:H169"/>
    <mergeCell ref="A172:D172"/>
  </mergeCells>
  <printOptions horizontalCentered="1" verticalCentered="1"/>
  <pageMargins left="0.74803149606299213" right="0" top="0.51181102362204722" bottom="0" header="0" footer="0"/>
  <pageSetup paperSize="9" scale="78"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2"/>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N9" sqref="N9"/>
    </sheetView>
  </sheetViews>
  <sheetFormatPr defaultRowHeight="15"/>
  <cols>
    <col min="1" max="1" width="26.5703125" style="1623" customWidth="1"/>
    <col min="2" max="2" width="9.140625" style="1623" customWidth="1"/>
    <col min="3" max="3" width="9.7109375" style="1623" customWidth="1"/>
    <col min="4" max="4" width="9.140625" style="1623"/>
    <col min="5" max="6" width="10" style="1623" customWidth="1"/>
    <col min="7" max="7" width="9.85546875" style="1623" customWidth="1"/>
    <col min="8" max="8" width="10" style="1623" customWidth="1"/>
    <col min="9" max="16384" width="9.140625" style="1623"/>
  </cols>
  <sheetData>
    <row r="1" spans="1:10" ht="17.25">
      <c r="A1" s="1619" t="s">
        <v>3094</v>
      </c>
      <c r="B1" s="1620"/>
      <c r="C1" s="1620"/>
      <c r="D1" s="1620"/>
      <c r="E1" s="1620"/>
      <c r="F1" s="1621"/>
      <c r="G1" s="1621"/>
      <c r="H1" s="1621"/>
      <c r="I1" s="1622"/>
    </row>
    <row r="2" spans="1:10" ht="15.75" thickBot="1">
      <c r="A2" s="1624"/>
      <c r="B2" s="1625"/>
      <c r="C2" s="1625"/>
      <c r="D2" s="1625"/>
      <c r="E2" s="1625"/>
      <c r="F2" s="1624"/>
      <c r="G2" s="1624"/>
      <c r="H2" s="1624"/>
    </row>
    <row r="3" spans="1:10" ht="16.5" thickTop="1" thickBot="1">
      <c r="A3" s="1626" t="s">
        <v>3095</v>
      </c>
      <c r="B3" s="1627">
        <v>2007</v>
      </c>
      <c r="C3" s="1627">
        <v>2008</v>
      </c>
      <c r="D3" s="1627">
        <v>2009</v>
      </c>
      <c r="E3" s="1627">
        <v>2010</v>
      </c>
      <c r="F3" s="1627">
        <v>2011</v>
      </c>
      <c r="G3" s="1627">
        <v>2012</v>
      </c>
      <c r="H3" s="1627">
        <v>2013</v>
      </c>
      <c r="I3" s="1628">
        <v>2014</v>
      </c>
      <c r="J3" s="1628">
        <v>2015</v>
      </c>
    </row>
    <row r="4" spans="1:10" ht="15.75" thickTop="1">
      <c r="A4" s="1629" t="s">
        <v>3096</v>
      </c>
      <c r="B4" s="1630">
        <v>99.733349223137537</v>
      </c>
      <c r="C4" s="1630">
        <v>109.6</v>
      </c>
      <c r="D4" s="1630">
        <v>115.3</v>
      </c>
      <c r="E4" s="1630">
        <v>118.2</v>
      </c>
      <c r="F4" s="1630">
        <v>125.8</v>
      </c>
      <c r="G4" s="1630">
        <v>131.9</v>
      </c>
      <c r="H4" s="1630">
        <v>135.69999999999999</v>
      </c>
      <c r="I4" s="1631">
        <v>107.2</v>
      </c>
      <c r="J4" s="1631">
        <v>107.9</v>
      </c>
    </row>
    <row r="5" spans="1:10">
      <c r="A5" s="1629" t="s">
        <v>3097</v>
      </c>
      <c r="B5" s="1630">
        <v>100.47818379537904</v>
      </c>
      <c r="C5" s="1630">
        <v>110.7</v>
      </c>
      <c r="D5" s="1630">
        <v>115.8</v>
      </c>
      <c r="E5" s="1630">
        <v>118.6</v>
      </c>
      <c r="F5" s="1630">
        <v>126.7</v>
      </c>
      <c r="G5" s="1630">
        <v>131.9</v>
      </c>
      <c r="H5" s="1630">
        <v>136.6</v>
      </c>
      <c r="I5" s="1632">
        <v>108.5</v>
      </c>
      <c r="J5" s="1632">
        <v>110.7</v>
      </c>
    </row>
    <row r="6" spans="1:10" ht="15.75" thickBot="1">
      <c r="A6" s="1629" t="s">
        <v>3098</v>
      </c>
      <c r="B6" s="1630">
        <v>101.37198528206883</v>
      </c>
      <c r="C6" s="1630">
        <v>110.8</v>
      </c>
      <c r="D6" s="1630">
        <v>116.1</v>
      </c>
      <c r="E6" s="1630">
        <v>118.8</v>
      </c>
      <c r="F6" s="1630">
        <v>127.4</v>
      </c>
      <c r="G6" s="1630">
        <v>132.30000000000001</v>
      </c>
      <c r="H6" s="1630">
        <v>137.1</v>
      </c>
      <c r="I6" s="1632">
        <v>107.7</v>
      </c>
      <c r="J6" s="1632">
        <v>110.1</v>
      </c>
    </row>
    <row r="7" spans="1:10" ht="15.75" thickTop="1">
      <c r="A7" s="1629" t="s">
        <v>3099</v>
      </c>
      <c r="B7" s="1630">
        <v>102.41475368320695</v>
      </c>
      <c r="C7" s="1630">
        <v>111.9</v>
      </c>
      <c r="D7" s="1630">
        <v>116.2</v>
      </c>
      <c r="E7" s="1630">
        <v>119.3</v>
      </c>
      <c r="F7" s="1630">
        <v>127.6</v>
      </c>
      <c r="G7" s="1630">
        <v>132.5</v>
      </c>
      <c r="H7" s="1633">
        <v>103.4</v>
      </c>
      <c r="I7" s="1632">
        <v>107.7</v>
      </c>
      <c r="J7" s="1632">
        <v>110</v>
      </c>
    </row>
    <row r="8" spans="1:10">
      <c r="A8" s="1629" t="s">
        <v>3100</v>
      </c>
      <c r="B8" s="1630">
        <v>102.86165442655185</v>
      </c>
      <c r="C8" s="1630">
        <v>113</v>
      </c>
      <c r="D8" s="1630">
        <v>116.2</v>
      </c>
      <c r="E8" s="1630">
        <v>119.1</v>
      </c>
      <c r="F8" s="1630">
        <v>127.6</v>
      </c>
      <c r="G8" s="1630">
        <v>132.5</v>
      </c>
      <c r="H8" s="1630">
        <v>103.3</v>
      </c>
      <c r="I8" s="1632">
        <v>106.8</v>
      </c>
      <c r="J8" s="1632">
        <v>107.3</v>
      </c>
    </row>
    <row r="9" spans="1:10">
      <c r="A9" s="1629" t="s">
        <v>3101</v>
      </c>
      <c r="B9" s="1630">
        <v>103.38303862712091</v>
      </c>
      <c r="C9" s="1630">
        <v>113.4</v>
      </c>
      <c r="D9" s="1630">
        <v>117.1</v>
      </c>
      <c r="E9" s="1630">
        <v>119.9</v>
      </c>
      <c r="F9" s="1630">
        <v>127.8</v>
      </c>
      <c r="G9" s="1630">
        <v>132.80000000000001</v>
      </c>
      <c r="H9" s="1630">
        <v>103.4</v>
      </c>
      <c r="I9" s="1632">
        <v>106.8</v>
      </c>
      <c r="J9" s="1632">
        <v>107.2</v>
      </c>
    </row>
    <row r="10" spans="1:10">
      <c r="A10" s="1629" t="s">
        <v>3102</v>
      </c>
      <c r="B10" s="1630">
        <v>103.7</v>
      </c>
      <c r="C10" s="1630">
        <v>115.6</v>
      </c>
      <c r="D10" s="1630">
        <v>117.8</v>
      </c>
      <c r="E10" s="1630">
        <v>120.2</v>
      </c>
      <c r="F10" s="1630">
        <v>128.19999999999999</v>
      </c>
      <c r="G10" s="1630">
        <v>133</v>
      </c>
      <c r="H10" s="1630">
        <v>103.6</v>
      </c>
      <c r="I10" s="1632">
        <v>106.8</v>
      </c>
      <c r="J10" s="1632">
        <v>107.4</v>
      </c>
    </row>
    <row r="11" spans="1:10">
      <c r="A11" s="1629" t="s">
        <v>3103</v>
      </c>
      <c r="B11" s="1630">
        <v>104.1</v>
      </c>
      <c r="C11" s="1630">
        <v>116.3</v>
      </c>
      <c r="D11" s="1630">
        <v>117.5</v>
      </c>
      <c r="E11" s="1630">
        <v>120.6</v>
      </c>
      <c r="F11" s="1630">
        <v>128.4</v>
      </c>
      <c r="G11" s="1630">
        <v>133.19999999999999</v>
      </c>
      <c r="H11" s="1630">
        <v>103.3</v>
      </c>
      <c r="I11" s="1632">
        <v>107.2</v>
      </c>
      <c r="J11" s="1632"/>
    </row>
    <row r="12" spans="1:10">
      <c r="A12" s="1629" t="s">
        <v>3104</v>
      </c>
      <c r="B12" s="1630">
        <v>105.3</v>
      </c>
      <c r="C12" s="1630">
        <v>116.7</v>
      </c>
      <c r="D12" s="1630">
        <v>117.8</v>
      </c>
      <c r="E12" s="1630">
        <v>120.7</v>
      </c>
      <c r="F12" s="1630">
        <v>128.30000000000001</v>
      </c>
      <c r="G12" s="1630">
        <v>133.30000000000001</v>
      </c>
      <c r="H12" s="1630">
        <v>103.5</v>
      </c>
      <c r="I12" s="1632">
        <v>106.5</v>
      </c>
      <c r="J12" s="1632"/>
    </row>
    <row r="13" spans="1:10">
      <c r="A13" s="1629" t="s">
        <v>3105</v>
      </c>
      <c r="B13" s="1630">
        <v>106.8</v>
      </c>
      <c r="C13" s="1630">
        <v>117.2</v>
      </c>
      <c r="D13" s="1630">
        <v>117.3</v>
      </c>
      <c r="E13" s="1630">
        <v>121</v>
      </c>
      <c r="F13" s="1630">
        <v>128.19999999999999</v>
      </c>
      <c r="G13" s="1630">
        <v>133.6</v>
      </c>
      <c r="H13" s="1630">
        <v>103.9</v>
      </c>
      <c r="I13" s="1632">
        <v>105.9</v>
      </c>
      <c r="J13" s="1632"/>
    </row>
    <row r="14" spans="1:10">
      <c r="A14" s="1629" t="s">
        <v>3106</v>
      </c>
      <c r="B14" s="1630">
        <v>107.6</v>
      </c>
      <c r="C14" s="1630">
        <v>116.5</v>
      </c>
      <c r="D14" s="1630">
        <v>117.3</v>
      </c>
      <c r="E14" s="1630">
        <v>121.9</v>
      </c>
      <c r="F14" s="1630">
        <v>130.4</v>
      </c>
      <c r="G14" s="1630">
        <v>134.4</v>
      </c>
      <c r="H14" s="1630">
        <v>105</v>
      </c>
      <c r="I14" s="1632">
        <v>105.9</v>
      </c>
      <c r="J14" s="1632"/>
    </row>
    <row r="15" spans="1:10">
      <c r="A15" s="1629" t="s">
        <v>3107</v>
      </c>
      <c r="B15" s="1630">
        <v>108.2</v>
      </c>
      <c r="C15" s="1630">
        <v>115.5</v>
      </c>
      <c r="D15" s="1630">
        <v>117.2</v>
      </c>
      <c r="E15" s="1630">
        <v>124.4</v>
      </c>
      <c r="F15" s="1630">
        <v>130.4</v>
      </c>
      <c r="G15" s="1630">
        <v>134.6</v>
      </c>
      <c r="H15" s="1630">
        <v>105.3</v>
      </c>
      <c r="I15" s="1632">
        <v>105.5</v>
      </c>
      <c r="J15" s="1632"/>
    </row>
    <row r="16" spans="1:10" ht="15.75">
      <c r="A16" s="1629"/>
      <c r="B16" s="1630"/>
      <c r="C16" s="1634"/>
      <c r="D16" s="1634"/>
      <c r="E16" s="1634"/>
      <c r="F16" s="1634"/>
      <c r="G16" s="1634"/>
      <c r="H16" s="1634"/>
      <c r="I16" s="1635"/>
      <c r="J16" s="1635"/>
    </row>
    <row r="17" spans="1:10">
      <c r="A17" s="1629" t="s">
        <v>2059</v>
      </c>
      <c r="B17" s="1636">
        <f t="shared" ref="B17:G17" si="0">AVERAGE(B4:B15)</f>
        <v>103.82858041978876</v>
      </c>
      <c r="C17" s="1636">
        <f t="shared" si="0"/>
        <v>113.93333333333334</v>
      </c>
      <c r="D17" s="1636">
        <f t="shared" si="0"/>
        <v>116.8</v>
      </c>
      <c r="E17" s="1636">
        <f t="shared" si="0"/>
        <v>120.22500000000002</v>
      </c>
      <c r="F17" s="1636">
        <f t="shared" si="0"/>
        <v>128.06666666666669</v>
      </c>
      <c r="G17" s="1636">
        <f t="shared" si="0"/>
        <v>133</v>
      </c>
      <c r="H17" s="1636"/>
      <c r="I17" s="1637"/>
      <c r="J17" s="1637"/>
    </row>
    <row r="18" spans="1:10">
      <c r="A18" s="1629"/>
      <c r="B18" s="1636"/>
      <c r="C18" s="1636"/>
      <c r="D18" s="1636"/>
      <c r="E18" s="1636"/>
      <c r="F18" s="1636"/>
      <c r="G18" s="1636"/>
      <c r="H18" s="1636"/>
      <c r="I18" s="1637"/>
      <c r="J18" s="1637"/>
    </row>
    <row r="19" spans="1:10" ht="15.75">
      <c r="A19" s="1638" t="s">
        <v>3108</v>
      </c>
      <c r="B19" s="1636"/>
      <c r="C19" s="1634"/>
      <c r="D19" s="1634"/>
      <c r="E19" s="1634"/>
      <c r="F19" s="1634"/>
      <c r="G19" s="1634"/>
      <c r="H19" s="1634"/>
      <c r="I19" s="1635"/>
      <c r="J19" s="1635"/>
    </row>
    <row r="20" spans="1:10">
      <c r="A20" s="1629" t="s">
        <v>3109</v>
      </c>
      <c r="B20" s="1639" t="s">
        <v>3110</v>
      </c>
      <c r="C20" s="1639" t="s">
        <v>3111</v>
      </c>
      <c r="D20" s="1639" t="s">
        <v>3112</v>
      </c>
      <c r="E20" s="1639" t="s">
        <v>3113</v>
      </c>
      <c r="F20" s="1639" t="s">
        <v>3114</v>
      </c>
      <c r="G20" s="1639" t="s">
        <v>3115</v>
      </c>
      <c r="H20" s="1639" t="s">
        <v>3116</v>
      </c>
      <c r="I20" s="1640" t="s">
        <v>3117</v>
      </c>
      <c r="J20" s="1640" t="s">
        <v>3118</v>
      </c>
    </row>
    <row r="21" spans="1:10" ht="15.75" thickBot="1">
      <c r="A21" s="1641" t="s">
        <v>3119</v>
      </c>
      <c r="B21" s="1642" t="s">
        <v>3120</v>
      </c>
      <c r="C21" s="1642" t="s">
        <v>3121</v>
      </c>
      <c r="D21" s="1642" t="s">
        <v>3122</v>
      </c>
      <c r="E21" s="1642" t="s">
        <v>3123</v>
      </c>
      <c r="F21" s="1642" t="s">
        <v>3124</v>
      </c>
      <c r="G21" s="1642" t="s">
        <v>3125</v>
      </c>
      <c r="H21" s="1642" t="s">
        <v>3126</v>
      </c>
      <c r="I21" s="1643" t="s">
        <v>3127</v>
      </c>
      <c r="J21" s="1643" t="s">
        <v>3128</v>
      </c>
    </row>
    <row r="22" spans="1:10" ht="16.5" thickTop="1">
      <c r="A22" s="1644" t="s">
        <v>3129</v>
      </c>
      <c r="B22" s="1645"/>
      <c r="C22" s="1646"/>
      <c r="D22" s="1646"/>
      <c r="E22" s="1646"/>
      <c r="F22" s="1646"/>
      <c r="G22" s="1647"/>
      <c r="H22" s="1647"/>
      <c r="I22" s="1648"/>
    </row>
    <row r="23" spans="1:10" ht="15.75">
      <c r="A23" s="1644" t="s">
        <v>3130</v>
      </c>
      <c r="B23" s="1645"/>
      <c r="C23" s="1646"/>
      <c r="D23" s="1646"/>
      <c r="E23" s="1646"/>
      <c r="F23" s="1646"/>
      <c r="G23" s="1647"/>
      <c r="H23" s="1647"/>
      <c r="I23" s="1648"/>
    </row>
    <row r="24" spans="1:10" ht="15.75">
      <c r="A24" s="1649" t="s">
        <v>3131</v>
      </c>
      <c r="B24" s="1645"/>
      <c r="C24" s="1646"/>
      <c r="D24" s="1646"/>
      <c r="E24" s="1646"/>
      <c r="F24" s="1646"/>
      <c r="G24" s="1647"/>
      <c r="H24" s="1647"/>
      <c r="I24" s="1648"/>
    </row>
    <row r="25" spans="1:10" ht="15.75">
      <c r="A25" s="1644" t="s">
        <v>3132</v>
      </c>
      <c r="B25" s="1645"/>
      <c r="C25" s="1645"/>
      <c r="D25" s="1646"/>
      <c r="E25" s="1646"/>
      <c r="F25" s="1646"/>
      <c r="G25" s="1647"/>
      <c r="H25" s="1647"/>
      <c r="I25" s="1648"/>
    </row>
    <row r="26" spans="1:10">
      <c r="A26" s="1650" t="s">
        <v>3133</v>
      </c>
      <c r="B26" s="1650"/>
      <c r="C26" s="1650"/>
      <c r="D26" s="1650"/>
      <c r="E26" s="1650"/>
      <c r="F26" s="1650"/>
      <c r="G26" s="1650"/>
      <c r="H26" s="1650"/>
      <c r="I26" s="1648"/>
    </row>
    <row r="27" spans="1:10">
      <c r="A27" s="1650" t="s">
        <v>3134</v>
      </c>
      <c r="B27" s="1650"/>
      <c r="C27" s="1650"/>
      <c r="D27" s="1650"/>
      <c r="E27" s="1650"/>
      <c r="F27" s="1650"/>
      <c r="G27" s="1650"/>
      <c r="H27" s="1650"/>
      <c r="I27" s="1648"/>
    </row>
    <row r="28" spans="1:10">
      <c r="A28" s="1650" t="s">
        <v>3135</v>
      </c>
      <c r="B28" s="1650"/>
      <c r="C28" s="1650"/>
      <c r="D28" s="1650"/>
      <c r="E28" s="1650"/>
      <c r="F28" s="1650"/>
      <c r="G28" s="1650"/>
      <c r="H28" s="1650"/>
      <c r="I28" s="1648"/>
    </row>
    <row r="29" spans="1:10">
      <c r="A29" s="1650" t="s">
        <v>3136</v>
      </c>
      <c r="B29" s="1650"/>
      <c r="C29" s="1650"/>
      <c r="D29" s="1650"/>
      <c r="E29" s="1650"/>
      <c r="F29" s="1650"/>
      <c r="G29" s="1650"/>
      <c r="H29" s="1650"/>
      <c r="I29" s="1648"/>
    </row>
    <row r="30" spans="1:10" ht="15.75">
      <c r="A30" s="1651" t="s">
        <v>3137</v>
      </c>
      <c r="B30" s="1646"/>
      <c r="C30" s="1645"/>
      <c r="D30" s="1646"/>
      <c r="E30" s="1646"/>
      <c r="F30" s="1646"/>
      <c r="G30" s="1647"/>
      <c r="H30" s="1647"/>
      <c r="I30" s="1648"/>
    </row>
    <row r="32" spans="1:10" s="1648" customFormat="1" ht="13.5">
      <c r="A32" s="1652"/>
      <c r="B32" s="1653"/>
      <c r="C32" s="1653"/>
      <c r="D32" s="1653"/>
      <c r="E32" s="1653"/>
      <c r="F32" s="1653"/>
      <c r="G32" s="1653"/>
      <c r="H32" s="1654"/>
    </row>
    <row r="33" spans="1:8" s="1622" customFormat="1" ht="17.25">
      <c r="A33" s="1655" t="s">
        <v>3138</v>
      </c>
      <c r="B33" s="1620"/>
      <c r="C33" s="1620"/>
      <c r="D33" s="1620"/>
      <c r="E33" s="1620"/>
      <c r="F33" s="1656"/>
      <c r="G33" s="1656"/>
      <c r="H33" s="1656"/>
    </row>
    <row r="34" spans="1:8" s="1647" customFormat="1" ht="3.75" customHeight="1">
      <c r="A34" s="1657"/>
      <c r="B34" s="1625"/>
      <c r="C34" s="1625"/>
      <c r="D34" s="1625"/>
      <c r="E34" s="1625"/>
      <c r="F34" s="1658"/>
      <c r="G34" s="1658"/>
      <c r="H34" s="1658"/>
    </row>
    <row r="35" spans="1:8" ht="16.5" thickBot="1">
      <c r="A35" s="1659"/>
      <c r="B35" s="1660"/>
      <c r="C35" s="1661"/>
      <c r="E35" s="1662" t="s">
        <v>3139</v>
      </c>
      <c r="G35" s="1662"/>
      <c r="H35" s="1663"/>
    </row>
    <row r="36" spans="1:8" ht="17.25" thickTop="1" thickBot="1">
      <c r="A36" s="1664" t="s">
        <v>3095</v>
      </c>
      <c r="B36" s="1665" t="s">
        <v>3140</v>
      </c>
      <c r="C36" s="1666" t="s">
        <v>3141</v>
      </c>
      <c r="D36" s="1665" t="s">
        <v>3142</v>
      </c>
      <c r="E36" s="1667" t="s">
        <v>3143</v>
      </c>
      <c r="F36" s="1668"/>
      <c r="G36" s="1668"/>
      <c r="H36" s="1669"/>
    </row>
    <row r="37" spans="1:8" ht="16.5" thickTop="1">
      <c r="A37" s="1670">
        <v>39264</v>
      </c>
      <c r="B37" s="1671">
        <v>10.5</v>
      </c>
      <c r="C37" s="1672">
        <v>7.6</v>
      </c>
      <c r="D37" s="1671">
        <v>6.4</v>
      </c>
      <c r="E37" s="1673">
        <v>7.5</v>
      </c>
      <c r="F37" s="1668"/>
      <c r="G37" s="1668"/>
      <c r="H37" s="1663"/>
    </row>
    <row r="38" spans="1:8" ht="15.75" hidden="1">
      <c r="A38" s="1670">
        <v>39295</v>
      </c>
      <c r="B38" s="1671">
        <v>10.1</v>
      </c>
      <c r="C38" s="1672">
        <v>7</v>
      </c>
      <c r="D38" s="1671">
        <v>6.2</v>
      </c>
      <c r="E38" s="1673">
        <v>7.4</v>
      </c>
      <c r="F38" s="1668"/>
      <c r="G38" s="1668"/>
      <c r="H38" s="1663"/>
    </row>
    <row r="39" spans="1:8" ht="15.75" hidden="1">
      <c r="A39" s="1670">
        <v>39326</v>
      </c>
      <c r="B39" s="1671">
        <v>9.6999999999999993</v>
      </c>
      <c r="C39" s="1672">
        <v>6.4</v>
      </c>
      <c r="D39" s="1671">
        <v>6.2</v>
      </c>
      <c r="E39" s="1673">
        <v>7.2</v>
      </c>
      <c r="F39" s="1668"/>
      <c r="G39" s="1668"/>
      <c r="H39" s="1663"/>
    </row>
    <row r="40" spans="1:8" ht="15.75" hidden="1">
      <c r="A40" s="1670">
        <v>39356</v>
      </c>
      <c r="B40" s="1671">
        <v>9.4</v>
      </c>
      <c r="C40" s="1672">
        <v>5.9</v>
      </c>
      <c r="D40" s="1671">
        <v>6.1</v>
      </c>
      <c r="E40" s="1673">
        <v>7.1</v>
      </c>
      <c r="F40" s="1668"/>
      <c r="G40" s="1668"/>
      <c r="H40" s="1663"/>
    </row>
    <row r="41" spans="1:8" ht="15.75" hidden="1">
      <c r="A41" s="1670">
        <v>39387</v>
      </c>
      <c r="B41" s="1671">
        <v>9.1</v>
      </c>
      <c r="C41" s="1672">
        <v>5.4</v>
      </c>
      <c r="D41" s="1671">
        <v>6</v>
      </c>
      <c r="E41" s="1673">
        <v>7</v>
      </c>
      <c r="F41" s="1668"/>
      <c r="G41" s="1668"/>
      <c r="H41" s="1663"/>
    </row>
    <row r="42" spans="1:8" ht="15.75">
      <c r="A42" s="1670">
        <v>39417</v>
      </c>
      <c r="B42" s="1671">
        <v>8.8000000000000007</v>
      </c>
      <c r="C42" s="1671">
        <v>5</v>
      </c>
      <c r="D42" s="1672">
        <v>5.7</v>
      </c>
      <c r="E42" s="1673">
        <v>7</v>
      </c>
      <c r="F42" s="1668"/>
      <c r="G42" s="1668"/>
      <c r="H42" s="1663"/>
    </row>
    <row r="43" spans="1:8" ht="15.75" hidden="1">
      <c r="A43" s="1670">
        <v>39448</v>
      </c>
      <c r="B43" s="1671">
        <v>8.9</v>
      </c>
      <c r="C43" s="1671">
        <v>5.2</v>
      </c>
      <c r="D43" s="1672">
        <v>5.7</v>
      </c>
      <c r="E43" s="1673">
        <v>7.4</v>
      </c>
      <c r="F43" s="1668"/>
      <c r="G43" s="1668"/>
      <c r="H43" s="1663"/>
    </row>
    <row r="44" spans="1:8" ht="15.75" hidden="1">
      <c r="A44" s="1670">
        <v>39479</v>
      </c>
      <c r="B44" s="1671">
        <v>9</v>
      </c>
      <c r="C44" s="1671">
        <v>5.5</v>
      </c>
      <c r="D44" s="1672">
        <v>5.7</v>
      </c>
      <c r="E44" s="1673">
        <v>7.5</v>
      </c>
      <c r="F44" s="1668"/>
      <c r="G44" s="1668"/>
      <c r="H44" s="1663"/>
    </row>
    <row r="45" spans="1:8" ht="15.75" hidden="1">
      <c r="A45" s="1670">
        <v>39508</v>
      </c>
      <c r="B45" s="1671">
        <v>9</v>
      </c>
      <c r="C45" s="1671">
        <v>5.8</v>
      </c>
      <c r="D45" s="1672">
        <v>5.7</v>
      </c>
      <c r="E45" s="1673">
        <v>7.3</v>
      </c>
      <c r="F45" s="1668"/>
      <c r="G45" s="1668"/>
      <c r="H45" s="1663"/>
    </row>
    <row r="46" spans="1:8" ht="15.75" hidden="1">
      <c r="A46" s="1670">
        <v>39539</v>
      </c>
      <c r="B46" s="1671">
        <v>8.9</v>
      </c>
      <c r="C46" s="1671">
        <v>5.9</v>
      </c>
      <c r="D46" s="1672">
        <v>5.6</v>
      </c>
      <c r="E46" s="1673">
        <v>7</v>
      </c>
      <c r="F46" s="1668"/>
      <c r="G46" s="1668"/>
      <c r="H46" s="1663"/>
    </row>
    <row r="47" spans="1:8" ht="15.75" hidden="1">
      <c r="A47" s="1670">
        <v>39569</v>
      </c>
      <c r="B47" s="1671">
        <v>8.8000000000000007</v>
      </c>
      <c r="C47" s="1671">
        <v>6.2</v>
      </c>
      <c r="D47" s="1672">
        <v>5.6</v>
      </c>
      <c r="E47" s="1673">
        <v>6.7</v>
      </c>
      <c r="F47" s="1668"/>
      <c r="G47" s="1668"/>
      <c r="H47" s="1663"/>
    </row>
    <row r="48" spans="1:8" ht="15.75">
      <c r="A48" s="1670">
        <v>39600</v>
      </c>
      <c r="B48" s="1671">
        <v>8.8000000000000007</v>
      </c>
      <c r="C48" s="1671">
        <v>6.6</v>
      </c>
      <c r="D48" s="1672">
        <v>5.5</v>
      </c>
      <c r="E48" s="1673">
        <v>6.5</v>
      </c>
      <c r="F48" s="1668"/>
      <c r="G48" s="1668"/>
      <c r="H48" s="1663"/>
    </row>
    <row r="49" spans="1:8" ht="15.75" hidden="1">
      <c r="A49" s="1670">
        <v>39630</v>
      </c>
      <c r="B49" s="1671">
        <v>9.1</v>
      </c>
      <c r="C49" s="1671">
        <v>7.2</v>
      </c>
      <c r="D49" s="1672">
        <v>5.7</v>
      </c>
      <c r="E49" s="1673">
        <v>6.2</v>
      </c>
      <c r="F49" s="1668"/>
      <c r="G49" s="1668"/>
      <c r="H49" s="1663"/>
    </row>
    <row r="50" spans="1:8" ht="15.75" hidden="1">
      <c r="A50" s="1670">
        <v>39661</v>
      </c>
      <c r="B50" s="1671">
        <v>9.5</v>
      </c>
      <c r="C50" s="1671">
        <v>7.8</v>
      </c>
      <c r="D50" s="1672">
        <v>5.9</v>
      </c>
      <c r="E50" s="1673">
        <v>5.9</v>
      </c>
      <c r="F50" s="1668"/>
      <c r="G50" s="1668"/>
      <c r="H50" s="1663"/>
    </row>
    <row r="51" spans="1:8" ht="15.75" hidden="1">
      <c r="A51" s="1670">
        <v>39692</v>
      </c>
      <c r="B51" s="1671">
        <v>9.8000000000000007</v>
      </c>
      <c r="C51" s="1671">
        <v>8.3000000000000007</v>
      </c>
      <c r="D51" s="1672">
        <v>6</v>
      </c>
      <c r="E51" s="1673">
        <v>5.5</v>
      </c>
      <c r="F51" s="1668"/>
      <c r="G51" s="1668"/>
      <c r="H51" s="1663"/>
    </row>
    <row r="52" spans="1:8" ht="15.75" hidden="1">
      <c r="A52" s="1670">
        <v>39722</v>
      </c>
      <c r="B52" s="1671">
        <v>9.9</v>
      </c>
      <c r="C52" s="1671">
        <v>8.5</v>
      </c>
      <c r="D52" s="1672">
        <v>6.1</v>
      </c>
      <c r="E52" s="1673">
        <v>5.0999999999999996</v>
      </c>
      <c r="F52" s="1668"/>
      <c r="G52" s="1668"/>
      <c r="H52" s="1663"/>
    </row>
    <row r="53" spans="1:8" ht="15.75" hidden="1">
      <c r="A53" s="1670">
        <v>39753</v>
      </c>
      <c r="B53" s="1671">
        <v>9.9</v>
      </c>
      <c r="C53" s="1671">
        <v>8.6999999999999993</v>
      </c>
      <c r="D53" s="1672">
        <v>6.1</v>
      </c>
      <c r="E53" s="1673">
        <v>4.5999999999999996</v>
      </c>
      <c r="F53" s="1668"/>
      <c r="G53" s="1668"/>
      <c r="H53" s="1663"/>
    </row>
    <row r="54" spans="1:8" ht="15.75">
      <c r="A54" s="1670">
        <v>39783</v>
      </c>
      <c r="B54" s="1671">
        <v>9.6999999999999993</v>
      </c>
      <c r="C54" s="1671">
        <v>8.6999999999999993</v>
      </c>
      <c r="D54" s="1672">
        <v>6.1</v>
      </c>
      <c r="E54" s="1673">
        <v>3.5</v>
      </c>
      <c r="F54" s="1668"/>
      <c r="G54" s="1668"/>
      <c r="H54" s="1663"/>
    </row>
    <row r="55" spans="1:8" ht="15.75" hidden="1">
      <c r="A55" s="1670">
        <v>39814</v>
      </c>
      <c r="B55" s="1671">
        <v>9.3000000000000007</v>
      </c>
      <c r="C55" s="1671">
        <v>8.4</v>
      </c>
      <c r="D55" s="1672">
        <v>6</v>
      </c>
      <c r="E55" s="1673">
        <v>2.2999999999999998</v>
      </c>
      <c r="F55" s="1668"/>
      <c r="G55" s="1668"/>
      <c r="H55" s="1663"/>
    </row>
    <row r="56" spans="1:8" ht="15.75" hidden="1">
      <c r="A56" s="1670">
        <v>39845</v>
      </c>
      <c r="B56" s="1671">
        <v>8.8000000000000007</v>
      </c>
      <c r="C56" s="1671">
        <v>8</v>
      </c>
      <c r="D56" s="1672">
        <v>5.9</v>
      </c>
      <c r="E56" s="1673">
        <v>2.4</v>
      </c>
      <c r="F56" s="1668"/>
      <c r="G56" s="1668"/>
      <c r="H56" s="1663"/>
    </row>
    <row r="57" spans="1:8" ht="15.75" hidden="1">
      <c r="A57" s="1670">
        <v>39873</v>
      </c>
      <c r="B57" s="1671">
        <v>8.5</v>
      </c>
      <c r="C57" s="1671">
        <v>7.6</v>
      </c>
      <c r="D57" s="1672">
        <v>5.8</v>
      </c>
      <c r="E57" s="1673">
        <v>2.5</v>
      </c>
      <c r="F57" s="1668"/>
      <c r="G57" s="1668"/>
      <c r="H57" s="1663"/>
    </row>
    <row r="58" spans="1:8" ht="15.75" hidden="1">
      <c r="A58" s="1670">
        <v>39904</v>
      </c>
      <c r="B58" s="1671">
        <v>8</v>
      </c>
      <c r="C58" s="1671">
        <v>7.1</v>
      </c>
      <c r="D58" s="1672">
        <v>5.7</v>
      </c>
      <c r="E58" s="1673">
        <v>2.6</v>
      </c>
      <c r="F58" s="1668"/>
      <c r="G58" s="1668"/>
      <c r="H58" s="1663"/>
    </row>
    <row r="59" spans="1:8" ht="15.75" hidden="1">
      <c r="A59" s="1670">
        <v>39934</v>
      </c>
      <c r="B59" s="1671">
        <v>7.4</v>
      </c>
      <c r="C59" s="1671">
        <v>6.5</v>
      </c>
      <c r="D59" s="1672">
        <v>5.6</v>
      </c>
      <c r="E59" s="1673">
        <v>2.7</v>
      </c>
      <c r="F59" s="1668"/>
      <c r="G59" s="1668"/>
      <c r="H59" s="1663"/>
    </row>
    <row r="60" spans="1:8" ht="15.75">
      <c r="A60" s="1670">
        <v>39965</v>
      </c>
      <c r="B60" s="1671">
        <v>6.9</v>
      </c>
      <c r="C60" s="1671">
        <v>6.1</v>
      </c>
      <c r="D60" s="1672">
        <v>5.5</v>
      </c>
      <c r="E60" s="1673">
        <v>2.8</v>
      </c>
      <c r="F60" s="1668"/>
      <c r="G60" s="1668"/>
      <c r="H60" s="1663"/>
    </row>
    <row r="61" spans="1:8" ht="15.75" hidden="1">
      <c r="A61" s="1670">
        <v>39995</v>
      </c>
      <c r="B61" s="1671">
        <v>6.1</v>
      </c>
      <c r="C61" s="1671">
        <v>5.5</v>
      </c>
      <c r="D61" s="1672">
        <v>5.4</v>
      </c>
      <c r="E61" s="1673">
        <v>2.8</v>
      </c>
      <c r="F61" s="1668"/>
      <c r="G61" s="1668"/>
      <c r="H61" s="1663"/>
    </row>
    <row r="62" spans="1:8" ht="15.75" hidden="1">
      <c r="A62" s="1670">
        <v>40026</v>
      </c>
      <c r="B62" s="1671">
        <v>5.2</v>
      </c>
      <c r="C62" s="1671">
        <v>4.5999999999999996</v>
      </c>
      <c r="D62" s="1672">
        <v>5.0999999999999996</v>
      </c>
      <c r="E62" s="1673">
        <v>2.7</v>
      </c>
      <c r="F62" s="1668"/>
      <c r="G62" s="1668"/>
      <c r="H62" s="1663"/>
    </row>
    <row r="63" spans="1:8" ht="15.75" hidden="1">
      <c r="A63" s="1670">
        <v>40057</v>
      </c>
      <c r="B63" s="1671">
        <v>4.4000000000000004</v>
      </c>
      <c r="C63" s="1671">
        <v>3.9</v>
      </c>
      <c r="D63" s="1672">
        <v>4.8</v>
      </c>
      <c r="E63" s="1673">
        <v>2.7</v>
      </c>
      <c r="F63" s="1668"/>
      <c r="G63" s="1668"/>
      <c r="H63" s="1663"/>
    </row>
    <row r="64" spans="1:8" ht="15.75" hidden="1">
      <c r="A64" s="1670">
        <v>40087</v>
      </c>
      <c r="B64" s="1671">
        <v>3.6</v>
      </c>
      <c r="C64" s="1671">
        <v>3.2</v>
      </c>
      <c r="D64" s="1672">
        <v>4.5</v>
      </c>
      <c r="E64" s="1673">
        <v>2.7</v>
      </c>
      <c r="F64" s="1668"/>
      <c r="G64" s="1668"/>
      <c r="H64" s="1663"/>
    </row>
    <row r="65" spans="1:8" ht="15.75" hidden="1">
      <c r="A65" s="1670">
        <v>40118</v>
      </c>
      <c r="B65" s="1671">
        <v>2.9</v>
      </c>
      <c r="C65" s="1671">
        <v>2.7</v>
      </c>
      <c r="D65" s="1672">
        <v>4.0999999999999996</v>
      </c>
      <c r="E65" s="1673">
        <v>2.7</v>
      </c>
      <c r="F65" s="1668"/>
      <c r="G65" s="1668"/>
      <c r="H65" s="1663"/>
    </row>
    <row r="66" spans="1:8" ht="15.75">
      <c r="A66" s="1670">
        <v>40148</v>
      </c>
      <c r="B66" s="1671">
        <v>2.5</v>
      </c>
      <c r="C66" s="1671">
        <v>2.4</v>
      </c>
      <c r="D66" s="1672">
        <v>3.8</v>
      </c>
      <c r="E66" s="1673">
        <v>2.4</v>
      </c>
      <c r="F66" s="1668"/>
      <c r="G66" s="1668"/>
      <c r="H66" s="1663"/>
    </row>
    <row r="67" spans="1:8" ht="15.75" hidden="1">
      <c r="A67" s="1670">
        <v>40179</v>
      </c>
      <c r="B67" s="1671">
        <v>2.2999999999999998</v>
      </c>
      <c r="C67" s="1671">
        <v>2.4</v>
      </c>
      <c r="D67" s="1672">
        <v>3.6</v>
      </c>
      <c r="E67" s="1673">
        <v>2.6</v>
      </c>
      <c r="F67" s="1668"/>
      <c r="G67" s="1668"/>
      <c r="H67" s="1663"/>
    </row>
    <row r="68" spans="1:8" ht="15.75" hidden="1">
      <c r="A68" s="1670">
        <v>40210</v>
      </c>
      <c r="B68" s="1671">
        <v>2.1</v>
      </c>
      <c r="C68" s="1671">
        <v>2.2999999999999998</v>
      </c>
      <c r="D68" s="1672">
        <v>3.4</v>
      </c>
      <c r="E68" s="1673">
        <v>2.5</v>
      </c>
      <c r="F68" s="1668"/>
      <c r="G68" s="1668"/>
      <c r="H68" s="1663"/>
    </row>
    <row r="69" spans="1:8" ht="15.75" hidden="1">
      <c r="A69" s="1670">
        <v>40238</v>
      </c>
      <c r="B69" s="1671">
        <v>1.9</v>
      </c>
      <c r="C69" s="1671">
        <v>2.2000000000000002</v>
      </c>
      <c r="D69" s="1672">
        <v>3.2</v>
      </c>
      <c r="E69" s="1673">
        <v>2.2999999999999998</v>
      </c>
      <c r="F69" s="1668"/>
      <c r="G69" s="1668"/>
      <c r="H69" s="1663"/>
    </row>
    <row r="70" spans="1:8" ht="15.75" hidden="1">
      <c r="A70" s="1670">
        <v>40269</v>
      </c>
      <c r="B70" s="1671">
        <v>1.8</v>
      </c>
      <c r="C70" s="1671">
        <v>2.2000000000000002</v>
      </c>
      <c r="D70" s="1672">
        <v>3</v>
      </c>
      <c r="E70" s="1673">
        <v>2.2000000000000002</v>
      </c>
      <c r="F70" s="1668"/>
      <c r="G70" s="1668"/>
      <c r="H70" s="1663"/>
    </row>
    <row r="71" spans="1:8" ht="15.75" hidden="1">
      <c r="A71" s="1670">
        <v>40299</v>
      </c>
      <c r="B71" s="1671">
        <v>1.8</v>
      </c>
      <c r="C71" s="1671">
        <v>2.2000000000000002</v>
      </c>
      <c r="D71" s="1672">
        <v>2.8</v>
      </c>
      <c r="E71" s="1673">
        <v>2.2000000000000002</v>
      </c>
      <c r="F71" s="1668"/>
      <c r="G71" s="1668"/>
      <c r="H71" s="1663"/>
    </row>
    <row r="72" spans="1:8" ht="15.75">
      <c r="A72" s="1670">
        <v>40330</v>
      </c>
      <c r="B72" s="1671">
        <v>1.7</v>
      </c>
      <c r="C72" s="1671">
        <v>2.2000000000000002</v>
      </c>
      <c r="D72" s="1672">
        <v>2.6</v>
      </c>
      <c r="E72" s="1673">
        <v>2.1</v>
      </c>
      <c r="F72" s="1668"/>
      <c r="G72" s="1668"/>
      <c r="H72" s="1663"/>
    </row>
    <row r="73" spans="1:8" ht="15.75" hidden="1">
      <c r="A73" s="1670">
        <v>40360</v>
      </c>
      <c r="B73" s="1671">
        <v>1.8</v>
      </c>
      <c r="C73" s="1671">
        <v>2.2000000000000002</v>
      </c>
      <c r="D73" s="1672">
        <v>2.5</v>
      </c>
      <c r="E73" s="1673">
        <v>2.1</v>
      </c>
      <c r="F73" s="1668"/>
      <c r="G73" s="1668"/>
      <c r="H73" s="1663"/>
    </row>
    <row r="74" spans="1:8" ht="15.75" hidden="1">
      <c r="A74" s="1670">
        <v>40391</v>
      </c>
      <c r="B74" s="1671">
        <v>1.9</v>
      </c>
      <c r="C74" s="1671">
        <v>2.4</v>
      </c>
      <c r="D74" s="1672">
        <v>2.5</v>
      </c>
      <c r="E74" s="1673">
        <v>2.1</v>
      </c>
      <c r="F74" s="1668"/>
      <c r="G74" s="1668"/>
      <c r="H74" s="1663"/>
    </row>
    <row r="75" spans="1:8" ht="15.75" hidden="1">
      <c r="A75" s="1670">
        <v>40422</v>
      </c>
      <c r="B75" s="1671">
        <v>2</v>
      </c>
      <c r="C75" s="1671">
        <v>2.4</v>
      </c>
      <c r="D75" s="1672">
        <v>2.5</v>
      </c>
      <c r="E75" s="1673">
        <v>2.2000000000000002</v>
      </c>
      <c r="F75" s="1668"/>
      <c r="G75" s="1668"/>
      <c r="H75" s="1663"/>
    </row>
    <row r="76" spans="1:8" ht="15.75" hidden="1">
      <c r="A76" s="1670">
        <v>40452</v>
      </c>
      <c r="B76" s="1671">
        <v>2.2999999999999998</v>
      </c>
      <c r="C76" s="1671">
        <v>2.7</v>
      </c>
      <c r="D76" s="1672">
        <v>2.5</v>
      </c>
      <c r="E76" s="1673">
        <v>2.4</v>
      </c>
      <c r="F76" s="1668"/>
      <c r="G76" s="1668"/>
      <c r="H76" s="1663"/>
    </row>
    <row r="77" spans="1:8" ht="15.75" hidden="1">
      <c r="A77" s="1670">
        <v>40483</v>
      </c>
      <c r="B77" s="1671">
        <v>2.5</v>
      </c>
      <c r="C77" s="1671">
        <v>2.9</v>
      </c>
      <c r="D77" s="1672">
        <v>2.6</v>
      </c>
      <c r="E77" s="1673">
        <v>2.6</v>
      </c>
      <c r="F77" s="1668"/>
      <c r="G77" s="1668"/>
      <c r="H77" s="1663"/>
    </row>
    <row r="78" spans="1:8" ht="15.75">
      <c r="A78" s="1670">
        <v>40513</v>
      </c>
      <c r="B78" s="1671">
        <v>2.9</v>
      </c>
      <c r="C78" s="1671">
        <v>3.2</v>
      </c>
      <c r="D78" s="1672">
        <v>2.8</v>
      </c>
      <c r="E78" s="1673">
        <v>2.9</v>
      </c>
      <c r="F78" s="1668"/>
      <c r="G78" s="1668"/>
      <c r="H78" s="1663"/>
    </row>
    <row r="79" spans="1:8" ht="15.75" hidden="1">
      <c r="A79" s="1670">
        <v>40544</v>
      </c>
      <c r="B79" s="1671">
        <v>3.3</v>
      </c>
      <c r="C79" s="1671">
        <v>3.4</v>
      </c>
      <c r="D79" s="1672">
        <v>3</v>
      </c>
      <c r="E79" s="1673">
        <v>3.1</v>
      </c>
      <c r="F79" s="1668"/>
      <c r="G79" s="1668"/>
      <c r="H79" s="1663"/>
    </row>
    <row r="80" spans="1:8" ht="15.75" hidden="1">
      <c r="A80" s="1670">
        <v>40575</v>
      </c>
      <c r="B80" s="1671">
        <v>3.6</v>
      </c>
      <c r="C80" s="1671">
        <v>3.7</v>
      </c>
      <c r="D80" s="1672">
        <v>3.2</v>
      </c>
      <c r="E80" s="1673">
        <v>3.5</v>
      </c>
      <c r="F80" s="1668"/>
      <c r="G80" s="1668"/>
      <c r="H80" s="1663"/>
    </row>
    <row r="81" spans="1:8" ht="15.75" hidden="1">
      <c r="A81" s="1670">
        <v>40603</v>
      </c>
      <c r="B81" s="1671">
        <v>4</v>
      </c>
      <c r="C81" s="1671">
        <v>4</v>
      </c>
      <c r="D81" s="1672">
        <v>3.5</v>
      </c>
      <c r="E81" s="1673">
        <v>3.8</v>
      </c>
      <c r="F81" s="1668"/>
      <c r="G81" s="1668"/>
      <c r="H81" s="1663"/>
    </row>
    <row r="82" spans="1:8" ht="15.75" hidden="1">
      <c r="A82" s="1670">
        <v>40634</v>
      </c>
      <c r="B82" s="1671">
        <v>4.4000000000000004</v>
      </c>
      <c r="C82" s="1671">
        <v>4.3</v>
      </c>
      <c r="D82" s="1672">
        <v>3.8</v>
      </c>
      <c r="E82" s="1673">
        <v>4.0999999999999996</v>
      </c>
      <c r="F82" s="1668"/>
      <c r="G82" s="1668"/>
      <c r="H82" s="1663"/>
    </row>
    <row r="83" spans="1:8" ht="15.75" hidden="1">
      <c r="A83" s="1670">
        <v>40664</v>
      </c>
      <c r="B83" s="1671">
        <v>4.8</v>
      </c>
      <c r="C83" s="1671">
        <v>4.5999999999999996</v>
      </c>
      <c r="D83" s="1672">
        <v>4.0999999999999996</v>
      </c>
      <c r="E83" s="1673">
        <v>4.4000000000000004</v>
      </c>
      <c r="F83" s="1668"/>
      <c r="G83" s="1668"/>
      <c r="H83" s="1663"/>
    </row>
    <row r="84" spans="1:8" ht="15.75">
      <c r="A84" s="1670">
        <v>40695</v>
      </c>
      <c r="B84" s="1671">
        <v>5.0999999999999996</v>
      </c>
      <c r="C84" s="1671">
        <v>4.8</v>
      </c>
      <c r="D84" s="1672">
        <v>4.3</v>
      </c>
      <c r="E84" s="1673">
        <v>4.7</v>
      </c>
      <c r="F84" s="1668"/>
      <c r="G84" s="1668"/>
      <c r="H84" s="1663"/>
    </row>
    <row r="85" spans="1:8" ht="15.75" hidden="1">
      <c r="A85" s="1670">
        <v>40725</v>
      </c>
      <c r="B85" s="1671">
        <v>5.5</v>
      </c>
      <c r="C85" s="1671">
        <v>5.2</v>
      </c>
      <c r="D85" s="1672">
        <v>4.5</v>
      </c>
      <c r="E85" s="1673">
        <v>5</v>
      </c>
      <c r="F85" s="1668"/>
      <c r="G85" s="1668"/>
      <c r="H85" s="1663"/>
    </row>
    <row r="86" spans="1:8" ht="15.75" hidden="1">
      <c r="A86" s="1670">
        <v>40756</v>
      </c>
      <c r="B86" s="1671">
        <v>5.8</v>
      </c>
      <c r="C86" s="1671">
        <v>5.5</v>
      </c>
      <c r="D86" s="1672">
        <v>4.7</v>
      </c>
      <c r="E86" s="1673">
        <v>5.0999999999999996</v>
      </c>
      <c r="F86" s="1668"/>
      <c r="G86" s="1668"/>
      <c r="H86" s="1663"/>
    </row>
    <row r="87" spans="1:8" ht="15.75" hidden="1">
      <c r="A87" s="1670">
        <v>40787</v>
      </c>
      <c r="B87" s="1671">
        <v>6.2</v>
      </c>
      <c r="C87" s="1671">
        <v>5.8</v>
      </c>
      <c r="D87" s="1672">
        <v>4.8</v>
      </c>
      <c r="E87" s="1673">
        <v>5.3</v>
      </c>
      <c r="F87" s="1668"/>
      <c r="G87" s="1668"/>
      <c r="H87" s="1663"/>
    </row>
    <row r="88" spans="1:8" ht="15.75" hidden="1">
      <c r="A88" s="1670">
        <v>40817</v>
      </c>
      <c r="B88" s="1671">
        <v>6.4</v>
      </c>
      <c r="C88" s="1671">
        <v>5.9</v>
      </c>
      <c r="D88" s="1672">
        <v>4.8</v>
      </c>
      <c r="E88" s="1673">
        <v>5.4</v>
      </c>
      <c r="F88" s="1668"/>
      <c r="G88" s="1668"/>
      <c r="H88" s="1663"/>
    </row>
    <row r="89" spans="1:8" ht="15.75" hidden="1">
      <c r="A89" s="1670">
        <v>40848</v>
      </c>
      <c r="B89" s="1671">
        <v>6.6</v>
      </c>
      <c r="C89" s="1671">
        <v>6.1</v>
      </c>
      <c r="D89" s="1672">
        <v>4.9000000000000004</v>
      </c>
      <c r="E89" s="1673">
        <v>5.5</v>
      </c>
      <c r="F89" s="1668"/>
      <c r="G89" s="1668"/>
      <c r="H89" s="1663"/>
    </row>
    <row r="90" spans="1:8" ht="15.75">
      <c r="A90" s="1670">
        <v>40878</v>
      </c>
      <c r="B90" s="1671">
        <v>6.5</v>
      </c>
      <c r="C90" s="1671">
        <v>6</v>
      </c>
      <c r="D90" s="1672">
        <v>4.8</v>
      </c>
      <c r="E90" s="1673">
        <v>5.3</v>
      </c>
      <c r="F90" s="1668"/>
      <c r="G90" s="1668"/>
      <c r="H90" s="1663"/>
    </row>
    <row r="91" spans="1:8" ht="15.75" hidden="1">
      <c r="A91" s="1670">
        <v>40909</v>
      </c>
      <c r="B91" s="1671">
        <v>6.4</v>
      </c>
      <c r="C91" s="1671">
        <v>5.8</v>
      </c>
      <c r="D91" s="1672">
        <v>4.5999999999999996</v>
      </c>
      <c r="E91" s="1673">
        <v>5</v>
      </c>
      <c r="F91" s="1668"/>
      <c r="G91" s="1668"/>
      <c r="H91" s="1663"/>
    </row>
    <row r="92" spans="1:8" ht="15.75" hidden="1">
      <c r="A92" s="1670">
        <v>40940</v>
      </c>
      <c r="B92" s="1671">
        <v>6.2</v>
      </c>
      <c r="C92" s="1671">
        <v>5.6</v>
      </c>
      <c r="D92" s="1672">
        <v>4.5</v>
      </c>
      <c r="E92" s="1673">
        <v>4.7</v>
      </c>
      <c r="F92" s="1668"/>
      <c r="G92" s="1668"/>
      <c r="H92" s="1663"/>
    </row>
    <row r="93" spans="1:8" ht="15.75" hidden="1">
      <c r="A93" s="1670">
        <v>40969</v>
      </c>
      <c r="B93" s="1671">
        <v>5.9</v>
      </c>
      <c r="C93" s="1671">
        <v>5.3</v>
      </c>
      <c r="D93" s="1672">
        <v>4.3</v>
      </c>
      <c r="E93" s="1673">
        <v>4.4000000000000004</v>
      </c>
      <c r="F93" s="1668"/>
      <c r="G93" s="1668"/>
      <c r="H93" s="1663"/>
    </row>
    <row r="94" spans="1:8" ht="15.75" hidden="1">
      <c r="A94" s="1670">
        <v>41000</v>
      </c>
      <c r="B94" s="1671">
        <v>5.6</v>
      </c>
      <c r="C94" s="1671">
        <v>5</v>
      </c>
      <c r="D94" s="1672">
        <v>4.0999999999999996</v>
      </c>
      <c r="E94" s="1673">
        <v>4.0999999999999996</v>
      </c>
      <c r="F94" s="1668"/>
      <c r="G94" s="1668"/>
      <c r="H94" s="1663"/>
    </row>
    <row r="95" spans="1:8" ht="15.75" hidden="1">
      <c r="A95" s="1670">
        <v>41030</v>
      </c>
      <c r="B95" s="1671">
        <v>5.3</v>
      </c>
      <c r="C95" s="1671">
        <v>4.5999999999999996</v>
      </c>
      <c r="D95" s="1672">
        <v>3.8</v>
      </c>
      <c r="E95" s="1673">
        <v>3.8</v>
      </c>
      <c r="F95" s="1668"/>
      <c r="G95" s="1668"/>
      <c r="H95" s="1663"/>
    </row>
    <row r="96" spans="1:8" ht="15.75">
      <c r="A96" s="1670">
        <v>41061</v>
      </c>
      <c r="B96" s="1671">
        <v>5.0999999999999996</v>
      </c>
      <c r="C96" s="1671">
        <v>4.4000000000000004</v>
      </c>
      <c r="D96" s="1672">
        <v>3.6</v>
      </c>
      <c r="E96" s="1673">
        <v>3.6</v>
      </c>
      <c r="F96" s="1668"/>
      <c r="G96" s="1668"/>
      <c r="H96" s="1663"/>
    </row>
    <row r="97" spans="1:8" ht="15.75" hidden="1">
      <c r="A97" s="1670">
        <v>41091</v>
      </c>
      <c r="B97" s="1671">
        <v>4.9000000000000004</v>
      </c>
      <c r="C97" s="1671">
        <v>4.0999999999999996</v>
      </c>
      <c r="D97" s="1672">
        <v>3.4</v>
      </c>
      <c r="E97" s="1673">
        <v>3.3</v>
      </c>
      <c r="F97" s="1668"/>
      <c r="G97" s="1668"/>
      <c r="H97" s="1663"/>
    </row>
    <row r="98" spans="1:8" ht="15.75" hidden="1">
      <c r="A98" s="1670">
        <v>41122</v>
      </c>
      <c r="B98" s="1671">
        <v>4.5999999999999996</v>
      </c>
      <c r="C98" s="1671">
        <v>3.9</v>
      </c>
      <c r="D98" s="1672">
        <v>3.2</v>
      </c>
      <c r="E98" s="1673">
        <v>3.1</v>
      </c>
      <c r="F98" s="1668"/>
      <c r="G98" s="1668"/>
      <c r="H98" s="1663"/>
    </row>
    <row r="99" spans="1:8" ht="15.75" hidden="1">
      <c r="A99" s="1670">
        <v>41153</v>
      </c>
      <c r="B99" s="1671">
        <v>4.4000000000000004</v>
      </c>
      <c r="C99" s="1671">
        <v>3.7</v>
      </c>
      <c r="D99" s="1672">
        <v>3.2</v>
      </c>
      <c r="E99" s="1673">
        <v>2.9</v>
      </c>
      <c r="F99" s="1668"/>
      <c r="G99" s="1668"/>
      <c r="H99" s="1663"/>
    </row>
    <row r="100" spans="1:8" ht="15.75" hidden="1">
      <c r="A100" s="1670">
        <v>41183</v>
      </c>
      <c r="B100" s="1671">
        <v>4.3</v>
      </c>
      <c r="C100" s="1671">
        <v>3.6</v>
      </c>
      <c r="D100" s="1672">
        <v>3.1</v>
      </c>
      <c r="E100" s="1673">
        <v>2.8</v>
      </c>
      <c r="F100" s="1668"/>
      <c r="G100" s="1668"/>
      <c r="H100" s="1663"/>
    </row>
    <row r="101" spans="1:8" ht="15.75" hidden="1">
      <c r="A101" s="1670">
        <v>41214</v>
      </c>
      <c r="B101" s="1671">
        <v>4</v>
      </c>
      <c r="C101" s="1671">
        <v>3.4</v>
      </c>
      <c r="D101" s="1672">
        <v>3.1</v>
      </c>
      <c r="E101" s="1673">
        <v>2.6</v>
      </c>
      <c r="F101" s="1668"/>
      <c r="G101" s="1668"/>
      <c r="H101" s="1663"/>
    </row>
    <row r="102" spans="1:8" ht="15.75">
      <c r="A102" s="1670">
        <v>41244</v>
      </c>
      <c r="B102" s="1671">
        <v>3.9</v>
      </c>
      <c r="C102" s="1671">
        <v>3.3</v>
      </c>
      <c r="D102" s="1672">
        <v>3</v>
      </c>
      <c r="E102" s="1673">
        <v>2.5</v>
      </c>
      <c r="F102" s="1668"/>
      <c r="G102" s="1668"/>
      <c r="H102" s="1663"/>
    </row>
    <row r="103" spans="1:8" ht="15.75" hidden="1">
      <c r="A103" s="1670">
        <v>41275</v>
      </c>
      <c r="B103" s="1671">
        <v>3.7</v>
      </c>
      <c r="C103" s="1671">
        <v>3.2</v>
      </c>
      <c r="D103" s="1672">
        <v>3</v>
      </c>
      <c r="E103" s="1673">
        <v>2.4</v>
      </c>
      <c r="F103" s="1668"/>
      <c r="G103" s="1668"/>
      <c r="H103" s="1663"/>
    </row>
    <row r="104" spans="1:8" ht="15.75" hidden="1">
      <c r="A104" s="1670">
        <v>41306</v>
      </c>
      <c r="B104" s="1671">
        <v>3.6</v>
      </c>
      <c r="C104" s="1671">
        <v>3</v>
      </c>
      <c r="D104" s="1672">
        <v>2.9</v>
      </c>
      <c r="E104" s="1673">
        <v>2.4</v>
      </c>
      <c r="F104" s="1668"/>
      <c r="G104" s="1668"/>
      <c r="H104" s="1663"/>
    </row>
    <row r="105" spans="1:8" ht="15.75" hidden="1">
      <c r="A105" s="1670">
        <v>41334</v>
      </c>
      <c r="B105" s="1671">
        <v>3.6</v>
      </c>
      <c r="C105" s="1671">
        <v>3</v>
      </c>
      <c r="D105" s="1672">
        <v>2.9</v>
      </c>
      <c r="E105" s="1673">
        <v>2.4</v>
      </c>
      <c r="F105" s="1668"/>
      <c r="G105" s="1668"/>
      <c r="H105" s="1663"/>
    </row>
    <row r="106" spans="1:8" ht="15.75" hidden="1">
      <c r="A106" s="1670">
        <v>41365</v>
      </c>
      <c r="B106" s="1671">
        <v>3.6</v>
      </c>
      <c r="C106" s="1671">
        <v>2.9</v>
      </c>
      <c r="D106" s="1672">
        <v>2.8</v>
      </c>
      <c r="E106" s="1673">
        <v>2.5</v>
      </c>
      <c r="F106" s="1668"/>
      <c r="G106" s="1668"/>
      <c r="H106" s="1663"/>
    </row>
    <row r="107" spans="1:8" ht="15.75" hidden="1">
      <c r="A107" s="1670">
        <v>41395</v>
      </c>
      <c r="B107" s="1671">
        <v>3.6</v>
      </c>
      <c r="C107" s="1671">
        <v>2.9</v>
      </c>
      <c r="D107" s="1672">
        <v>2.8</v>
      </c>
      <c r="E107" s="1673">
        <v>2.5</v>
      </c>
      <c r="F107" s="1668"/>
      <c r="G107" s="1668"/>
      <c r="H107" s="1663"/>
    </row>
    <row r="108" spans="1:8" ht="15.75">
      <c r="A108" s="1670">
        <v>41426</v>
      </c>
      <c r="B108" s="1671">
        <v>3.6</v>
      </c>
      <c r="C108" s="1671">
        <v>2.8</v>
      </c>
      <c r="D108" s="1672">
        <v>2.8</v>
      </c>
      <c r="E108" s="1673">
        <v>2.5</v>
      </c>
      <c r="F108" s="1668"/>
      <c r="G108" s="1668"/>
      <c r="H108" s="1663"/>
    </row>
    <row r="109" spans="1:8" ht="15.75" hidden="1">
      <c r="A109" s="1670">
        <v>41456</v>
      </c>
      <c r="B109" s="1671">
        <v>3.6</v>
      </c>
      <c r="C109" s="1671">
        <v>2.8</v>
      </c>
      <c r="D109" s="1672">
        <v>2.8</v>
      </c>
      <c r="E109" s="1673">
        <v>2.6</v>
      </c>
      <c r="F109" s="1668"/>
      <c r="G109" s="1668"/>
      <c r="H109" s="1663"/>
    </row>
    <row r="110" spans="1:8" ht="15.75" hidden="1">
      <c r="A110" s="1670">
        <v>41487</v>
      </c>
      <c r="B110" s="1671">
        <v>3.5</v>
      </c>
      <c r="C110" s="1671">
        <v>2.8</v>
      </c>
      <c r="D110" s="1672">
        <v>2.7</v>
      </c>
      <c r="E110" s="1673">
        <v>2.6</v>
      </c>
      <c r="F110" s="1668"/>
      <c r="G110" s="1668"/>
      <c r="H110" s="1663"/>
    </row>
    <row r="111" spans="1:8" ht="15.75" hidden="1">
      <c r="A111" s="1670">
        <v>41518</v>
      </c>
      <c r="B111" s="1671">
        <v>3.5</v>
      </c>
      <c r="C111" s="1671">
        <v>2.7</v>
      </c>
      <c r="D111" s="1672">
        <v>2.7</v>
      </c>
      <c r="E111" s="1673">
        <v>2.7</v>
      </c>
      <c r="F111" s="1668"/>
      <c r="G111" s="1668"/>
      <c r="H111" s="1663"/>
    </row>
    <row r="112" spans="1:8" ht="15.75" hidden="1">
      <c r="A112" s="1670">
        <v>41548</v>
      </c>
      <c r="B112" s="1671">
        <v>3.4</v>
      </c>
      <c r="C112" s="1671">
        <v>2.6</v>
      </c>
      <c r="D112" s="1672">
        <v>2.6</v>
      </c>
      <c r="E112" s="1673">
        <v>2.7</v>
      </c>
      <c r="F112" s="1668"/>
      <c r="G112" s="1668"/>
      <c r="H112" s="1663"/>
    </row>
    <row r="113" spans="1:8" ht="15.75" hidden="1">
      <c r="A113" s="1670">
        <v>41579</v>
      </c>
      <c r="B113" s="1671">
        <v>3.5</v>
      </c>
      <c r="C113" s="1671">
        <v>2.6</v>
      </c>
      <c r="D113" s="1672">
        <v>2.5</v>
      </c>
      <c r="E113" s="1673">
        <v>2.8</v>
      </c>
      <c r="F113" s="1668"/>
      <c r="G113" s="1668"/>
      <c r="H113" s="1663"/>
    </row>
    <row r="114" spans="1:8" ht="15.75">
      <c r="A114" s="1670">
        <v>41609</v>
      </c>
      <c r="B114" s="1671">
        <v>3.5</v>
      </c>
      <c r="C114" s="1671">
        <v>2.6</v>
      </c>
      <c r="D114" s="1672">
        <v>2.6</v>
      </c>
      <c r="E114" s="1673">
        <v>2.9</v>
      </c>
      <c r="F114" s="1668"/>
      <c r="G114" s="1668"/>
      <c r="H114" s="1663"/>
    </row>
    <row r="115" spans="1:8" ht="15.75" hidden="1">
      <c r="A115" s="1670">
        <v>41640</v>
      </c>
      <c r="B115" s="1671">
        <v>3.7</v>
      </c>
      <c r="C115" s="1671">
        <v>2.8</v>
      </c>
      <c r="D115" s="1672">
        <v>2.6</v>
      </c>
      <c r="E115" s="1673">
        <v>3.1</v>
      </c>
      <c r="F115" s="1668"/>
      <c r="G115" s="1668"/>
      <c r="H115" s="1663"/>
    </row>
    <row r="116" spans="1:8" ht="15.75" hidden="1">
      <c r="A116" s="1670">
        <v>41671</v>
      </c>
      <c r="B116" s="1671">
        <v>3.9</v>
      </c>
      <c r="C116" s="1671">
        <v>2.9</v>
      </c>
      <c r="D116" s="1672">
        <v>2.7</v>
      </c>
      <c r="E116" s="1673">
        <v>3.2</v>
      </c>
      <c r="F116" s="1668"/>
      <c r="G116" s="1668"/>
      <c r="H116" s="1663"/>
    </row>
    <row r="117" spans="1:8" ht="15.75" hidden="1">
      <c r="A117" s="1670">
        <v>41699</v>
      </c>
      <c r="B117" s="1671">
        <v>4</v>
      </c>
      <c r="C117" s="1671">
        <v>2.9</v>
      </c>
      <c r="D117" s="1672">
        <v>2.7</v>
      </c>
      <c r="E117" s="1673">
        <v>3.3</v>
      </c>
      <c r="F117" s="1668"/>
      <c r="G117" s="1668"/>
      <c r="H117" s="1663"/>
    </row>
    <row r="118" spans="1:8" ht="15.75" hidden="1">
      <c r="A118" s="1670">
        <v>41730</v>
      </c>
      <c r="B118" s="1671">
        <v>4</v>
      </c>
      <c r="C118" s="1671">
        <v>2.9</v>
      </c>
      <c r="D118" s="1672">
        <v>2.8</v>
      </c>
      <c r="E118" s="1673">
        <v>3.2</v>
      </c>
      <c r="F118" s="1668"/>
      <c r="G118" s="1668"/>
      <c r="H118" s="1663"/>
    </row>
    <row r="119" spans="1:8" ht="15.75" hidden="1">
      <c r="A119" s="1670">
        <v>41760</v>
      </c>
      <c r="B119" s="1671">
        <v>4</v>
      </c>
      <c r="C119" s="1671">
        <v>2.9</v>
      </c>
      <c r="D119" s="1672">
        <v>2.9</v>
      </c>
      <c r="E119" s="1673">
        <v>3.2</v>
      </c>
      <c r="F119" s="1668"/>
      <c r="G119" s="1668"/>
      <c r="H119" s="1663"/>
    </row>
    <row r="120" spans="1:8" ht="15.75">
      <c r="A120" s="1670">
        <v>41791</v>
      </c>
      <c r="B120" s="1671">
        <v>4</v>
      </c>
      <c r="C120" s="1671">
        <v>2.9</v>
      </c>
      <c r="D120" s="1672">
        <v>2.9</v>
      </c>
      <c r="E120" s="1673">
        <v>3.2</v>
      </c>
      <c r="F120" s="1668"/>
      <c r="G120" s="1668"/>
      <c r="H120" s="1663"/>
    </row>
    <row r="121" spans="1:8" ht="15.75">
      <c r="A121" s="1670">
        <v>41821</v>
      </c>
      <c r="B121" s="1671">
        <v>3.9</v>
      </c>
      <c r="C121" s="1671">
        <v>2.9</v>
      </c>
      <c r="D121" s="1672">
        <v>3</v>
      </c>
      <c r="E121" s="1673">
        <v>3.1</v>
      </c>
      <c r="F121" s="1668"/>
      <c r="G121" s="1668"/>
      <c r="H121" s="1663"/>
    </row>
    <row r="122" spans="1:8" ht="15.75">
      <c r="A122" s="1670">
        <v>41852</v>
      </c>
      <c r="B122" s="1671">
        <v>4</v>
      </c>
      <c r="C122" s="1671">
        <v>2.9</v>
      </c>
      <c r="D122" s="1672">
        <v>3.1</v>
      </c>
      <c r="E122" s="1673">
        <v>3.1</v>
      </c>
      <c r="F122" s="1668"/>
      <c r="G122" s="1668"/>
      <c r="H122" s="1663"/>
    </row>
    <row r="123" spans="1:8" ht="15.75">
      <c r="A123" s="1670">
        <v>41883</v>
      </c>
      <c r="B123" s="1671">
        <v>3.9</v>
      </c>
      <c r="C123" s="1671">
        <v>2.9</v>
      </c>
      <c r="D123" s="1672">
        <v>3.2</v>
      </c>
      <c r="E123" s="1673">
        <v>3.1</v>
      </c>
      <c r="F123" s="1668"/>
      <c r="G123" s="1668"/>
      <c r="H123" s="1663"/>
    </row>
    <row r="124" spans="1:8" ht="15.75">
      <c r="A124" s="1670">
        <v>41913</v>
      </c>
      <c r="B124" s="1671">
        <v>3.8</v>
      </c>
      <c r="C124" s="1671">
        <v>2.9</v>
      </c>
      <c r="D124" s="1672">
        <v>3.2</v>
      </c>
      <c r="E124" s="1673">
        <v>3</v>
      </c>
      <c r="F124" s="1668"/>
      <c r="G124" s="1668"/>
      <c r="H124" s="1663"/>
    </row>
    <row r="125" spans="1:8" ht="15.75">
      <c r="A125" s="1670">
        <v>41944</v>
      </c>
      <c r="B125" s="1671">
        <v>3.5</v>
      </c>
      <c r="C125" s="1671">
        <v>2.8</v>
      </c>
      <c r="D125" s="1672">
        <v>3.2</v>
      </c>
      <c r="E125" s="1673">
        <v>2.8</v>
      </c>
      <c r="F125" s="1668"/>
      <c r="G125" s="1668"/>
      <c r="H125" s="1663"/>
    </row>
    <row r="126" spans="1:8" ht="15.75">
      <c r="A126" s="1670">
        <v>41974</v>
      </c>
      <c r="B126" s="1671">
        <v>3.2</v>
      </c>
      <c r="C126" s="1671">
        <v>2.6</v>
      </c>
      <c r="D126" s="1672">
        <v>3.1</v>
      </c>
      <c r="E126" s="1673">
        <v>2.5</v>
      </c>
      <c r="F126" s="1668"/>
      <c r="G126" s="1668"/>
      <c r="H126" s="1663"/>
    </row>
    <row r="127" spans="1:8" ht="15.75">
      <c r="A127" s="1670">
        <v>42005</v>
      </c>
      <c r="B127" s="1671">
        <v>2.8</v>
      </c>
      <c r="C127" s="1671">
        <v>2.2000000000000002</v>
      </c>
      <c r="D127" s="1672">
        <v>2.9</v>
      </c>
      <c r="E127" s="1673">
        <v>2.2000000000000002</v>
      </c>
      <c r="F127" s="1668"/>
      <c r="G127" s="1668"/>
      <c r="H127" s="1663"/>
    </row>
    <row r="128" spans="1:8" ht="15.75">
      <c r="A128" s="1670">
        <v>42036</v>
      </c>
      <c r="B128" s="1671">
        <v>2.5</v>
      </c>
      <c r="C128" s="1671">
        <v>1.9</v>
      </c>
      <c r="D128" s="1672">
        <v>2.7</v>
      </c>
      <c r="E128" s="1673">
        <v>1.9</v>
      </c>
      <c r="F128" s="1668"/>
      <c r="G128" s="1668"/>
      <c r="H128" s="1663"/>
    </row>
    <row r="129" spans="1:8" ht="15.75">
      <c r="A129" s="1670">
        <v>42064</v>
      </c>
      <c r="B129" s="1671">
        <v>2.4</v>
      </c>
      <c r="C129" s="1671">
        <v>1.7</v>
      </c>
      <c r="D129" s="1672">
        <v>2.6</v>
      </c>
      <c r="E129" s="1673">
        <v>1.7</v>
      </c>
      <c r="F129" s="1668"/>
      <c r="G129" s="1668"/>
      <c r="H129" s="1663"/>
    </row>
    <row r="130" spans="1:8" ht="15.75">
      <c r="A130" s="1670">
        <v>42095</v>
      </c>
      <c r="B130" s="1671">
        <v>2.2000000000000002</v>
      </c>
      <c r="C130" s="1671">
        <v>1.5</v>
      </c>
      <c r="D130" s="1672">
        <v>2.5</v>
      </c>
      <c r="E130" s="1673">
        <v>1.5</v>
      </c>
      <c r="F130" s="1668"/>
      <c r="G130" s="1668"/>
      <c r="H130" s="1663"/>
    </row>
    <row r="131" spans="1:8" ht="15.75">
      <c r="A131" s="1670">
        <v>42125</v>
      </c>
      <c r="B131" s="1671">
        <v>2</v>
      </c>
      <c r="C131" s="1671">
        <v>1.3</v>
      </c>
      <c r="D131" s="1672">
        <v>2.2999999999999998</v>
      </c>
      <c r="E131" s="1673">
        <v>1.3</v>
      </c>
      <c r="F131" s="1668"/>
      <c r="G131" s="1668"/>
      <c r="H131" s="1663"/>
    </row>
    <row r="132" spans="1:8" ht="15.75">
      <c r="A132" s="1670">
        <v>42156</v>
      </c>
      <c r="B132" s="1671">
        <v>1.7</v>
      </c>
      <c r="C132" s="1671">
        <v>1.1000000000000001</v>
      </c>
      <c r="D132" s="1672">
        <v>2.2999999999999998</v>
      </c>
      <c r="E132" s="1673">
        <v>1.1000000000000001</v>
      </c>
      <c r="F132" s="1668"/>
      <c r="G132" s="1668"/>
      <c r="H132" s="1663"/>
    </row>
    <row r="133" spans="1:8" ht="15.75">
      <c r="A133" s="1670">
        <v>42186</v>
      </c>
      <c r="B133" s="1671">
        <v>1.5</v>
      </c>
      <c r="C133" s="1671">
        <v>0.9</v>
      </c>
      <c r="D133" s="1672">
        <v>2.1</v>
      </c>
      <c r="E133" s="1673">
        <v>0.9</v>
      </c>
      <c r="F133" s="1668"/>
      <c r="G133" s="1668"/>
      <c r="H133" s="1663"/>
    </row>
    <row r="134" spans="1:8" ht="3.75" customHeight="1" thickBot="1">
      <c r="A134" s="1674"/>
      <c r="B134" s="1675"/>
      <c r="C134" s="1675"/>
      <c r="D134" s="1676"/>
      <c r="E134" s="1677"/>
      <c r="F134" s="1668"/>
      <c r="G134" s="1668"/>
      <c r="H134" s="1663"/>
    </row>
    <row r="135" spans="1:8" ht="18" customHeight="1" thickTop="1">
      <c r="A135" s="1650" t="s">
        <v>3144</v>
      </c>
      <c r="B135" s="1678"/>
      <c r="C135" s="1678"/>
      <c r="D135" s="1678"/>
      <c r="E135" s="1678"/>
      <c r="F135" s="1678"/>
      <c r="G135" s="1678"/>
      <c r="H135" s="1678"/>
    </row>
    <row r="136" spans="1:8">
      <c r="A136" s="1650" t="s">
        <v>3145</v>
      </c>
      <c r="B136" s="1650"/>
      <c r="C136" s="1650"/>
      <c r="D136" s="1650"/>
      <c r="E136" s="1650"/>
      <c r="F136" s="1650"/>
      <c r="G136" s="1650"/>
      <c r="H136" s="1650"/>
    </row>
    <row r="137" spans="1:8">
      <c r="A137" s="1650" t="s">
        <v>3146</v>
      </c>
      <c r="B137" s="1650"/>
      <c r="C137" s="1650"/>
      <c r="D137" s="1650"/>
      <c r="E137" s="1650"/>
      <c r="F137" s="1650"/>
      <c r="G137" s="1650"/>
      <c r="H137" s="1650"/>
    </row>
    <row r="138" spans="1:8" s="1681" customFormat="1">
      <c r="A138" s="1679" t="s">
        <v>3147</v>
      </c>
      <c r="B138" s="1680"/>
      <c r="C138" s="1680"/>
      <c r="D138" s="1680"/>
      <c r="E138" s="1680"/>
      <c r="F138" s="1679"/>
      <c r="G138" s="1679"/>
      <c r="H138" s="1679"/>
    </row>
    <row r="139" spans="1:8" s="1681" customFormat="1">
      <c r="A139" s="1679" t="s">
        <v>3148</v>
      </c>
      <c r="B139" s="1680"/>
      <c r="C139" s="1680"/>
      <c r="D139" s="1680"/>
      <c r="E139" s="1680"/>
      <c r="F139" s="1679"/>
      <c r="G139" s="1679"/>
      <c r="H139" s="1679"/>
    </row>
    <row r="140" spans="1:8">
      <c r="A140" s="1650" t="s">
        <v>3149</v>
      </c>
      <c r="B140" s="1682"/>
      <c r="C140" s="1682"/>
      <c r="D140" s="1682"/>
      <c r="E140" s="1682"/>
      <c r="F140" s="1650"/>
      <c r="G140" s="1650"/>
      <c r="H140" s="1650"/>
    </row>
    <row r="141" spans="1:8">
      <c r="A141" s="1650" t="s">
        <v>2053</v>
      </c>
      <c r="B141" s="1648"/>
    </row>
    <row r="142" spans="1:8" ht="15.75">
      <c r="A142" s="1683"/>
      <c r="B142" s="1683"/>
      <c r="C142" s="1683"/>
      <c r="D142" s="1683"/>
      <c r="E142" s="1683"/>
      <c r="F142" s="1683"/>
      <c r="G142" s="1683"/>
      <c r="H142" s="1683"/>
    </row>
  </sheetData>
  <printOptions horizontalCentered="1"/>
  <pageMargins left="0.5" right="0" top="0.5" bottom="0" header="0" footer="0"/>
  <pageSetup paperSize="9" scale="74"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2"/>
  <sheetViews>
    <sheetView zoomScaleNormal="100" zoomScaleSheetLayoutView="100" workbookViewId="0">
      <selection activeCell="P145" sqref="P145"/>
    </sheetView>
  </sheetViews>
  <sheetFormatPr defaultRowHeight="15.75"/>
  <cols>
    <col min="1" max="1" width="11.28515625" style="1688" customWidth="1"/>
    <col min="2" max="2" width="10.42578125" style="1688" customWidth="1"/>
    <col min="3" max="3" width="10.28515625" style="1688" customWidth="1"/>
    <col min="4" max="4" width="12.42578125" style="1688" customWidth="1"/>
    <col min="5" max="5" width="8.85546875" style="1688" customWidth="1"/>
    <col min="6" max="6" width="10.7109375" style="1688" customWidth="1"/>
    <col min="7" max="7" width="10" style="1688" customWidth="1"/>
    <col min="8" max="8" width="8.5703125" style="1688" customWidth="1"/>
    <col min="9" max="9" width="8.7109375" style="1688" customWidth="1"/>
    <col min="10" max="10" width="8.42578125" style="1688" customWidth="1"/>
    <col min="11" max="11" width="13.42578125" style="1688" customWidth="1"/>
    <col min="12" max="12" width="10.42578125" style="1688" customWidth="1"/>
    <col min="13" max="13" width="9.140625" style="1688"/>
    <col min="14" max="14" width="14.5703125" style="1688" bestFit="1" customWidth="1"/>
    <col min="15" max="15" width="9.140625" style="1688"/>
    <col min="16" max="16" width="14.5703125" style="1688" bestFit="1" customWidth="1"/>
    <col min="17" max="256" width="9.140625" style="1688"/>
    <col min="257" max="257" width="11.28515625" style="1688" customWidth="1"/>
    <col min="258" max="259" width="9.140625" style="1688"/>
    <col min="260" max="260" width="9.85546875" style="1688" customWidth="1"/>
    <col min="261" max="262" width="9.140625" style="1688" customWidth="1"/>
    <col min="263" max="263" width="8.85546875" style="1688" customWidth="1"/>
    <col min="264" max="264" width="8.5703125" style="1688" customWidth="1"/>
    <col min="265" max="265" width="8" style="1688" customWidth="1"/>
    <col min="266" max="266" width="8.7109375" style="1688" customWidth="1"/>
    <col min="267" max="267" width="13.42578125" style="1688" customWidth="1"/>
    <col min="268" max="268" width="10.42578125" style="1688" customWidth="1"/>
    <col min="269" max="269" width="9.140625" style="1688"/>
    <col min="270" max="270" width="14.5703125" style="1688" bestFit="1" customWidth="1"/>
    <col min="271" max="271" width="9.140625" style="1688"/>
    <col min="272" max="272" width="14.5703125" style="1688" bestFit="1" customWidth="1"/>
    <col min="273" max="512" width="9.140625" style="1688"/>
    <col min="513" max="513" width="11.28515625" style="1688" customWidth="1"/>
    <col min="514" max="515" width="9.140625" style="1688"/>
    <col min="516" max="516" width="9.85546875" style="1688" customWidth="1"/>
    <col min="517" max="518" width="9.140625" style="1688" customWidth="1"/>
    <col min="519" max="519" width="8.85546875" style="1688" customWidth="1"/>
    <col min="520" max="520" width="8.5703125" style="1688" customWidth="1"/>
    <col min="521" max="521" width="8" style="1688" customWidth="1"/>
    <col min="522" max="522" width="8.7109375" style="1688" customWidth="1"/>
    <col min="523" max="523" width="13.42578125" style="1688" customWidth="1"/>
    <col min="524" max="524" width="10.42578125" style="1688" customWidth="1"/>
    <col min="525" max="525" width="9.140625" style="1688"/>
    <col min="526" max="526" width="14.5703125" style="1688" bestFit="1" customWidth="1"/>
    <col min="527" max="527" width="9.140625" style="1688"/>
    <col min="528" max="528" width="14.5703125" style="1688" bestFit="1" customWidth="1"/>
    <col min="529" max="768" width="9.140625" style="1688"/>
    <col min="769" max="769" width="11.28515625" style="1688" customWidth="1"/>
    <col min="770" max="771" width="9.140625" style="1688"/>
    <col min="772" max="772" width="9.85546875" style="1688" customWidth="1"/>
    <col min="773" max="774" width="9.140625" style="1688" customWidth="1"/>
    <col min="775" max="775" width="8.85546875" style="1688" customWidth="1"/>
    <col min="776" max="776" width="8.5703125" style="1688" customWidth="1"/>
    <col min="777" max="777" width="8" style="1688" customWidth="1"/>
    <col min="778" max="778" width="8.7109375" style="1688" customWidth="1"/>
    <col min="779" max="779" width="13.42578125" style="1688" customWidth="1"/>
    <col min="780" max="780" width="10.42578125" style="1688" customWidth="1"/>
    <col min="781" max="781" width="9.140625" style="1688"/>
    <col min="782" max="782" width="14.5703125" style="1688" bestFit="1" customWidth="1"/>
    <col min="783" max="783" width="9.140625" style="1688"/>
    <col min="784" max="784" width="14.5703125" style="1688" bestFit="1" customWidth="1"/>
    <col min="785" max="1024" width="9.140625" style="1688"/>
    <col min="1025" max="1025" width="11.28515625" style="1688" customWidth="1"/>
    <col min="1026" max="1027" width="9.140625" style="1688"/>
    <col min="1028" max="1028" width="9.85546875" style="1688" customWidth="1"/>
    <col min="1029" max="1030" width="9.140625" style="1688" customWidth="1"/>
    <col min="1031" max="1031" width="8.85546875" style="1688" customWidth="1"/>
    <col min="1032" max="1032" width="8.5703125" style="1688" customWidth="1"/>
    <col min="1033" max="1033" width="8" style="1688" customWidth="1"/>
    <col min="1034" max="1034" width="8.7109375" style="1688" customWidth="1"/>
    <col min="1035" max="1035" width="13.42578125" style="1688" customWidth="1"/>
    <col min="1036" max="1036" width="10.42578125" style="1688" customWidth="1"/>
    <col min="1037" max="1037" width="9.140625" style="1688"/>
    <col min="1038" max="1038" width="14.5703125" style="1688" bestFit="1" customWidth="1"/>
    <col min="1039" max="1039" width="9.140625" style="1688"/>
    <col min="1040" max="1040" width="14.5703125" style="1688" bestFit="1" customWidth="1"/>
    <col min="1041" max="1280" width="9.140625" style="1688"/>
    <col min="1281" max="1281" width="11.28515625" style="1688" customWidth="1"/>
    <col min="1282" max="1283" width="9.140625" style="1688"/>
    <col min="1284" max="1284" width="9.85546875" style="1688" customWidth="1"/>
    <col min="1285" max="1286" width="9.140625" style="1688" customWidth="1"/>
    <col min="1287" max="1287" width="8.85546875" style="1688" customWidth="1"/>
    <col min="1288" max="1288" width="8.5703125" style="1688" customWidth="1"/>
    <col min="1289" max="1289" width="8" style="1688" customWidth="1"/>
    <col min="1290" max="1290" width="8.7109375" style="1688" customWidth="1"/>
    <col min="1291" max="1291" width="13.42578125" style="1688" customWidth="1"/>
    <col min="1292" max="1292" width="10.42578125" style="1688" customWidth="1"/>
    <col min="1293" max="1293" width="9.140625" style="1688"/>
    <col min="1294" max="1294" width="14.5703125" style="1688" bestFit="1" customWidth="1"/>
    <col min="1295" max="1295" width="9.140625" style="1688"/>
    <col min="1296" max="1296" width="14.5703125" style="1688" bestFit="1" customWidth="1"/>
    <col min="1297" max="1536" width="9.140625" style="1688"/>
    <col min="1537" max="1537" width="11.28515625" style="1688" customWidth="1"/>
    <col min="1538" max="1539" width="9.140625" style="1688"/>
    <col min="1540" max="1540" width="9.85546875" style="1688" customWidth="1"/>
    <col min="1541" max="1542" width="9.140625" style="1688" customWidth="1"/>
    <col min="1543" max="1543" width="8.85546875" style="1688" customWidth="1"/>
    <col min="1544" max="1544" width="8.5703125" style="1688" customWidth="1"/>
    <col min="1545" max="1545" width="8" style="1688" customWidth="1"/>
    <col min="1546" max="1546" width="8.7109375" style="1688" customWidth="1"/>
    <col min="1547" max="1547" width="13.42578125" style="1688" customWidth="1"/>
    <col min="1548" max="1548" width="10.42578125" style="1688" customWidth="1"/>
    <col min="1549" max="1549" width="9.140625" style="1688"/>
    <col min="1550" max="1550" width="14.5703125" style="1688" bestFit="1" customWidth="1"/>
    <col min="1551" max="1551" width="9.140625" style="1688"/>
    <col min="1552" max="1552" width="14.5703125" style="1688" bestFit="1" customWidth="1"/>
    <col min="1553" max="1792" width="9.140625" style="1688"/>
    <col min="1793" max="1793" width="11.28515625" style="1688" customWidth="1"/>
    <col min="1794" max="1795" width="9.140625" style="1688"/>
    <col min="1796" max="1796" width="9.85546875" style="1688" customWidth="1"/>
    <col min="1797" max="1798" width="9.140625" style="1688" customWidth="1"/>
    <col min="1799" max="1799" width="8.85546875" style="1688" customWidth="1"/>
    <col min="1800" max="1800" width="8.5703125" style="1688" customWidth="1"/>
    <col min="1801" max="1801" width="8" style="1688" customWidth="1"/>
    <col min="1802" max="1802" width="8.7109375" style="1688" customWidth="1"/>
    <col min="1803" max="1803" width="13.42578125" style="1688" customWidth="1"/>
    <col min="1804" max="1804" width="10.42578125" style="1688" customWidth="1"/>
    <col min="1805" max="1805" width="9.140625" style="1688"/>
    <col min="1806" max="1806" width="14.5703125" style="1688" bestFit="1" customWidth="1"/>
    <col min="1807" max="1807" width="9.140625" style="1688"/>
    <col min="1808" max="1808" width="14.5703125" style="1688" bestFit="1" customWidth="1"/>
    <col min="1809" max="2048" width="9.140625" style="1688"/>
    <col min="2049" max="2049" width="11.28515625" style="1688" customWidth="1"/>
    <col min="2050" max="2051" width="9.140625" style="1688"/>
    <col min="2052" max="2052" width="9.85546875" style="1688" customWidth="1"/>
    <col min="2053" max="2054" width="9.140625" style="1688" customWidth="1"/>
    <col min="2055" max="2055" width="8.85546875" style="1688" customWidth="1"/>
    <col min="2056" max="2056" width="8.5703125" style="1688" customWidth="1"/>
    <col min="2057" max="2057" width="8" style="1688" customWidth="1"/>
    <col min="2058" max="2058" width="8.7109375" style="1688" customWidth="1"/>
    <col min="2059" max="2059" width="13.42578125" style="1688" customWidth="1"/>
    <col min="2060" max="2060" width="10.42578125" style="1688" customWidth="1"/>
    <col min="2061" max="2061" width="9.140625" style="1688"/>
    <col min="2062" max="2062" width="14.5703125" style="1688" bestFit="1" customWidth="1"/>
    <col min="2063" max="2063" width="9.140625" style="1688"/>
    <col min="2064" max="2064" width="14.5703125" style="1688" bestFit="1" customWidth="1"/>
    <col min="2065" max="2304" width="9.140625" style="1688"/>
    <col min="2305" max="2305" width="11.28515625" style="1688" customWidth="1"/>
    <col min="2306" max="2307" width="9.140625" style="1688"/>
    <col min="2308" max="2308" width="9.85546875" style="1688" customWidth="1"/>
    <col min="2309" max="2310" width="9.140625" style="1688" customWidth="1"/>
    <col min="2311" max="2311" width="8.85546875" style="1688" customWidth="1"/>
    <col min="2312" max="2312" width="8.5703125" style="1688" customWidth="1"/>
    <col min="2313" max="2313" width="8" style="1688" customWidth="1"/>
    <col min="2314" max="2314" width="8.7109375" style="1688" customWidth="1"/>
    <col min="2315" max="2315" width="13.42578125" style="1688" customWidth="1"/>
    <col min="2316" max="2316" width="10.42578125" style="1688" customWidth="1"/>
    <col min="2317" max="2317" width="9.140625" style="1688"/>
    <col min="2318" max="2318" width="14.5703125" style="1688" bestFit="1" customWidth="1"/>
    <col min="2319" max="2319" width="9.140625" style="1688"/>
    <col min="2320" max="2320" width="14.5703125" style="1688" bestFit="1" customWidth="1"/>
    <col min="2321" max="2560" width="9.140625" style="1688"/>
    <col min="2561" max="2561" width="11.28515625" style="1688" customWidth="1"/>
    <col min="2562" max="2563" width="9.140625" style="1688"/>
    <col min="2564" max="2564" width="9.85546875" style="1688" customWidth="1"/>
    <col min="2565" max="2566" width="9.140625" style="1688" customWidth="1"/>
    <col min="2567" max="2567" width="8.85546875" style="1688" customWidth="1"/>
    <col min="2568" max="2568" width="8.5703125" style="1688" customWidth="1"/>
    <col min="2569" max="2569" width="8" style="1688" customWidth="1"/>
    <col min="2570" max="2570" width="8.7109375" style="1688" customWidth="1"/>
    <col min="2571" max="2571" width="13.42578125" style="1688" customWidth="1"/>
    <col min="2572" max="2572" width="10.42578125" style="1688" customWidth="1"/>
    <col min="2573" max="2573" width="9.140625" style="1688"/>
    <col min="2574" max="2574" width="14.5703125" style="1688" bestFit="1" customWidth="1"/>
    <col min="2575" max="2575" width="9.140625" style="1688"/>
    <col min="2576" max="2576" width="14.5703125" style="1688" bestFit="1" customWidth="1"/>
    <col min="2577" max="2816" width="9.140625" style="1688"/>
    <col min="2817" max="2817" width="11.28515625" style="1688" customWidth="1"/>
    <col min="2818" max="2819" width="9.140625" style="1688"/>
    <col min="2820" max="2820" width="9.85546875" style="1688" customWidth="1"/>
    <col min="2821" max="2822" width="9.140625" style="1688" customWidth="1"/>
    <col min="2823" max="2823" width="8.85546875" style="1688" customWidth="1"/>
    <col min="2824" max="2824" width="8.5703125" style="1688" customWidth="1"/>
    <col min="2825" max="2825" width="8" style="1688" customWidth="1"/>
    <col min="2826" max="2826" width="8.7109375" style="1688" customWidth="1"/>
    <col min="2827" max="2827" width="13.42578125" style="1688" customWidth="1"/>
    <col min="2828" max="2828" width="10.42578125" style="1688" customWidth="1"/>
    <col min="2829" max="2829" width="9.140625" style="1688"/>
    <col min="2830" max="2830" width="14.5703125" style="1688" bestFit="1" customWidth="1"/>
    <col min="2831" max="2831" width="9.140625" style="1688"/>
    <col min="2832" max="2832" width="14.5703125" style="1688" bestFit="1" customWidth="1"/>
    <col min="2833" max="3072" width="9.140625" style="1688"/>
    <col min="3073" max="3073" width="11.28515625" style="1688" customWidth="1"/>
    <col min="3074" max="3075" width="9.140625" style="1688"/>
    <col min="3076" max="3076" width="9.85546875" style="1688" customWidth="1"/>
    <col min="3077" max="3078" width="9.140625" style="1688" customWidth="1"/>
    <col min="3079" max="3079" width="8.85546875" style="1688" customWidth="1"/>
    <col min="3080" max="3080" width="8.5703125" style="1688" customWidth="1"/>
    <col min="3081" max="3081" width="8" style="1688" customWidth="1"/>
    <col min="3082" max="3082" width="8.7109375" style="1688" customWidth="1"/>
    <col min="3083" max="3083" width="13.42578125" style="1688" customWidth="1"/>
    <col min="3084" max="3084" width="10.42578125" style="1688" customWidth="1"/>
    <col min="3085" max="3085" width="9.140625" style="1688"/>
    <col min="3086" max="3086" width="14.5703125" style="1688" bestFit="1" customWidth="1"/>
    <col min="3087" max="3087" width="9.140625" style="1688"/>
    <col min="3088" max="3088" width="14.5703125" style="1688" bestFit="1" customWidth="1"/>
    <col min="3089" max="3328" width="9.140625" style="1688"/>
    <col min="3329" max="3329" width="11.28515625" style="1688" customWidth="1"/>
    <col min="3330" max="3331" width="9.140625" style="1688"/>
    <col min="3332" max="3332" width="9.85546875" style="1688" customWidth="1"/>
    <col min="3333" max="3334" width="9.140625" style="1688" customWidth="1"/>
    <col min="3335" max="3335" width="8.85546875" style="1688" customWidth="1"/>
    <col min="3336" max="3336" width="8.5703125" style="1688" customWidth="1"/>
    <col min="3337" max="3337" width="8" style="1688" customWidth="1"/>
    <col min="3338" max="3338" width="8.7109375" style="1688" customWidth="1"/>
    <col min="3339" max="3339" width="13.42578125" style="1688" customWidth="1"/>
    <col min="3340" max="3340" width="10.42578125" style="1688" customWidth="1"/>
    <col min="3341" max="3341" width="9.140625" style="1688"/>
    <col min="3342" max="3342" width="14.5703125" style="1688" bestFit="1" customWidth="1"/>
    <col min="3343" max="3343" width="9.140625" style="1688"/>
    <col min="3344" max="3344" width="14.5703125" style="1688" bestFit="1" customWidth="1"/>
    <col min="3345" max="3584" width="9.140625" style="1688"/>
    <col min="3585" max="3585" width="11.28515625" style="1688" customWidth="1"/>
    <col min="3586" max="3587" width="9.140625" style="1688"/>
    <col min="3588" max="3588" width="9.85546875" style="1688" customWidth="1"/>
    <col min="3589" max="3590" width="9.140625" style="1688" customWidth="1"/>
    <col min="3591" max="3591" width="8.85546875" style="1688" customWidth="1"/>
    <col min="3592" max="3592" width="8.5703125" style="1688" customWidth="1"/>
    <col min="3593" max="3593" width="8" style="1688" customWidth="1"/>
    <col min="3594" max="3594" width="8.7109375" style="1688" customWidth="1"/>
    <col min="3595" max="3595" width="13.42578125" style="1688" customWidth="1"/>
    <col min="3596" max="3596" width="10.42578125" style="1688" customWidth="1"/>
    <col min="3597" max="3597" width="9.140625" style="1688"/>
    <col min="3598" max="3598" width="14.5703125" style="1688" bestFit="1" customWidth="1"/>
    <col min="3599" max="3599" width="9.140625" style="1688"/>
    <col min="3600" max="3600" width="14.5703125" style="1688" bestFit="1" customWidth="1"/>
    <col min="3601" max="3840" width="9.140625" style="1688"/>
    <col min="3841" max="3841" width="11.28515625" style="1688" customWidth="1"/>
    <col min="3842" max="3843" width="9.140625" style="1688"/>
    <col min="3844" max="3844" width="9.85546875" style="1688" customWidth="1"/>
    <col min="3845" max="3846" width="9.140625" style="1688" customWidth="1"/>
    <col min="3847" max="3847" width="8.85546875" style="1688" customWidth="1"/>
    <col min="3848" max="3848" width="8.5703125" style="1688" customWidth="1"/>
    <col min="3849" max="3849" width="8" style="1688" customWidth="1"/>
    <col min="3850" max="3850" width="8.7109375" style="1688" customWidth="1"/>
    <col min="3851" max="3851" width="13.42578125" style="1688" customWidth="1"/>
    <col min="3852" max="3852" width="10.42578125" style="1688" customWidth="1"/>
    <col min="3853" max="3853" width="9.140625" style="1688"/>
    <col min="3854" max="3854" width="14.5703125" style="1688" bestFit="1" customWidth="1"/>
    <col min="3855" max="3855" width="9.140625" style="1688"/>
    <col min="3856" max="3856" width="14.5703125" style="1688" bestFit="1" customWidth="1"/>
    <col min="3857" max="4096" width="9.140625" style="1688"/>
    <col min="4097" max="4097" width="11.28515625" style="1688" customWidth="1"/>
    <col min="4098" max="4099" width="9.140625" style="1688"/>
    <col min="4100" max="4100" width="9.85546875" style="1688" customWidth="1"/>
    <col min="4101" max="4102" width="9.140625" style="1688" customWidth="1"/>
    <col min="4103" max="4103" width="8.85546875" style="1688" customWidth="1"/>
    <col min="4104" max="4104" width="8.5703125" style="1688" customWidth="1"/>
    <col min="4105" max="4105" width="8" style="1688" customWidth="1"/>
    <col min="4106" max="4106" width="8.7109375" style="1688" customWidth="1"/>
    <col min="4107" max="4107" width="13.42578125" style="1688" customWidth="1"/>
    <col min="4108" max="4108" width="10.42578125" style="1688" customWidth="1"/>
    <col min="4109" max="4109" width="9.140625" style="1688"/>
    <col min="4110" max="4110" width="14.5703125" style="1688" bestFit="1" customWidth="1"/>
    <col min="4111" max="4111" width="9.140625" style="1688"/>
    <col min="4112" max="4112" width="14.5703125" style="1688" bestFit="1" customWidth="1"/>
    <col min="4113" max="4352" width="9.140625" style="1688"/>
    <col min="4353" max="4353" width="11.28515625" style="1688" customWidth="1"/>
    <col min="4354" max="4355" width="9.140625" style="1688"/>
    <col min="4356" max="4356" width="9.85546875" style="1688" customWidth="1"/>
    <col min="4357" max="4358" width="9.140625" style="1688" customWidth="1"/>
    <col min="4359" max="4359" width="8.85546875" style="1688" customWidth="1"/>
    <col min="4360" max="4360" width="8.5703125" style="1688" customWidth="1"/>
    <col min="4361" max="4361" width="8" style="1688" customWidth="1"/>
    <col min="4362" max="4362" width="8.7109375" style="1688" customWidth="1"/>
    <col min="4363" max="4363" width="13.42578125" style="1688" customWidth="1"/>
    <col min="4364" max="4364" width="10.42578125" style="1688" customWidth="1"/>
    <col min="4365" max="4365" width="9.140625" style="1688"/>
    <col min="4366" max="4366" width="14.5703125" style="1688" bestFit="1" customWidth="1"/>
    <col min="4367" max="4367" width="9.140625" style="1688"/>
    <col min="4368" max="4368" width="14.5703125" style="1688" bestFit="1" customWidth="1"/>
    <col min="4369" max="4608" width="9.140625" style="1688"/>
    <col min="4609" max="4609" width="11.28515625" style="1688" customWidth="1"/>
    <col min="4610" max="4611" width="9.140625" style="1688"/>
    <col min="4612" max="4612" width="9.85546875" style="1688" customWidth="1"/>
    <col min="4613" max="4614" width="9.140625" style="1688" customWidth="1"/>
    <col min="4615" max="4615" width="8.85546875" style="1688" customWidth="1"/>
    <col min="4616" max="4616" width="8.5703125" style="1688" customWidth="1"/>
    <col min="4617" max="4617" width="8" style="1688" customWidth="1"/>
    <col min="4618" max="4618" width="8.7109375" style="1688" customWidth="1"/>
    <col min="4619" max="4619" width="13.42578125" style="1688" customWidth="1"/>
    <col min="4620" max="4620" width="10.42578125" style="1688" customWidth="1"/>
    <col min="4621" max="4621" width="9.140625" style="1688"/>
    <col min="4622" max="4622" width="14.5703125" style="1688" bestFit="1" customWidth="1"/>
    <col min="4623" max="4623" width="9.140625" style="1688"/>
    <col min="4624" max="4624" width="14.5703125" style="1688" bestFit="1" customWidth="1"/>
    <col min="4625" max="4864" width="9.140625" style="1688"/>
    <col min="4865" max="4865" width="11.28515625" style="1688" customWidth="1"/>
    <col min="4866" max="4867" width="9.140625" style="1688"/>
    <col min="4868" max="4868" width="9.85546875" style="1688" customWidth="1"/>
    <col min="4869" max="4870" width="9.140625" style="1688" customWidth="1"/>
    <col min="4871" max="4871" width="8.85546875" style="1688" customWidth="1"/>
    <col min="4872" max="4872" width="8.5703125" style="1688" customWidth="1"/>
    <col min="4873" max="4873" width="8" style="1688" customWidth="1"/>
    <col min="4874" max="4874" width="8.7109375" style="1688" customWidth="1"/>
    <col min="4875" max="4875" width="13.42578125" style="1688" customWidth="1"/>
    <col min="4876" max="4876" width="10.42578125" style="1688" customWidth="1"/>
    <col min="4877" max="4877" width="9.140625" style="1688"/>
    <col min="4878" max="4878" width="14.5703125" style="1688" bestFit="1" customWidth="1"/>
    <col min="4879" max="4879" width="9.140625" style="1688"/>
    <col min="4880" max="4880" width="14.5703125" style="1688" bestFit="1" customWidth="1"/>
    <col min="4881" max="5120" width="9.140625" style="1688"/>
    <col min="5121" max="5121" width="11.28515625" style="1688" customWidth="1"/>
    <col min="5122" max="5123" width="9.140625" style="1688"/>
    <col min="5124" max="5124" width="9.85546875" style="1688" customWidth="1"/>
    <col min="5125" max="5126" width="9.140625" style="1688" customWidth="1"/>
    <col min="5127" max="5127" width="8.85546875" style="1688" customWidth="1"/>
    <col min="5128" max="5128" width="8.5703125" style="1688" customWidth="1"/>
    <col min="5129" max="5129" width="8" style="1688" customWidth="1"/>
    <col min="5130" max="5130" width="8.7109375" style="1688" customWidth="1"/>
    <col min="5131" max="5131" width="13.42578125" style="1688" customWidth="1"/>
    <col min="5132" max="5132" width="10.42578125" style="1688" customWidth="1"/>
    <col min="5133" max="5133" width="9.140625" style="1688"/>
    <col min="5134" max="5134" width="14.5703125" style="1688" bestFit="1" customWidth="1"/>
    <col min="5135" max="5135" width="9.140625" style="1688"/>
    <col min="5136" max="5136" width="14.5703125" style="1688" bestFit="1" customWidth="1"/>
    <col min="5137" max="5376" width="9.140625" style="1688"/>
    <col min="5377" max="5377" width="11.28515625" style="1688" customWidth="1"/>
    <col min="5378" max="5379" width="9.140625" style="1688"/>
    <col min="5380" max="5380" width="9.85546875" style="1688" customWidth="1"/>
    <col min="5381" max="5382" width="9.140625" style="1688" customWidth="1"/>
    <col min="5383" max="5383" width="8.85546875" style="1688" customWidth="1"/>
    <col min="5384" max="5384" width="8.5703125" style="1688" customWidth="1"/>
    <col min="5385" max="5385" width="8" style="1688" customWidth="1"/>
    <col min="5386" max="5386" width="8.7109375" style="1688" customWidth="1"/>
    <col min="5387" max="5387" width="13.42578125" style="1688" customWidth="1"/>
    <col min="5388" max="5388" width="10.42578125" style="1688" customWidth="1"/>
    <col min="5389" max="5389" width="9.140625" style="1688"/>
    <col min="5390" max="5390" width="14.5703125" style="1688" bestFit="1" customWidth="1"/>
    <col min="5391" max="5391" width="9.140625" style="1688"/>
    <col min="5392" max="5392" width="14.5703125" style="1688" bestFit="1" customWidth="1"/>
    <col min="5393" max="5632" width="9.140625" style="1688"/>
    <col min="5633" max="5633" width="11.28515625" style="1688" customWidth="1"/>
    <col min="5634" max="5635" width="9.140625" style="1688"/>
    <col min="5636" max="5636" width="9.85546875" style="1688" customWidth="1"/>
    <col min="5637" max="5638" width="9.140625" style="1688" customWidth="1"/>
    <col min="5639" max="5639" width="8.85546875" style="1688" customWidth="1"/>
    <col min="5640" max="5640" width="8.5703125" style="1688" customWidth="1"/>
    <col min="5641" max="5641" width="8" style="1688" customWidth="1"/>
    <col min="5642" max="5642" width="8.7109375" style="1688" customWidth="1"/>
    <col min="5643" max="5643" width="13.42578125" style="1688" customWidth="1"/>
    <col min="5644" max="5644" width="10.42578125" style="1688" customWidth="1"/>
    <col min="5645" max="5645" width="9.140625" style="1688"/>
    <col min="5646" max="5646" width="14.5703125" style="1688" bestFit="1" customWidth="1"/>
    <col min="5647" max="5647" width="9.140625" style="1688"/>
    <col min="5648" max="5648" width="14.5703125" style="1688" bestFit="1" customWidth="1"/>
    <col min="5649" max="5888" width="9.140625" style="1688"/>
    <col min="5889" max="5889" width="11.28515625" style="1688" customWidth="1"/>
    <col min="5890" max="5891" width="9.140625" style="1688"/>
    <col min="5892" max="5892" width="9.85546875" style="1688" customWidth="1"/>
    <col min="5893" max="5894" width="9.140625" style="1688" customWidth="1"/>
    <col min="5895" max="5895" width="8.85546875" style="1688" customWidth="1"/>
    <col min="5896" max="5896" width="8.5703125" style="1688" customWidth="1"/>
    <col min="5897" max="5897" width="8" style="1688" customWidth="1"/>
    <col min="5898" max="5898" width="8.7109375" style="1688" customWidth="1"/>
    <col min="5899" max="5899" width="13.42578125" style="1688" customWidth="1"/>
    <col min="5900" max="5900" width="10.42578125" style="1688" customWidth="1"/>
    <col min="5901" max="5901" width="9.140625" style="1688"/>
    <col min="5902" max="5902" width="14.5703125" style="1688" bestFit="1" customWidth="1"/>
    <col min="5903" max="5903" width="9.140625" style="1688"/>
    <col min="5904" max="5904" width="14.5703125" style="1688" bestFit="1" customWidth="1"/>
    <col min="5905" max="6144" width="9.140625" style="1688"/>
    <col min="6145" max="6145" width="11.28515625" style="1688" customWidth="1"/>
    <col min="6146" max="6147" width="9.140625" style="1688"/>
    <col min="6148" max="6148" width="9.85546875" style="1688" customWidth="1"/>
    <col min="6149" max="6150" width="9.140625" style="1688" customWidth="1"/>
    <col min="6151" max="6151" width="8.85546875" style="1688" customWidth="1"/>
    <col min="6152" max="6152" width="8.5703125" style="1688" customWidth="1"/>
    <col min="6153" max="6153" width="8" style="1688" customWidth="1"/>
    <col min="6154" max="6154" width="8.7109375" style="1688" customWidth="1"/>
    <col min="6155" max="6155" width="13.42578125" style="1688" customWidth="1"/>
    <col min="6156" max="6156" width="10.42578125" style="1688" customWidth="1"/>
    <col min="6157" max="6157" width="9.140625" style="1688"/>
    <col min="6158" max="6158" width="14.5703125" style="1688" bestFit="1" customWidth="1"/>
    <col min="6159" max="6159" width="9.140625" style="1688"/>
    <col min="6160" max="6160" width="14.5703125" style="1688" bestFit="1" customWidth="1"/>
    <col min="6161" max="6400" width="9.140625" style="1688"/>
    <col min="6401" max="6401" width="11.28515625" style="1688" customWidth="1"/>
    <col min="6402" max="6403" width="9.140625" style="1688"/>
    <col min="6404" max="6404" width="9.85546875" style="1688" customWidth="1"/>
    <col min="6405" max="6406" width="9.140625" style="1688" customWidth="1"/>
    <col min="6407" max="6407" width="8.85546875" style="1688" customWidth="1"/>
    <col min="6408" max="6408" width="8.5703125" style="1688" customWidth="1"/>
    <col min="6409" max="6409" width="8" style="1688" customWidth="1"/>
    <col min="6410" max="6410" width="8.7109375" style="1688" customWidth="1"/>
    <col min="6411" max="6411" width="13.42578125" style="1688" customWidth="1"/>
    <col min="6412" max="6412" width="10.42578125" style="1688" customWidth="1"/>
    <col min="6413" max="6413" width="9.140625" style="1688"/>
    <col min="6414" max="6414" width="14.5703125" style="1688" bestFit="1" customWidth="1"/>
    <col min="6415" max="6415" width="9.140625" style="1688"/>
    <col min="6416" max="6416" width="14.5703125" style="1688" bestFit="1" customWidth="1"/>
    <col min="6417" max="6656" width="9.140625" style="1688"/>
    <col min="6657" max="6657" width="11.28515625" style="1688" customWidth="1"/>
    <col min="6658" max="6659" width="9.140625" style="1688"/>
    <col min="6660" max="6660" width="9.85546875" style="1688" customWidth="1"/>
    <col min="6661" max="6662" width="9.140625" style="1688" customWidth="1"/>
    <col min="6663" max="6663" width="8.85546875" style="1688" customWidth="1"/>
    <col min="6664" max="6664" width="8.5703125" style="1688" customWidth="1"/>
    <col min="6665" max="6665" width="8" style="1688" customWidth="1"/>
    <col min="6666" max="6666" width="8.7109375" style="1688" customWidth="1"/>
    <col min="6667" max="6667" width="13.42578125" style="1688" customWidth="1"/>
    <col min="6668" max="6668" width="10.42578125" style="1688" customWidth="1"/>
    <col min="6669" max="6669" width="9.140625" style="1688"/>
    <col min="6670" max="6670" width="14.5703125" style="1688" bestFit="1" customWidth="1"/>
    <col min="6671" max="6671" width="9.140625" style="1688"/>
    <col min="6672" max="6672" width="14.5703125" style="1688" bestFit="1" customWidth="1"/>
    <col min="6673" max="6912" width="9.140625" style="1688"/>
    <col min="6913" max="6913" width="11.28515625" style="1688" customWidth="1"/>
    <col min="6914" max="6915" width="9.140625" style="1688"/>
    <col min="6916" max="6916" width="9.85546875" style="1688" customWidth="1"/>
    <col min="6917" max="6918" width="9.140625" style="1688" customWidth="1"/>
    <col min="6919" max="6919" width="8.85546875" style="1688" customWidth="1"/>
    <col min="6920" max="6920" width="8.5703125" style="1688" customWidth="1"/>
    <col min="6921" max="6921" width="8" style="1688" customWidth="1"/>
    <col min="6922" max="6922" width="8.7109375" style="1688" customWidth="1"/>
    <col min="6923" max="6923" width="13.42578125" style="1688" customWidth="1"/>
    <col min="6924" max="6924" width="10.42578125" style="1688" customWidth="1"/>
    <col min="6925" max="6925" width="9.140625" style="1688"/>
    <col min="6926" max="6926" width="14.5703125" style="1688" bestFit="1" customWidth="1"/>
    <col min="6927" max="6927" width="9.140625" style="1688"/>
    <col min="6928" max="6928" width="14.5703125" style="1688" bestFit="1" customWidth="1"/>
    <col min="6929" max="7168" width="9.140625" style="1688"/>
    <col min="7169" max="7169" width="11.28515625" style="1688" customWidth="1"/>
    <col min="7170" max="7171" width="9.140625" style="1688"/>
    <col min="7172" max="7172" width="9.85546875" style="1688" customWidth="1"/>
    <col min="7173" max="7174" width="9.140625" style="1688" customWidth="1"/>
    <col min="7175" max="7175" width="8.85546875" style="1688" customWidth="1"/>
    <col min="7176" max="7176" width="8.5703125" style="1688" customWidth="1"/>
    <col min="7177" max="7177" width="8" style="1688" customWidth="1"/>
    <col min="7178" max="7178" width="8.7109375" style="1688" customWidth="1"/>
    <col min="7179" max="7179" width="13.42578125" style="1688" customWidth="1"/>
    <col min="7180" max="7180" width="10.42578125" style="1688" customWidth="1"/>
    <col min="7181" max="7181" width="9.140625" style="1688"/>
    <col min="7182" max="7182" width="14.5703125" style="1688" bestFit="1" customWidth="1"/>
    <col min="7183" max="7183" width="9.140625" style="1688"/>
    <col min="7184" max="7184" width="14.5703125" style="1688" bestFit="1" customWidth="1"/>
    <col min="7185" max="7424" width="9.140625" style="1688"/>
    <col min="7425" max="7425" width="11.28515625" style="1688" customWidth="1"/>
    <col min="7426" max="7427" width="9.140625" style="1688"/>
    <col min="7428" max="7428" width="9.85546875" style="1688" customWidth="1"/>
    <col min="7429" max="7430" width="9.140625" style="1688" customWidth="1"/>
    <col min="7431" max="7431" width="8.85546875" style="1688" customWidth="1"/>
    <col min="7432" max="7432" width="8.5703125" style="1688" customWidth="1"/>
    <col min="7433" max="7433" width="8" style="1688" customWidth="1"/>
    <col min="7434" max="7434" width="8.7109375" style="1688" customWidth="1"/>
    <col min="7435" max="7435" width="13.42578125" style="1688" customWidth="1"/>
    <col min="7436" max="7436" width="10.42578125" style="1688" customWidth="1"/>
    <col min="7437" max="7437" width="9.140625" style="1688"/>
    <col min="7438" max="7438" width="14.5703125" style="1688" bestFit="1" customWidth="1"/>
    <col min="7439" max="7439" width="9.140625" style="1688"/>
    <col min="7440" max="7440" width="14.5703125" style="1688" bestFit="1" customWidth="1"/>
    <col min="7441" max="7680" width="9.140625" style="1688"/>
    <col min="7681" max="7681" width="11.28515625" style="1688" customWidth="1"/>
    <col min="7682" max="7683" width="9.140625" style="1688"/>
    <col min="7684" max="7684" width="9.85546875" style="1688" customWidth="1"/>
    <col min="7685" max="7686" width="9.140625" style="1688" customWidth="1"/>
    <col min="7687" max="7687" width="8.85546875" style="1688" customWidth="1"/>
    <col min="7688" max="7688" width="8.5703125" style="1688" customWidth="1"/>
    <col min="7689" max="7689" width="8" style="1688" customWidth="1"/>
    <col min="7690" max="7690" width="8.7109375" style="1688" customWidth="1"/>
    <col min="7691" max="7691" width="13.42578125" style="1688" customWidth="1"/>
    <col min="7692" max="7692" width="10.42578125" style="1688" customWidth="1"/>
    <col min="7693" max="7693" width="9.140625" style="1688"/>
    <col min="7694" max="7694" width="14.5703125" style="1688" bestFit="1" customWidth="1"/>
    <col min="7695" max="7695" width="9.140625" style="1688"/>
    <col min="7696" max="7696" width="14.5703125" style="1688" bestFit="1" customWidth="1"/>
    <col min="7697" max="7936" width="9.140625" style="1688"/>
    <col min="7937" max="7937" width="11.28515625" style="1688" customWidth="1"/>
    <col min="7938" max="7939" width="9.140625" style="1688"/>
    <col min="7940" max="7940" width="9.85546875" style="1688" customWidth="1"/>
    <col min="7941" max="7942" width="9.140625" style="1688" customWidth="1"/>
    <col min="7943" max="7943" width="8.85546875" style="1688" customWidth="1"/>
    <col min="7944" max="7944" width="8.5703125" style="1688" customWidth="1"/>
    <col min="7945" max="7945" width="8" style="1688" customWidth="1"/>
    <col min="7946" max="7946" width="8.7109375" style="1688" customWidth="1"/>
    <col min="7947" max="7947" width="13.42578125" style="1688" customWidth="1"/>
    <col min="7948" max="7948" width="10.42578125" style="1688" customWidth="1"/>
    <col min="7949" max="7949" width="9.140625" style="1688"/>
    <col min="7950" max="7950" width="14.5703125" style="1688" bestFit="1" customWidth="1"/>
    <col min="7951" max="7951" width="9.140625" style="1688"/>
    <col min="7952" max="7952" width="14.5703125" style="1688" bestFit="1" customWidth="1"/>
    <col min="7953" max="8192" width="9.140625" style="1688"/>
    <col min="8193" max="8193" width="11.28515625" style="1688" customWidth="1"/>
    <col min="8194" max="8195" width="9.140625" style="1688"/>
    <col min="8196" max="8196" width="9.85546875" style="1688" customWidth="1"/>
    <col min="8197" max="8198" width="9.140625" style="1688" customWidth="1"/>
    <col min="8199" max="8199" width="8.85546875" style="1688" customWidth="1"/>
    <col min="8200" max="8200" width="8.5703125" style="1688" customWidth="1"/>
    <col min="8201" max="8201" width="8" style="1688" customWidth="1"/>
    <col min="8202" max="8202" width="8.7109375" style="1688" customWidth="1"/>
    <col min="8203" max="8203" width="13.42578125" style="1688" customWidth="1"/>
    <col min="8204" max="8204" width="10.42578125" style="1688" customWidth="1"/>
    <col min="8205" max="8205" width="9.140625" style="1688"/>
    <col min="8206" max="8206" width="14.5703125" style="1688" bestFit="1" customWidth="1"/>
    <col min="8207" max="8207" width="9.140625" style="1688"/>
    <col min="8208" max="8208" width="14.5703125" style="1688" bestFit="1" customWidth="1"/>
    <col min="8209" max="8448" width="9.140625" style="1688"/>
    <col min="8449" max="8449" width="11.28515625" style="1688" customWidth="1"/>
    <col min="8450" max="8451" width="9.140625" style="1688"/>
    <col min="8452" max="8452" width="9.85546875" style="1688" customWidth="1"/>
    <col min="8453" max="8454" width="9.140625" style="1688" customWidth="1"/>
    <col min="8455" max="8455" width="8.85546875" style="1688" customWidth="1"/>
    <col min="8456" max="8456" width="8.5703125" style="1688" customWidth="1"/>
    <col min="8457" max="8457" width="8" style="1688" customWidth="1"/>
    <col min="8458" max="8458" width="8.7109375" style="1688" customWidth="1"/>
    <col min="8459" max="8459" width="13.42578125" style="1688" customWidth="1"/>
    <col min="8460" max="8460" width="10.42578125" style="1688" customWidth="1"/>
    <col min="8461" max="8461" width="9.140625" style="1688"/>
    <col min="8462" max="8462" width="14.5703125" style="1688" bestFit="1" customWidth="1"/>
    <col min="8463" max="8463" width="9.140625" style="1688"/>
    <col min="8464" max="8464" width="14.5703125" style="1688" bestFit="1" customWidth="1"/>
    <col min="8465" max="8704" width="9.140625" style="1688"/>
    <col min="8705" max="8705" width="11.28515625" style="1688" customWidth="1"/>
    <col min="8706" max="8707" width="9.140625" style="1688"/>
    <col min="8708" max="8708" width="9.85546875" style="1688" customWidth="1"/>
    <col min="8709" max="8710" width="9.140625" style="1688" customWidth="1"/>
    <col min="8711" max="8711" width="8.85546875" style="1688" customWidth="1"/>
    <col min="8712" max="8712" width="8.5703125" style="1688" customWidth="1"/>
    <col min="8713" max="8713" width="8" style="1688" customWidth="1"/>
    <col min="8714" max="8714" width="8.7109375" style="1688" customWidth="1"/>
    <col min="8715" max="8715" width="13.42578125" style="1688" customWidth="1"/>
    <col min="8716" max="8716" width="10.42578125" style="1688" customWidth="1"/>
    <col min="8717" max="8717" width="9.140625" style="1688"/>
    <col min="8718" max="8718" width="14.5703125" style="1688" bestFit="1" customWidth="1"/>
    <col min="8719" max="8719" width="9.140625" style="1688"/>
    <col min="8720" max="8720" width="14.5703125" style="1688" bestFit="1" customWidth="1"/>
    <col min="8721" max="8960" width="9.140625" style="1688"/>
    <col min="8961" max="8961" width="11.28515625" style="1688" customWidth="1"/>
    <col min="8962" max="8963" width="9.140625" style="1688"/>
    <col min="8964" max="8964" width="9.85546875" style="1688" customWidth="1"/>
    <col min="8965" max="8966" width="9.140625" style="1688" customWidth="1"/>
    <col min="8967" max="8967" width="8.85546875" style="1688" customWidth="1"/>
    <col min="8968" max="8968" width="8.5703125" style="1688" customWidth="1"/>
    <col min="8969" max="8969" width="8" style="1688" customWidth="1"/>
    <col min="8970" max="8970" width="8.7109375" style="1688" customWidth="1"/>
    <col min="8971" max="8971" width="13.42578125" style="1688" customWidth="1"/>
    <col min="8972" max="8972" width="10.42578125" style="1688" customWidth="1"/>
    <col min="8973" max="8973" width="9.140625" style="1688"/>
    <col min="8974" max="8974" width="14.5703125" style="1688" bestFit="1" customWidth="1"/>
    <col min="8975" max="8975" width="9.140625" style="1688"/>
    <col min="8976" max="8976" width="14.5703125" style="1688" bestFit="1" customWidth="1"/>
    <col min="8977" max="9216" width="9.140625" style="1688"/>
    <col min="9217" max="9217" width="11.28515625" style="1688" customWidth="1"/>
    <col min="9218" max="9219" width="9.140625" style="1688"/>
    <col min="9220" max="9220" width="9.85546875" style="1688" customWidth="1"/>
    <col min="9221" max="9222" width="9.140625" style="1688" customWidth="1"/>
    <col min="9223" max="9223" width="8.85546875" style="1688" customWidth="1"/>
    <col min="9224" max="9224" width="8.5703125" style="1688" customWidth="1"/>
    <col min="9225" max="9225" width="8" style="1688" customWidth="1"/>
    <col min="9226" max="9226" width="8.7109375" style="1688" customWidth="1"/>
    <col min="9227" max="9227" width="13.42578125" style="1688" customWidth="1"/>
    <col min="9228" max="9228" width="10.42578125" style="1688" customWidth="1"/>
    <col min="9229" max="9229" width="9.140625" style="1688"/>
    <col min="9230" max="9230" width="14.5703125" style="1688" bestFit="1" customWidth="1"/>
    <col min="9231" max="9231" width="9.140625" style="1688"/>
    <col min="9232" max="9232" width="14.5703125" style="1688" bestFit="1" customWidth="1"/>
    <col min="9233" max="9472" width="9.140625" style="1688"/>
    <col min="9473" max="9473" width="11.28515625" style="1688" customWidth="1"/>
    <col min="9474" max="9475" width="9.140625" style="1688"/>
    <col min="9476" max="9476" width="9.85546875" style="1688" customWidth="1"/>
    <col min="9477" max="9478" width="9.140625" style="1688" customWidth="1"/>
    <col min="9479" max="9479" width="8.85546875" style="1688" customWidth="1"/>
    <col min="9480" max="9480" width="8.5703125" style="1688" customWidth="1"/>
    <col min="9481" max="9481" width="8" style="1688" customWidth="1"/>
    <col min="9482" max="9482" width="8.7109375" style="1688" customWidth="1"/>
    <col min="9483" max="9483" width="13.42578125" style="1688" customWidth="1"/>
    <col min="9484" max="9484" width="10.42578125" style="1688" customWidth="1"/>
    <col min="9485" max="9485" width="9.140625" style="1688"/>
    <col min="9486" max="9486" width="14.5703125" style="1688" bestFit="1" customWidth="1"/>
    <col min="9487" max="9487" width="9.140625" style="1688"/>
    <col min="9488" max="9488" width="14.5703125" style="1688" bestFit="1" customWidth="1"/>
    <col min="9489" max="9728" width="9.140625" style="1688"/>
    <col min="9729" max="9729" width="11.28515625" style="1688" customWidth="1"/>
    <col min="9730" max="9731" width="9.140625" style="1688"/>
    <col min="9732" max="9732" width="9.85546875" style="1688" customWidth="1"/>
    <col min="9733" max="9734" width="9.140625" style="1688" customWidth="1"/>
    <col min="9735" max="9735" width="8.85546875" style="1688" customWidth="1"/>
    <col min="9736" max="9736" width="8.5703125" style="1688" customWidth="1"/>
    <col min="9737" max="9737" width="8" style="1688" customWidth="1"/>
    <col min="9738" max="9738" width="8.7109375" style="1688" customWidth="1"/>
    <col min="9739" max="9739" width="13.42578125" style="1688" customWidth="1"/>
    <col min="9740" max="9740" width="10.42578125" style="1688" customWidth="1"/>
    <col min="9741" max="9741" width="9.140625" style="1688"/>
    <col min="9742" max="9742" width="14.5703125" style="1688" bestFit="1" customWidth="1"/>
    <col min="9743" max="9743" width="9.140625" style="1688"/>
    <col min="9744" max="9744" width="14.5703125" style="1688" bestFit="1" customWidth="1"/>
    <col min="9745" max="9984" width="9.140625" style="1688"/>
    <col min="9985" max="9985" width="11.28515625" style="1688" customWidth="1"/>
    <col min="9986" max="9987" width="9.140625" style="1688"/>
    <col min="9988" max="9988" width="9.85546875" style="1688" customWidth="1"/>
    <col min="9989" max="9990" width="9.140625" style="1688" customWidth="1"/>
    <col min="9991" max="9991" width="8.85546875" style="1688" customWidth="1"/>
    <col min="9992" max="9992" width="8.5703125" style="1688" customWidth="1"/>
    <col min="9993" max="9993" width="8" style="1688" customWidth="1"/>
    <col min="9994" max="9994" width="8.7109375" style="1688" customWidth="1"/>
    <col min="9995" max="9995" width="13.42578125" style="1688" customWidth="1"/>
    <col min="9996" max="9996" width="10.42578125" style="1688" customWidth="1"/>
    <col min="9997" max="9997" width="9.140625" style="1688"/>
    <col min="9998" max="9998" width="14.5703125" style="1688" bestFit="1" customWidth="1"/>
    <col min="9999" max="9999" width="9.140625" style="1688"/>
    <col min="10000" max="10000" width="14.5703125" style="1688" bestFit="1" customWidth="1"/>
    <col min="10001" max="10240" width="9.140625" style="1688"/>
    <col min="10241" max="10241" width="11.28515625" style="1688" customWidth="1"/>
    <col min="10242" max="10243" width="9.140625" style="1688"/>
    <col min="10244" max="10244" width="9.85546875" style="1688" customWidth="1"/>
    <col min="10245" max="10246" width="9.140625" style="1688" customWidth="1"/>
    <col min="10247" max="10247" width="8.85546875" style="1688" customWidth="1"/>
    <col min="10248" max="10248" width="8.5703125" style="1688" customWidth="1"/>
    <col min="10249" max="10249" width="8" style="1688" customWidth="1"/>
    <col min="10250" max="10250" width="8.7109375" style="1688" customWidth="1"/>
    <col min="10251" max="10251" width="13.42578125" style="1688" customWidth="1"/>
    <col min="10252" max="10252" width="10.42578125" style="1688" customWidth="1"/>
    <col min="10253" max="10253" width="9.140625" style="1688"/>
    <col min="10254" max="10254" width="14.5703125" style="1688" bestFit="1" customWidth="1"/>
    <col min="10255" max="10255" width="9.140625" style="1688"/>
    <col min="10256" max="10256" width="14.5703125" style="1688" bestFit="1" customWidth="1"/>
    <col min="10257" max="10496" width="9.140625" style="1688"/>
    <col min="10497" max="10497" width="11.28515625" style="1688" customWidth="1"/>
    <col min="10498" max="10499" width="9.140625" style="1688"/>
    <col min="10500" max="10500" width="9.85546875" style="1688" customWidth="1"/>
    <col min="10501" max="10502" width="9.140625" style="1688" customWidth="1"/>
    <col min="10503" max="10503" width="8.85546875" style="1688" customWidth="1"/>
    <col min="10504" max="10504" width="8.5703125" style="1688" customWidth="1"/>
    <col min="10505" max="10505" width="8" style="1688" customWidth="1"/>
    <col min="10506" max="10506" width="8.7109375" style="1688" customWidth="1"/>
    <col min="10507" max="10507" width="13.42578125" style="1688" customWidth="1"/>
    <col min="10508" max="10508" width="10.42578125" style="1688" customWidth="1"/>
    <col min="10509" max="10509" width="9.140625" style="1688"/>
    <col min="10510" max="10510" width="14.5703125" style="1688" bestFit="1" customWidth="1"/>
    <col min="10511" max="10511" width="9.140625" style="1688"/>
    <col min="10512" max="10512" width="14.5703125" style="1688" bestFit="1" customWidth="1"/>
    <col min="10513" max="10752" width="9.140625" style="1688"/>
    <col min="10753" max="10753" width="11.28515625" style="1688" customWidth="1"/>
    <col min="10754" max="10755" width="9.140625" style="1688"/>
    <col min="10756" max="10756" width="9.85546875" style="1688" customWidth="1"/>
    <col min="10757" max="10758" width="9.140625" style="1688" customWidth="1"/>
    <col min="10759" max="10759" width="8.85546875" style="1688" customWidth="1"/>
    <col min="10760" max="10760" width="8.5703125" style="1688" customWidth="1"/>
    <col min="10761" max="10761" width="8" style="1688" customWidth="1"/>
    <col min="10762" max="10762" width="8.7109375" style="1688" customWidth="1"/>
    <col min="10763" max="10763" width="13.42578125" style="1688" customWidth="1"/>
    <col min="10764" max="10764" width="10.42578125" style="1688" customWidth="1"/>
    <col min="10765" max="10765" width="9.140625" style="1688"/>
    <col min="10766" max="10766" width="14.5703125" style="1688" bestFit="1" customWidth="1"/>
    <col min="10767" max="10767" width="9.140625" style="1688"/>
    <col min="10768" max="10768" width="14.5703125" style="1688" bestFit="1" customWidth="1"/>
    <col min="10769" max="11008" width="9.140625" style="1688"/>
    <col min="11009" max="11009" width="11.28515625" style="1688" customWidth="1"/>
    <col min="11010" max="11011" width="9.140625" style="1688"/>
    <col min="11012" max="11012" width="9.85546875" style="1688" customWidth="1"/>
    <col min="11013" max="11014" width="9.140625" style="1688" customWidth="1"/>
    <col min="11015" max="11015" width="8.85546875" style="1688" customWidth="1"/>
    <col min="11016" max="11016" width="8.5703125" style="1688" customWidth="1"/>
    <col min="11017" max="11017" width="8" style="1688" customWidth="1"/>
    <col min="11018" max="11018" width="8.7109375" style="1688" customWidth="1"/>
    <col min="11019" max="11019" width="13.42578125" style="1688" customWidth="1"/>
    <col min="11020" max="11020" width="10.42578125" style="1688" customWidth="1"/>
    <col min="11021" max="11021" width="9.140625" style="1688"/>
    <col min="11022" max="11022" width="14.5703125" style="1688" bestFit="1" customWidth="1"/>
    <col min="11023" max="11023" width="9.140625" style="1688"/>
    <col min="11024" max="11024" width="14.5703125" style="1688" bestFit="1" customWidth="1"/>
    <col min="11025" max="11264" width="9.140625" style="1688"/>
    <col min="11265" max="11265" width="11.28515625" style="1688" customWidth="1"/>
    <col min="11266" max="11267" width="9.140625" style="1688"/>
    <col min="11268" max="11268" width="9.85546875" style="1688" customWidth="1"/>
    <col min="11269" max="11270" width="9.140625" style="1688" customWidth="1"/>
    <col min="11271" max="11271" width="8.85546875" style="1688" customWidth="1"/>
    <col min="11272" max="11272" width="8.5703125" style="1688" customWidth="1"/>
    <col min="11273" max="11273" width="8" style="1688" customWidth="1"/>
    <col min="11274" max="11274" width="8.7109375" style="1688" customWidth="1"/>
    <col min="11275" max="11275" width="13.42578125" style="1688" customWidth="1"/>
    <col min="11276" max="11276" width="10.42578125" style="1688" customWidth="1"/>
    <col min="11277" max="11277" width="9.140625" style="1688"/>
    <col min="11278" max="11278" width="14.5703125" style="1688" bestFit="1" customWidth="1"/>
    <col min="11279" max="11279" width="9.140625" style="1688"/>
    <col min="11280" max="11280" width="14.5703125" style="1688" bestFit="1" customWidth="1"/>
    <col min="11281" max="11520" width="9.140625" style="1688"/>
    <col min="11521" max="11521" width="11.28515625" style="1688" customWidth="1"/>
    <col min="11522" max="11523" width="9.140625" style="1688"/>
    <col min="11524" max="11524" width="9.85546875" style="1688" customWidth="1"/>
    <col min="11525" max="11526" width="9.140625" style="1688" customWidth="1"/>
    <col min="11527" max="11527" width="8.85546875" style="1688" customWidth="1"/>
    <col min="11528" max="11528" width="8.5703125" style="1688" customWidth="1"/>
    <col min="11529" max="11529" width="8" style="1688" customWidth="1"/>
    <col min="11530" max="11530" width="8.7109375" style="1688" customWidth="1"/>
    <col min="11531" max="11531" width="13.42578125" style="1688" customWidth="1"/>
    <col min="11532" max="11532" width="10.42578125" style="1688" customWidth="1"/>
    <col min="11533" max="11533" width="9.140625" style="1688"/>
    <col min="11534" max="11534" width="14.5703125" style="1688" bestFit="1" customWidth="1"/>
    <col min="11535" max="11535" width="9.140625" style="1688"/>
    <col min="11536" max="11536" width="14.5703125" style="1688" bestFit="1" customWidth="1"/>
    <col min="11537" max="11776" width="9.140625" style="1688"/>
    <col min="11777" max="11777" width="11.28515625" style="1688" customWidth="1"/>
    <col min="11778" max="11779" width="9.140625" style="1688"/>
    <col min="11780" max="11780" width="9.85546875" style="1688" customWidth="1"/>
    <col min="11781" max="11782" width="9.140625" style="1688" customWidth="1"/>
    <col min="11783" max="11783" width="8.85546875" style="1688" customWidth="1"/>
    <col min="11784" max="11784" width="8.5703125" style="1688" customWidth="1"/>
    <col min="11785" max="11785" width="8" style="1688" customWidth="1"/>
    <col min="11786" max="11786" width="8.7109375" style="1688" customWidth="1"/>
    <col min="11787" max="11787" width="13.42578125" style="1688" customWidth="1"/>
    <col min="11788" max="11788" width="10.42578125" style="1688" customWidth="1"/>
    <col min="11789" max="11789" width="9.140625" style="1688"/>
    <col min="11790" max="11790" width="14.5703125" style="1688" bestFit="1" customWidth="1"/>
    <col min="11791" max="11791" width="9.140625" style="1688"/>
    <col min="11792" max="11792" width="14.5703125" style="1688" bestFit="1" customWidth="1"/>
    <col min="11793" max="12032" width="9.140625" style="1688"/>
    <col min="12033" max="12033" width="11.28515625" style="1688" customWidth="1"/>
    <col min="12034" max="12035" width="9.140625" style="1688"/>
    <col min="12036" max="12036" width="9.85546875" style="1688" customWidth="1"/>
    <col min="12037" max="12038" width="9.140625" style="1688" customWidth="1"/>
    <col min="12039" max="12039" width="8.85546875" style="1688" customWidth="1"/>
    <col min="12040" max="12040" width="8.5703125" style="1688" customWidth="1"/>
    <col min="12041" max="12041" width="8" style="1688" customWidth="1"/>
    <col min="12042" max="12042" width="8.7109375" style="1688" customWidth="1"/>
    <col min="12043" max="12043" width="13.42578125" style="1688" customWidth="1"/>
    <col min="12044" max="12044" width="10.42578125" style="1688" customWidth="1"/>
    <col min="12045" max="12045" width="9.140625" style="1688"/>
    <col min="12046" max="12046" width="14.5703125" style="1688" bestFit="1" customWidth="1"/>
    <col min="12047" max="12047" width="9.140625" style="1688"/>
    <col min="12048" max="12048" width="14.5703125" style="1688" bestFit="1" customWidth="1"/>
    <col min="12049" max="12288" width="9.140625" style="1688"/>
    <col min="12289" max="12289" width="11.28515625" style="1688" customWidth="1"/>
    <col min="12290" max="12291" width="9.140625" style="1688"/>
    <col min="12292" max="12292" width="9.85546875" style="1688" customWidth="1"/>
    <col min="12293" max="12294" width="9.140625" style="1688" customWidth="1"/>
    <col min="12295" max="12295" width="8.85546875" style="1688" customWidth="1"/>
    <col min="12296" max="12296" width="8.5703125" style="1688" customWidth="1"/>
    <col min="12297" max="12297" width="8" style="1688" customWidth="1"/>
    <col min="12298" max="12298" width="8.7109375" style="1688" customWidth="1"/>
    <col min="12299" max="12299" width="13.42578125" style="1688" customWidth="1"/>
    <col min="12300" max="12300" width="10.42578125" style="1688" customWidth="1"/>
    <col min="12301" max="12301" width="9.140625" style="1688"/>
    <col min="12302" max="12302" width="14.5703125" style="1688" bestFit="1" customWidth="1"/>
    <col min="12303" max="12303" width="9.140625" style="1688"/>
    <col min="12304" max="12304" width="14.5703125" style="1688" bestFit="1" customWidth="1"/>
    <col min="12305" max="12544" width="9.140625" style="1688"/>
    <col min="12545" max="12545" width="11.28515625" style="1688" customWidth="1"/>
    <col min="12546" max="12547" width="9.140625" style="1688"/>
    <col min="12548" max="12548" width="9.85546875" style="1688" customWidth="1"/>
    <col min="12549" max="12550" width="9.140625" style="1688" customWidth="1"/>
    <col min="12551" max="12551" width="8.85546875" style="1688" customWidth="1"/>
    <col min="12552" max="12552" width="8.5703125" style="1688" customWidth="1"/>
    <col min="12553" max="12553" width="8" style="1688" customWidth="1"/>
    <col min="12554" max="12554" width="8.7109375" style="1688" customWidth="1"/>
    <col min="12555" max="12555" width="13.42578125" style="1688" customWidth="1"/>
    <col min="12556" max="12556" width="10.42578125" style="1688" customWidth="1"/>
    <col min="12557" max="12557" width="9.140625" style="1688"/>
    <col min="12558" max="12558" width="14.5703125" style="1688" bestFit="1" customWidth="1"/>
    <col min="12559" max="12559" width="9.140625" style="1688"/>
    <col min="12560" max="12560" width="14.5703125" style="1688" bestFit="1" customWidth="1"/>
    <col min="12561" max="12800" width="9.140625" style="1688"/>
    <col min="12801" max="12801" width="11.28515625" style="1688" customWidth="1"/>
    <col min="12802" max="12803" width="9.140625" style="1688"/>
    <col min="12804" max="12804" width="9.85546875" style="1688" customWidth="1"/>
    <col min="12805" max="12806" width="9.140625" style="1688" customWidth="1"/>
    <col min="12807" max="12807" width="8.85546875" style="1688" customWidth="1"/>
    <col min="12808" max="12808" width="8.5703125" style="1688" customWidth="1"/>
    <col min="12809" max="12809" width="8" style="1688" customWidth="1"/>
    <col min="12810" max="12810" width="8.7109375" style="1688" customWidth="1"/>
    <col min="12811" max="12811" width="13.42578125" style="1688" customWidth="1"/>
    <col min="12812" max="12812" width="10.42578125" style="1688" customWidth="1"/>
    <col min="12813" max="12813" width="9.140625" style="1688"/>
    <col min="12814" max="12814" width="14.5703125" style="1688" bestFit="1" customWidth="1"/>
    <col min="12815" max="12815" width="9.140625" style="1688"/>
    <col min="12816" max="12816" width="14.5703125" style="1688" bestFit="1" customWidth="1"/>
    <col min="12817" max="13056" width="9.140625" style="1688"/>
    <col min="13057" max="13057" width="11.28515625" style="1688" customWidth="1"/>
    <col min="13058" max="13059" width="9.140625" style="1688"/>
    <col min="13060" max="13060" width="9.85546875" style="1688" customWidth="1"/>
    <col min="13061" max="13062" width="9.140625" style="1688" customWidth="1"/>
    <col min="13063" max="13063" width="8.85546875" style="1688" customWidth="1"/>
    <col min="13064" max="13064" width="8.5703125" style="1688" customWidth="1"/>
    <col min="13065" max="13065" width="8" style="1688" customWidth="1"/>
    <col min="13066" max="13066" width="8.7109375" style="1688" customWidth="1"/>
    <col min="13067" max="13067" width="13.42578125" style="1688" customWidth="1"/>
    <col min="13068" max="13068" width="10.42578125" style="1688" customWidth="1"/>
    <col min="13069" max="13069" width="9.140625" style="1688"/>
    <col min="13070" max="13070" width="14.5703125" style="1688" bestFit="1" customWidth="1"/>
    <col min="13071" max="13071" width="9.140625" style="1688"/>
    <col min="13072" max="13072" width="14.5703125" style="1688" bestFit="1" customWidth="1"/>
    <col min="13073" max="13312" width="9.140625" style="1688"/>
    <col min="13313" max="13313" width="11.28515625" style="1688" customWidth="1"/>
    <col min="13314" max="13315" width="9.140625" style="1688"/>
    <col min="13316" max="13316" width="9.85546875" style="1688" customWidth="1"/>
    <col min="13317" max="13318" width="9.140625" style="1688" customWidth="1"/>
    <col min="13319" max="13319" width="8.85546875" style="1688" customWidth="1"/>
    <col min="13320" max="13320" width="8.5703125" style="1688" customWidth="1"/>
    <col min="13321" max="13321" width="8" style="1688" customWidth="1"/>
    <col min="13322" max="13322" width="8.7109375" style="1688" customWidth="1"/>
    <col min="13323" max="13323" width="13.42578125" style="1688" customWidth="1"/>
    <col min="13324" max="13324" width="10.42578125" style="1688" customWidth="1"/>
    <col min="13325" max="13325" width="9.140625" style="1688"/>
    <col min="13326" max="13326" width="14.5703125" style="1688" bestFit="1" customWidth="1"/>
    <col min="13327" max="13327" width="9.140625" style="1688"/>
    <col min="13328" max="13328" width="14.5703125" style="1688" bestFit="1" customWidth="1"/>
    <col min="13329" max="13568" width="9.140625" style="1688"/>
    <col min="13569" max="13569" width="11.28515625" style="1688" customWidth="1"/>
    <col min="13570" max="13571" width="9.140625" style="1688"/>
    <col min="13572" max="13572" width="9.85546875" style="1688" customWidth="1"/>
    <col min="13573" max="13574" width="9.140625" style="1688" customWidth="1"/>
    <col min="13575" max="13575" width="8.85546875" style="1688" customWidth="1"/>
    <col min="13576" max="13576" width="8.5703125" style="1688" customWidth="1"/>
    <col min="13577" max="13577" width="8" style="1688" customWidth="1"/>
    <col min="13578" max="13578" width="8.7109375" style="1688" customWidth="1"/>
    <col min="13579" max="13579" width="13.42578125" style="1688" customWidth="1"/>
    <col min="13580" max="13580" width="10.42578125" style="1688" customWidth="1"/>
    <col min="13581" max="13581" width="9.140625" style="1688"/>
    <col min="13582" max="13582" width="14.5703125" style="1688" bestFit="1" customWidth="1"/>
    <col min="13583" max="13583" width="9.140625" style="1688"/>
    <col min="13584" max="13584" width="14.5703125" style="1688" bestFit="1" customWidth="1"/>
    <col min="13585" max="13824" width="9.140625" style="1688"/>
    <col min="13825" max="13825" width="11.28515625" style="1688" customWidth="1"/>
    <col min="13826" max="13827" width="9.140625" style="1688"/>
    <col min="13828" max="13828" width="9.85546875" style="1688" customWidth="1"/>
    <col min="13829" max="13830" width="9.140625" style="1688" customWidth="1"/>
    <col min="13831" max="13831" width="8.85546875" style="1688" customWidth="1"/>
    <col min="13832" max="13832" width="8.5703125" style="1688" customWidth="1"/>
    <col min="13833" max="13833" width="8" style="1688" customWidth="1"/>
    <col min="13834" max="13834" width="8.7109375" style="1688" customWidth="1"/>
    <col min="13835" max="13835" width="13.42578125" style="1688" customWidth="1"/>
    <col min="13836" max="13836" width="10.42578125" style="1688" customWidth="1"/>
    <col min="13837" max="13837" width="9.140625" style="1688"/>
    <col min="13838" max="13838" width="14.5703125" style="1688" bestFit="1" customWidth="1"/>
    <col min="13839" max="13839" width="9.140625" style="1688"/>
    <col min="13840" max="13840" width="14.5703125" style="1688" bestFit="1" customWidth="1"/>
    <col min="13841" max="14080" width="9.140625" style="1688"/>
    <col min="14081" max="14081" width="11.28515625" style="1688" customWidth="1"/>
    <col min="14082" max="14083" width="9.140625" style="1688"/>
    <col min="14084" max="14084" width="9.85546875" style="1688" customWidth="1"/>
    <col min="14085" max="14086" width="9.140625" style="1688" customWidth="1"/>
    <col min="14087" max="14087" width="8.85546875" style="1688" customWidth="1"/>
    <col min="14088" max="14088" width="8.5703125" style="1688" customWidth="1"/>
    <col min="14089" max="14089" width="8" style="1688" customWidth="1"/>
    <col min="14090" max="14090" width="8.7109375" style="1688" customWidth="1"/>
    <col min="14091" max="14091" width="13.42578125" style="1688" customWidth="1"/>
    <col min="14092" max="14092" width="10.42578125" style="1688" customWidth="1"/>
    <col min="14093" max="14093" width="9.140625" style="1688"/>
    <col min="14094" max="14094" width="14.5703125" style="1688" bestFit="1" customWidth="1"/>
    <col min="14095" max="14095" width="9.140625" style="1688"/>
    <col min="14096" max="14096" width="14.5703125" style="1688" bestFit="1" customWidth="1"/>
    <col min="14097" max="14336" width="9.140625" style="1688"/>
    <col min="14337" max="14337" width="11.28515625" style="1688" customWidth="1"/>
    <col min="14338" max="14339" width="9.140625" style="1688"/>
    <col min="14340" max="14340" width="9.85546875" style="1688" customWidth="1"/>
    <col min="14341" max="14342" width="9.140625" style="1688" customWidth="1"/>
    <col min="14343" max="14343" width="8.85546875" style="1688" customWidth="1"/>
    <col min="14344" max="14344" width="8.5703125" style="1688" customWidth="1"/>
    <col min="14345" max="14345" width="8" style="1688" customWidth="1"/>
    <col min="14346" max="14346" width="8.7109375" style="1688" customWidth="1"/>
    <col min="14347" max="14347" width="13.42578125" style="1688" customWidth="1"/>
    <col min="14348" max="14348" width="10.42578125" style="1688" customWidth="1"/>
    <col min="14349" max="14349" width="9.140625" style="1688"/>
    <col min="14350" max="14350" width="14.5703125" style="1688" bestFit="1" customWidth="1"/>
    <col min="14351" max="14351" width="9.140625" style="1688"/>
    <col min="14352" max="14352" width="14.5703125" style="1688" bestFit="1" customWidth="1"/>
    <col min="14353" max="14592" width="9.140625" style="1688"/>
    <col min="14593" max="14593" width="11.28515625" style="1688" customWidth="1"/>
    <col min="14594" max="14595" width="9.140625" style="1688"/>
    <col min="14596" max="14596" width="9.85546875" style="1688" customWidth="1"/>
    <col min="14597" max="14598" width="9.140625" style="1688" customWidth="1"/>
    <col min="14599" max="14599" width="8.85546875" style="1688" customWidth="1"/>
    <col min="14600" max="14600" width="8.5703125" style="1688" customWidth="1"/>
    <col min="14601" max="14601" width="8" style="1688" customWidth="1"/>
    <col min="14602" max="14602" width="8.7109375" style="1688" customWidth="1"/>
    <col min="14603" max="14603" width="13.42578125" style="1688" customWidth="1"/>
    <col min="14604" max="14604" width="10.42578125" style="1688" customWidth="1"/>
    <col min="14605" max="14605" width="9.140625" style="1688"/>
    <col min="14606" max="14606" width="14.5703125" style="1688" bestFit="1" customWidth="1"/>
    <col min="14607" max="14607" width="9.140625" style="1688"/>
    <col min="14608" max="14608" width="14.5703125" style="1688" bestFit="1" customWidth="1"/>
    <col min="14609" max="14848" width="9.140625" style="1688"/>
    <col min="14849" max="14849" width="11.28515625" style="1688" customWidth="1"/>
    <col min="14850" max="14851" width="9.140625" style="1688"/>
    <col min="14852" max="14852" width="9.85546875" style="1688" customWidth="1"/>
    <col min="14853" max="14854" width="9.140625" style="1688" customWidth="1"/>
    <col min="14855" max="14855" width="8.85546875" style="1688" customWidth="1"/>
    <col min="14856" max="14856" width="8.5703125" style="1688" customWidth="1"/>
    <col min="14857" max="14857" width="8" style="1688" customWidth="1"/>
    <col min="14858" max="14858" width="8.7109375" style="1688" customWidth="1"/>
    <col min="14859" max="14859" width="13.42578125" style="1688" customWidth="1"/>
    <col min="14860" max="14860" width="10.42578125" style="1688" customWidth="1"/>
    <col min="14861" max="14861" width="9.140625" style="1688"/>
    <col min="14862" max="14862" width="14.5703125" style="1688" bestFit="1" customWidth="1"/>
    <col min="14863" max="14863" width="9.140625" style="1688"/>
    <col min="14864" max="14864" width="14.5703125" style="1688" bestFit="1" customWidth="1"/>
    <col min="14865" max="15104" width="9.140625" style="1688"/>
    <col min="15105" max="15105" width="11.28515625" style="1688" customWidth="1"/>
    <col min="15106" max="15107" width="9.140625" style="1688"/>
    <col min="15108" max="15108" width="9.85546875" style="1688" customWidth="1"/>
    <col min="15109" max="15110" width="9.140625" style="1688" customWidth="1"/>
    <col min="15111" max="15111" width="8.85546875" style="1688" customWidth="1"/>
    <col min="15112" max="15112" width="8.5703125" style="1688" customWidth="1"/>
    <col min="15113" max="15113" width="8" style="1688" customWidth="1"/>
    <col min="15114" max="15114" width="8.7109375" style="1688" customWidth="1"/>
    <col min="15115" max="15115" width="13.42578125" style="1688" customWidth="1"/>
    <col min="15116" max="15116" width="10.42578125" style="1688" customWidth="1"/>
    <col min="15117" max="15117" width="9.140625" style="1688"/>
    <col min="15118" max="15118" width="14.5703125" style="1688" bestFit="1" customWidth="1"/>
    <col min="15119" max="15119" width="9.140625" style="1688"/>
    <col min="15120" max="15120" width="14.5703125" style="1688" bestFit="1" customWidth="1"/>
    <col min="15121" max="15360" width="9.140625" style="1688"/>
    <col min="15361" max="15361" width="11.28515625" style="1688" customWidth="1"/>
    <col min="15362" max="15363" width="9.140625" style="1688"/>
    <col min="15364" max="15364" width="9.85546875" style="1688" customWidth="1"/>
    <col min="15365" max="15366" width="9.140625" style="1688" customWidth="1"/>
    <col min="15367" max="15367" width="8.85546875" style="1688" customWidth="1"/>
    <col min="15368" max="15368" width="8.5703125" style="1688" customWidth="1"/>
    <col min="15369" max="15369" width="8" style="1688" customWidth="1"/>
    <col min="15370" max="15370" width="8.7109375" style="1688" customWidth="1"/>
    <col min="15371" max="15371" width="13.42578125" style="1688" customWidth="1"/>
    <col min="15372" max="15372" width="10.42578125" style="1688" customWidth="1"/>
    <col min="15373" max="15373" width="9.140625" style="1688"/>
    <col min="15374" max="15374" width="14.5703125" style="1688" bestFit="1" customWidth="1"/>
    <col min="15375" max="15375" width="9.140625" style="1688"/>
    <col min="15376" max="15376" width="14.5703125" style="1688" bestFit="1" customWidth="1"/>
    <col min="15377" max="15616" width="9.140625" style="1688"/>
    <col min="15617" max="15617" width="11.28515625" style="1688" customWidth="1"/>
    <col min="15618" max="15619" width="9.140625" style="1688"/>
    <col min="15620" max="15620" width="9.85546875" style="1688" customWidth="1"/>
    <col min="15621" max="15622" width="9.140625" style="1688" customWidth="1"/>
    <col min="15623" max="15623" width="8.85546875" style="1688" customWidth="1"/>
    <col min="15624" max="15624" width="8.5703125" style="1688" customWidth="1"/>
    <col min="15625" max="15625" width="8" style="1688" customWidth="1"/>
    <col min="15626" max="15626" width="8.7109375" style="1688" customWidth="1"/>
    <col min="15627" max="15627" width="13.42578125" style="1688" customWidth="1"/>
    <col min="15628" max="15628" width="10.42578125" style="1688" customWidth="1"/>
    <col min="15629" max="15629" width="9.140625" style="1688"/>
    <col min="15630" max="15630" width="14.5703125" style="1688" bestFit="1" customWidth="1"/>
    <col min="15631" max="15631" width="9.140625" style="1688"/>
    <col min="15632" max="15632" width="14.5703125" style="1688" bestFit="1" customWidth="1"/>
    <col min="15633" max="15872" width="9.140625" style="1688"/>
    <col min="15873" max="15873" width="11.28515625" style="1688" customWidth="1"/>
    <col min="15874" max="15875" width="9.140625" style="1688"/>
    <col min="15876" max="15876" width="9.85546875" style="1688" customWidth="1"/>
    <col min="15877" max="15878" width="9.140625" style="1688" customWidth="1"/>
    <col min="15879" max="15879" width="8.85546875" style="1688" customWidth="1"/>
    <col min="15880" max="15880" width="8.5703125" style="1688" customWidth="1"/>
    <col min="15881" max="15881" width="8" style="1688" customWidth="1"/>
    <col min="15882" max="15882" width="8.7109375" style="1688" customWidth="1"/>
    <col min="15883" max="15883" width="13.42578125" style="1688" customWidth="1"/>
    <col min="15884" max="15884" width="10.42578125" style="1688" customWidth="1"/>
    <col min="15885" max="15885" width="9.140625" style="1688"/>
    <col min="15886" max="15886" width="14.5703125" style="1688" bestFit="1" customWidth="1"/>
    <col min="15887" max="15887" width="9.140625" style="1688"/>
    <col min="15888" max="15888" width="14.5703125" style="1688" bestFit="1" customWidth="1"/>
    <col min="15889" max="16128" width="9.140625" style="1688"/>
    <col min="16129" max="16129" width="11.28515625" style="1688" customWidth="1"/>
    <col min="16130" max="16131" width="9.140625" style="1688"/>
    <col min="16132" max="16132" width="9.85546875" style="1688" customWidth="1"/>
    <col min="16133" max="16134" width="9.140625" style="1688" customWidth="1"/>
    <col min="16135" max="16135" width="8.85546875" style="1688" customWidth="1"/>
    <col min="16136" max="16136" width="8.5703125" style="1688" customWidth="1"/>
    <col min="16137" max="16137" width="8" style="1688" customWidth="1"/>
    <col min="16138" max="16138" width="8.7109375" style="1688" customWidth="1"/>
    <col min="16139" max="16139" width="13.42578125" style="1688" customWidth="1"/>
    <col min="16140" max="16140" width="10.42578125" style="1688" customWidth="1"/>
    <col min="16141" max="16141" width="9.140625" style="1688"/>
    <col min="16142" max="16142" width="14.5703125" style="1688" bestFit="1" customWidth="1"/>
    <col min="16143" max="16143" width="9.140625" style="1688"/>
    <col min="16144" max="16144" width="14.5703125" style="1688" bestFit="1" customWidth="1"/>
    <col min="16145" max="16384" width="9.140625" style="1688"/>
  </cols>
  <sheetData>
    <row r="1" spans="1:10" ht="23.25" customHeight="1">
      <c r="A1" s="1684" t="s">
        <v>3150</v>
      </c>
      <c r="B1" s="1685"/>
      <c r="C1" s="1685"/>
      <c r="D1" s="1685"/>
      <c r="E1" s="1685"/>
      <c r="F1" s="1686"/>
      <c r="G1" s="1686"/>
      <c r="H1" s="1686"/>
      <c r="I1" s="1687"/>
      <c r="J1" s="1687"/>
    </row>
    <row r="2" spans="1:10" s="1693" customFormat="1" ht="13.5" thickBot="1">
      <c r="A2" s="1689"/>
      <c r="B2" s="1690"/>
      <c r="C2" s="1690"/>
      <c r="D2" s="1691"/>
      <c r="E2" s="1690"/>
      <c r="F2" s="1690"/>
      <c r="G2" s="1691" t="s">
        <v>3057</v>
      </c>
      <c r="H2" s="1690"/>
      <c r="I2" s="1692"/>
      <c r="J2" s="1690"/>
    </row>
    <row r="3" spans="1:10" s="1693" customFormat="1" ht="30" customHeight="1" thickBot="1">
      <c r="A3" s="1694" t="s">
        <v>3095</v>
      </c>
      <c r="B3" s="3359" t="s">
        <v>3151</v>
      </c>
      <c r="C3" s="3360"/>
      <c r="D3" s="3359" t="s">
        <v>3152</v>
      </c>
      <c r="E3" s="3360"/>
      <c r="F3" s="3359" t="s">
        <v>3153</v>
      </c>
      <c r="G3" s="3360"/>
      <c r="H3" s="1695"/>
      <c r="I3" s="1695"/>
      <c r="J3" s="1695"/>
    </row>
    <row r="4" spans="1:10" s="1693" customFormat="1" ht="14.1" customHeight="1">
      <c r="A4" s="1696">
        <v>39264</v>
      </c>
      <c r="B4" s="3356">
        <v>7.1</v>
      </c>
      <c r="C4" s="3356"/>
      <c r="D4" s="3356">
        <v>5.0447389893233385</v>
      </c>
      <c r="E4" s="3356"/>
      <c r="F4" s="3356">
        <v>5.3791497041713932</v>
      </c>
      <c r="G4" s="3356"/>
      <c r="H4" s="1690"/>
      <c r="I4" s="1697"/>
      <c r="J4" s="1697"/>
    </row>
    <row r="5" spans="1:10" s="1693" customFormat="1" ht="14.1" hidden="1" customHeight="1">
      <c r="A5" s="1696">
        <v>39295</v>
      </c>
      <c r="B5" s="3356">
        <v>6.8</v>
      </c>
      <c r="C5" s="3356"/>
      <c r="D5" s="3356">
        <v>3.660396223215745</v>
      </c>
      <c r="E5" s="3356"/>
      <c r="F5" s="3356">
        <v>4.6578413383237649</v>
      </c>
      <c r="G5" s="3356"/>
      <c r="H5" s="1690"/>
      <c r="I5" s="1697"/>
      <c r="J5" s="1697"/>
    </row>
    <row r="6" spans="1:10" s="1693" customFormat="1" ht="14.1" hidden="1" customHeight="1">
      <c r="A6" s="1696">
        <v>39326</v>
      </c>
      <c r="B6" s="3356">
        <v>7.3</v>
      </c>
      <c r="C6" s="3356"/>
      <c r="D6" s="3356">
        <v>4.7259123460996921</v>
      </c>
      <c r="E6" s="3356"/>
      <c r="F6" s="3356">
        <v>5.0512072292763222</v>
      </c>
      <c r="G6" s="3356"/>
      <c r="H6" s="1690"/>
      <c r="I6" s="1697"/>
      <c r="J6" s="1697"/>
    </row>
    <row r="7" spans="1:10" s="1693" customFormat="1" ht="14.1" hidden="1" customHeight="1">
      <c r="A7" s="1696">
        <v>39356</v>
      </c>
      <c r="B7" s="3356">
        <v>8.4</v>
      </c>
      <c r="C7" s="3356"/>
      <c r="D7" s="3356">
        <v>5.0358509954642861</v>
      </c>
      <c r="E7" s="3356"/>
      <c r="F7" s="3356">
        <v>5.5418515387933631</v>
      </c>
      <c r="G7" s="3356"/>
      <c r="H7" s="1690"/>
      <c r="I7" s="1697"/>
      <c r="J7" s="1697"/>
    </row>
    <row r="8" spans="1:10" s="1693" customFormat="1" ht="14.1" hidden="1" customHeight="1">
      <c r="A8" s="1696">
        <v>39387</v>
      </c>
      <c r="B8" s="3356">
        <v>8.4</v>
      </c>
      <c r="C8" s="3356"/>
      <c r="D8" s="3356">
        <v>5.1075033046994012</v>
      </c>
      <c r="E8" s="3356"/>
      <c r="F8" s="3356">
        <v>5.6431344967298624</v>
      </c>
      <c r="G8" s="3356"/>
      <c r="H8" s="1690"/>
      <c r="I8" s="1697"/>
      <c r="J8" s="1697"/>
    </row>
    <row r="9" spans="1:10" s="1693" customFormat="1" ht="14.1" customHeight="1">
      <c r="A9" s="1696">
        <v>39417</v>
      </c>
      <c r="B9" s="3356">
        <v>8.6</v>
      </c>
      <c r="C9" s="3356"/>
      <c r="D9" s="3356">
        <v>5.0604430819486623</v>
      </c>
      <c r="E9" s="3356"/>
      <c r="F9" s="3356">
        <v>5.591690193063914</v>
      </c>
      <c r="G9" s="3356"/>
      <c r="H9" s="1690"/>
      <c r="I9" s="1697"/>
      <c r="J9" s="1697"/>
    </row>
    <row r="10" spans="1:10" s="1693" customFormat="1" ht="14.1" hidden="1" customHeight="1">
      <c r="A10" s="1696">
        <v>39448</v>
      </c>
      <c r="B10" s="3356">
        <v>9.9</v>
      </c>
      <c r="C10" s="3356"/>
      <c r="D10" s="3356">
        <v>8.0833099952848819</v>
      </c>
      <c r="E10" s="3356"/>
      <c r="F10" s="3356">
        <v>5.8939130096091974</v>
      </c>
      <c r="G10" s="3356"/>
      <c r="H10" s="1690"/>
      <c r="I10" s="1697"/>
      <c r="J10" s="1697"/>
    </row>
    <row r="11" spans="1:10" s="1693" customFormat="1" ht="14.1" hidden="1" customHeight="1">
      <c r="A11" s="1696">
        <v>39479</v>
      </c>
      <c r="B11" s="3356">
        <v>10.1</v>
      </c>
      <c r="C11" s="3356"/>
      <c r="D11" s="3356">
        <v>8.1201457581817635</v>
      </c>
      <c r="E11" s="3356"/>
      <c r="F11" s="3356">
        <v>5.8769776464297818</v>
      </c>
      <c r="G11" s="3356"/>
      <c r="H11" s="1690"/>
      <c r="I11" s="1697"/>
      <c r="J11" s="1697"/>
    </row>
    <row r="12" spans="1:10" s="1693" customFormat="1" ht="14.1" hidden="1" customHeight="1">
      <c r="A12" s="1696">
        <v>39509</v>
      </c>
      <c r="B12" s="3356">
        <v>9.3000000000000007</v>
      </c>
      <c r="C12" s="3356"/>
      <c r="D12" s="3356">
        <v>8.040251592514668</v>
      </c>
      <c r="E12" s="3356"/>
      <c r="F12" s="3356">
        <v>5.7638673007165631</v>
      </c>
      <c r="G12" s="3356"/>
      <c r="H12" s="1690"/>
      <c r="I12" s="1697"/>
      <c r="J12" s="1697"/>
    </row>
    <row r="13" spans="1:10" s="1693" customFormat="1" ht="14.1" hidden="1" customHeight="1">
      <c r="A13" s="1696">
        <v>39539</v>
      </c>
      <c r="B13" s="3356">
        <v>9.3000000000000007</v>
      </c>
      <c r="C13" s="3356"/>
      <c r="D13" s="3356">
        <v>8.9361330582487177</v>
      </c>
      <c r="E13" s="3356"/>
      <c r="F13" s="3356">
        <v>5.4932220195048842</v>
      </c>
      <c r="G13" s="3356"/>
      <c r="H13" s="1690"/>
      <c r="I13" s="1697"/>
      <c r="J13" s="1697"/>
    </row>
    <row r="14" spans="1:10" s="1693" customFormat="1" ht="14.1" hidden="1" customHeight="1">
      <c r="A14" s="1696">
        <v>39570</v>
      </c>
      <c r="B14" s="3356">
        <v>9.8000000000000007</v>
      </c>
      <c r="C14" s="3356"/>
      <c r="D14" s="3356">
        <v>9.6577736742990083</v>
      </c>
      <c r="E14" s="3356"/>
      <c r="F14" s="3356">
        <v>5.794506306308933</v>
      </c>
      <c r="G14" s="3356"/>
      <c r="H14" s="1690"/>
      <c r="I14" s="1697"/>
      <c r="J14" s="1697"/>
    </row>
    <row r="15" spans="1:10" s="1693" customFormat="1" ht="14.1" customHeight="1">
      <c r="A15" s="1696">
        <v>39601</v>
      </c>
      <c r="B15" s="3356">
        <v>9.6999999999999993</v>
      </c>
      <c r="C15" s="3356"/>
      <c r="D15" s="3356">
        <v>9.5081961476281673</v>
      </c>
      <c r="E15" s="3356"/>
      <c r="F15" s="3356">
        <v>5.6213344566487633</v>
      </c>
      <c r="G15" s="3356"/>
      <c r="H15" s="1690"/>
      <c r="I15" s="1697"/>
      <c r="J15" s="1697"/>
    </row>
    <row r="16" spans="1:10" s="1693" customFormat="1" ht="14.1" hidden="1" customHeight="1">
      <c r="A16" s="1696">
        <v>39632</v>
      </c>
      <c r="B16" s="3356">
        <v>11.5</v>
      </c>
      <c r="C16" s="3356"/>
      <c r="D16" s="3356">
        <v>9.7841687888659443</v>
      </c>
      <c r="E16" s="3356"/>
      <c r="F16" s="3356">
        <v>6.5123230240075047</v>
      </c>
      <c r="G16" s="3356"/>
      <c r="H16" s="1690"/>
      <c r="I16" s="1697"/>
      <c r="J16" s="1697"/>
    </row>
    <row r="17" spans="1:10" s="1693" customFormat="1" ht="14.1" hidden="1" customHeight="1">
      <c r="A17" s="1696">
        <v>39663</v>
      </c>
      <c r="B17" s="3356">
        <v>11.7</v>
      </c>
      <c r="C17" s="3356"/>
      <c r="D17" s="3356">
        <v>10.993643685765676</v>
      </c>
      <c r="E17" s="3356"/>
      <c r="F17" s="3356">
        <v>6.8536562588299876</v>
      </c>
      <c r="G17" s="3356"/>
      <c r="H17" s="1690"/>
      <c r="I17" s="1697"/>
      <c r="J17" s="1697"/>
    </row>
    <row r="18" spans="1:10" s="1693" customFormat="1" ht="14.1" hidden="1" customHeight="1">
      <c r="A18" s="1696">
        <v>39694</v>
      </c>
      <c r="B18" s="3356">
        <v>10.8</v>
      </c>
      <c r="C18" s="3356"/>
      <c r="D18" s="3356">
        <v>9.8195982173374219</v>
      </c>
      <c r="E18" s="3356"/>
      <c r="F18" s="3356">
        <v>6.4433775822698935</v>
      </c>
      <c r="G18" s="3356"/>
      <c r="H18" s="1690"/>
      <c r="I18" s="1697"/>
      <c r="J18" s="1697"/>
    </row>
    <row r="19" spans="1:10" s="1693" customFormat="1" ht="14.1" hidden="1" customHeight="1">
      <c r="A19" s="1696">
        <v>39725</v>
      </c>
      <c r="B19" s="3356">
        <v>9.6999999999999993</v>
      </c>
      <c r="C19" s="3356"/>
      <c r="D19" s="3356">
        <v>8.9465899755739819</v>
      </c>
      <c r="E19" s="3356"/>
      <c r="F19" s="3356">
        <v>6.4005280366357997</v>
      </c>
      <c r="G19" s="3356"/>
      <c r="H19" s="1690"/>
      <c r="I19" s="1697"/>
      <c r="J19" s="1697"/>
    </row>
    <row r="20" spans="1:10" s="1693" customFormat="1" ht="14.1" hidden="1" customHeight="1">
      <c r="A20" s="1696">
        <v>39757</v>
      </c>
      <c r="B20" s="3356">
        <v>8.2713754646840165</v>
      </c>
      <c r="C20" s="3356"/>
      <c r="D20" s="3356">
        <v>6.8990683520289142</v>
      </c>
      <c r="E20" s="3356"/>
      <c r="F20" s="3356">
        <v>6.3701621367625583</v>
      </c>
      <c r="G20" s="3356"/>
      <c r="H20" s="1690"/>
      <c r="I20" s="1697"/>
      <c r="J20" s="1697"/>
    </row>
    <row r="21" spans="1:10" s="1693" customFormat="1" ht="14.1" customHeight="1">
      <c r="A21" s="1696">
        <v>39788</v>
      </c>
      <c r="B21" s="3356">
        <v>6.7467652495379005</v>
      </c>
      <c r="C21" s="3356"/>
      <c r="D21" s="3356">
        <v>5.9330079144542136</v>
      </c>
      <c r="E21" s="3356"/>
      <c r="F21" s="3356">
        <v>6.1671895591780546</v>
      </c>
      <c r="G21" s="3356"/>
      <c r="H21" s="1690"/>
      <c r="I21" s="1697"/>
      <c r="J21" s="1697"/>
    </row>
    <row r="22" spans="1:10" s="1693" customFormat="1" ht="14.1" hidden="1" customHeight="1">
      <c r="A22" s="1696">
        <v>39819</v>
      </c>
      <c r="B22" s="3356">
        <v>5.2007299270073082</v>
      </c>
      <c r="C22" s="3356"/>
      <c r="D22" s="3356">
        <v>3.9884438505438213</v>
      </c>
      <c r="E22" s="3356"/>
      <c r="F22" s="3356">
        <v>5.0258446525900391</v>
      </c>
      <c r="G22" s="3356"/>
      <c r="H22" s="1690"/>
      <c r="I22" s="1697"/>
      <c r="J22" s="1697"/>
    </row>
    <row r="23" spans="1:10" s="1693" customFormat="1" ht="14.1" hidden="1" customHeight="1">
      <c r="A23" s="1696">
        <v>39851</v>
      </c>
      <c r="B23" s="3356">
        <v>4.6070460704606964</v>
      </c>
      <c r="C23" s="3356"/>
      <c r="D23" s="3356">
        <v>4.2105221514626034</v>
      </c>
      <c r="E23" s="3356"/>
      <c r="F23" s="3356">
        <v>4.7818791575772623</v>
      </c>
      <c r="G23" s="3356"/>
      <c r="H23" s="1690"/>
      <c r="I23" s="1697"/>
      <c r="J23" s="1697"/>
    </row>
    <row r="24" spans="1:10" s="1693" customFormat="1" ht="14.1" hidden="1" customHeight="1">
      <c r="A24" s="1696">
        <v>39880</v>
      </c>
      <c r="B24" s="3356">
        <v>4.8</v>
      </c>
      <c r="C24" s="3356"/>
      <c r="D24" s="3356">
        <v>4.0999999999999996</v>
      </c>
      <c r="E24" s="3356"/>
      <c r="F24" s="3356">
        <v>4.8</v>
      </c>
      <c r="G24" s="3356"/>
      <c r="H24" s="1690"/>
      <c r="I24" s="1697"/>
      <c r="J24" s="1697"/>
    </row>
    <row r="25" spans="1:10" s="1693" customFormat="1" ht="14.1" hidden="1" customHeight="1">
      <c r="A25" s="1696">
        <v>39912</v>
      </c>
      <c r="B25" s="3356">
        <v>3.8</v>
      </c>
      <c r="C25" s="3356"/>
      <c r="D25" s="3356">
        <v>3.7</v>
      </c>
      <c r="E25" s="3356"/>
      <c r="F25" s="3356">
        <v>4.7</v>
      </c>
      <c r="G25" s="3356"/>
      <c r="H25" s="1690"/>
      <c r="I25" s="1697"/>
      <c r="J25" s="1697"/>
    </row>
    <row r="26" spans="1:10" s="1693" customFormat="1" ht="14.1" hidden="1" customHeight="1">
      <c r="A26" s="1696">
        <v>39944</v>
      </c>
      <c r="B26" s="3356">
        <v>2.8</v>
      </c>
      <c r="C26" s="3356"/>
      <c r="D26" s="3356">
        <v>2.7</v>
      </c>
      <c r="E26" s="3356"/>
      <c r="F26" s="3356">
        <v>4.0999999999999996</v>
      </c>
      <c r="G26" s="3356"/>
      <c r="H26" s="1690"/>
      <c r="I26" s="1697"/>
      <c r="J26" s="1697"/>
    </row>
    <row r="27" spans="1:10" s="1693" customFormat="1" ht="14.1" customHeight="1">
      <c r="A27" s="1696">
        <v>39976</v>
      </c>
      <c r="B27" s="3356">
        <v>3.3</v>
      </c>
      <c r="C27" s="3356"/>
      <c r="D27" s="3356">
        <v>3.6</v>
      </c>
      <c r="E27" s="3356"/>
      <c r="F27" s="3356">
        <v>4.5</v>
      </c>
      <c r="G27" s="3356"/>
      <c r="H27" s="1690"/>
      <c r="I27" s="1697"/>
      <c r="J27" s="1697"/>
    </row>
    <row r="28" spans="1:10" s="1693" customFormat="1" ht="14.1" hidden="1" customHeight="1">
      <c r="A28" s="1696">
        <v>40006</v>
      </c>
      <c r="B28" s="3356">
        <v>1.9</v>
      </c>
      <c r="C28" s="3356"/>
      <c r="D28" s="3356">
        <v>1.6</v>
      </c>
      <c r="E28" s="3356"/>
      <c r="F28" s="3356">
        <v>3.9</v>
      </c>
      <c r="G28" s="3356"/>
      <c r="H28" s="1690"/>
      <c r="I28" s="1697"/>
      <c r="J28" s="1697"/>
    </row>
    <row r="29" spans="1:10" s="1693" customFormat="1" ht="14.1" hidden="1" customHeight="1">
      <c r="A29" s="1696">
        <v>40038</v>
      </c>
      <c r="B29" s="3356">
        <v>1</v>
      </c>
      <c r="C29" s="3356"/>
      <c r="D29" s="3356">
        <v>0.7</v>
      </c>
      <c r="E29" s="3356"/>
      <c r="F29" s="3356">
        <v>3.5</v>
      </c>
      <c r="G29" s="3356"/>
      <c r="H29" s="1690"/>
      <c r="I29" s="1697"/>
      <c r="J29" s="1697"/>
    </row>
    <row r="30" spans="1:10" s="1693" customFormat="1" ht="14.1" hidden="1" customHeight="1">
      <c r="A30" s="1696">
        <v>40070</v>
      </c>
      <c r="B30" s="3356">
        <v>0.9</v>
      </c>
      <c r="C30" s="3356"/>
      <c r="D30" s="3356">
        <v>1</v>
      </c>
      <c r="E30" s="3356"/>
      <c r="F30" s="3356">
        <v>3.3</v>
      </c>
      <c r="G30" s="3356"/>
      <c r="H30" s="1690"/>
      <c r="I30" s="1697"/>
      <c r="J30" s="1697"/>
    </row>
    <row r="31" spans="1:10" s="1693" customFormat="1" ht="14.1" hidden="1" customHeight="1">
      <c r="A31" s="1696">
        <v>40102</v>
      </c>
      <c r="B31" s="3356">
        <v>0.1</v>
      </c>
      <c r="C31" s="3356"/>
      <c r="D31" s="3356">
        <v>0.2</v>
      </c>
      <c r="E31" s="3356"/>
      <c r="F31" s="3356">
        <v>2.7</v>
      </c>
      <c r="G31" s="3356"/>
      <c r="H31" s="1690"/>
      <c r="I31" s="1697"/>
      <c r="J31" s="1697"/>
    </row>
    <row r="32" spans="1:10" s="1693" customFormat="1" ht="14.1" hidden="1" customHeight="1">
      <c r="A32" s="1696">
        <v>40134</v>
      </c>
      <c r="B32" s="3356">
        <v>0.7</v>
      </c>
      <c r="C32" s="3356"/>
      <c r="D32" s="3356">
        <v>1.2</v>
      </c>
      <c r="E32" s="3356"/>
      <c r="F32" s="3356">
        <v>2.2999999999999998</v>
      </c>
      <c r="G32" s="3356"/>
      <c r="H32" s="1690"/>
      <c r="I32" s="1697"/>
      <c r="J32" s="1697"/>
    </row>
    <row r="33" spans="1:10" s="1693" customFormat="1" ht="14.1" customHeight="1">
      <c r="A33" s="1696">
        <v>40165</v>
      </c>
      <c r="B33" s="3356">
        <v>1.5</v>
      </c>
      <c r="C33" s="3356"/>
      <c r="D33" s="3356">
        <v>2.4</v>
      </c>
      <c r="E33" s="3356"/>
      <c r="F33" s="3356">
        <v>2.2000000000000002</v>
      </c>
      <c r="G33" s="3356"/>
      <c r="H33" s="1690"/>
      <c r="I33" s="1697"/>
      <c r="J33" s="1697"/>
    </row>
    <row r="34" spans="1:10" s="1693" customFormat="1" ht="14.1" hidden="1" customHeight="1">
      <c r="A34" s="1696">
        <v>40197</v>
      </c>
      <c r="B34" s="3356">
        <v>2.5</v>
      </c>
      <c r="C34" s="3356"/>
      <c r="D34" s="3356">
        <v>3.3</v>
      </c>
      <c r="E34" s="3356"/>
      <c r="F34" s="3356">
        <v>2.6</v>
      </c>
      <c r="G34" s="3356"/>
      <c r="H34" s="1690"/>
      <c r="I34" s="1697"/>
      <c r="J34" s="1697"/>
    </row>
    <row r="35" spans="1:10" s="1693" customFormat="1" ht="14.1" hidden="1" customHeight="1">
      <c r="A35" s="1696">
        <v>40229</v>
      </c>
      <c r="B35" s="3356">
        <v>2.4</v>
      </c>
      <c r="C35" s="3356"/>
      <c r="D35" s="3356">
        <v>3.2</v>
      </c>
      <c r="E35" s="3356"/>
      <c r="F35" s="3356">
        <v>2.2999999999999998</v>
      </c>
      <c r="G35" s="3356"/>
      <c r="H35" s="1690"/>
      <c r="I35" s="1697"/>
      <c r="J35" s="1697"/>
    </row>
    <row r="36" spans="1:10" s="1693" customFormat="1" ht="14.1" hidden="1" customHeight="1">
      <c r="A36" s="1696">
        <v>40257</v>
      </c>
      <c r="B36" s="3356">
        <v>2.2999999999999998</v>
      </c>
      <c r="C36" s="3356"/>
      <c r="D36" s="3356">
        <v>3.3</v>
      </c>
      <c r="E36" s="3356"/>
      <c r="F36" s="3356">
        <v>2.2000000000000002</v>
      </c>
      <c r="G36" s="3356"/>
      <c r="H36" s="1690"/>
      <c r="I36" s="1697"/>
      <c r="J36" s="1697"/>
    </row>
    <row r="37" spans="1:10" s="1693" customFormat="1" ht="14.1" hidden="1" customHeight="1">
      <c r="A37" s="1696">
        <v>40288</v>
      </c>
      <c r="B37" s="3356">
        <v>2.7</v>
      </c>
      <c r="C37" s="3356"/>
      <c r="D37" s="3356">
        <v>3.2</v>
      </c>
      <c r="E37" s="3356"/>
      <c r="F37" s="3356">
        <v>2.1</v>
      </c>
      <c r="G37" s="3356"/>
      <c r="H37" s="1690"/>
      <c r="I37" s="1697"/>
      <c r="J37" s="1697"/>
    </row>
    <row r="38" spans="1:10" s="1693" customFormat="1" ht="14.1" hidden="1" customHeight="1">
      <c r="A38" s="1696">
        <v>40318</v>
      </c>
      <c r="B38" s="3356">
        <v>2.5</v>
      </c>
      <c r="C38" s="3356"/>
      <c r="D38" s="3356">
        <v>2.8</v>
      </c>
      <c r="E38" s="3356"/>
      <c r="F38" s="3356">
        <v>2.2000000000000002</v>
      </c>
      <c r="G38" s="3356"/>
      <c r="H38" s="1690"/>
      <c r="I38" s="1697"/>
      <c r="J38" s="1697"/>
    </row>
    <row r="39" spans="1:10" s="1693" customFormat="1" ht="14.1" customHeight="1">
      <c r="A39" s="1696">
        <v>40349</v>
      </c>
      <c r="B39" s="3356">
        <v>2.4</v>
      </c>
      <c r="C39" s="3356"/>
      <c r="D39" s="3356">
        <v>3</v>
      </c>
      <c r="E39" s="3356"/>
      <c r="F39" s="3356">
        <v>2.4</v>
      </c>
      <c r="G39" s="3356"/>
      <c r="H39" s="1690"/>
      <c r="I39" s="1697"/>
      <c r="J39" s="1697"/>
    </row>
    <row r="40" spans="1:10" s="1693" customFormat="1" ht="14.1" hidden="1" customHeight="1">
      <c r="A40" s="1696">
        <v>40379</v>
      </c>
      <c r="B40" s="3356">
        <v>2</v>
      </c>
      <c r="C40" s="3356"/>
      <c r="D40" s="3356">
        <v>1.7</v>
      </c>
      <c r="E40" s="3356"/>
      <c r="F40" s="3356">
        <v>2.7</v>
      </c>
      <c r="G40" s="3356"/>
      <c r="H40" s="1690"/>
      <c r="I40" s="1697"/>
      <c r="J40" s="1697"/>
    </row>
    <row r="41" spans="1:10" s="1693" customFormat="1" ht="14.1" hidden="1" customHeight="1">
      <c r="A41" s="1696">
        <v>40410</v>
      </c>
      <c r="B41" s="3356">
        <v>2.6</v>
      </c>
      <c r="C41" s="3356"/>
      <c r="D41" s="3356">
        <v>3.2</v>
      </c>
      <c r="E41" s="3356"/>
      <c r="F41" s="3356">
        <v>3</v>
      </c>
      <c r="G41" s="3356"/>
      <c r="H41" s="1690"/>
      <c r="I41" s="1697"/>
      <c r="J41" s="1697"/>
    </row>
    <row r="42" spans="1:10" s="1693" customFormat="1" ht="14.1" hidden="1" customHeight="1">
      <c r="A42" s="1696">
        <v>40441</v>
      </c>
      <c r="B42" s="3356">
        <v>2.5</v>
      </c>
      <c r="C42" s="3356"/>
      <c r="D42" s="3356">
        <v>1.9</v>
      </c>
      <c r="E42" s="3356"/>
      <c r="F42" s="3356">
        <v>3</v>
      </c>
      <c r="G42" s="3356"/>
      <c r="H42" s="1690"/>
      <c r="I42" s="1697"/>
      <c r="J42" s="1697"/>
    </row>
    <row r="43" spans="1:10" s="1693" customFormat="1" ht="14.1" hidden="1" customHeight="1">
      <c r="A43" s="1696">
        <v>40471</v>
      </c>
      <c r="B43" s="3356">
        <v>3.2</v>
      </c>
      <c r="C43" s="3356"/>
      <c r="D43" s="3356">
        <v>3.3</v>
      </c>
      <c r="E43" s="3356"/>
      <c r="F43" s="3356">
        <v>3.3</v>
      </c>
      <c r="G43" s="3356"/>
      <c r="H43" s="1690"/>
      <c r="I43" s="1697"/>
      <c r="J43" s="1697"/>
    </row>
    <row r="44" spans="1:10" s="1700" customFormat="1" ht="14.1" hidden="1" customHeight="1">
      <c r="A44" s="1696">
        <v>40502</v>
      </c>
      <c r="B44" s="3356">
        <v>3.9</v>
      </c>
      <c r="C44" s="3356"/>
      <c r="D44" s="3356">
        <v>3.7</v>
      </c>
      <c r="E44" s="3356"/>
      <c r="F44" s="3356">
        <v>3.1</v>
      </c>
      <c r="G44" s="3356"/>
      <c r="H44" s="1698"/>
      <c r="I44" s="1699"/>
      <c r="J44" s="1699"/>
    </row>
    <row r="45" spans="1:10" s="1700" customFormat="1" ht="14.1" customHeight="1">
      <c r="A45" s="1696">
        <v>40532</v>
      </c>
      <c r="B45" s="3356">
        <v>6.1</v>
      </c>
      <c r="C45" s="3356"/>
      <c r="D45" s="3356">
        <v>5.0999999999999996</v>
      </c>
      <c r="E45" s="3356"/>
      <c r="F45" s="3356">
        <v>4.4000000000000004</v>
      </c>
      <c r="G45" s="3356"/>
      <c r="H45" s="1698"/>
      <c r="I45" s="1699"/>
      <c r="J45" s="1699"/>
    </row>
    <row r="46" spans="1:10" s="1700" customFormat="1" ht="14.1" hidden="1" customHeight="1">
      <c r="A46" s="1696">
        <v>40563</v>
      </c>
      <c r="B46" s="3356">
        <v>6.4</v>
      </c>
      <c r="C46" s="3356"/>
      <c r="D46" s="3356">
        <v>6.2</v>
      </c>
      <c r="E46" s="3356"/>
      <c r="F46" s="3356">
        <v>4.8</v>
      </c>
      <c r="G46" s="3356"/>
      <c r="H46" s="1698"/>
      <c r="I46" s="1699"/>
      <c r="J46" s="1699"/>
    </row>
    <row r="47" spans="1:10" s="1700" customFormat="1" ht="14.1" hidden="1" customHeight="1">
      <c r="A47" s="1696">
        <v>40594</v>
      </c>
      <c r="B47" s="3356">
        <v>6.8</v>
      </c>
      <c r="C47" s="3356"/>
      <c r="D47" s="3356">
        <v>6.4</v>
      </c>
      <c r="E47" s="3356"/>
      <c r="F47" s="3356">
        <v>5.0999999999999996</v>
      </c>
      <c r="G47" s="3356"/>
      <c r="H47" s="1698"/>
      <c r="I47" s="1699"/>
      <c r="J47" s="1699"/>
    </row>
    <row r="48" spans="1:10" s="1700" customFormat="1" ht="14.1" hidden="1" customHeight="1">
      <c r="A48" s="1696">
        <v>40622</v>
      </c>
      <c r="B48" s="3356">
        <v>7.2</v>
      </c>
      <c r="C48" s="3356"/>
      <c r="D48" s="3356">
        <v>7</v>
      </c>
      <c r="E48" s="3356"/>
      <c r="F48" s="3356">
        <v>5.4</v>
      </c>
      <c r="G48" s="3356"/>
      <c r="H48" s="1698"/>
      <c r="I48" s="1699"/>
      <c r="J48" s="1699"/>
    </row>
    <row r="49" spans="1:10" s="1700" customFormat="1" ht="14.1" hidden="1" customHeight="1">
      <c r="A49" s="1696">
        <v>40653</v>
      </c>
      <c r="B49" s="3356">
        <v>7</v>
      </c>
      <c r="C49" s="3356"/>
      <c r="D49" s="3356">
        <v>6.6</v>
      </c>
      <c r="E49" s="3356"/>
      <c r="F49" s="3356">
        <v>6</v>
      </c>
      <c r="G49" s="3356"/>
      <c r="H49" s="1698"/>
      <c r="I49" s="1699"/>
      <c r="J49" s="1699"/>
    </row>
    <row r="50" spans="1:10" s="1700" customFormat="1" ht="14.1" hidden="1" customHeight="1">
      <c r="A50" s="1696">
        <v>40683</v>
      </c>
      <c r="B50" s="3356">
        <v>7.1</v>
      </c>
      <c r="C50" s="3356"/>
      <c r="D50" s="3356">
        <v>7</v>
      </c>
      <c r="E50" s="3356"/>
      <c r="F50" s="3356">
        <v>5.8</v>
      </c>
      <c r="G50" s="3356"/>
      <c r="H50" s="1698"/>
      <c r="I50" s="1699"/>
      <c r="J50" s="1699"/>
    </row>
    <row r="51" spans="1:10" s="1700" customFormat="1" ht="14.1" customHeight="1">
      <c r="A51" s="1696">
        <v>40714</v>
      </c>
      <c r="B51" s="3356">
        <v>6.6</v>
      </c>
      <c r="C51" s="3356"/>
      <c r="D51" s="3356">
        <v>5.9</v>
      </c>
      <c r="E51" s="3356"/>
      <c r="F51" s="3356">
        <v>5.3</v>
      </c>
      <c r="G51" s="3356"/>
      <c r="H51" s="1698"/>
      <c r="I51" s="1699"/>
      <c r="J51" s="1699"/>
    </row>
    <row r="52" spans="1:10" s="1700" customFormat="1" ht="14.1" hidden="1" customHeight="1">
      <c r="A52" s="1696">
        <v>40744</v>
      </c>
      <c r="B52" s="3356">
        <v>6.7</v>
      </c>
      <c r="C52" s="3356"/>
      <c r="D52" s="3356">
        <v>6.4</v>
      </c>
      <c r="E52" s="3356"/>
      <c r="F52" s="3356">
        <v>4.9000000000000004</v>
      </c>
      <c r="G52" s="3356"/>
      <c r="H52" s="1698"/>
      <c r="I52" s="1699"/>
      <c r="J52" s="1699"/>
    </row>
    <row r="53" spans="1:10" s="1700" customFormat="1" ht="14.1" hidden="1" customHeight="1">
      <c r="A53" s="1696">
        <v>40775</v>
      </c>
      <c r="B53" s="3356">
        <v>6.5</v>
      </c>
      <c r="C53" s="3356"/>
      <c r="D53" s="3356">
        <v>5.7</v>
      </c>
      <c r="E53" s="3356"/>
      <c r="F53" s="3356">
        <v>4.8</v>
      </c>
      <c r="G53" s="3356"/>
      <c r="H53" s="1698"/>
      <c r="I53" s="1699"/>
      <c r="J53" s="1699"/>
    </row>
    <row r="54" spans="1:10" s="1700" customFormat="1" ht="14.1" hidden="1" customHeight="1">
      <c r="A54" s="1696">
        <v>40806</v>
      </c>
      <c r="B54" s="3356">
        <v>6.3</v>
      </c>
      <c r="C54" s="3356"/>
      <c r="D54" s="3356">
        <v>5.9</v>
      </c>
      <c r="E54" s="3356"/>
      <c r="F54" s="3356">
        <v>4.0999999999999996</v>
      </c>
      <c r="G54" s="3356"/>
      <c r="H54" s="1698"/>
      <c r="I54" s="1699"/>
      <c r="J54" s="1699"/>
    </row>
    <row r="55" spans="1:10" s="1700" customFormat="1" ht="14.1" hidden="1" customHeight="1">
      <c r="A55" s="1696">
        <v>40836</v>
      </c>
      <c r="B55" s="3356">
        <v>6</v>
      </c>
      <c r="C55" s="3356"/>
      <c r="D55" s="3356">
        <v>5.3</v>
      </c>
      <c r="E55" s="3356"/>
      <c r="F55" s="3356">
        <v>3.9</v>
      </c>
      <c r="G55" s="3356"/>
      <c r="H55" s="1698"/>
      <c r="I55" s="1699"/>
      <c r="J55" s="1699"/>
    </row>
    <row r="56" spans="1:10" s="1700" customFormat="1" ht="14.1" hidden="1" customHeight="1">
      <c r="A56" s="1696">
        <v>40867</v>
      </c>
      <c r="B56" s="3356">
        <v>7</v>
      </c>
      <c r="C56" s="3356"/>
      <c r="D56" s="3356">
        <v>5.5</v>
      </c>
      <c r="E56" s="3356"/>
      <c r="F56" s="3356">
        <v>4.0999999999999996</v>
      </c>
      <c r="G56" s="3356"/>
      <c r="H56" s="1698"/>
      <c r="I56" s="1699"/>
      <c r="J56" s="1699"/>
    </row>
    <row r="57" spans="1:10" s="1700" customFormat="1" ht="14.1" customHeight="1">
      <c r="A57" s="1696">
        <v>40897</v>
      </c>
      <c r="B57" s="3356">
        <v>4.8</v>
      </c>
      <c r="C57" s="3356"/>
      <c r="D57" s="3356">
        <v>3.8</v>
      </c>
      <c r="E57" s="3356"/>
      <c r="F57" s="3356">
        <v>3</v>
      </c>
      <c r="G57" s="3356"/>
      <c r="H57" s="1698"/>
      <c r="I57" s="1699"/>
      <c r="J57" s="1699"/>
    </row>
    <row r="58" spans="1:10" s="1700" customFormat="1" ht="14.1" hidden="1" customHeight="1">
      <c r="A58" s="1696">
        <v>40928</v>
      </c>
      <c r="B58" s="3356">
        <v>4.8</v>
      </c>
      <c r="C58" s="3356"/>
      <c r="D58" s="3356">
        <v>4.2</v>
      </c>
      <c r="E58" s="3356"/>
      <c r="F58" s="3356">
        <v>3.4</v>
      </c>
      <c r="G58" s="3356"/>
      <c r="H58" s="1698"/>
      <c r="I58" s="1699"/>
      <c r="J58" s="1699"/>
    </row>
    <row r="59" spans="1:10" s="1700" customFormat="1" ht="14.1" hidden="1" customHeight="1">
      <c r="A59" s="1696">
        <v>40959</v>
      </c>
      <c r="B59" s="3356">
        <v>4.0999999999999996</v>
      </c>
      <c r="C59" s="3356"/>
      <c r="D59" s="3356">
        <v>3.6</v>
      </c>
      <c r="E59" s="3356"/>
      <c r="F59" s="3356">
        <v>3.4</v>
      </c>
      <c r="G59" s="3356"/>
      <c r="H59" s="1698"/>
      <c r="I59" s="1699"/>
      <c r="J59" s="1699"/>
    </row>
    <row r="60" spans="1:10" s="1700" customFormat="1" ht="14.1" hidden="1" customHeight="1">
      <c r="A60" s="1696">
        <v>40988</v>
      </c>
      <c r="B60" s="3356">
        <v>3.8</v>
      </c>
      <c r="C60" s="3356"/>
      <c r="D60" s="3356">
        <v>3.4</v>
      </c>
      <c r="E60" s="3356"/>
      <c r="F60" s="3356">
        <v>3.3</v>
      </c>
      <c r="G60" s="3356"/>
      <c r="H60" s="1698"/>
      <c r="I60" s="1699"/>
      <c r="J60" s="1699"/>
    </row>
    <row r="61" spans="1:10" s="1700" customFormat="1" ht="14.1" hidden="1" customHeight="1">
      <c r="A61" s="1696">
        <v>41019</v>
      </c>
      <c r="B61" s="3356">
        <v>3.8</v>
      </c>
      <c r="C61" s="3356"/>
      <c r="D61" s="3356">
        <v>3.1</v>
      </c>
      <c r="E61" s="3356"/>
      <c r="F61" s="3356">
        <v>2.8</v>
      </c>
      <c r="G61" s="3356"/>
      <c r="H61" s="1698"/>
      <c r="I61" s="1699"/>
      <c r="J61" s="1699"/>
    </row>
    <row r="62" spans="1:10" s="1700" customFormat="1" ht="14.1" hidden="1" customHeight="1">
      <c r="A62" s="1696">
        <v>41049</v>
      </c>
      <c r="B62" s="3356">
        <v>3.8</v>
      </c>
      <c r="C62" s="3356"/>
      <c r="D62" s="3356">
        <v>3.1</v>
      </c>
      <c r="E62" s="3356"/>
      <c r="F62" s="3356">
        <v>2.8</v>
      </c>
      <c r="G62" s="3356"/>
      <c r="H62" s="1698"/>
      <c r="I62" s="1699"/>
      <c r="J62" s="1699"/>
    </row>
    <row r="63" spans="1:10" s="1700" customFormat="1" ht="13.5" customHeight="1">
      <c r="A63" s="1696">
        <v>41080</v>
      </c>
      <c r="B63" s="3356">
        <v>3.9</v>
      </c>
      <c r="C63" s="3356"/>
      <c r="D63" s="3356">
        <v>3.1</v>
      </c>
      <c r="E63" s="3356"/>
      <c r="F63" s="3356">
        <v>2.7</v>
      </c>
      <c r="G63" s="3356"/>
      <c r="H63" s="1698"/>
      <c r="I63" s="1699"/>
      <c r="J63" s="1699"/>
    </row>
    <row r="64" spans="1:10" s="1700" customFormat="1" ht="14.1" hidden="1" customHeight="1">
      <c r="A64" s="1696">
        <v>41110</v>
      </c>
      <c r="B64" s="3356">
        <v>3.7</v>
      </c>
      <c r="C64" s="3356"/>
      <c r="D64" s="3356">
        <v>3</v>
      </c>
      <c r="E64" s="3356"/>
      <c r="F64" s="3356">
        <v>2.8</v>
      </c>
      <c r="G64" s="3356"/>
      <c r="H64" s="1698"/>
      <c r="I64" s="1699"/>
      <c r="J64" s="1699"/>
    </row>
    <row r="65" spans="1:12" s="1700" customFormat="1" ht="14.25" hidden="1" customHeight="1">
      <c r="A65" s="1696">
        <v>41141</v>
      </c>
      <c r="B65" s="3356">
        <v>3.7</v>
      </c>
      <c r="C65" s="3356"/>
      <c r="D65" s="3356">
        <v>3</v>
      </c>
      <c r="E65" s="3356"/>
      <c r="F65" s="3356">
        <v>2.7</v>
      </c>
      <c r="G65" s="3356"/>
      <c r="H65" s="1698"/>
      <c r="I65" s="1699"/>
      <c r="J65" s="1699"/>
      <c r="K65" s="1701"/>
    </row>
    <row r="66" spans="1:12" s="1700" customFormat="1" ht="14.1" hidden="1" customHeight="1">
      <c r="A66" s="1696">
        <v>41172</v>
      </c>
      <c r="B66" s="3356">
        <v>3.9</v>
      </c>
      <c r="C66" s="3356"/>
      <c r="D66" s="3356">
        <v>3.4</v>
      </c>
      <c r="E66" s="3356"/>
      <c r="F66" s="3356">
        <v>3.3</v>
      </c>
      <c r="G66" s="3356"/>
      <c r="H66" s="1698"/>
      <c r="I66" s="1699"/>
      <c r="J66" s="1699"/>
      <c r="K66" s="1701"/>
    </row>
    <row r="67" spans="1:12" s="1700" customFormat="1" ht="14.1" hidden="1" customHeight="1">
      <c r="A67" s="1696">
        <v>41202</v>
      </c>
      <c r="B67" s="3356">
        <v>4.2</v>
      </c>
      <c r="C67" s="3356"/>
      <c r="D67" s="3356">
        <v>3.6</v>
      </c>
      <c r="E67" s="3356"/>
      <c r="F67" s="3356">
        <v>3.5</v>
      </c>
      <c r="G67" s="3356"/>
      <c r="H67" s="1698"/>
      <c r="I67" s="1699"/>
      <c r="J67" s="1699"/>
      <c r="K67" s="1701"/>
    </row>
    <row r="68" spans="1:12" s="1700" customFormat="1" ht="14.1" hidden="1" customHeight="1">
      <c r="A68" s="1696">
        <v>41233</v>
      </c>
      <c r="B68" s="3356">
        <v>3.1</v>
      </c>
      <c r="C68" s="3356"/>
      <c r="D68" s="3356">
        <v>3.2</v>
      </c>
      <c r="E68" s="3356"/>
      <c r="F68" s="3356">
        <v>3</v>
      </c>
      <c r="G68" s="3356"/>
      <c r="H68" s="1698"/>
      <c r="I68" s="1699"/>
      <c r="J68" s="1699"/>
      <c r="K68" s="1701"/>
    </row>
    <row r="69" spans="1:12" s="1700" customFormat="1" ht="14.1" customHeight="1">
      <c r="A69" s="1696">
        <v>41263</v>
      </c>
      <c r="B69" s="3356">
        <v>3.2</v>
      </c>
      <c r="C69" s="3356"/>
      <c r="D69" s="3356">
        <v>3.2</v>
      </c>
      <c r="E69" s="3356"/>
      <c r="F69" s="3356">
        <v>3</v>
      </c>
      <c r="G69" s="3356"/>
      <c r="H69" s="1698"/>
      <c r="I69" s="1699"/>
      <c r="J69" s="1699"/>
      <c r="K69" s="1701"/>
    </row>
    <row r="70" spans="1:12" s="1700" customFormat="1" ht="14.1" hidden="1" customHeight="1">
      <c r="A70" s="1696">
        <v>41294</v>
      </c>
      <c r="B70" s="3356">
        <v>2.9</v>
      </c>
      <c r="C70" s="3356"/>
      <c r="D70" s="3356">
        <v>2.2000000000000002</v>
      </c>
      <c r="E70" s="3356"/>
      <c r="F70" s="3356">
        <v>2.6</v>
      </c>
      <c r="G70" s="3356"/>
      <c r="H70" s="1698"/>
      <c r="I70" s="1699"/>
      <c r="J70" s="1699"/>
      <c r="K70" s="1701"/>
    </row>
    <row r="71" spans="1:12" s="1700" customFormat="1" ht="14.1" hidden="1" customHeight="1">
      <c r="A71" s="1696">
        <v>41325</v>
      </c>
      <c r="B71" s="3356">
        <v>3.6</v>
      </c>
      <c r="C71" s="3356"/>
      <c r="D71" s="3356">
        <v>2.2000000000000002</v>
      </c>
      <c r="E71" s="3356"/>
      <c r="F71" s="3356">
        <v>2.6</v>
      </c>
      <c r="G71" s="3356"/>
      <c r="H71" s="1698"/>
      <c r="I71" s="1699"/>
      <c r="J71" s="1699"/>
      <c r="K71" s="1701"/>
    </row>
    <row r="72" spans="1:12" s="1700" customFormat="1" ht="14.1" hidden="1" customHeight="1">
      <c r="A72" s="1696">
        <v>41353</v>
      </c>
      <c r="B72" s="3356">
        <v>3.6</v>
      </c>
      <c r="C72" s="3356"/>
      <c r="D72" s="3356">
        <v>2.7</v>
      </c>
      <c r="E72" s="3356"/>
      <c r="F72" s="3356">
        <v>2.7</v>
      </c>
      <c r="G72" s="3356"/>
      <c r="H72" s="1698"/>
      <c r="I72" s="1699"/>
      <c r="J72" s="1699"/>
      <c r="K72" s="1701"/>
    </row>
    <row r="73" spans="1:12" s="1700" customFormat="1" ht="14.1" hidden="1" customHeight="1">
      <c r="A73" s="1696">
        <v>41384</v>
      </c>
      <c r="B73" s="3356">
        <v>3.8</v>
      </c>
      <c r="C73" s="3356"/>
      <c r="D73" s="3356">
        <v>2.6</v>
      </c>
      <c r="E73" s="3356"/>
      <c r="F73" s="3356">
        <v>2.6</v>
      </c>
      <c r="G73" s="3356"/>
      <c r="H73" s="1698"/>
      <c r="I73" s="1699"/>
      <c r="J73" s="1699"/>
      <c r="K73" s="1701"/>
    </row>
    <row r="74" spans="1:12" s="1700" customFormat="1" ht="14.1" hidden="1" customHeight="1">
      <c r="A74" s="1696">
        <v>41414</v>
      </c>
      <c r="B74" s="3356">
        <v>3.7</v>
      </c>
      <c r="C74" s="3356"/>
      <c r="D74" s="3356">
        <v>2.6</v>
      </c>
      <c r="E74" s="3356"/>
      <c r="F74" s="3356">
        <v>2.5</v>
      </c>
      <c r="G74" s="3356"/>
      <c r="H74" s="1698"/>
      <c r="I74" s="1699"/>
      <c r="J74" s="1699"/>
      <c r="K74" s="1701"/>
    </row>
    <row r="75" spans="1:12" s="1700" customFormat="1" ht="14.1" customHeight="1">
      <c r="A75" s="1696">
        <v>41445</v>
      </c>
      <c r="B75" s="3356">
        <v>3.6</v>
      </c>
      <c r="C75" s="3356"/>
      <c r="D75" s="3356">
        <v>2.5</v>
      </c>
      <c r="E75" s="3356"/>
      <c r="F75" s="3356">
        <v>2.4</v>
      </c>
      <c r="G75" s="3356"/>
      <c r="H75" s="1698"/>
      <c r="I75" s="1699"/>
      <c r="J75" s="1699"/>
      <c r="K75" s="1701"/>
      <c r="L75" s="1701"/>
    </row>
    <row r="76" spans="1:12" s="1700" customFormat="1" ht="14.1" hidden="1" customHeight="1">
      <c r="A76" s="1696">
        <v>41475</v>
      </c>
      <c r="B76" s="3357">
        <v>3.6</v>
      </c>
      <c r="C76" s="3358"/>
      <c r="D76" s="3357">
        <v>2.7</v>
      </c>
      <c r="E76" s="3358"/>
      <c r="F76" s="3357">
        <v>2.5</v>
      </c>
      <c r="G76" s="3358"/>
      <c r="H76" s="1698"/>
      <c r="I76" s="1699"/>
      <c r="J76" s="1699"/>
      <c r="K76" s="1701"/>
    </row>
    <row r="77" spans="1:12" s="1700" customFormat="1" ht="14.1" hidden="1" customHeight="1">
      <c r="A77" s="1696">
        <v>41487</v>
      </c>
      <c r="B77" s="3356">
        <v>3.1</v>
      </c>
      <c r="C77" s="3356"/>
      <c r="D77" s="3356">
        <v>2.6</v>
      </c>
      <c r="E77" s="3356"/>
      <c r="F77" s="3356">
        <v>2.2999999999999998</v>
      </c>
      <c r="G77" s="3356"/>
      <c r="H77" s="1698"/>
      <c r="I77" s="1699"/>
      <c r="J77" s="1699"/>
      <c r="K77" s="1701"/>
    </row>
    <row r="78" spans="1:12" s="1700" customFormat="1" ht="14.1" hidden="1" customHeight="1">
      <c r="A78" s="1696">
        <v>41518</v>
      </c>
      <c r="B78" s="3357">
        <v>3.3</v>
      </c>
      <c r="C78" s="3358"/>
      <c r="D78" s="3357">
        <v>2.6</v>
      </c>
      <c r="E78" s="3358"/>
      <c r="F78" s="3357">
        <v>2.2000000000000002</v>
      </c>
      <c r="G78" s="3358"/>
      <c r="H78" s="1698"/>
      <c r="I78" s="1699"/>
      <c r="J78" s="1699"/>
      <c r="K78" s="1701"/>
    </row>
    <row r="79" spans="1:12" s="1700" customFormat="1" ht="14.1" hidden="1" customHeight="1">
      <c r="A79" s="1696">
        <v>41548</v>
      </c>
      <c r="B79" s="3356">
        <v>3.4</v>
      </c>
      <c r="C79" s="3356"/>
      <c r="D79" s="3356">
        <v>2.6</v>
      </c>
      <c r="E79" s="3356"/>
      <c r="F79" s="3356">
        <v>2.2999999999999998</v>
      </c>
      <c r="G79" s="3356"/>
      <c r="H79" s="1698"/>
      <c r="I79" s="1699"/>
      <c r="J79" s="1699"/>
      <c r="K79" s="1701"/>
    </row>
    <row r="80" spans="1:12" s="1700" customFormat="1" ht="14.1" hidden="1" customHeight="1">
      <c r="A80" s="1696">
        <v>41579</v>
      </c>
      <c r="B80" s="3356">
        <v>3.9</v>
      </c>
      <c r="C80" s="3356"/>
      <c r="D80" s="3356">
        <v>3</v>
      </c>
      <c r="E80" s="3356"/>
      <c r="F80" s="3356">
        <v>2.9</v>
      </c>
      <c r="G80" s="3356"/>
      <c r="H80" s="1698"/>
      <c r="I80" s="1699"/>
      <c r="J80" s="1699"/>
      <c r="K80" s="1701"/>
    </row>
    <row r="81" spans="1:14" s="1700" customFormat="1" ht="14.1" customHeight="1">
      <c r="A81" s="1696">
        <v>41609</v>
      </c>
      <c r="B81" s="3356">
        <v>4</v>
      </c>
      <c r="C81" s="3356"/>
      <c r="D81" s="3356">
        <v>3.3</v>
      </c>
      <c r="E81" s="3356"/>
      <c r="F81" s="3356">
        <v>3.2</v>
      </c>
      <c r="G81" s="3356"/>
      <c r="H81" s="1698"/>
      <c r="I81" s="1699"/>
      <c r="J81" s="1699"/>
      <c r="K81" s="1701"/>
    </row>
    <row r="82" spans="1:14" s="1700" customFormat="1" ht="14.1" hidden="1" customHeight="1">
      <c r="A82" s="1696">
        <v>41640</v>
      </c>
      <c r="B82" s="3356">
        <v>5.0999999999999996</v>
      </c>
      <c r="C82" s="3356"/>
      <c r="D82" s="3356">
        <v>3.6</v>
      </c>
      <c r="E82" s="3356"/>
      <c r="F82" s="3356">
        <v>3.4</v>
      </c>
      <c r="G82" s="3356"/>
      <c r="H82" s="1698"/>
      <c r="I82" s="1699"/>
      <c r="J82" s="1699"/>
      <c r="K82" s="1701"/>
      <c r="N82" s="1700" t="s">
        <v>42</v>
      </c>
    </row>
    <row r="83" spans="1:14" s="1700" customFormat="1" ht="14.1" hidden="1" customHeight="1">
      <c r="A83" s="1696">
        <v>41671</v>
      </c>
      <c r="B83" s="3356">
        <v>5.6</v>
      </c>
      <c r="C83" s="3356"/>
      <c r="D83" s="3356">
        <v>3.5</v>
      </c>
      <c r="E83" s="3356"/>
      <c r="F83" s="3356">
        <v>3.2</v>
      </c>
      <c r="G83" s="3356"/>
      <c r="H83" s="1698"/>
      <c r="I83" s="1699"/>
      <c r="J83" s="1699"/>
      <c r="K83" s="1701"/>
    </row>
    <row r="84" spans="1:14" s="1700" customFormat="1" ht="14.1" hidden="1" customHeight="1">
      <c r="A84" s="1696">
        <v>41699</v>
      </c>
      <c r="B84" s="3356">
        <v>4.5</v>
      </c>
      <c r="C84" s="3356"/>
      <c r="D84" s="3356">
        <v>2.7</v>
      </c>
      <c r="E84" s="3356"/>
      <c r="F84" s="3356">
        <v>3.1</v>
      </c>
      <c r="G84" s="3356"/>
      <c r="H84" s="1698"/>
      <c r="I84" s="1699"/>
      <c r="J84" s="1699"/>
      <c r="K84" s="1701"/>
    </row>
    <row r="85" spans="1:14" s="1700" customFormat="1" ht="14.1" hidden="1" customHeight="1">
      <c r="A85" s="1696">
        <v>41730</v>
      </c>
      <c r="B85" s="3356">
        <v>4.2</v>
      </c>
      <c r="C85" s="3356"/>
      <c r="D85" s="3356">
        <v>2.8</v>
      </c>
      <c r="E85" s="3356"/>
      <c r="F85" s="3356">
        <v>3.3</v>
      </c>
      <c r="G85" s="3356"/>
      <c r="H85" s="1698"/>
      <c r="I85" s="1699"/>
      <c r="J85" s="1699"/>
      <c r="K85" s="1701"/>
    </row>
    <row r="86" spans="1:14" s="1700" customFormat="1" ht="14.1" hidden="1" customHeight="1">
      <c r="A86" s="1696">
        <v>41760</v>
      </c>
      <c r="B86" s="3356">
        <v>3.4</v>
      </c>
      <c r="C86" s="3356"/>
      <c r="D86" s="3356">
        <v>2.9</v>
      </c>
      <c r="E86" s="3356"/>
      <c r="F86" s="3356">
        <v>3.4</v>
      </c>
      <c r="G86" s="3356"/>
      <c r="H86" s="1698"/>
      <c r="I86" s="1699"/>
      <c r="J86" s="1699"/>
      <c r="K86" s="1701"/>
    </row>
    <row r="87" spans="1:14" s="1700" customFormat="1" ht="14.1" customHeight="1">
      <c r="A87" s="1696">
        <v>41791</v>
      </c>
      <c r="B87" s="3356">
        <v>3.3</v>
      </c>
      <c r="C87" s="3356"/>
      <c r="D87" s="3356">
        <v>2.7</v>
      </c>
      <c r="E87" s="3356"/>
      <c r="F87" s="3356">
        <v>3.2</v>
      </c>
      <c r="G87" s="3356"/>
      <c r="H87" s="1698"/>
      <c r="I87" s="1699"/>
      <c r="J87" s="1699"/>
      <c r="K87" s="1701"/>
    </row>
    <row r="88" spans="1:14" s="1700" customFormat="1" ht="14.1" customHeight="1">
      <c r="A88" s="1696">
        <v>41821</v>
      </c>
      <c r="B88" s="3356">
        <v>3.1</v>
      </c>
      <c r="C88" s="3356"/>
      <c r="D88" s="3356">
        <v>2.7</v>
      </c>
      <c r="E88" s="3356"/>
      <c r="F88" s="3356">
        <v>3.2</v>
      </c>
      <c r="G88" s="3356"/>
      <c r="H88" s="1698"/>
      <c r="I88" s="1699"/>
      <c r="J88" s="1699"/>
      <c r="K88" s="1701"/>
    </row>
    <row r="89" spans="1:14" s="1700" customFormat="1" ht="14.1" customHeight="1">
      <c r="A89" s="1696">
        <v>41852</v>
      </c>
      <c r="B89" s="3356">
        <v>3.8</v>
      </c>
      <c r="C89" s="3356"/>
      <c r="D89" s="3356">
        <v>2.7</v>
      </c>
      <c r="E89" s="3356"/>
      <c r="F89" s="3356">
        <v>3.5</v>
      </c>
      <c r="G89" s="3356"/>
      <c r="H89" s="1698"/>
      <c r="I89" s="1699"/>
      <c r="J89" s="1699"/>
      <c r="K89" s="1701"/>
    </row>
    <row r="90" spans="1:14" s="1700" customFormat="1" ht="14.1" customHeight="1">
      <c r="A90" s="1696">
        <v>41883</v>
      </c>
      <c r="B90" s="3356">
        <v>2.9</v>
      </c>
      <c r="C90" s="3356"/>
      <c r="D90" s="3356">
        <v>2.2999999999999998</v>
      </c>
      <c r="E90" s="3356"/>
      <c r="F90" s="3356">
        <v>3.3</v>
      </c>
      <c r="G90" s="3356"/>
      <c r="H90" s="1698"/>
      <c r="I90" s="1699"/>
      <c r="J90" s="1699"/>
      <c r="K90" s="1701"/>
    </row>
    <row r="91" spans="1:14" s="1700" customFormat="1" ht="14.1" customHeight="1">
      <c r="A91" s="1696">
        <v>41913</v>
      </c>
      <c r="B91" s="3356">
        <v>1.9</v>
      </c>
      <c r="C91" s="3356"/>
      <c r="D91" s="3356">
        <v>2.1</v>
      </c>
      <c r="E91" s="3356"/>
      <c r="F91" s="3356">
        <v>3</v>
      </c>
      <c r="G91" s="3356"/>
      <c r="H91" s="1698"/>
      <c r="I91" s="1699"/>
      <c r="J91" s="1699"/>
      <c r="K91" s="1701"/>
    </row>
    <row r="92" spans="1:14" s="1700" customFormat="1" ht="14.1" customHeight="1">
      <c r="A92" s="1696">
        <v>41944</v>
      </c>
      <c r="B92" s="3356">
        <v>0.9</v>
      </c>
      <c r="C92" s="3356"/>
      <c r="D92" s="3356">
        <v>1.7</v>
      </c>
      <c r="E92" s="3356"/>
      <c r="F92" s="3356">
        <v>2.6</v>
      </c>
      <c r="G92" s="3356"/>
      <c r="H92" s="1698"/>
      <c r="I92" s="1699"/>
      <c r="J92" s="1699"/>
      <c r="K92" s="1701"/>
    </row>
    <row r="93" spans="1:14" s="1700" customFormat="1" ht="14.1" customHeight="1">
      <c r="A93" s="1696">
        <v>41974</v>
      </c>
      <c r="B93" s="3356">
        <v>0.2</v>
      </c>
      <c r="C93" s="3356"/>
      <c r="D93" s="3356">
        <v>0.8</v>
      </c>
      <c r="E93" s="3356"/>
      <c r="F93" s="3356">
        <v>2.1</v>
      </c>
      <c r="G93" s="3356"/>
      <c r="H93" s="1698"/>
      <c r="I93" s="1699"/>
      <c r="J93" s="1699"/>
      <c r="K93" s="1701"/>
    </row>
    <row r="94" spans="1:14" s="1700" customFormat="1" ht="14.1" customHeight="1">
      <c r="A94" s="1696">
        <v>42005</v>
      </c>
      <c r="B94" s="3356">
        <v>0.7</v>
      </c>
      <c r="C94" s="3356"/>
      <c r="D94" s="3356">
        <v>-0.4</v>
      </c>
      <c r="E94" s="3356"/>
      <c r="F94" s="3356">
        <v>0.8</v>
      </c>
      <c r="G94" s="3356"/>
      <c r="H94" s="1698"/>
      <c r="I94" s="1699"/>
      <c r="J94" s="1699"/>
      <c r="K94" s="1701"/>
    </row>
    <row r="95" spans="1:14" s="1700" customFormat="1" ht="14.1" customHeight="1">
      <c r="A95" s="1696">
        <v>42036</v>
      </c>
      <c r="B95" s="3356">
        <v>2</v>
      </c>
      <c r="C95" s="3356"/>
      <c r="D95" s="3356">
        <v>0.2</v>
      </c>
      <c r="E95" s="3356"/>
      <c r="F95" s="3356">
        <v>1.6</v>
      </c>
      <c r="G95" s="3356"/>
      <c r="H95" s="1698"/>
      <c r="I95" s="1699"/>
      <c r="J95" s="1699"/>
      <c r="K95" s="1701"/>
    </row>
    <row r="96" spans="1:14" s="1700" customFormat="1" ht="14.1" customHeight="1">
      <c r="A96" s="1696">
        <v>42064</v>
      </c>
      <c r="B96" s="3356">
        <v>2.2000000000000002</v>
      </c>
      <c r="C96" s="3356"/>
      <c r="D96" s="3356">
        <v>0.3</v>
      </c>
      <c r="E96" s="3356"/>
      <c r="F96" s="3356">
        <v>1.6</v>
      </c>
      <c r="G96" s="3356"/>
      <c r="H96" s="1698"/>
      <c r="I96" s="1699"/>
      <c r="J96" s="1699"/>
      <c r="K96" s="1701"/>
    </row>
    <row r="97" spans="1:12" s="1700" customFormat="1" ht="14.1" customHeight="1">
      <c r="A97" s="1696">
        <v>42095</v>
      </c>
      <c r="B97" s="3356">
        <v>2.1</v>
      </c>
      <c r="C97" s="3356"/>
      <c r="D97" s="3356">
        <v>0.3</v>
      </c>
      <c r="E97" s="3356"/>
      <c r="F97" s="3356">
        <v>1.6</v>
      </c>
      <c r="G97" s="3356"/>
      <c r="H97" s="1698"/>
      <c r="I97" s="1699"/>
      <c r="J97" s="1699"/>
      <c r="K97" s="1701"/>
    </row>
    <row r="98" spans="1:12" s="1700" customFormat="1" ht="13.5" customHeight="1">
      <c r="A98" s="1696">
        <v>42125</v>
      </c>
      <c r="B98" s="3356">
        <v>0.5</v>
      </c>
      <c r="C98" s="3356"/>
      <c r="D98" s="3356">
        <v>0.5</v>
      </c>
      <c r="E98" s="3356"/>
      <c r="F98" s="3356">
        <v>1.9</v>
      </c>
      <c r="G98" s="3356"/>
      <c r="H98" s="1698"/>
      <c r="I98" s="1699"/>
      <c r="J98" s="1699"/>
      <c r="K98" s="1701"/>
    </row>
    <row r="99" spans="1:12" s="1700" customFormat="1" ht="13.5" customHeight="1">
      <c r="A99" s="1696">
        <v>42156</v>
      </c>
      <c r="B99" s="3356">
        <v>0.4</v>
      </c>
      <c r="C99" s="3356"/>
      <c r="D99" s="3356">
        <v>0.6</v>
      </c>
      <c r="E99" s="3356"/>
      <c r="F99" s="3356">
        <v>2.1</v>
      </c>
      <c r="G99" s="3356"/>
      <c r="H99" s="1698"/>
      <c r="I99" s="1699"/>
      <c r="J99" s="1699"/>
      <c r="K99" s="1701"/>
    </row>
    <row r="100" spans="1:12" s="1700" customFormat="1" ht="13.5" customHeight="1">
      <c r="A100" s="1696">
        <v>42186</v>
      </c>
      <c r="B100" s="3356">
        <v>0.6</v>
      </c>
      <c r="C100" s="3356"/>
      <c r="D100" s="3356">
        <v>0.2</v>
      </c>
      <c r="E100" s="3356"/>
      <c r="F100" s="3356">
        <v>1.6</v>
      </c>
      <c r="G100" s="3356"/>
      <c r="H100" s="1698"/>
      <c r="I100" s="1699"/>
      <c r="J100" s="1699"/>
      <c r="K100" s="1701"/>
    </row>
    <row r="101" spans="1:12" s="1700" customFormat="1" ht="6" customHeight="1" thickBot="1">
      <c r="A101" s="1702"/>
      <c r="B101" s="3347"/>
      <c r="C101" s="3347"/>
      <c r="D101" s="3347"/>
      <c r="E101" s="3347"/>
      <c r="F101" s="3347"/>
      <c r="G101" s="3347"/>
      <c r="H101" s="1698"/>
      <c r="I101" s="1699"/>
      <c r="J101" s="1699"/>
      <c r="K101" s="1701"/>
    </row>
    <row r="102" spans="1:12" ht="14.1" customHeight="1">
      <c r="A102" s="1703" t="s">
        <v>3154</v>
      </c>
      <c r="B102" s="1704"/>
      <c r="C102" s="1704"/>
      <c r="D102" s="1704"/>
      <c r="E102" s="1704"/>
      <c r="F102" s="1704"/>
      <c r="G102" s="1704"/>
      <c r="H102" s="1704"/>
      <c r="I102" s="1705"/>
      <c r="J102" s="1705"/>
      <c r="K102" s="1705"/>
    </row>
    <row r="103" spans="1:12" ht="14.1" customHeight="1">
      <c r="A103" s="1703" t="s">
        <v>3155</v>
      </c>
      <c r="B103" s="1704"/>
      <c r="C103" s="1704"/>
      <c r="D103" s="1704"/>
      <c r="E103" s="1704"/>
      <c r="F103" s="1704"/>
      <c r="G103" s="1703"/>
      <c r="H103" s="1703"/>
      <c r="I103" s="1703"/>
      <c r="J103" s="1703"/>
      <c r="K103" s="1705"/>
    </row>
    <row r="104" spans="1:12" ht="14.1" customHeight="1">
      <c r="A104" s="1703" t="s">
        <v>3156</v>
      </c>
      <c r="B104" s="1705"/>
      <c r="C104" s="1704"/>
      <c r="D104" s="1704"/>
      <c r="E104" s="1704"/>
      <c r="F104" s="1704"/>
      <c r="G104" s="1703"/>
      <c r="H104" s="1703"/>
      <c r="I104" s="1703"/>
      <c r="J104" s="1703"/>
      <c r="K104" s="1705"/>
    </row>
    <row r="105" spans="1:12" ht="14.1" customHeight="1">
      <c r="A105" s="1703" t="s">
        <v>3157</v>
      </c>
      <c r="B105" s="1705"/>
      <c r="C105" s="1704"/>
      <c r="D105" s="1704"/>
      <c r="E105" s="1704"/>
      <c r="F105" s="1704"/>
      <c r="G105" s="1703"/>
      <c r="H105" s="1703"/>
      <c r="I105" s="1703"/>
      <c r="J105" s="1703"/>
      <c r="K105" s="1705"/>
    </row>
    <row r="106" spans="1:12" ht="14.1" customHeight="1">
      <c r="A106" s="1703" t="s">
        <v>3158</v>
      </c>
      <c r="B106" s="1705"/>
      <c r="C106" s="1704"/>
      <c r="D106" s="1704"/>
      <c r="E106" s="1704"/>
      <c r="F106" s="1704"/>
      <c r="G106" s="1703"/>
      <c r="H106" s="1703"/>
      <c r="I106" s="1703"/>
      <c r="J106" s="1703"/>
      <c r="K106" s="1705"/>
    </row>
    <row r="107" spans="1:12" ht="14.1" customHeight="1">
      <c r="A107" s="1703" t="s">
        <v>3159</v>
      </c>
      <c r="B107" s="1705"/>
      <c r="C107" s="1704"/>
      <c r="D107" s="1704"/>
      <c r="E107" s="1704"/>
      <c r="F107" s="1704"/>
      <c r="G107" s="1703"/>
      <c r="H107" s="1703"/>
      <c r="I107" s="1703"/>
      <c r="J107" s="1703"/>
      <c r="K107" s="1705"/>
    </row>
    <row r="108" spans="1:12" ht="14.1" customHeight="1">
      <c r="A108" s="1703" t="s">
        <v>3160</v>
      </c>
      <c r="B108" s="1704"/>
      <c r="C108" s="1704"/>
      <c r="D108" s="1704"/>
      <c r="E108" s="1704"/>
      <c r="F108" s="1704"/>
      <c r="G108" s="1703"/>
      <c r="H108" s="1703"/>
      <c r="I108" s="1703"/>
      <c r="J108" s="1703"/>
      <c r="K108" s="1705"/>
    </row>
    <row r="109" spans="1:12" ht="14.1" customHeight="1">
      <c r="A109" s="1703" t="s">
        <v>2053</v>
      </c>
      <c r="B109" s="1705"/>
      <c r="C109" s="1705"/>
      <c r="D109" s="1705"/>
      <c r="E109" s="1705"/>
      <c r="F109" s="1705"/>
      <c r="G109" s="1705"/>
      <c r="H109" s="1705"/>
      <c r="I109" s="1705"/>
      <c r="J109" s="1705"/>
      <c r="K109" s="1705"/>
    </row>
    <row r="110" spans="1:12" ht="12" customHeight="1"/>
    <row r="111" spans="1:12" ht="21.75" customHeight="1">
      <c r="A111" s="1706" t="s">
        <v>3161</v>
      </c>
      <c r="B111" s="1707"/>
      <c r="C111" s="1707"/>
      <c r="D111" s="1707"/>
      <c r="E111" s="1707"/>
      <c r="F111" s="1707"/>
      <c r="G111" s="1707"/>
      <c r="H111" s="1707"/>
      <c r="I111" s="1707"/>
      <c r="J111" s="1707"/>
      <c r="K111" s="1707"/>
      <c r="L111" s="1707"/>
    </row>
    <row r="112" spans="1:12" ht="14.1" customHeight="1" thickBot="1">
      <c r="A112" s="1708"/>
      <c r="B112" s="1709"/>
      <c r="C112" s="1709"/>
      <c r="D112" s="1709"/>
      <c r="E112" s="1709"/>
      <c r="F112" s="1709"/>
      <c r="G112" s="3348"/>
      <c r="H112" s="3348"/>
      <c r="I112" s="1687"/>
      <c r="J112" s="1687"/>
      <c r="K112" s="1687"/>
      <c r="L112" s="1687"/>
    </row>
    <row r="113" spans="1:14" s="1693" customFormat="1" ht="14.1" customHeight="1" thickTop="1" thickBot="1">
      <c r="A113" s="3349" t="s">
        <v>3162</v>
      </c>
      <c r="B113" s="3351" t="s">
        <v>3163</v>
      </c>
      <c r="C113" s="3352"/>
      <c r="D113" s="3352"/>
      <c r="E113" s="3353" t="s">
        <v>3164</v>
      </c>
      <c r="F113" s="3352"/>
      <c r="G113" s="3354"/>
      <c r="H113" s="3352" t="s">
        <v>3165</v>
      </c>
      <c r="I113" s="3352"/>
      <c r="J113" s="3355"/>
    </row>
    <row r="114" spans="1:14" s="1693" customFormat="1" ht="18" customHeight="1" thickBot="1">
      <c r="A114" s="3350"/>
      <c r="B114" s="1710" t="s">
        <v>3166</v>
      </c>
      <c r="C114" s="1711" t="s">
        <v>3167</v>
      </c>
      <c r="D114" s="1712" t="s">
        <v>59</v>
      </c>
      <c r="E114" s="1710" t="s">
        <v>3166</v>
      </c>
      <c r="F114" s="1711" t="s">
        <v>3167</v>
      </c>
      <c r="G114" s="1710" t="s">
        <v>59</v>
      </c>
      <c r="H114" s="1711" t="s">
        <v>3166</v>
      </c>
      <c r="I114" s="1710" t="s">
        <v>3167</v>
      </c>
      <c r="J114" s="1713" t="s">
        <v>59</v>
      </c>
    </row>
    <row r="115" spans="1:14" s="1693" customFormat="1" ht="14.1" hidden="1" customHeight="1" thickTop="1">
      <c r="A115" s="1714"/>
      <c r="B115" s="1715"/>
      <c r="C115" s="1716"/>
      <c r="D115" s="1717"/>
      <c r="E115" s="1718"/>
      <c r="F115" s="1718"/>
      <c r="G115" s="1719"/>
      <c r="H115" s="1720"/>
      <c r="I115" s="1715"/>
      <c r="J115" s="1721"/>
    </row>
    <row r="116" spans="1:14" s="1693" customFormat="1" ht="14.1" customHeight="1" thickTop="1">
      <c r="A116" s="1722" t="s">
        <v>3102</v>
      </c>
      <c r="B116" s="1723">
        <v>107.42695652173911</v>
      </c>
      <c r="C116" s="1724">
        <v>108.2</v>
      </c>
      <c r="D116" s="1724">
        <v>56.738695652173917</v>
      </c>
      <c r="E116" s="1725">
        <v>104.69863636363638</v>
      </c>
      <c r="F116" s="1725">
        <v>104.6</v>
      </c>
      <c r="G116" s="1724">
        <v>51.212173913043472</v>
      </c>
      <c r="H116" s="1726">
        <v>1285.609090909091</v>
      </c>
      <c r="I116" s="1726">
        <v>1311.1</v>
      </c>
      <c r="J116" s="1727">
        <v>1129.6260869565217</v>
      </c>
    </row>
    <row r="117" spans="1:14" s="1693" customFormat="1" ht="14.1" customHeight="1">
      <c r="A117" s="1722" t="s">
        <v>3103</v>
      </c>
      <c r="B117" s="1723">
        <v>110.44909090909094</v>
      </c>
      <c r="C117" s="1724">
        <v>103.58380952380951</v>
      </c>
      <c r="D117" s="1724"/>
      <c r="E117" s="1725">
        <v>106.4804761904762</v>
      </c>
      <c r="F117" s="1725">
        <v>96.046666666666681</v>
      </c>
      <c r="G117" s="1724"/>
      <c r="H117" s="1726">
        <v>1351.4231818181815</v>
      </c>
      <c r="I117" s="1726">
        <v>1295.0571428571429</v>
      </c>
      <c r="J117" s="1727"/>
    </row>
    <row r="118" spans="1:14" s="1693" customFormat="1" ht="14.1" customHeight="1">
      <c r="A118" s="1722" t="s">
        <v>3104</v>
      </c>
      <c r="B118" s="1723">
        <v>111.13523809523811</v>
      </c>
      <c r="C118" s="1724">
        <v>98.61636363636363</v>
      </c>
      <c r="D118" s="1724"/>
      <c r="E118" s="1725">
        <v>106.18571428571428</v>
      </c>
      <c r="F118" s="1725">
        <v>93.137727272727261</v>
      </c>
      <c r="G118" s="1724"/>
      <c r="H118" s="1726">
        <v>1348.2142857142858</v>
      </c>
      <c r="I118" s="1726">
        <v>1237.4909090909089</v>
      </c>
      <c r="J118" s="1728"/>
    </row>
    <row r="119" spans="1:14" s="1693" customFormat="1" ht="14.1" customHeight="1">
      <c r="A119" s="1722" t="s">
        <v>3105</v>
      </c>
      <c r="B119" s="1723">
        <v>109.44000000000001</v>
      </c>
      <c r="C119" s="1724">
        <v>88.108260869565228</v>
      </c>
      <c r="D119" s="1724"/>
      <c r="E119" s="1725">
        <v>100.57434782608694</v>
      </c>
      <c r="F119" s="1725">
        <v>84.324347826086949</v>
      </c>
      <c r="G119" s="1724"/>
      <c r="H119" s="1726">
        <v>1317</v>
      </c>
      <c r="I119" s="1726">
        <v>1223.1173913043474</v>
      </c>
      <c r="J119" s="1728"/>
    </row>
    <row r="120" spans="1:14" s="1693" customFormat="1" ht="14.1" customHeight="1">
      <c r="A120" s="1722" t="s">
        <v>3106</v>
      </c>
      <c r="B120" s="1723">
        <v>107.93666666666667</v>
      </c>
      <c r="C120" s="1724">
        <v>79.639499999999984</v>
      </c>
      <c r="D120" s="1724"/>
      <c r="E120" s="1725">
        <v>93.976499999999987</v>
      </c>
      <c r="F120" s="1725">
        <v>75.717500000000001</v>
      </c>
      <c r="G120" s="1724"/>
      <c r="H120" s="1726">
        <v>1275.1899999999998</v>
      </c>
      <c r="I120" s="1726">
        <v>1177.2</v>
      </c>
      <c r="J120" s="1728"/>
      <c r="L120" s="1729"/>
    </row>
    <row r="121" spans="1:14" s="1693" customFormat="1" ht="14.1" customHeight="1">
      <c r="A121" s="1722" t="s">
        <v>3107</v>
      </c>
      <c r="B121" s="1723">
        <v>110.7</v>
      </c>
      <c r="C121" s="1724">
        <v>63.27</v>
      </c>
      <c r="D121" s="1724"/>
      <c r="E121" s="1725">
        <v>97.9</v>
      </c>
      <c r="F121" s="1725">
        <v>59.31</v>
      </c>
      <c r="G121" s="1724"/>
      <c r="H121" s="1726">
        <v>1224.9000000000001</v>
      </c>
      <c r="I121" s="1726">
        <v>1200.17</v>
      </c>
      <c r="J121" s="1728"/>
    </row>
    <row r="122" spans="1:14" s="1693" customFormat="1" ht="14.1" customHeight="1">
      <c r="A122" s="1722" t="s">
        <v>3096</v>
      </c>
      <c r="B122" s="1723">
        <v>107.12363636363635</v>
      </c>
      <c r="C122" s="1724">
        <v>49.8</v>
      </c>
      <c r="D122" s="1724"/>
      <c r="E122" s="1725">
        <v>94.855714285714285</v>
      </c>
      <c r="F122" s="1725">
        <v>47.4</v>
      </c>
      <c r="G122" s="1724"/>
      <c r="H122" s="1726">
        <v>1244.0738095238096</v>
      </c>
      <c r="I122" s="1726">
        <v>1254.0999999999999</v>
      </c>
      <c r="J122" s="1728"/>
      <c r="K122" s="1730"/>
    </row>
    <row r="123" spans="1:14" s="1693" customFormat="1" ht="14.1" customHeight="1">
      <c r="A123" s="1722" t="s">
        <v>3097</v>
      </c>
      <c r="B123" s="1723">
        <v>108.82449999999999</v>
      </c>
      <c r="C123" s="1724">
        <v>58.906499999999994</v>
      </c>
      <c r="D123" s="1724"/>
      <c r="E123" s="1725">
        <v>100.66631578947367</v>
      </c>
      <c r="F123" s="1725">
        <v>50.754736842105252</v>
      </c>
      <c r="G123" s="1724"/>
      <c r="H123" s="1726">
        <v>1300.9652631578947</v>
      </c>
      <c r="I123" s="1726">
        <v>1224.9105263157894</v>
      </c>
      <c r="J123" s="1728"/>
    </row>
    <row r="124" spans="1:14" s="1693" customFormat="1" ht="14.1" customHeight="1">
      <c r="A124" s="1722" t="s">
        <v>3098</v>
      </c>
      <c r="B124" s="1723">
        <v>107.7</v>
      </c>
      <c r="C124" s="1724">
        <v>56.809545454545443</v>
      </c>
      <c r="D124" s="1724"/>
      <c r="E124" s="1725">
        <v>100.5</v>
      </c>
      <c r="F124" s="1725">
        <v>47.832727272727283</v>
      </c>
      <c r="G124" s="1724"/>
      <c r="H124" s="1726">
        <v>1336.4</v>
      </c>
      <c r="I124" s="1726">
        <v>1177.5999999999999</v>
      </c>
      <c r="J124" s="1728"/>
      <c r="L124" s="1730"/>
    </row>
    <row r="125" spans="1:14" s="1693" customFormat="1" ht="14.1" customHeight="1">
      <c r="A125" s="1722" t="s">
        <v>3099</v>
      </c>
      <c r="B125" s="1723">
        <v>108.2</v>
      </c>
      <c r="C125" s="1724">
        <v>60.990909090909099</v>
      </c>
      <c r="D125" s="1724"/>
      <c r="E125" s="1725">
        <v>102.14</v>
      </c>
      <c r="F125" s="1725">
        <v>54.494545454545452</v>
      </c>
      <c r="G125" s="1724"/>
      <c r="H125" s="1726">
        <v>1298.19</v>
      </c>
      <c r="I125" s="1726">
        <v>1199.8500000000001</v>
      </c>
      <c r="J125" s="1728"/>
      <c r="K125" s="1730"/>
    </row>
    <row r="126" spans="1:14" s="1693" customFormat="1" ht="14.1" customHeight="1">
      <c r="A126" s="1722" t="s">
        <v>3100</v>
      </c>
      <c r="B126" s="1723">
        <v>109.17772727272724</v>
      </c>
      <c r="C126" s="1724">
        <v>65.613809523809508</v>
      </c>
      <c r="D126" s="1724"/>
      <c r="E126" s="1725">
        <v>101.78952380952379</v>
      </c>
      <c r="F126" s="1725">
        <v>59.423333333333339</v>
      </c>
      <c r="G126" s="1724"/>
      <c r="H126" s="1726">
        <v>1287.5380952380951</v>
      </c>
      <c r="I126" s="1726">
        <v>1198.4904761904761</v>
      </c>
      <c r="J126" s="1728"/>
      <c r="N126" s="1730"/>
    </row>
    <row r="127" spans="1:14" s="1693" customFormat="1" ht="14.1" customHeight="1">
      <c r="A127" s="1722" t="s">
        <v>3101</v>
      </c>
      <c r="B127" s="1723">
        <v>111.92190476190477</v>
      </c>
      <c r="C127" s="1724">
        <v>63.81363636363637</v>
      </c>
      <c r="D127" s="1724"/>
      <c r="E127" s="1725">
        <v>105.14666666666666</v>
      </c>
      <c r="F127" s="1725">
        <v>59.860454545454559</v>
      </c>
      <c r="G127" s="1724"/>
      <c r="H127" s="1726">
        <v>1282.1761904761906</v>
      </c>
      <c r="I127" s="1726">
        <v>1180.7818181818182</v>
      </c>
      <c r="J127" s="1728"/>
    </row>
    <row r="128" spans="1:14" s="1693" customFormat="1" ht="14.1" customHeight="1">
      <c r="A128" s="1722"/>
      <c r="B128" s="1723"/>
      <c r="C128" s="1724"/>
      <c r="D128" s="1731"/>
      <c r="E128" s="1732"/>
      <c r="F128" s="1732"/>
      <c r="G128" s="1733"/>
      <c r="H128" s="1732"/>
      <c r="I128" s="1732"/>
      <c r="J128" s="1734"/>
    </row>
    <row r="129" spans="1:16" s="1693" customFormat="1" ht="14.1" customHeight="1" thickBot="1">
      <c r="A129" s="1735" t="s">
        <v>2059</v>
      </c>
      <c r="B129" s="1736">
        <f t="shared" ref="B129:J129" si="0">AVERAGE(B116:B127)</f>
        <v>109.1696433825836</v>
      </c>
      <c r="C129" s="1736">
        <f t="shared" si="0"/>
        <v>74.779361205219899</v>
      </c>
      <c r="D129" s="1736">
        <f t="shared" si="0"/>
        <v>56.738695652173917</v>
      </c>
      <c r="E129" s="1736">
        <f t="shared" si="0"/>
        <v>101.24282460144103</v>
      </c>
      <c r="F129" s="1736">
        <f t="shared" si="0"/>
        <v>69.408503267803894</v>
      </c>
      <c r="G129" s="1736">
        <f t="shared" si="0"/>
        <v>51.212173913043472</v>
      </c>
      <c r="H129" s="1737">
        <f t="shared" si="0"/>
        <v>1295.9733264031292</v>
      </c>
      <c r="I129" s="1737">
        <f t="shared" si="0"/>
        <v>1223.3223553283735</v>
      </c>
      <c r="J129" s="1738">
        <f t="shared" si="0"/>
        <v>1129.6260869565217</v>
      </c>
    </row>
    <row r="130" spans="1:16" ht="16.5" thickTop="1">
      <c r="A130" s="1739" t="s">
        <v>3168</v>
      </c>
      <c r="B130" s="1697"/>
      <c r="C130" s="1697"/>
      <c r="D130" s="1697"/>
      <c r="E130" s="1697"/>
      <c r="F130" s="1697"/>
      <c r="G130" s="1697"/>
      <c r="H130" s="1697"/>
      <c r="I130" s="1697"/>
      <c r="J130" s="1697"/>
      <c r="K130" s="1740"/>
      <c r="L130" s="1740"/>
    </row>
    <row r="131" spans="1:16">
      <c r="A131" s="1741" t="s">
        <v>3169</v>
      </c>
      <c r="B131" s="1697"/>
      <c r="C131" s="1697"/>
      <c r="D131" s="1697"/>
      <c r="E131" s="1697"/>
      <c r="F131" s="1697"/>
      <c r="G131" s="1697"/>
      <c r="H131" s="1697"/>
      <c r="I131" s="1697"/>
      <c r="J131" s="1697"/>
      <c r="K131" s="1740"/>
      <c r="L131" s="1740"/>
      <c r="N131" s="1742"/>
    </row>
    <row r="132" spans="1:16">
      <c r="A132" s="1741" t="s">
        <v>3170</v>
      </c>
      <c r="B132" s="1697"/>
      <c r="C132" s="1697"/>
      <c r="D132" s="1697"/>
      <c r="E132" s="1697"/>
      <c r="F132" s="1697"/>
      <c r="G132" s="1697"/>
      <c r="H132" s="1697"/>
      <c r="I132" s="1697"/>
      <c r="J132" s="1697"/>
      <c r="K132" s="1740"/>
      <c r="L132" s="1740"/>
      <c r="N132" s="1742"/>
    </row>
    <row r="133" spans="1:16">
      <c r="A133" s="1743" t="s">
        <v>3171</v>
      </c>
      <c r="B133" s="1693"/>
      <c r="C133" s="1693"/>
      <c r="D133" s="1693"/>
      <c r="E133" s="1693"/>
      <c r="F133" s="1693"/>
      <c r="G133" s="1693"/>
      <c r="H133" s="1693"/>
      <c r="I133" s="1693"/>
      <c r="J133" s="1693"/>
    </row>
    <row r="134" spans="1:16">
      <c r="A134" s="1693"/>
      <c r="B134" s="1693"/>
      <c r="C134" s="1693"/>
      <c r="D134" s="1693"/>
      <c r="E134" s="1693"/>
      <c r="F134" s="1693"/>
      <c r="G134" s="1693"/>
      <c r="H134" s="1693"/>
      <c r="I134" s="1693"/>
      <c r="J134" s="1693"/>
      <c r="L134" s="1742"/>
      <c r="N134" s="1742"/>
      <c r="P134" s="1742"/>
    </row>
    <row r="135" spans="1:16" ht="19.5" customHeight="1">
      <c r="A135" s="1706" t="s">
        <v>3172</v>
      </c>
    </row>
    <row r="136" spans="1:16" ht="16.5" thickBot="1">
      <c r="G136" s="1691"/>
    </row>
    <row r="137" spans="1:16" ht="17.25" thickTop="1" thickBot="1">
      <c r="A137" s="1744" t="s">
        <v>3095</v>
      </c>
      <c r="B137" s="1745" t="s">
        <v>3173</v>
      </c>
      <c r="C137" s="1745" t="s">
        <v>3174</v>
      </c>
      <c r="D137" s="1745" t="s">
        <v>3175</v>
      </c>
      <c r="E137" s="1745" t="s">
        <v>3176</v>
      </c>
      <c r="F137" s="1745" t="s">
        <v>3177</v>
      </c>
      <c r="G137" s="1746" t="s">
        <v>3178</v>
      </c>
    </row>
    <row r="138" spans="1:16" ht="16.5" hidden="1" thickTop="1">
      <c r="A138" s="1747">
        <v>41153</v>
      </c>
      <c r="B138" s="1748">
        <v>215.85322259670608</v>
      </c>
      <c r="C138" s="1749">
        <v>174.90655980872501</v>
      </c>
      <c r="D138" s="1749">
        <v>187.70300633182845</v>
      </c>
      <c r="E138" s="1749">
        <v>262.98507280047954</v>
      </c>
      <c r="F138" s="1749">
        <v>224.71435582404604</v>
      </c>
      <c r="G138" s="1750">
        <v>283.69357666134431</v>
      </c>
    </row>
    <row r="139" spans="1:16" ht="16.5" hidden="1" thickTop="1">
      <c r="A139" s="1751">
        <v>41395</v>
      </c>
      <c r="B139" s="1752">
        <v>214.61604099181937</v>
      </c>
      <c r="C139" s="1725">
        <v>179.99759855665999</v>
      </c>
      <c r="D139" s="1725">
        <v>253.47616210255549</v>
      </c>
      <c r="E139" s="1725">
        <v>234.83983597563295</v>
      </c>
      <c r="F139" s="1725">
        <v>194.30426681492548</v>
      </c>
      <c r="G139" s="1725">
        <v>250.07275562862236</v>
      </c>
    </row>
    <row r="140" spans="1:16" ht="16.5" thickTop="1">
      <c r="A140" s="1751">
        <v>41821</v>
      </c>
      <c r="B140" s="1752">
        <v>204.27676048571527</v>
      </c>
      <c r="C140" s="1725">
        <v>205.91691142634104</v>
      </c>
      <c r="D140" s="1725">
        <v>226.110797116963</v>
      </c>
      <c r="E140" s="1725">
        <v>185.21150982071492</v>
      </c>
      <c r="F140" s="1725">
        <v>181.09166864994904</v>
      </c>
      <c r="G140" s="1725">
        <v>259.10943168319295</v>
      </c>
    </row>
    <row r="141" spans="1:16">
      <c r="A141" s="1751">
        <v>41852</v>
      </c>
      <c r="B141" s="1752">
        <v>198.26173644977288</v>
      </c>
      <c r="C141" s="1725">
        <v>211.9772609560909</v>
      </c>
      <c r="D141" s="1725">
        <v>200.81546768981423</v>
      </c>
      <c r="E141" s="1725">
        <v>182.54584917191448</v>
      </c>
      <c r="F141" s="1725">
        <v>166.63391357449621</v>
      </c>
      <c r="G141" s="1725">
        <v>244.33088342291418</v>
      </c>
    </row>
    <row r="142" spans="1:16">
      <c r="A142" s="1751">
        <v>41883</v>
      </c>
      <c r="B142" s="1752">
        <v>192.67049902167247</v>
      </c>
      <c r="C142" s="1725">
        <v>210.95976404572644</v>
      </c>
      <c r="D142" s="1725">
        <v>187.79018418121237</v>
      </c>
      <c r="E142" s="1725">
        <v>178.16504598379899</v>
      </c>
      <c r="F142" s="1725">
        <v>162.0448831093222</v>
      </c>
      <c r="G142" s="1725">
        <v>228.09705590134052</v>
      </c>
    </row>
    <row r="143" spans="1:16">
      <c r="A143" s="1751">
        <v>41913</v>
      </c>
      <c r="B143" s="1752">
        <v>192.74343264636724</v>
      </c>
      <c r="C143" s="1725">
        <v>210.20262096382831</v>
      </c>
      <c r="D143" s="1725">
        <v>184.27814355736268</v>
      </c>
      <c r="E143" s="1725">
        <v>178.29738321297043</v>
      </c>
      <c r="F143" s="1725">
        <v>163.68905738979558</v>
      </c>
      <c r="G143" s="1725">
        <v>237.63086178303462</v>
      </c>
    </row>
    <row r="144" spans="1:16">
      <c r="A144" s="1751">
        <v>41944</v>
      </c>
      <c r="B144" s="1752">
        <v>191.26613736268911</v>
      </c>
      <c r="C144" s="1725">
        <v>206.41434864917946</v>
      </c>
      <c r="D144" s="1725">
        <v>178.06676299235798</v>
      </c>
      <c r="E144" s="1725">
        <v>183.16892463666389</v>
      </c>
      <c r="F144" s="1725">
        <v>164.89359146683492</v>
      </c>
      <c r="G144" s="1725">
        <v>229.74184704617682</v>
      </c>
    </row>
    <row r="145" spans="1:11">
      <c r="A145" s="1751">
        <v>41974</v>
      </c>
      <c r="B145" s="1752">
        <v>185.82443308489511</v>
      </c>
      <c r="C145" s="1725">
        <v>196.38719046031923</v>
      </c>
      <c r="D145" s="1725">
        <v>173.99143585053793</v>
      </c>
      <c r="E145" s="1725">
        <v>183.93569482711987</v>
      </c>
      <c r="F145" s="1725">
        <v>160.66767985777085</v>
      </c>
      <c r="G145" s="1725">
        <v>217.47364015410454</v>
      </c>
    </row>
    <row r="146" spans="1:11">
      <c r="A146" s="1751">
        <v>42005</v>
      </c>
      <c r="B146" s="1752">
        <v>178.90822481159472</v>
      </c>
      <c r="C146" s="1725">
        <v>183.49731297410915</v>
      </c>
      <c r="D146" s="1725">
        <v>173.79307829662011</v>
      </c>
      <c r="E146" s="1725">
        <v>177.37340670246857</v>
      </c>
      <c r="F146" s="1725">
        <v>155.98062693911405</v>
      </c>
      <c r="G146" s="1725">
        <v>217.7368067372783</v>
      </c>
    </row>
    <row r="147" spans="1:11">
      <c r="A147" s="1751">
        <v>42036</v>
      </c>
      <c r="B147" s="1752">
        <v>175.77596161847981</v>
      </c>
      <c r="C147" s="1725">
        <v>176.89379565725844</v>
      </c>
      <c r="D147" s="1725">
        <v>181.82395680751469</v>
      </c>
      <c r="E147" s="1725">
        <v>171.72112515448816</v>
      </c>
      <c r="F147" s="1725">
        <v>156.55353865275953</v>
      </c>
      <c r="G147" s="1725">
        <v>207.0895593412564</v>
      </c>
    </row>
    <row r="148" spans="1:11">
      <c r="A148" s="1751">
        <v>42064</v>
      </c>
      <c r="B148" s="1752">
        <v>171.49404035113014</v>
      </c>
      <c r="C148" s="1725">
        <v>170.42365587141032</v>
      </c>
      <c r="D148" s="1725">
        <v>184.87167284704796</v>
      </c>
      <c r="E148" s="1725">
        <v>169.80437258758536</v>
      </c>
      <c r="F148" s="1725">
        <v>151.68276857718919</v>
      </c>
      <c r="G148" s="1725">
        <v>187.93706128965809</v>
      </c>
    </row>
    <row r="149" spans="1:11">
      <c r="A149" s="1751">
        <v>42095</v>
      </c>
      <c r="B149" s="1752">
        <v>168.37541353570373</v>
      </c>
      <c r="C149" s="1725">
        <v>170.78727487896478</v>
      </c>
      <c r="D149" s="1725">
        <v>172.41422561721248</v>
      </c>
      <c r="E149" s="1725">
        <v>167.16258951494828</v>
      </c>
      <c r="F149" s="1725">
        <v>150.22856667168057</v>
      </c>
      <c r="G149" s="1725">
        <v>185.54902726671273</v>
      </c>
    </row>
    <row r="150" spans="1:11">
      <c r="A150" s="1751">
        <v>42125</v>
      </c>
      <c r="B150" s="1752">
        <v>167.20469215054626</v>
      </c>
      <c r="C150" s="1725">
        <v>172.61408730263349</v>
      </c>
      <c r="D150" s="1725">
        <v>167.45161987662422</v>
      </c>
      <c r="E150" s="1725">
        <v>160.75453441221558</v>
      </c>
      <c r="F150" s="1725">
        <v>154.11697989313939</v>
      </c>
      <c r="G150" s="1725">
        <v>189.29933536726361</v>
      </c>
    </row>
    <row r="151" spans="1:11">
      <c r="A151" s="1751">
        <v>42156</v>
      </c>
      <c r="B151" s="1752">
        <v>166.37861457650015</v>
      </c>
      <c r="C151" s="1725">
        <v>173.59923621496677</v>
      </c>
      <c r="D151" s="1725">
        <v>160.54226083090936</v>
      </c>
      <c r="E151" s="1725">
        <v>163.15247363729802</v>
      </c>
      <c r="F151" s="1725">
        <v>156.17252268704561</v>
      </c>
      <c r="G151" s="1725">
        <v>176.81182298921323</v>
      </c>
    </row>
    <row r="152" spans="1:11" ht="16.5" thickBot="1">
      <c r="A152" s="1753">
        <v>42186</v>
      </c>
      <c r="B152" s="1754">
        <v>164.64370759003927</v>
      </c>
      <c r="C152" s="1755">
        <v>174.12840109819197</v>
      </c>
      <c r="D152" s="1755">
        <v>149.06105623183851</v>
      </c>
      <c r="E152" s="1755">
        <v>166.49247949782321</v>
      </c>
      <c r="F152" s="1755">
        <v>147.61085368611899</v>
      </c>
      <c r="G152" s="1755">
        <v>181.22373335418553</v>
      </c>
    </row>
    <row r="153" spans="1:11" ht="16.5" thickTop="1">
      <c r="A153" s="1756" t="s">
        <v>3179</v>
      </c>
      <c r="B153" s="1756"/>
      <c r="C153" s="1756"/>
      <c r="D153" s="1756"/>
      <c r="E153" s="1756"/>
      <c r="F153" s="1756"/>
      <c r="G153" s="1756"/>
      <c r="H153" s="1756"/>
      <c r="I153" s="1756"/>
      <c r="J153" s="1756"/>
      <c r="K153" s="1757"/>
    </row>
    <row r="154" spans="1:11">
      <c r="A154" s="1758" t="s">
        <v>3180</v>
      </c>
      <c r="B154" s="1756"/>
      <c r="C154" s="1756"/>
      <c r="D154" s="1756"/>
      <c r="E154" s="1756"/>
      <c r="F154" s="1756"/>
      <c r="G154" s="1756"/>
      <c r="H154" s="1756"/>
      <c r="I154" s="1756"/>
      <c r="J154" s="1756"/>
      <c r="K154" s="1757"/>
    </row>
    <row r="155" spans="1:11">
      <c r="A155" s="1758" t="s">
        <v>3181</v>
      </c>
      <c r="B155" s="1756"/>
      <c r="C155" s="1756"/>
      <c r="D155" s="1756"/>
      <c r="E155" s="1756"/>
      <c r="F155" s="1756"/>
      <c r="G155" s="1756"/>
      <c r="H155" s="1756"/>
      <c r="I155" s="1756"/>
      <c r="J155" s="1756"/>
      <c r="K155" s="1757"/>
    </row>
    <row r="156" spans="1:11">
      <c r="A156" s="1703" t="s">
        <v>3182</v>
      </c>
      <c r="B156" s="1757"/>
      <c r="C156" s="1757"/>
      <c r="D156" s="1757"/>
      <c r="E156" s="1757"/>
      <c r="F156" s="1757"/>
      <c r="G156" s="1757"/>
      <c r="H156" s="1757"/>
      <c r="I156" s="1757"/>
      <c r="J156" s="1757"/>
      <c r="K156" s="1757"/>
    </row>
    <row r="160" spans="1:11">
      <c r="F160" s="1759"/>
    </row>
    <row r="161" spans="6:6">
      <c r="F161" s="1759"/>
    </row>
    <row r="162" spans="6:6">
      <c r="F162" s="1759"/>
    </row>
  </sheetData>
  <mergeCells count="302">
    <mergeCell ref="B5:C5"/>
    <mergeCell ref="D5:E5"/>
    <mergeCell ref="F5:G5"/>
    <mergeCell ref="B6:C6"/>
    <mergeCell ref="D6:E6"/>
    <mergeCell ref="F6:G6"/>
    <mergeCell ref="B3:C3"/>
    <mergeCell ref="D3:E3"/>
    <mergeCell ref="F3:G3"/>
    <mergeCell ref="B4:C4"/>
    <mergeCell ref="D4:E4"/>
    <mergeCell ref="F4:G4"/>
    <mergeCell ref="B9:C9"/>
    <mergeCell ref="D9:E9"/>
    <mergeCell ref="F9:G9"/>
    <mergeCell ref="B10:C10"/>
    <mergeCell ref="D10:E10"/>
    <mergeCell ref="F10:G10"/>
    <mergeCell ref="B7:C7"/>
    <mergeCell ref="D7:E7"/>
    <mergeCell ref="F7:G7"/>
    <mergeCell ref="B8:C8"/>
    <mergeCell ref="D8:E8"/>
    <mergeCell ref="F8:G8"/>
    <mergeCell ref="B13:C13"/>
    <mergeCell ref="D13:E13"/>
    <mergeCell ref="F13:G13"/>
    <mergeCell ref="B14:C14"/>
    <mergeCell ref="D14:E14"/>
    <mergeCell ref="F14:G14"/>
    <mergeCell ref="B11:C11"/>
    <mergeCell ref="D11:E11"/>
    <mergeCell ref="F11:G11"/>
    <mergeCell ref="B12:C12"/>
    <mergeCell ref="D12:E12"/>
    <mergeCell ref="F12:G12"/>
    <mergeCell ref="B17:C17"/>
    <mergeCell ref="D17:E17"/>
    <mergeCell ref="F17:G17"/>
    <mergeCell ref="B18:C18"/>
    <mergeCell ref="D18:E18"/>
    <mergeCell ref="F18:G18"/>
    <mergeCell ref="B15:C15"/>
    <mergeCell ref="D15:E15"/>
    <mergeCell ref="F15:G15"/>
    <mergeCell ref="B16:C16"/>
    <mergeCell ref="D16:E16"/>
    <mergeCell ref="F16:G16"/>
    <mergeCell ref="B21:C21"/>
    <mergeCell ref="D21:E21"/>
    <mergeCell ref="F21:G21"/>
    <mergeCell ref="B22:C22"/>
    <mergeCell ref="D22:E22"/>
    <mergeCell ref="F22:G22"/>
    <mergeCell ref="B19:C19"/>
    <mergeCell ref="D19:E19"/>
    <mergeCell ref="F19:G19"/>
    <mergeCell ref="B20:C20"/>
    <mergeCell ref="D20:E20"/>
    <mergeCell ref="F20:G20"/>
    <mergeCell ref="B25:C25"/>
    <mergeCell ref="D25:E25"/>
    <mergeCell ref="F25:G25"/>
    <mergeCell ref="B26:C26"/>
    <mergeCell ref="D26:E26"/>
    <mergeCell ref="F26:G26"/>
    <mergeCell ref="B23:C23"/>
    <mergeCell ref="D23:E23"/>
    <mergeCell ref="F23:G23"/>
    <mergeCell ref="B24:C24"/>
    <mergeCell ref="D24:E24"/>
    <mergeCell ref="F24:G24"/>
    <mergeCell ref="B29:C29"/>
    <mergeCell ref="D29:E29"/>
    <mergeCell ref="F29:G29"/>
    <mergeCell ref="B30:C30"/>
    <mergeCell ref="D30:E30"/>
    <mergeCell ref="F30:G30"/>
    <mergeCell ref="B27:C27"/>
    <mergeCell ref="D27:E27"/>
    <mergeCell ref="F27:G27"/>
    <mergeCell ref="B28:C28"/>
    <mergeCell ref="D28:E28"/>
    <mergeCell ref="F28:G28"/>
    <mergeCell ref="B33:C33"/>
    <mergeCell ref="D33:E33"/>
    <mergeCell ref="F33:G33"/>
    <mergeCell ref="B34:C34"/>
    <mergeCell ref="D34:E34"/>
    <mergeCell ref="F34:G34"/>
    <mergeCell ref="B31:C31"/>
    <mergeCell ref="D31:E31"/>
    <mergeCell ref="F31:G31"/>
    <mergeCell ref="B32:C32"/>
    <mergeCell ref="D32:E32"/>
    <mergeCell ref="F32:G32"/>
    <mergeCell ref="B37:C37"/>
    <mergeCell ref="D37:E37"/>
    <mergeCell ref="F37:G37"/>
    <mergeCell ref="B38:C38"/>
    <mergeCell ref="D38:E38"/>
    <mergeCell ref="F38:G38"/>
    <mergeCell ref="B35:C35"/>
    <mergeCell ref="D35:E35"/>
    <mergeCell ref="F35:G35"/>
    <mergeCell ref="B36:C36"/>
    <mergeCell ref="D36:E36"/>
    <mergeCell ref="F36:G36"/>
    <mergeCell ref="B41:C41"/>
    <mergeCell ref="D41:E41"/>
    <mergeCell ref="F41:G41"/>
    <mergeCell ref="B42:C42"/>
    <mergeCell ref="D42:E42"/>
    <mergeCell ref="F42:G42"/>
    <mergeCell ref="B39:C39"/>
    <mergeCell ref="D39:E39"/>
    <mergeCell ref="F39:G39"/>
    <mergeCell ref="B40:C40"/>
    <mergeCell ref="D40:E40"/>
    <mergeCell ref="F40:G40"/>
    <mergeCell ref="B45:C45"/>
    <mergeCell ref="D45:E45"/>
    <mergeCell ref="F45:G45"/>
    <mergeCell ref="B46:C46"/>
    <mergeCell ref="D46:E46"/>
    <mergeCell ref="F46:G46"/>
    <mergeCell ref="B43:C43"/>
    <mergeCell ref="D43:E43"/>
    <mergeCell ref="F43:G43"/>
    <mergeCell ref="B44:C44"/>
    <mergeCell ref="D44:E44"/>
    <mergeCell ref="F44:G44"/>
    <mergeCell ref="B49:C49"/>
    <mergeCell ref="D49:E49"/>
    <mergeCell ref="F49:G49"/>
    <mergeCell ref="B50:C50"/>
    <mergeCell ref="D50:E50"/>
    <mergeCell ref="F50:G50"/>
    <mergeCell ref="B47:C47"/>
    <mergeCell ref="D47:E47"/>
    <mergeCell ref="F47:G47"/>
    <mergeCell ref="B48:C48"/>
    <mergeCell ref="D48:E48"/>
    <mergeCell ref="F48:G48"/>
    <mergeCell ref="B53:C53"/>
    <mergeCell ref="D53:E53"/>
    <mergeCell ref="F53:G53"/>
    <mergeCell ref="B54:C54"/>
    <mergeCell ref="D54:E54"/>
    <mergeCell ref="F54:G54"/>
    <mergeCell ref="B51:C51"/>
    <mergeCell ref="D51:E51"/>
    <mergeCell ref="F51:G51"/>
    <mergeCell ref="B52:C52"/>
    <mergeCell ref="D52:E52"/>
    <mergeCell ref="F52:G52"/>
    <mergeCell ref="B57:C57"/>
    <mergeCell ref="D57:E57"/>
    <mergeCell ref="F57:G57"/>
    <mergeCell ref="B58:C58"/>
    <mergeCell ref="D58:E58"/>
    <mergeCell ref="F58:G58"/>
    <mergeCell ref="B55:C55"/>
    <mergeCell ref="D55:E55"/>
    <mergeCell ref="F55:G55"/>
    <mergeCell ref="B56:C56"/>
    <mergeCell ref="D56:E56"/>
    <mergeCell ref="F56:G56"/>
    <mergeCell ref="B61:C61"/>
    <mergeCell ref="D61:E61"/>
    <mergeCell ref="F61:G61"/>
    <mergeCell ref="B62:C62"/>
    <mergeCell ref="D62:E62"/>
    <mergeCell ref="F62:G62"/>
    <mergeCell ref="B59:C59"/>
    <mergeCell ref="D59:E59"/>
    <mergeCell ref="F59:G59"/>
    <mergeCell ref="B60:C60"/>
    <mergeCell ref="D60:E60"/>
    <mergeCell ref="F60:G60"/>
    <mergeCell ref="B65:C65"/>
    <mergeCell ref="D65:E65"/>
    <mergeCell ref="F65:G65"/>
    <mergeCell ref="B66:C66"/>
    <mergeCell ref="D66:E66"/>
    <mergeCell ref="F66:G66"/>
    <mergeCell ref="B63:C63"/>
    <mergeCell ref="D63:E63"/>
    <mergeCell ref="F63:G63"/>
    <mergeCell ref="B64:C64"/>
    <mergeCell ref="D64:E64"/>
    <mergeCell ref="F64:G64"/>
    <mergeCell ref="B69:C69"/>
    <mergeCell ref="D69:E69"/>
    <mergeCell ref="F69:G69"/>
    <mergeCell ref="B70:C70"/>
    <mergeCell ref="D70:E70"/>
    <mergeCell ref="F70:G70"/>
    <mergeCell ref="B67:C67"/>
    <mergeCell ref="D67:E67"/>
    <mergeCell ref="F67:G67"/>
    <mergeCell ref="B68:C68"/>
    <mergeCell ref="D68:E68"/>
    <mergeCell ref="F68:G68"/>
    <mergeCell ref="B73:C73"/>
    <mergeCell ref="D73:E73"/>
    <mergeCell ref="F73:G73"/>
    <mergeCell ref="B74:C74"/>
    <mergeCell ref="D74:E74"/>
    <mergeCell ref="F74:G74"/>
    <mergeCell ref="B71:C71"/>
    <mergeCell ref="D71:E71"/>
    <mergeCell ref="F71:G71"/>
    <mergeCell ref="B72:C72"/>
    <mergeCell ref="D72:E72"/>
    <mergeCell ref="F72:G72"/>
    <mergeCell ref="B77:C77"/>
    <mergeCell ref="D77:E77"/>
    <mergeCell ref="F77:G77"/>
    <mergeCell ref="B78:C78"/>
    <mergeCell ref="D78:E78"/>
    <mergeCell ref="F78:G78"/>
    <mergeCell ref="B75:C75"/>
    <mergeCell ref="D75:E75"/>
    <mergeCell ref="F75:G75"/>
    <mergeCell ref="B76:C76"/>
    <mergeCell ref="D76:E76"/>
    <mergeCell ref="F76:G76"/>
    <mergeCell ref="B81:C81"/>
    <mergeCell ref="D81:E81"/>
    <mergeCell ref="F81:G81"/>
    <mergeCell ref="B82:C82"/>
    <mergeCell ref="D82:E82"/>
    <mergeCell ref="F82:G82"/>
    <mergeCell ref="B79:C79"/>
    <mergeCell ref="D79:E79"/>
    <mergeCell ref="F79:G79"/>
    <mergeCell ref="B80:C80"/>
    <mergeCell ref="D80:E80"/>
    <mergeCell ref="F80:G80"/>
    <mergeCell ref="B85:C85"/>
    <mergeCell ref="D85:E85"/>
    <mergeCell ref="F85:G85"/>
    <mergeCell ref="B86:C86"/>
    <mergeCell ref="D86:E86"/>
    <mergeCell ref="F86:G86"/>
    <mergeCell ref="B83:C83"/>
    <mergeCell ref="D83:E83"/>
    <mergeCell ref="F83:G83"/>
    <mergeCell ref="B84:C84"/>
    <mergeCell ref="D84:E84"/>
    <mergeCell ref="F84:G84"/>
    <mergeCell ref="B89:C89"/>
    <mergeCell ref="D89:E89"/>
    <mergeCell ref="F89:G89"/>
    <mergeCell ref="B90:C90"/>
    <mergeCell ref="D90:E90"/>
    <mergeCell ref="F90:G90"/>
    <mergeCell ref="B87:C87"/>
    <mergeCell ref="D87:E87"/>
    <mergeCell ref="F87:G87"/>
    <mergeCell ref="B88:C88"/>
    <mergeCell ref="D88:E88"/>
    <mergeCell ref="F88:G88"/>
    <mergeCell ref="B93:C93"/>
    <mergeCell ref="D93:E93"/>
    <mergeCell ref="F93:G93"/>
    <mergeCell ref="B94:C94"/>
    <mergeCell ref="D94:E94"/>
    <mergeCell ref="F94:G94"/>
    <mergeCell ref="B91:C91"/>
    <mergeCell ref="D91:E91"/>
    <mergeCell ref="F91:G91"/>
    <mergeCell ref="B92:C92"/>
    <mergeCell ref="D92:E92"/>
    <mergeCell ref="F92:G92"/>
    <mergeCell ref="B97:C97"/>
    <mergeCell ref="D97:E97"/>
    <mergeCell ref="F97:G97"/>
    <mergeCell ref="B98:C98"/>
    <mergeCell ref="D98:E98"/>
    <mergeCell ref="F98:G98"/>
    <mergeCell ref="B95:C95"/>
    <mergeCell ref="D95:E95"/>
    <mergeCell ref="F95:G95"/>
    <mergeCell ref="B96:C96"/>
    <mergeCell ref="D96:E96"/>
    <mergeCell ref="F96:G96"/>
    <mergeCell ref="B101:C101"/>
    <mergeCell ref="D101:E101"/>
    <mergeCell ref="F101:G101"/>
    <mergeCell ref="G112:H112"/>
    <mergeCell ref="A113:A114"/>
    <mergeCell ref="B113:D113"/>
    <mergeCell ref="E113:G113"/>
    <mergeCell ref="H113:J113"/>
    <mergeCell ref="B99:C99"/>
    <mergeCell ref="D99:E99"/>
    <mergeCell ref="F99:G99"/>
    <mergeCell ref="B100:C100"/>
    <mergeCell ref="D100:E100"/>
    <mergeCell ref="F100:G100"/>
  </mergeCells>
  <printOptions horizontalCentered="1" verticalCentered="1"/>
  <pageMargins left="0.31496062992125984" right="0" top="0.31496062992125984" bottom="0" header="0" footer="0"/>
  <pageSetup paperSize="9" scale="6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257"/>
  <sheetViews>
    <sheetView zoomScale="90" zoomScaleNormal="90" workbookViewId="0">
      <selection activeCell="N67" sqref="N67"/>
    </sheetView>
  </sheetViews>
  <sheetFormatPr defaultRowHeight="12.75"/>
  <cols>
    <col min="1" max="1" width="13.28515625" style="2871" customWidth="1"/>
    <col min="2" max="4" width="11.28515625" style="2871" customWidth="1"/>
    <col min="5" max="5" width="11.5703125" style="2871" bestFit="1" customWidth="1"/>
    <col min="6" max="6" width="11.140625" style="2871" customWidth="1"/>
    <col min="7" max="7" width="12.42578125" style="2871" customWidth="1"/>
    <col min="8" max="8" width="13.85546875" style="2871" customWidth="1"/>
    <col min="9" max="9" width="13.42578125" style="2871" customWidth="1"/>
    <col min="10" max="10" width="15.7109375" style="2871" customWidth="1"/>
    <col min="11" max="11" width="17.7109375" style="2798" bestFit="1" customWidth="1"/>
    <col min="12" max="48" width="9.140625" style="2798"/>
    <col min="49" max="249" width="9.140625" style="2871"/>
    <col min="250" max="250" width="13.28515625" style="2871" customWidth="1"/>
    <col min="251" max="251" width="10.5703125" style="2871" customWidth="1"/>
    <col min="252" max="252" width="12.140625" style="2871" customWidth="1"/>
    <col min="253" max="253" width="8.140625" style="2871" bestFit="1" customWidth="1"/>
    <col min="254" max="254" width="11.5703125" style="2871" bestFit="1" customWidth="1"/>
    <col min="255" max="255" width="11.140625" style="2871" customWidth="1"/>
    <col min="256" max="256" width="12.5703125" style="2871" customWidth="1"/>
    <col min="257" max="257" width="13.85546875" style="2871" customWidth="1"/>
    <col min="258" max="258" width="13.42578125" style="2871" customWidth="1"/>
    <col min="259" max="259" width="11" style="2871" customWidth="1"/>
    <col min="260" max="260" width="17.7109375" style="2871" bestFit="1" customWidth="1"/>
    <col min="261" max="262" width="9.140625" style="2871"/>
    <col min="263" max="263" width="10.140625" style="2871" customWidth="1"/>
    <col min="264" max="505" width="9.140625" style="2871"/>
    <col min="506" max="506" width="13.28515625" style="2871" customWidth="1"/>
    <col min="507" max="507" width="10.5703125" style="2871" customWidth="1"/>
    <col min="508" max="508" width="12.140625" style="2871" customWidth="1"/>
    <col min="509" max="509" width="8.140625" style="2871" bestFit="1" customWidth="1"/>
    <col min="510" max="510" width="11.5703125" style="2871" bestFit="1" customWidth="1"/>
    <col min="511" max="511" width="11.140625" style="2871" customWidth="1"/>
    <col min="512" max="512" width="12.5703125" style="2871" customWidth="1"/>
    <col min="513" max="513" width="13.85546875" style="2871" customWidth="1"/>
    <col min="514" max="514" width="13.42578125" style="2871" customWidth="1"/>
    <col min="515" max="515" width="11" style="2871" customWidth="1"/>
    <col min="516" max="516" width="17.7109375" style="2871" bestFit="1" customWidth="1"/>
    <col min="517" max="518" width="9.140625" style="2871"/>
    <col min="519" max="519" width="10.140625" style="2871" customWidth="1"/>
    <col min="520" max="761" width="9.140625" style="2871"/>
    <col min="762" max="762" width="13.28515625" style="2871" customWidth="1"/>
    <col min="763" max="763" width="10.5703125" style="2871" customWidth="1"/>
    <col min="764" max="764" width="12.140625" style="2871" customWidth="1"/>
    <col min="765" max="765" width="8.140625" style="2871" bestFit="1" customWidth="1"/>
    <col min="766" max="766" width="11.5703125" style="2871" bestFit="1" customWidth="1"/>
    <col min="767" max="767" width="11.140625" style="2871" customWidth="1"/>
    <col min="768" max="768" width="12.5703125" style="2871" customWidth="1"/>
    <col min="769" max="769" width="13.85546875" style="2871" customWidth="1"/>
    <col min="770" max="770" width="13.42578125" style="2871" customWidth="1"/>
    <col min="771" max="771" width="11" style="2871" customWidth="1"/>
    <col min="772" max="772" width="17.7109375" style="2871" bestFit="1" customWidth="1"/>
    <col min="773" max="774" width="9.140625" style="2871"/>
    <col min="775" max="775" width="10.140625" style="2871" customWidth="1"/>
    <col min="776" max="1017" width="9.140625" style="2871"/>
    <col min="1018" max="1018" width="13.28515625" style="2871" customWidth="1"/>
    <col min="1019" max="1019" width="10.5703125" style="2871" customWidth="1"/>
    <col min="1020" max="1020" width="12.140625" style="2871" customWidth="1"/>
    <col min="1021" max="1021" width="8.140625" style="2871" bestFit="1" customWidth="1"/>
    <col min="1022" max="1022" width="11.5703125" style="2871" bestFit="1" customWidth="1"/>
    <col min="1023" max="1023" width="11.140625" style="2871" customWidth="1"/>
    <col min="1024" max="1024" width="12.5703125" style="2871" customWidth="1"/>
    <col min="1025" max="1025" width="13.85546875" style="2871" customWidth="1"/>
    <col min="1026" max="1026" width="13.42578125" style="2871" customWidth="1"/>
    <col min="1027" max="1027" width="11" style="2871" customWidth="1"/>
    <col min="1028" max="1028" width="17.7109375" style="2871" bestFit="1" customWidth="1"/>
    <col min="1029" max="1030" width="9.140625" style="2871"/>
    <col min="1031" max="1031" width="10.140625" style="2871" customWidth="1"/>
    <col min="1032" max="1273" width="9.140625" style="2871"/>
    <col min="1274" max="1274" width="13.28515625" style="2871" customWidth="1"/>
    <col min="1275" max="1275" width="10.5703125" style="2871" customWidth="1"/>
    <col min="1276" max="1276" width="12.140625" style="2871" customWidth="1"/>
    <col min="1277" max="1277" width="8.140625" style="2871" bestFit="1" customWidth="1"/>
    <col min="1278" max="1278" width="11.5703125" style="2871" bestFit="1" customWidth="1"/>
    <col min="1279" max="1279" width="11.140625" style="2871" customWidth="1"/>
    <col min="1280" max="1280" width="12.5703125" style="2871" customWidth="1"/>
    <col min="1281" max="1281" width="13.85546875" style="2871" customWidth="1"/>
    <col min="1282" max="1282" width="13.42578125" style="2871" customWidth="1"/>
    <col min="1283" max="1283" width="11" style="2871" customWidth="1"/>
    <col min="1284" max="1284" width="17.7109375" style="2871" bestFit="1" customWidth="1"/>
    <col min="1285" max="1286" width="9.140625" style="2871"/>
    <col min="1287" max="1287" width="10.140625" style="2871" customWidth="1"/>
    <col min="1288" max="1529" width="9.140625" style="2871"/>
    <col min="1530" max="1530" width="13.28515625" style="2871" customWidth="1"/>
    <col min="1531" max="1531" width="10.5703125" style="2871" customWidth="1"/>
    <col min="1532" max="1532" width="12.140625" style="2871" customWidth="1"/>
    <col min="1533" max="1533" width="8.140625" style="2871" bestFit="1" customWidth="1"/>
    <col min="1534" max="1534" width="11.5703125" style="2871" bestFit="1" customWidth="1"/>
    <col min="1535" max="1535" width="11.140625" style="2871" customWidth="1"/>
    <col min="1536" max="1536" width="12.5703125" style="2871" customWidth="1"/>
    <col min="1537" max="1537" width="13.85546875" style="2871" customWidth="1"/>
    <col min="1538" max="1538" width="13.42578125" style="2871" customWidth="1"/>
    <col min="1539" max="1539" width="11" style="2871" customWidth="1"/>
    <col min="1540" max="1540" width="17.7109375" style="2871" bestFit="1" customWidth="1"/>
    <col min="1541" max="1542" width="9.140625" style="2871"/>
    <col min="1543" max="1543" width="10.140625" style="2871" customWidth="1"/>
    <col min="1544" max="1785" width="9.140625" style="2871"/>
    <col min="1786" max="1786" width="13.28515625" style="2871" customWidth="1"/>
    <col min="1787" max="1787" width="10.5703125" style="2871" customWidth="1"/>
    <col min="1788" max="1788" width="12.140625" style="2871" customWidth="1"/>
    <col min="1789" max="1789" width="8.140625" style="2871" bestFit="1" customWidth="1"/>
    <col min="1790" max="1790" width="11.5703125" style="2871" bestFit="1" customWidth="1"/>
    <col min="1791" max="1791" width="11.140625" style="2871" customWidth="1"/>
    <col min="1792" max="1792" width="12.5703125" style="2871" customWidth="1"/>
    <col min="1793" max="1793" width="13.85546875" style="2871" customWidth="1"/>
    <col min="1794" max="1794" width="13.42578125" style="2871" customWidth="1"/>
    <col min="1795" max="1795" width="11" style="2871" customWidth="1"/>
    <col min="1796" max="1796" width="17.7109375" style="2871" bestFit="1" customWidth="1"/>
    <col min="1797" max="1798" width="9.140625" style="2871"/>
    <col min="1799" max="1799" width="10.140625" style="2871" customWidth="1"/>
    <col min="1800" max="2041" width="9.140625" style="2871"/>
    <col min="2042" max="2042" width="13.28515625" style="2871" customWidth="1"/>
    <col min="2043" max="2043" width="10.5703125" style="2871" customWidth="1"/>
    <col min="2044" max="2044" width="12.140625" style="2871" customWidth="1"/>
    <col min="2045" max="2045" width="8.140625" style="2871" bestFit="1" customWidth="1"/>
    <col min="2046" max="2046" width="11.5703125" style="2871" bestFit="1" customWidth="1"/>
    <col min="2047" max="2047" width="11.140625" style="2871" customWidth="1"/>
    <col min="2048" max="2048" width="12.5703125" style="2871" customWidth="1"/>
    <col min="2049" max="2049" width="13.85546875" style="2871" customWidth="1"/>
    <col min="2050" max="2050" width="13.42578125" style="2871" customWidth="1"/>
    <col min="2051" max="2051" width="11" style="2871" customWidth="1"/>
    <col min="2052" max="2052" width="17.7109375" style="2871" bestFit="1" customWidth="1"/>
    <col min="2053" max="2054" width="9.140625" style="2871"/>
    <col min="2055" max="2055" width="10.140625" style="2871" customWidth="1"/>
    <col min="2056" max="2297" width="9.140625" style="2871"/>
    <col min="2298" max="2298" width="13.28515625" style="2871" customWidth="1"/>
    <col min="2299" max="2299" width="10.5703125" style="2871" customWidth="1"/>
    <col min="2300" max="2300" width="12.140625" style="2871" customWidth="1"/>
    <col min="2301" max="2301" width="8.140625" style="2871" bestFit="1" customWidth="1"/>
    <col min="2302" max="2302" width="11.5703125" style="2871" bestFit="1" customWidth="1"/>
    <col min="2303" max="2303" width="11.140625" style="2871" customWidth="1"/>
    <col min="2304" max="2304" width="12.5703125" style="2871" customWidth="1"/>
    <col min="2305" max="2305" width="13.85546875" style="2871" customWidth="1"/>
    <col min="2306" max="2306" width="13.42578125" style="2871" customWidth="1"/>
    <col min="2307" max="2307" width="11" style="2871" customWidth="1"/>
    <col min="2308" max="2308" width="17.7109375" style="2871" bestFit="1" customWidth="1"/>
    <col min="2309" max="2310" width="9.140625" style="2871"/>
    <col min="2311" max="2311" width="10.140625" style="2871" customWidth="1"/>
    <col min="2312" max="2553" width="9.140625" style="2871"/>
    <col min="2554" max="2554" width="13.28515625" style="2871" customWidth="1"/>
    <col min="2555" max="2555" width="10.5703125" style="2871" customWidth="1"/>
    <col min="2556" max="2556" width="12.140625" style="2871" customWidth="1"/>
    <col min="2557" max="2557" width="8.140625" style="2871" bestFit="1" customWidth="1"/>
    <col min="2558" max="2558" width="11.5703125" style="2871" bestFit="1" customWidth="1"/>
    <col min="2559" max="2559" width="11.140625" style="2871" customWidth="1"/>
    <col min="2560" max="2560" width="12.5703125" style="2871" customWidth="1"/>
    <col min="2561" max="2561" width="13.85546875" style="2871" customWidth="1"/>
    <col min="2562" max="2562" width="13.42578125" style="2871" customWidth="1"/>
    <col min="2563" max="2563" width="11" style="2871" customWidth="1"/>
    <col min="2564" max="2564" width="17.7109375" style="2871" bestFit="1" customWidth="1"/>
    <col min="2565" max="2566" width="9.140625" style="2871"/>
    <col min="2567" max="2567" width="10.140625" style="2871" customWidth="1"/>
    <col min="2568" max="2809" width="9.140625" style="2871"/>
    <col min="2810" max="2810" width="13.28515625" style="2871" customWidth="1"/>
    <col min="2811" max="2811" width="10.5703125" style="2871" customWidth="1"/>
    <col min="2812" max="2812" width="12.140625" style="2871" customWidth="1"/>
    <col min="2813" max="2813" width="8.140625" style="2871" bestFit="1" customWidth="1"/>
    <col min="2814" max="2814" width="11.5703125" style="2871" bestFit="1" customWidth="1"/>
    <col min="2815" max="2815" width="11.140625" style="2871" customWidth="1"/>
    <col min="2816" max="2816" width="12.5703125" style="2871" customWidth="1"/>
    <col min="2817" max="2817" width="13.85546875" style="2871" customWidth="1"/>
    <col min="2818" max="2818" width="13.42578125" style="2871" customWidth="1"/>
    <col min="2819" max="2819" width="11" style="2871" customWidth="1"/>
    <col min="2820" max="2820" width="17.7109375" style="2871" bestFit="1" customWidth="1"/>
    <col min="2821" max="2822" width="9.140625" style="2871"/>
    <col min="2823" max="2823" width="10.140625" style="2871" customWidth="1"/>
    <col min="2824" max="3065" width="9.140625" style="2871"/>
    <col min="3066" max="3066" width="13.28515625" style="2871" customWidth="1"/>
    <col min="3067" max="3067" width="10.5703125" style="2871" customWidth="1"/>
    <col min="3068" max="3068" width="12.140625" style="2871" customWidth="1"/>
    <col min="3069" max="3069" width="8.140625" style="2871" bestFit="1" customWidth="1"/>
    <col min="3070" max="3070" width="11.5703125" style="2871" bestFit="1" customWidth="1"/>
    <col min="3071" max="3071" width="11.140625" style="2871" customWidth="1"/>
    <col min="3072" max="3072" width="12.5703125" style="2871" customWidth="1"/>
    <col min="3073" max="3073" width="13.85546875" style="2871" customWidth="1"/>
    <col min="3074" max="3074" width="13.42578125" style="2871" customWidth="1"/>
    <col min="3075" max="3075" width="11" style="2871" customWidth="1"/>
    <col min="3076" max="3076" width="17.7109375" style="2871" bestFit="1" customWidth="1"/>
    <col min="3077" max="3078" width="9.140625" style="2871"/>
    <col min="3079" max="3079" width="10.140625" style="2871" customWidth="1"/>
    <col min="3080" max="3321" width="9.140625" style="2871"/>
    <col min="3322" max="3322" width="13.28515625" style="2871" customWidth="1"/>
    <col min="3323" max="3323" width="10.5703125" style="2871" customWidth="1"/>
    <col min="3324" max="3324" width="12.140625" style="2871" customWidth="1"/>
    <col min="3325" max="3325" width="8.140625" style="2871" bestFit="1" customWidth="1"/>
    <col min="3326" max="3326" width="11.5703125" style="2871" bestFit="1" customWidth="1"/>
    <col min="3327" max="3327" width="11.140625" style="2871" customWidth="1"/>
    <col min="3328" max="3328" width="12.5703125" style="2871" customWidth="1"/>
    <col min="3329" max="3329" width="13.85546875" style="2871" customWidth="1"/>
    <col min="3330" max="3330" width="13.42578125" style="2871" customWidth="1"/>
    <col min="3331" max="3331" width="11" style="2871" customWidth="1"/>
    <col min="3332" max="3332" width="17.7109375" style="2871" bestFit="1" customWidth="1"/>
    <col min="3333" max="3334" width="9.140625" style="2871"/>
    <col min="3335" max="3335" width="10.140625" style="2871" customWidth="1"/>
    <col min="3336" max="3577" width="9.140625" style="2871"/>
    <col min="3578" max="3578" width="13.28515625" style="2871" customWidth="1"/>
    <col min="3579" max="3579" width="10.5703125" style="2871" customWidth="1"/>
    <col min="3580" max="3580" width="12.140625" style="2871" customWidth="1"/>
    <col min="3581" max="3581" width="8.140625" style="2871" bestFit="1" customWidth="1"/>
    <col min="3582" max="3582" width="11.5703125" style="2871" bestFit="1" customWidth="1"/>
    <col min="3583" max="3583" width="11.140625" style="2871" customWidth="1"/>
    <col min="3584" max="3584" width="12.5703125" style="2871" customWidth="1"/>
    <col min="3585" max="3585" width="13.85546875" style="2871" customWidth="1"/>
    <col min="3586" max="3586" width="13.42578125" style="2871" customWidth="1"/>
    <col min="3587" max="3587" width="11" style="2871" customWidth="1"/>
    <col min="3588" max="3588" width="17.7109375" style="2871" bestFit="1" customWidth="1"/>
    <col min="3589" max="3590" width="9.140625" style="2871"/>
    <col min="3591" max="3591" width="10.140625" style="2871" customWidth="1"/>
    <col min="3592" max="3833" width="9.140625" style="2871"/>
    <col min="3834" max="3834" width="13.28515625" style="2871" customWidth="1"/>
    <col min="3835" max="3835" width="10.5703125" style="2871" customWidth="1"/>
    <col min="3836" max="3836" width="12.140625" style="2871" customWidth="1"/>
    <col min="3837" max="3837" width="8.140625" style="2871" bestFit="1" customWidth="1"/>
    <col min="3838" max="3838" width="11.5703125" style="2871" bestFit="1" customWidth="1"/>
    <col min="3839" max="3839" width="11.140625" style="2871" customWidth="1"/>
    <col min="3840" max="3840" width="12.5703125" style="2871" customWidth="1"/>
    <col min="3841" max="3841" width="13.85546875" style="2871" customWidth="1"/>
    <col min="3842" max="3842" width="13.42578125" style="2871" customWidth="1"/>
    <col min="3843" max="3843" width="11" style="2871" customWidth="1"/>
    <col min="3844" max="3844" width="17.7109375" style="2871" bestFit="1" customWidth="1"/>
    <col min="3845" max="3846" width="9.140625" style="2871"/>
    <col min="3847" max="3847" width="10.140625" style="2871" customWidth="1"/>
    <col min="3848" max="4089" width="9.140625" style="2871"/>
    <col min="4090" max="4090" width="13.28515625" style="2871" customWidth="1"/>
    <col min="4091" max="4091" width="10.5703125" style="2871" customWidth="1"/>
    <col min="4092" max="4092" width="12.140625" style="2871" customWidth="1"/>
    <col min="4093" max="4093" width="8.140625" style="2871" bestFit="1" customWidth="1"/>
    <col min="4094" max="4094" width="11.5703125" style="2871" bestFit="1" customWidth="1"/>
    <col min="4095" max="4095" width="11.140625" style="2871" customWidth="1"/>
    <col min="4096" max="4096" width="12.5703125" style="2871" customWidth="1"/>
    <col min="4097" max="4097" width="13.85546875" style="2871" customWidth="1"/>
    <col min="4098" max="4098" width="13.42578125" style="2871" customWidth="1"/>
    <col min="4099" max="4099" width="11" style="2871" customWidth="1"/>
    <col min="4100" max="4100" width="17.7109375" style="2871" bestFit="1" customWidth="1"/>
    <col min="4101" max="4102" width="9.140625" style="2871"/>
    <col min="4103" max="4103" width="10.140625" style="2871" customWidth="1"/>
    <col min="4104" max="4345" width="9.140625" style="2871"/>
    <col min="4346" max="4346" width="13.28515625" style="2871" customWidth="1"/>
    <col min="4347" max="4347" width="10.5703125" style="2871" customWidth="1"/>
    <col min="4348" max="4348" width="12.140625" style="2871" customWidth="1"/>
    <col min="4349" max="4349" width="8.140625" style="2871" bestFit="1" customWidth="1"/>
    <col min="4350" max="4350" width="11.5703125" style="2871" bestFit="1" customWidth="1"/>
    <col min="4351" max="4351" width="11.140625" style="2871" customWidth="1"/>
    <col min="4352" max="4352" width="12.5703125" style="2871" customWidth="1"/>
    <col min="4353" max="4353" width="13.85546875" style="2871" customWidth="1"/>
    <col min="4354" max="4354" width="13.42578125" style="2871" customWidth="1"/>
    <col min="4355" max="4355" width="11" style="2871" customWidth="1"/>
    <col min="4356" max="4356" width="17.7109375" style="2871" bestFit="1" customWidth="1"/>
    <col min="4357" max="4358" width="9.140625" style="2871"/>
    <col min="4359" max="4359" width="10.140625" style="2871" customWidth="1"/>
    <col min="4360" max="4601" width="9.140625" style="2871"/>
    <col min="4602" max="4602" width="13.28515625" style="2871" customWidth="1"/>
    <col min="4603" max="4603" width="10.5703125" style="2871" customWidth="1"/>
    <col min="4604" max="4604" width="12.140625" style="2871" customWidth="1"/>
    <col min="4605" max="4605" width="8.140625" style="2871" bestFit="1" customWidth="1"/>
    <col min="4606" max="4606" width="11.5703125" style="2871" bestFit="1" customWidth="1"/>
    <col min="4607" max="4607" width="11.140625" style="2871" customWidth="1"/>
    <col min="4608" max="4608" width="12.5703125" style="2871" customWidth="1"/>
    <col min="4609" max="4609" width="13.85546875" style="2871" customWidth="1"/>
    <col min="4610" max="4610" width="13.42578125" style="2871" customWidth="1"/>
    <col min="4611" max="4611" width="11" style="2871" customWidth="1"/>
    <col min="4612" max="4612" width="17.7109375" style="2871" bestFit="1" customWidth="1"/>
    <col min="4613" max="4614" width="9.140625" style="2871"/>
    <col min="4615" max="4615" width="10.140625" style="2871" customWidth="1"/>
    <col min="4616" max="4857" width="9.140625" style="2871"/>
    <col min="4858" max="4858" width="13.28515625" style="2871" customWidth="1"/>
    <col min="4859" max="4859" width="10.5703125" style="2871" customWidth="1"/>
    <col min="4860" max="4860" width="12.140625" style="2871" customWidth="1"/>
    <col min="4861" max="4861" width="8.140625" style="2871" bestFit="1" customWidth="1"/>
    <col min="4862" max="4862" width="11.5703125" style="2871" bestFit="1" customWidth="1"/>
    <col min="4863" max="4863" width="11.140625" style="2871" customWidth="1"/>
    <col min="4864" max="4864" width="12.5703125" style="2871" customWidth="1"/>
    <col min="4865" max="4865" width="13.85546875" style="2871" customWidth="1"/>
    <col min="4866" max="4866" width="13.42578125" style="2871" customWidth="1"/>
    <col min="4867" max="4867" width="11" style="2871" customWidth="1"/>
    <col min="4868" max="4868" width="17.7109375" style="2871" bestFit="1" customWidth="1"/>
    <col min="4869" max="4870" width="9.140625" style="2871"/>
    <col min="4871" max="4871" width="10.140625" style="2871" customWidth="1"/>
    <col min="4872" max="5113" width="9.140625" style="2871"/>
    <col min="5114" max="5114" width="13.28515625" style="2871" customWidth="1"/>
    <col min="5115" max="5115" width="10.5703125" style="2871" customWidth="1"/>
    <col min="5116" max="5116" width="12.140625" style="2871" customWidth="1"/>
    <col min="5117" max="5117" width="8.140625" style="2871" bestFit="1" customWidth="1"/>
    <col min="5118" max="5118" width="11.5703125" style="2871" bestFit="1" customWidth="1"/>
    <col min="5119" max="5119" width="11.140625" style="2871" customWidth="1"/>
    <col min="5120" max="5120" width="12.5703125" style="2871" customWidth="1"/>
    <col min="5121" max="5121" width="13.85546875" style="2871" customWidth="1"/>
    <col min="5122" max="5122" width="13.42578125" style="2871" customWidth="1"/>
    <col min="5123" max="5123" width="11" style="2871" customWidth="1"/>
    <col min="5124" max="5124" width="17.7109375" style="2871" bestFit="1" customWidth="1"/>
    <col min="5125" max="5126" width="9.140625" style="2871"/>
    <col min="5127" max="5127" width="10.140625" style="2871" customWidth="1"/>
    <col min="5128" max="5369" width="9.140625" style="2871"/>
    <col min="5370" max="5370" width="13.28515625" style="2871" customWidth="1"/>
    <col min="5371" max="5371" width="10.5703125" style="2871" customWidth="1"/>
    <col min="5372" max="5372" width="12.140625" style="2871" customWidth="1"/>
    <col min="5373" max="5373" width="8.140625" style="2871" bestFit="1" customWidth="1"/>
    <col min="5374" max="5374" width="11.5703125" style="2871" bestFit="1" customWidth="1"/>
    <col min="5375" max="5375" width="11.140625" style="2871" customWidth="1"/>
    <col min="5376" max="5376" width="12.5703125" style="2871" customWidth="1"/>
    <col min="5377" max="5377" width="13.85546875" style="2871" customWidth="1"/>
    <col min="5378" max="5378" width="13.42578125" style="2871" customWidth="1"/>
    <col min="5379" max="5379" width="11" style="2871" customWidth="1"/>
    <col min="5380" max="5380" width="17.7109375" style="2871" bestFit="1" customWidth="1"/>
    <col min="5381" max="5382" width="9.140625" style="2871"/>
    <col min="5383" max="5383" width="10.140625" style="2871" customWidth="1"/>
    <col min="5384" max="5625" width="9.140625" style="2871"/>
    <col min="5626" max="5626" width="13.28515625" style="2871" customWidth="1"/>
    <col min="5627" max="5627" width="10.5703125" style="2871" customWidth="1"/>
    <col min="5628" max="5628" width="12.140625" style="2871" customWidth="1"/>
    <col min="5629" max="5629" width="8.140625" style="2871" bestFit="1" customWidth="1"/>
    <col min="5630" max="5630" width="11.5703125" style="2871" bestFit="1" customWidth="1"/>
    <col min="5631" max="5631" width="11.140625" style="2871" customWidth="1"/>
    <col min="5632" max="5632" width="12.5703125" style="2871" customWidth="1"/>
    <col min="5633" max="5633" width="13.85546875" style="2871" customWidth="1"/>
    <col min="5634" max="5634" width="13.42578125" style="2871" customWidth="1"/>
    <col min="5635" max="5635" width="11" style="2871" customWidth="1"/>
    <col min="5636" max="5636" width="17.7109375" style="2871" bestFit="1" customWidth="1"/>
    <col min="5637" max="5638" width="9.140625" style="2871"/>
    <col min="5639" max="5639" width="10.140625" style="2871" customWidth="1"/>
    <col min="5640" max="5881" width="9.140625" style="2871"/>
    <col min="5882" max="5882" width="13.28515625" style="2871" customWidth="1"/>
    <col min="5883" max="5883" width="10.5703125" style="2871" customWidth="1"/>
    <col min="5884" max="5884" width="12.140625" style="2871" customWidth="1"/>
    <col min="5885" max="5885" width="8.140625" style="2871" bestFit="1" customWidth="1"/>
    <col min="5886" max="5886" width="11.5703125" style="2871" bestFit="1" customWidth="1"/>
    <col min="5887" max="5887" width="11.140625" style="2871" customWidth="1"/>
    <col min="5888" max="5888" width="12.5703125" style="2871" customWidth="1"/>
    <col min="5889" max="5889" width="13.85546875" style="2871" customWidth="1"/>
    <col min="5890" max="5890" width="13.42578125" style="2871" customWidth="1"/>
    <col min="5891" max="5891" width="11" style="2871" customWidth="1"/>
    <col min="5892" max="5892" width="17.7109375" style="2871" bestFit="1" customWidth="1"/>
    <col min="5893" max="5894" width="9.140625" style="2871"/>
    <col min="5895" max="5895" width="10.140625" style="2871" customWidth="1"/>
    <col min="5896" max="6137" width="9.140625" style="2871"/>
    <col min="6138" max="6138" width="13.28515625" style="2871" customWidth="1"/>
    <col min="6139" max="6139" width="10.5703125" style="2871" customWidth="1"/>
    <col min="6140" max="6140" width="12.140625" style="2871" customWidth="1"/>
    <col min="6141" max="6141" width="8.140625" style="2871" bestFit="1" customWidth="1"/>
    <col min="6142" max="6142" width="11.5703125" style="2871" bestFit="1" customWidth="1"/>
    <col min="6143" max="6143" width="11.140625" style="2871" customWidth="1"/>
    <col min="6144" max="6144" width="12.5703125" style="2871" customWidth="1"/>
    <col min="6145" max="6145" width="13.85546875" style="2871" customWidth="1"/>
    <col min="6146" max="6146" width="13.42578125" style="2871" customWidth="1"/>
    <col min="6147" max="6147" width="11" style="2871" customWidth="1"/>
    <col min="6148" max="6148" width="17.7109375" style="2871" bestFit="1" customWidth="1"/>
    <col min="6149" max="6150" width="9.140625" style="2871"/>
    <col min="6151" max="6151" width="10.140625" style="2871" customWidth="1"/>
    <col min="6152" max="6393" width="9.140625" style="2871"/>
    <col min="6394" max="6394" width="13.28515625" style="2871" customWidth="1"/>
    <col min="6395" max="6395" width="10.5703125" style="2871" customWidth="1"/>
    <col min="6396" max="6396" width="12.140625" style="2871" customWidth="1"/>
    <col min="6397" max="6397" width="8.140625" style="2871" bestFit="1" customWidth="1"/>
    <col min="6398" max="6398" width="11.5703125" style="2871" bestFit="1" customWidth="1"/>
    <col min="6399" max="6399" width="11.140625" style="2871" customWidth="1"/>
    <col min="6400" max="6400" width="12.5703125" style="2871" customWidth="1"/>
    <col min="6401" max="6401" width="13.85546875" style="2871" customWidth="1"/>
    <col min="6402" max="6402" width="13.42578125" style="2871" customWidth="1"/>
    <col min="6403" max="6403" width="11" style="2871" customWidth="1"/>
    <col min="6404" max="6404" width="17.7109375" style="2871" bestFit="1" customWidth="1"/>
    <col min="6405" max="6406" width="9.140625" style="2871"/>
    <col min="6407" max="6407" width="10.140625" style="2871" customWidth="1"/>
    <col min="6408" max="6649" width="9.140625" style="2871"/>
    <col min="6650" max="6650" width="13.28515625" style="2871" customWidth="1"/>
    <col min="6651" max="6651" width="10.5703125" style="2871" customWidth="1"/>
    <col min="6652" max="6652" width="12.140625" style="2871" customWidth="1"/>
    <col min="6653" max="6653" width="8.140625" style="2871" bestFit="1" customWidth="1"/>
    <col min="6654" max="6654" width="11.5703125" style="2871" bestFit="1" customWidth="1"/>
    <col min="6655" max="6655" width="11.140625" style="2871" customWidth="1"/>
    <col min="6656" max="6656" width="12.5703125" style="2871" customWidth="1"/>
    <col min="6657" max="6657" width="13.85546875" style="2871" customWidth="1"/>
    <col min="6658" max="6658" width="13.42578125" style="2871" customWidth="1"/>
    <col min="6659" max="6659" width="11" style="2871" customWidth="1"/>
    <col min="6660" max="6660" width="17.7109375" style="2871" bestFit="1" customWidth="1"/>
    <col min="6661" max="6662" width="9.140625" style="2871"/>
    <col min="6663" max="6663" width="10.140625" style="2871" customWidth="1"/>
    <col min="6664" max="6905" width="9.140625" style="2871"/>
    <col min="6906" max="6906" width="13.28515625" style="2871" customWidth="1"/>
    <col min="6907" max="6907" width="10.5703125" style="2871" customWidth="1"/>
    <col min="6908" max="6908" width="12.140625" style="2871" customWidth="1"/>
    <col min="6909" max="6909" width="8.140625" style="2871" bestFit="1" customWidth="1"/>
    <col min="6910" max="6910" width="11.5703125" style="2871" bestFit="1" customWidth="1"/>
    <col min="6911" max="6911" width="11.140625" style="2871" customWidth="1"/>
    <col min="6912" max="6912" width="12.5703125" style="2871" customWidth="1"/>
    <col min="6913" max="6913" width="13.85546875" style="2871" customWidth="1"/>
    <col min="6914" max="6914" width="13.42578125" style="2871" customWidth="1"/>
    <col min="6915" max="6915" width="11" style="2871" customWidth="1"/>
    <col min="6916" max="6916" width="17.7109375" style="2871" bestFit="1" customWidth="1"/>
    <col min="6917" max="6918" width="9.140625" style="2871"/>
    <col min="6919" max="6919" width="10.140625" style="2871" customWidth="1"/>
    <col min="6920" max="7161" width="9.140625" style="2871"/>
    <col min="7162" max="7162" width="13.28515625" style="2871" customWidth="1"/>
    <col min="7163" max="7163" width="10.5703125" style="2871" customWidth="1"/>
    <col min="7164" max="7164" width="12.140625" style="2871" customWidth="1"/>
    <col min="7165" max="7165" width="8.140625" style="2871" bestFit="1" customWidth="1"/>
    <col min="7166" max="7166" width="11.5703125" style="2871" bestFit="1" customWidth="1"/>
    <col min="7167" max="7167" width="11.140625" style="2871" customWidth="1"/>
    <col min="7168" max="7168" width="12.5703125" style="2871" customWidth="1"/>
    <col min="7169" max="7169" width="13.85546875" style="2871" customWidth="1"/>
    <col min="7170" max="7170" width="13.42578125" style="2871" customWidth="1"/>
    <col min="7171" max="7171" width="11" style="2871" customWidth="1"/>
    <col min="7172" max="7172" width="17.7109375" style="2871" bestFit="1" customWidth="1"/>
    <col min="7173" max="7174" width="9.140625" style="2871"/>
    <col min="7175" max="7175" width="10.140625" style="2871" customWidth="1"/>
    <col min="7176" max="7417" width="9.140625" style="2871"/>
    <col min="7418" max="7418" width="13.28515625" style="2871" customWidth="1"/>
    <col min="7419" max="7419" width="10.5703125" style="2871" customWidth="1"/>
    <col min="7420" max="7420" width="12.140625" style="2871" customWidth="1"/>
    <col min="7421" max="7421" width="8.140625" style="2871" bestFit="1" customWidth="1"/>
    <col min="7422" max="7422" width="11.5703125" style="2871" bestFit="1" customWidth="1"/>
    <col min="7423" max="7423" width="11.140625" style="2871" customWidth="1"/>
    <col min="7424" max="7424" width="12.5703125" style="2871" customWidth="1"/>
    <col min="7425" max="7425" width="13.85546875" style="2871" customWidth="1"/>
    <col min="7426" max="7426" width="13.42578125" style="2871" customWidth="1"/>
    <col min="7427" max="7427" width="11" style="2871" customWidth="1"/>
    <col min="7428" max="7428" width="17.7109375" style="2871" bestFit="1" customWidth="1"/>
    <col min="7429" max="7430" width="9.140625" style="2871"/>
    <col min="7431" max="7431" width="10.140625" style="2871" customWidth="1"/>
    <col min="7432" max="7673" width="9.140625" style="2871"/>
    <col min="7674" max="7674" width="13.28515625" style="2871" customWidth="1"/>
    <col min="7675" max="7675" width="10.5703125" style="2871" customWidth="1"/>
    <col min="7676" max="7676" width="12.140625" style="2871" customWidth="1"/>
    <col min="7677" max="7677" width="8.140625" style="2871" bestFit="1" customWidth="1"/>
    <col min="7678" max="7678" width="11.5703125" style="2871" bestFit="1" customWidth="1"/>
    <col min="7679" max="7679" width="11.140625" style="2871" customWidth="1"/>
    <col min="7680" max="7680" width="12.5703125" style="2871" customWidth="1"/>
    <col min="7681" max="7681" width="13.85546875" style="2871" customWidth="1"/>
    <col min="7682" max="7682" width="13.42578125" style="2871" customWidth="1"/>
    <col min="7683" max="7683" width="11" style="2871" customWidth="1"/>
    <col min="7684" max="7684" width="17.7109375" style="2871" bestFit="1" customWidth="1"/>
    <col min="7685" max="7686" width="9.140625" style="2871"/>
    <col min="7687" max="7687" width="10.140625" style="2871" customWidth="1"/>
    <col min="7688" max="7929" width="9.140625" style="2871"/>
    <col min="7930" max="7930" width="13.28515625" style="2871" customWidth="1"/>
    <col min="7931" max="7931" width="10.5703125" style="2871" customWidth="1"/>
    <col min="7932" max="7932" width="12.140625" style="2871" customWidth="1"/>
    <col min="7933" max="7933" width="8.140625" style="2871" bestFit="1" customWidth="1"/>
    <col min="7934" max="7934" width="11.5703125" style="2871" bestFit="1" customWidth="1"/>
    <col min="7935" max="7935" width="11.140625" style="2871" customWidth="1"/>
    <col min="7936" max="7936" width="12.5703125" style="2871" customWidth="1"/>
    <col min="7937" max="7937" width="13.85546875" style="2871" customWidth="1"/>
    <col min="7938" max="7938" width="13.42578125" style="2871" customWidth="1"/>
    <col min="7939" max="7939" width="11" style="2871" customWidth="1"/>
    <col min="7940" max="7940" width="17.7109375" style="2871" bestFit="1" customWidth="1"/>
    <col min="7941" max="7942" width="9.140625" style="2871"/>
    <col min="7943" max="7943" width="10.140625" style="2871" customWidth="1"/>
    <col min="7944" max="8185" width="9.140625" style="2871"/>
    <col min="8186" max="8186" width="13.28515625" style="2871" customWidth="1"/>
    <col min="8187" max="8187" width="10.5703125" style="2871" customWidth="1"/>
    <col min="8188" max="8188" width="12.140625" style="2871" customWidth="1"/>
    <col min="8189" max="8189" width="8.140625" style="2871" bestFit="1" customWidth="1"/>
    <col min="8190" max="8190" width="11.5703125" style="2871" bestFit="1" customWidth="1"/>
    <col min="8191" max="8191" width="11.140625" style="2871" customWidth="1"/>
    <col min="8192" max="8192" width="12.5703125" style="2871" customWidth="1"/>
    <col min="8193" max="8193" width="13.85546875" style="2871" customWidth="1"/>
    <col min="8194" max="8194" width="13.42578125" style="2871" customWidth="1"/>
    <col min="8195" max="8195" width="11" style="2871" customWidth="1"/>
    <col min="8196" max="8196" width="17.7109375" style="2871" bestFit="1" customWidth="1"/>
    <col min="8197" max="8198" width="9.140625" style="2871"/>
    <col min="8199" max="8199" width="10.140625" style="2871" customWidth="1"/>
    <col min="8200" max="8441" width="9.140625" style="2871"/>
    <col min="8442" max="8442" width="13.28515625" style="2871" customWidth="1"/>
    <col min="8443" max="8443" width="10.5703125" style="2871" customWidth="1"/>
    <col min="8444" max="8444" width="12.140625" style="2871" customWidth="1"/>
    <col min="8445" max="8445" width="8.140625" style="2871" bestFit="1" customWidth="1"/>
    <col min="8446" max="8446" width="11.5703125" style="2871" bestFit="1" customWidth="1"/>
    <col min="8447" max="8447" width="11.140625" style="2871" customWidth="1"/>
    <col min="8448" max="8448" width="12.5703125" style="2871" customWidth="1"/>
    <col min="8449" max="8449" width="13.85546875" style="2871" customWidth="1"/>
    <col min="8450" max="8450" width="13.42578125" style="2871" customWidth="1"/>
    <col min="8451" max="8451" width="11" style="2871" customWidth="1"/>
    <col min="8452" max="8452" width="17.7109375" style="2871" bestFit="1" customWidth="1"/>
    <col min="8453" max="8454" width="9.140625" style="2871"/>
    <col min="8455" max="8455" width="10.140625" style="2871" customWidth="1"/>
    <col min="8456" max="8697" width="9.140625" style="2871"/>
    <col min="8698" max="8698" width="13.28515625" style="2871" customWidth="1"/>
    <col min="8699" max="8699" width="10.5703125" style="2871" customWidth="1"/>
    <col min="8700" max="8700" width="12.140625" style="2871" customWidth="1"/>
    <col min="8701" max="8701" width="8.140625" style="2871" bestFit="1" customWidth="1"/>
    <col min="8702" max="8702" width="11.5703125" style="2871" bestFit="1" customWidth="1"/>
    <col min="8703" max="8703" width="11.140625" style="2871" customWidth="1"/>
    <col min="8704" max="8704" width="12.5703125" style="2871" customWidth="1"/>
    <col min="8705" max="8705" width="13.85546875" style="2871" customWidth="1"/>
    <col min="8706" max="8706" width="13.42578125" style="2871" customWidth="1"/>
    <col min="8707" max="8707" width="11" style="2871" customWidth="1"/>
    <col min="8708" max="8708" width="17.7109375" style="2871" bestFit="1" customWidth="1"/>
    <col min="8709" max="8710" width="9.140625" style="2871"/>
    <col min="8711" max="8711" width="10.140625" style="2871" customWidth="1"/>
    <col min="8712" max="8953" width="9.140625" style="2871"/>
    <col min="8954" max="8954" width="13.28515625" style="2871" customWidth="1"/>
    <col min="8955" max="8955" width="10.5703125" style="2871" customWidth="1"/>
    <col min="8956" max="8956" width="12.140625" style="2871" customWidth="1"/>
    <col min="8957" max="8957" width="8.140625" style="2871" bestFit="1" customWidth="1"/>
    <col min="8958" max="8958" width="11.5703125" style="2871" bestFit="1" customWidth="1"/>
    <col min="8959" max="8959" width="11.140625" style="2871" customWidth="1"/>
    <col min="8960" max="8960" width="12.5703125" style="2871" customWidth="1"/>
    <col min="8961" max="8961" width="13.85546875" style="2871" customWidth="1"/>
    <col min="8962" max="8962" width="13.42578125" style="2871" customWidth="1"/>
    <col min="8963" max="8963" width="11" style="2871" customWidth="1"/>
    <col min="8964" max="8964" width="17.7109375" style="2871" bestFit="1" customWidth="1"/>
    <col min="8965" max="8966" width="9.140625" style="2871"/>
    <col min="8967" max="8967" width="10.140625" style="2871" customWidth="1"/>
    <col min="8968" max="9209" width="9.140625" style="2871"/>
    <col min="9210" max="9210" width="13.28515625" style="2871" customWidth="1"/>
    <col min="9211" max="9211" width="10.5703125" style="2871" customWidth="1"/>
    <col min="9212" max="9212" width="12.140625" style="2871" customWidth="1"/>
    <col min="9213" max="9213" width="8.140625" style="2871" bestFit="1" customWidth="1"/>
    <col min="9214" max="9214" width="11.5703125" style="2871" bestFit="1" customWidth="1"/>
    <col min="9215" max="9215" width="11.140625" style="2871" customWidth="1"/>
    <col min="9216" max="9216" width="12.5703125" style="2871" customWidth="1"/>
    <col min="9217" max="9217" width="13.85546875" style="2871" customWidth="1"/>
    <col min="9218" max="9218" width="13.42578125" style="2871" customWidth="1"/>
    <col min="9219" max="9219" width="11" style="2871" customWidth="1"/>
    <col min="9220" max="9220" width="17.7109375" style="2871" bestFit="1" customWidth="1"/>
    <col min="9221" max="9222" width="9.140625" style="2871"/>
    <col min="9223" max="9223" width="10.140625" style="2871" customWidth="1"/>
    <col min="9224" max="9465" width="9.140625" style="2871"/>
    <col min="9466" max="9466" width="13.28515625" style="2871" customWidth="1"/>
    <col min="9467" max="9467" width="10.5703125" style="2871" customWidth="1"/>
    <col min="9468" max="9468" width="12.140625" style="2871" customWidth="1"/>
    <col min="9469" max="9469" width="8.140625" style="2871" bestFit="1" customWidth="1"/>
    <col min="9470" max="9470" width="11.5703125" style="2871" bestFit="1" customWidth="1"/>
    <col min="9471" max="9471" width="11.140625" style="2871" customWidth="1"/>
    <col min="9472" max="9472" width="12.5703125" style="2871" customWidth="1"/>
    <col min="9473" max="9473" width="13.85546875" style="2871" customWidth="1"/>
    <col min="9474" max="9474" width="13.42578125" style="2871" customWidth="1"/>
    <col min="9475" max="9475" width="11" style="2871" customWidth="1"/>
    <col min="9476" max="9476" width="17.7109375" style="2871" bestFit="1" customWidth="1"/>
    <col min="9477" max="9478" width="9.140625" style="2871"/>
    <col min="9479" max="9479" width="10.140625" style="2871" customWidth="1"/>
    <col min="9480" max="9721" width="9.140625" style="2871"/>
    <col min="9722" max="9722" width="13.28515625" style="2871" customWidth="1"/>
    <col min="9723" max="9723" width="10.5703125" style="2871" customWidth="1"/>
    <col min="9724" max="9724" width="12.140625" style="2871" customWidth="1"/>
    <col min="9725" max="9725" width="8.140625" style="2871" bestFit="1" customWidth="1"/>
    <col min="9726" max="9726" width="11.5703125" style="2871" bestFit="1" customWidth="1"/>
    <col min="9727" max="9727" width="11.140625" style="2871" customWidth="1"/>
    <col min="9728" max="9728" width="12.5703125" style="2871" customWidth="1"/>
    <col min="9729" max="9729" width="13.85546875" style="2871" customWidth="1"/>
    <col min="9730" max="9730" width="13.42578125" style="2871" customWidth="1"/>
    <col min="9731" max="9731" width="11" style="2871" customWidth="1"/>
    <col min="9732" max="9732" width="17.7109375" style="2871" bestFit="1" customWidth="1"/>
    <col min="9733" max="9734" width="9.140625" style="2871"/>
    <col min="9735" max="9735" width="10.140625" style="2871" customWidth="1"/>
    <col min="9736" max="9977" width="9.140625" style="2871"/>
    <col min="9978" max="9978" width="13.28515625" style="2871" customWidth="1"/>
    <col min="9979" max="9979" width="10.5703125" style="2871" customWidth="1"/>
    <col min="9980" max="9980" width="12.140625" style="2871" customWidth="1"/>
    <col min="9981" max="9981" width="8.140625" style="2871" bestFit="1" customWidth="1"/>
    <col min="9982" max="9982" width="11.5703125" style="2871" bestFit="1" customWidth="1"/>
    <col min="9983" max="9983" width="11.140625" style="2871" customWidth="1"/>
    <col min="9984" max="9984" width="12.5703125" style="2871" customWidth="1"/>
    <col min="9985" max="9985" width="13.85546875" style="2871" customWidth="1"/>
    <col min="9986" max="9986" width="13.42578125" style="2871" customWidth="1"/>
    <col min="9987" max="9987" width="11" style="2871" customWidth="1"/>
    <col min="9988" max="9988" width="17.7109375" style="2871" bestFit="1" customWidth="1"/>
    <col min="9989" max="9990" width="9.140625" style="2871"/>
    <col min="9991" max="9991" width="10.140625" style="2871" customWidth="1"/>
    <col min="9992" max="10233" width="9.140625" style="2871"/>
    <col min="10234" max="10234" width="13.28515625" style="2871" customWidth="1"/>
    <col min="10235" max="10235" width="10.5703125" style="2871" customWidth="1"/>
    <col min="10236" max="10236" width="12.140625" style="2871" customWidth="1"/>
    <col min="10237" max="10237" width="8.140625" style="2871" bestFit="1" customWidth="1"/>
    <col min="10238" max="10238" width="11.5703125" style="2871" bestFit="1" customWidth="1"/>
    <col min="10239" max="10239" width="11.140625" style="2871" customWidth="1"/>
    <col min="10240" max="10240" width="12.5703125" style="2871" customWidth="1"/>
    <col min="10241" max="10241" width="13.85546875" style="2871" customWidth="1"/>
    <col min="10242" max="10242" width="13.42578125" style="2871" customWidth="1"/>
    <col min="10243" max="10243" width="11" style="2871" customWidth="1"/>
    <col min="10244" max="10244" width="17.7109375" style="2871" bestFit="1" customWidth="1"/>
    <col min="10245" max="10246" width="9.140625" style="2871"/>
    <col min="10247" max="10247" width="10.140625" style="2871" customWidth="1"/>
    <col min="10248" max="10489" width="9.140625" style="2871"/>
    <col min="10490" max="10490" width="13.28515625" style="2871" customWidth="1"/>
    <col min="10491" max="10491" width="10.5703125" style="2871" customWidth="1"/>
    <col min="10492" max="10492" width="12.140625" style="2871" customWidth="1"/>
    <col min="10493" max="10493" width="8.140625" style="2871" bestFit="1" customWidth="1"/>
    <col min="10494" max="10494" width="11.5703125" style="2871" bestFit="1" customWidth="1"/>
    <col min="10495" max="10495" width="11.140625" style="2871" customWidth="1"/>
    <col min="10496" max="10496" width="12.5703125" style="2871" customWidth="1"/>
    <col min="10497" max="10497" width="13.85546875" style="2871" customWidth="1"/>
    <col min="10498" max="10498" width="13.42578125" style="2871" customWidth="1"/>
    <col min="10499" max="10499" width="11" style="2871" customWidth="1"/>
    <col min="10500" max="10500" width="17.7109375" style="2871" bestFit="1" customWidth="1"/>
    <col min="10501" max="10502" width="9.140625" style="2871"/>
    <col min="10503" max="10503" width="10.140625" style="2871" customWidth="1"/>
    <col min="10504" max="10745" width="9.140625" style="2871"/>
    <col min="10746" max="10746" width="13.28515625" style="2871" customWidth="1"/>
    <col min="10747" max="10747" width="10.5703125" style="2871" customWidth="1"/>
    <col min="10748" max="10748" width="12.140625" style="2871" customWidth="1"/>
    <col min="10749" max="10749" width="8.140625" style="2871" bestFit="1" customWidth="1"/>
    <col min="10750" max="10750" width="11.5703125" style="2871" bestFit="1" customWidth="1"/>
    <col min="10751" max="10751" width="11.140625" style="2871" customWidth="1"/>
    <col min="10752" max="10752" width="12.5703125" style="2871" customWidth="1"/>
    <col min="10753" max="10753" width="13.85546875" style="2871" customWidth="1"/>
    <col min="10754" max="10754" width="13.42578125" style="2871" customWidth="1"/>
    <col min="10755" max="10755" width="11" style="2871" customWidth="1"/>
    <col min="10756" max="10756" width="17.7109375" style="2871" bestFit="1" customWidth="1"/>
    <col min="10757" max="10758" width="9.140625" style="2871"/>
    <col min="10759" max="10759" width="10.140625" style="2871" customWidth="1"/>
    <col min="10760" max="11001" width="9.140625" style="2871"/>
    <col min="11002" max="11002" width="13.28515625" style="2871" customWidth="1"/>
    <col min="11003" max="11003" width="10.5703125" style="2871" customWidth="1"/>
    <col min="11004" max="11004" width="12.140625" style="2871" customWidth="1"/>
    <col min="11005" max="11005" width="8.140625" style="2871" bestFit="1" customWidth="1"/>
    <col min="11006" max="11006" width="11.5703125" style="2871" bestFit="1" customWidth="1"/>
    <col min="11007" max="11007" width="11.140625" style="2871" customWidth="1"/>
    <col min="11008" max="11008" width="12.5703125" style="2871" customWidth="1"/>
    <col min="11009" max="11009" width="13.85546875" style="2871" customWidth="1"/>
    <col min="11010" max="11010" width="13.42578125" style="2871" customWidth="1"/>
    <col min="11011" max="11011" width="11" style="2871" customWidth="1"/>
    <col min="11012" max="11012" width="17.7109375" style="2871" bestFit="1" customWidth="1"/>
    <col min="11013" max="11014" width="9.140625" style="2871"/>
    <col min="11015" max="11015" width="10.140625" style="2871" customWidth="1"/>
    <col min="11016" max="11257" width="9.140625" style="2871"/>
    <col min="11258" max="11258" width="13.28515625" style="2871" customWidth="1"/>
    <col min="11259" max="11259" width="10.5703125" style="2871" customWidth="1"/>
    <col min="11260" max="11260" width="12.140625" style="2871" customWidth="1"/>
    <col min="11261" max="11261" width="8.140625" style="2871" bestFit="1" customWidth="1"/>
    <col min="11262" max="11262" width="11.5703125" style="2871" bestFit="1" customWidth="1"/>
    <col min="11263" max="11263" width="11.140625" style="2871" customWidth="1"/>
    <col min="11264" max="11264" width="12.5703125" style="2871" customWidth="1"/>
    <col min="11265" max="11265" width="13.85546875" style="2871" customWidth="1"/>
    <col min="11266" max="11266" width="13.42578125" style="2871" customWidth="1"/>
    <col min="11267" max="11267" width="11" style="2871" customWidth="1"/>
    <col min="11268" max="11268" width="17.7109375" style="2871" bestFit="1" customWidth="1"/>
    <col min="11269" max="11270" width="9.140625" style="2871"/>
    <col min="11271" max="11271" width="10.140625" style="2871" customWidth="1"/>
    <col min="11272" max="11513" width="9.140625" style="2871"/>
    <col min="11514" max="11514" width="13.28515625" style="2871" customWidth="1"/>
    <col min="11515" max="11515" width="10.5703125" style="2871" customWidth="1"/>
    <col min="11516" max="11516" width="12.140625" style="2871" customWidth="1"/>
    <col min="11517" max="11517" width="8.140625" style="2871" bestFit="1" customWidth="1"/>
    <col min="11518" max="11518" width="11.5703125" style="2871" bestFit="1" customWidth="1"/>
    <col min="11519" max="11519" width="11.140625" style="2871" customWidth="1"/>
    <col min="11520" max="11520" width="12.5703125" style="2871" customWidth="1"/>
    <col min="11521" max="11521" width="13.85546875" style="2871" customWidth="1"/>
    <col min="11522" max="11522" width="13.42578125" style="2871" customWidth="1"/>
    <col min="11523" max="11523" width="11" style="2871" customWidth="1"/>
    <col min="11524" max="11524" width="17.7109375" style="2871" bestFit="1" customWidth="1"/>
    <col min="11525" max="11526" width="9.140625" style="2871"/>
    <col min="11527" max="11527" width="10.140625" style="2871" customWidth="1"/>
    <col min="11528" max="11769" width="9.140625" style="2871"/>
    <col min="11770" max="11770" width="13.28515625" style="2871" customWidth="1"/>
    <col min="11771" max="11771" width="10.5703125" style="2871" customWidth="1"/>
    <col min="11772" max="11772" width="12.140625" style="2871" customWidth="1"/>
    <col min="11773" max="11773" width="8.140625" style="2871" bestFit="1" customWidth="1"/>
    <col min="11774" max="11774" width="11.5703125" style="2871" bestFit="1" customWidth="1"/>
    <col min="11775" max="11775" width="11.140625" style="2871" customWidth="1"/>
    <col min="11776" max="11776" width="12.5703125" style="2871" customWidth="1"/>
    <col min="11777" max="11777" width="13.85546875" style="2871" customWidth="1"/>
    <col min="11778" max="11778" width="13.42578125" style="2871" customWidth="1"/>
    <col min="11779" max="11779" width="11" style="2871" customWidth="1"/>
    <col min="11780" max="11780" width="17.7109375" style="2871" bestFit="1" customWidth="1"/>
    <col min="11781" max="11782" width="9.140625" style="2871"/>
    <col min="11783" max="11783" width="10.140625" style="2871" customWidth="1"/>
    <col min="11784" max="12025" width="9.140625" style="2871"/>
    <col min="12026" max="12026" width="13.28515625" style="2871" customWidth="1"/>
    <col min="12027" max="12027" width="10.5703125" style="2871" customWidth="1"/>
    <col min="12028" max="12028" width="12.140625" style="2871" customWidth="1"/>
    <col min="12029" max="12029" width="8.140625" style="2871" bestFit="1" customWidth="1"/>
    <col min="12030" max="12030" width="11.5703125" style="2871" bestFit="1" customWidth="1"/>
    <col min="12031" max="12031" width="11.140625" style="2871" customWidth="1"/>
    <col min="12032" max="12032" width="12.5703125" style="2871" customWidth="1"/>
    <col min="12033" max="12033" width="13.85546875" style="2871" customWidth="1"/>
    <col min="12034" max="12034" width="13.42578125" style="2871" customWidth="1"/>
    <col min="12035" max="12035" width="11" style="2871" customWidth="1"/>
    <col min="12036" max="12036" width="17.7109375" style="2871" bestFit="1" customWidth="1"/>
    <col min="12037" max="12038" width="9.140625" style="2871"/>
    <col min="12039" max="12039" width="10.140625" style="2871" customWidth="1"/>
    <col min="12040" max="12281" width="9.140625" style="2871"/>
    <col min="12282" max="12282" width="13.28515625" style="2871" customWidth="1"/>
    <col min="12283" max="12283" width="10.5703125" style="2871" customWidth="1"/>
    <col min="12284" max="12284" width="12.140625" style="2871" customWidth="1"/>
    <col min="12285" max="12285" width="8.140625" style="2871" bestFit="1" customWidth="1"/>
    <col min="12286" max="12286" width="11.5703125" style="2871" bestFit="1" customWidth="1"/>
    <col min="12287" max="12287" width="11.140625" style="2871" customWidth="1"/>
    <col min="12288" max="12288" width="12.5703125" style="2871" customWidth="1"/>
    <col min="12289" max="12289" width="13.85546875" style="2871" customWidth="1"/>
    <col min="12290" max="12290" width="13.42578125" style="2871" customWidth="1"/>
    <col min="12291" max="12291" width="11" style="2871" customWidth="1"/>
    <col min="12292" max="12292" width="17.7109375" style="2871" bestFit="1" customWidth="1"/>
    <col min="12293" max="12294" width="9.140625" style="2871"/>
    <col min="12295" max="12295" width="10.140625" style="2871" customWidth="1"/>
    <col min="12296" max="12537" width="9.140625" style="2871"/>
    <col min="12538" max="12538" width="13.28515625" style="2871" customWidth="1"/>
    <col min="12539" max="12539" width="10.5703125" style="2871" customWidth="1"/>
    <col min="12540" max="12540" width="12.140625" style="2871" customWidth="1"/>
    <col min="12541" max="12541" width="8.140625" style="2871" bestFit="1" customWidth="1"/>
    <col min="12542" max="12542" width="11.5703125" style="2871" bestFit="1" customWidth="1"/>
    <col min="12543" max="12543" width="11.140625" style="2871" customWidth="1"/>
    <col min="12544" max="12544" width="12.5703125" style="2871" customWidth="1"/>
    <col min="12545" max="12545" width="13.85546875" style="2871" customWidth="1"/>
    <col min="12546" max="12546" width="13.42578125" style="2871" customWidth="1"/>
    <col min="12547" max="12547" width="11" style="2871" customWidth="1"/>
    <col min="12548" max="12548" width="17.7109375" style="2871" bestFit="1" customWidth="1"/>
    <col min="12549" max="12550" width="9.140625" style="2871"/>
    <col min="12551" max="12551" width="10.140625" style="2871" customWidth="1"/>
    <col min="12552" max="12793" width="9.140625" style="2871"/>
    <col min="12794" max="12794" width="13.28515625" style="2871" customWidth="1"/>
    <col min="12795" max="12795" width="10.5703125" style="2871" customWidth="1"/>
    <col min="12796" max="12796" width="12.140625" style="2871" customWidth="1"/>
    <col min="12797" max="12797" width="8.140625" style="2871" bestFit="1" customWidth="1"/>
    <col min="12798" max="12798" width="11.5703125" style="2871" bestFit="1" customWidth="1"/>
    <col min="12799" max="12799" width="11.140625" style="2871" customWidth="1"/>
    <col min="12800" max="12800" width="12.5703125" style="2871" customWidth="1"/>
    <col min="12801" max="12801" width="13.85546875" style="2871" customWidth="1"/>
    <col min="12802" max="12802" width="13.42578125" style="2871" customWidth="1"/>
    <col min="12803" max="12803" width="11" style="2871" customWidth="1"/>
    <col min="12804" max="12804" width="17.7109375" style="2871" bestFit="1" customWidth="1"/>
    <col min="12805" max="12806" width="9.140625" style="2871"/>
    <col min="12807" max="12807" width="10.140625" style="2871" customWidth="1"/>
    <col min="12808" max="13049" width="9.140625" style="2871"/>
    <col min="13050" max="13050" width="13.28515625" style="2871" customWidth="1"/>
    <col min="13051" max="13051" width="10.5703125" style="2871" customWidth="1"/>
    <col min="13052" max="13052" width="12.140625" style="2871" customWidth="1"/>
    <col min="13053" max="13053" width="8.140625" style="2871" bestFit="1" customWidth="1"/>
    <col min="13054" max="13054" width="11.5703125" style="2871" bestFit="1" customWidth="1"/>
    <col min="13055" max="13055" width="11.140625" style="2871" customWidth="1"/>
    <col min="13056" max="13056" width="12.5703125" style="2871" customWidth="1"/>
    <col min="13057" max="13057" width="13.85546875" style="2871" customWidth="1"/>
    <col min="13058" max="13058" width="13.42578125" style="2871" customWidth="1"/>
    <col min="13059" max="13059" width="11" style="2871" customWidth="1"/>
    <col min="13060" max="13060" width="17.7109375" style="2871" bestFit="1" customWidth="1"/>
    <col min="13061" max="13062" width="9.140625" style="2871"/>
    <col min="13063" max="13063" width="10.140625" style="2871" customWidth="1"/>
    <col min="13064" max="13305" width="9.140625" style="2871"/>
    <col min="13306" max="13306" width="13.28515625" style="2871" customWidth="1"/>
    <col min="13307" max="13307" width="10.5703125" style="2871" customWidth="1"/>
    <col min="13308" max="13308" width="12.140625" style="2871" customWidth="1"/>
    <col min="13309" max="13309" width="8.140625" style="2871" bestFit="1" customWidth="1"/>
    <col min="13310" max="13310" width="11.5703125" style="2871" bestFit="1" customWidth="1"/>
    <col min="13311" max="13311" width="11.140625" style="2871" customWidth="1"/>
    <col min="13312" max="13312" width="12.5703125" style="2871" customWidth="1"/>
    <col min="13313" max="13313" width="13.85546875" style="2871" customWidth="1"/>
    <col min="13314" max="13314" width="13.42578125" style="2871" customWidth="1"/>
    <col min="13315" max="13315" width="11" style="2871" customWidth="1"/>
    <col min="13316" max="13316" width="17.7109375" style="2871" bestFit="1" customWidth="1"/>
    <col min="13317" max="13318" width="9.140625" style="2871"/>
    <col min="13319" max="13319" width="10.140625" style="2871" customWidth="1"/>
    <col min="13320" max="13561" width="9.140625" style="2871"/>
    <col min="13562" max="13562" width="13.28515625" style="2871" customWidth="1"/>
    <col min="13563" max="13563" width="10.5703125" style="2871" customWidth="1"/>
    <col min="13564" max="13564" width="12.140625" style="2871" customWidth="1"/>
    <col min="13565" max="13565" width="8.140625" style="2871" bestFit="1" customWidth="1"/>
    <col min="13566" max="13566" width="11.5703125" style="2871" bestFit="1" customWidth="1"/>
    <col min="13567" max="13567" width="11.140625" style="2871" customWidth="1"/>
    <col min="13568" max="13568" width="12.5703125" style="2871" customWidth="1"/>
    <col min="13569" max="13569" width="13.85546875" style="2871" customWidth="1"/>
    <col min="13570" max="13570" width="13.42578125" style="2871" customWidth="1"/>
    <col min="13571" max="13571" width="11" style="2871" customWidth="1"/>
    <col min="13572" max="13572" width="17.7109375" style="2871" bestFit="1" customWidth="1"/>
    <col min="13573" max="13574" width="9.140625" style="2871"/>
    <col min="13575" max="13575" width="10.140625" style="2871" customWidth="1"/>
    <col min="13576" max="13817" width="9.140625" style="2871"/>
    <col min="13818" max="13818" width="13.28515625" style="2871" customWidth="1"/>
    <col min="13819" max="13819" width="10.5703125" style="2871" customWidth="1"/>
    <col min="13820" max="13820" width="12.140625" style="2871" customWidth="1"/>
    <col min="13821" max="13821" width="8.140625" style="2871" bestFit="1" customWidth="1"/>
    <col min="13822" max="13822" width="11.5703125" style="2871" bestFit="1" customWidth="1"/>
    <col min="13823" max="13823" width="11.140625" style="2871" customWidth="1"/>
    <col min="13824" max="13824" width="12.5703125" style="2871" customWidth="1"/>
    <col min="13825" max="13825" width="13.85546875" style="2871" customWidth="1"/>
    <col min="13826" max="13826" width="13.42578125" style="2871" customWidth="1"/>
    <col min="13827" max="13827" width="11" style="2871" customWidth="1"/>
    <col min="13828" max="13828" width="17.7109375" style="2871" bestFit="1" customWidth="1"/>
    <col min="13829" max="13830" width="9.140625" style="2871"/>
    <col min="13831" max="13831" width="10.140625" style="2871" customWidth="1"/>
    <col min="13832" max="14073" width="9.140625" style="2871"/>
    <col min="14074" max="14074" width="13.28515625" style="2871" customWidth="1"/>
    <col min="14075" max="14075" width="10.5703125" style="2871" customWidth="1"/>
    <col min="14076" max="14076" width="12.140625" style="2871" customWidth="1"/>
    <col min="14077" max="14077" width="8.140625" style="2871" bestFit="1" customWidth="1"/>
    <col min="14078" max="14078" width="11.5703125" style="2871" bestFit="1" customWidth="1"/>
    <col min="14079" max="14079" width="11.140625" style="2871" customWidth="1"/>
    <col min="14080" max="14080" width="12.5703125" style="2871" customWidth="1"/>
    <col min="14081" max="14081" width="13.85546875" style="2871" customWidth="1"/>
    <col min="14082" max="14082" width="13.42578125" style="2871" customWidth="1"/>
    <col min="14083" max="14083" width="11" style="2871" customWidth="1"/>
    <col min="14084" max="14084" width="17.7109375" style="2871" bestFit="1" customWidth="1"/>
    <col min="14085" max="14086" width="9.140625" style="2871"/>
    <col min="14087" max="14087" width="10.140625" style="2871" customWidth="1"/>
    <col min="14088" max="14329" width="9.140625" style="2871"/>
    <col min="14330" max="14330" width="13.28515625" style="2871" customWidth="1"/>
    <col min="14331" max="14331" width="10.5703125" style="2871" customWidth="1"/>
    <col min="14332" max="14332" width="12.140625" style="2871" customWidth="1"/>
    <col min="14333" max="14333" width="8.140625" style="2871" bestFit="1" customWidth="1"/>
    <col min="14334" max="14334" width="11.5703125" style="2871" bestFit="1" customWidth="1"/>
    <col min="14335" max="14335" width="11.140625" style="2871" customWidth="1"/>
    <col min="14336" max="14336" width="12.5703125" style="2871" customWidth="1"/>
    <col min="14337" max="14337" width="13.85546875" style="2871" customWidth="1"/>
    <col min="14338" max="14338" width="13.42578125" style="2871" customWidth="1"/>
    <col min="14339" max="14339" width="11" style="2871" customWidth="1"/>
    <col min="14340" max="14340" width="17.7109375" style="2871" bestFit="1" customWidth="1"/>
    <col min="14341" max="14342" width="9.140625" style="2871"/>
    <col min="14343" max="14343" width="10.140625" style="2871" customWidth="1"/>
    <col min="14344" max="14585" width="9.140625" style="2871"/>
    <col min="14586" max="14586" width="13.28515625" style="2871" customWidth="1"/>
    <col min="14587" max="14587" width="10.5703125" style="2871" customWidth="1"/>
    <col min="14588" max="14588" width="12.140625" style="2871" customWidth="1"/>
    <col min="14589" max="14589" width="8.140625" style="2871" bestFit="1" customWidth="1"/>
    <col min="14590" max="14590" width="11.5703125" style="2871" bestFit="1" customWidth="1"/>
    <col min="14591" max="14591" width="11.140625" style="2871" customWidth="1"/>
    <col min="14592" max="14592" width="12.5703125" style="2871" customWidth="1"/>
    <col min="14593" max="14593" width="13.85546875" style="2871" customWidth="1"/>
    <col min="14594" max="14594" width="13.42578125" style="2871" customWidth="1"/>
    <col min="14595" max="14595" width="11" style="2871" customWidth="1"/>
    <col min="14596" max="14596" width="17.7109375" style="2871" bestFit="1" customWidth="1"/>
    <col min="14597" max="14598" width="9.140625" style="2871"/>
    <col min="14599" max="14599" width="10.140625" style="2871" customWidth="1"/>
    <col min="14600" max="14841" width="9.140625" style="2871"/>
    <col min="14842" max="14842" width="13.28515625" style="2871" customWidth="1"/>
    <col min="14843" max="14843" width="10.5703125" style="2871" customWidth="1"/>
    <col min="14844" max="14844" width="12.140625" style="2871" customWidth="1"/>
    <col min="14845" max="14845" width="8.140625" style="2871" bestFit="1" customWidth="1"/>
    <col min="14846" max="14846" width="11.5703125" style="2871" bestFit="1" customWidth="1"/>
    <col min="14847" max="14847" width="11.140625" style="2871" customWidth="1"/>
    <col min="14848" max="14848" width="12.5703125" style="2871" customWidth="1"/>
    <col min="14849" max="14849" width="13.85546875" style="2871" customWidth="1"/>
    <col min="14850" max="14850" width="13.42578125" style="2871" customWidth="1"/>
    <col min="14851" max="14851" width="11" style="2871" customWidth="1"/>
    <col min="14852" max="14852" width="17.7109375" style="2871" bestFit="1" customWidth="1"/>
    <col min="14853" max="14854" width="9.140625" style="2871"/>
    <col min="14855" max="14855" width="10.140625" style="2871" customWidth="1"/>
    <col min="14856" max="15097" width="9.140625" style="2871"/>
    <col min="15098" max="15098" width="13.28515625" style="2871" customWidth="1"/>
    <col min="15099" max="15099" width="10.5703125" style="2871" customWidth="1"/>
    <col min="15100" max="15100" width="12.140625" style="2871" customWidth="1"/>
    <col min="15101" max="15101" width="8.140625" style="2871" bestFit="1" customWidth="1"/>
    <col min="15102" max="15102" width="11.5703125" style="2871" bestFit="1" customWidth="1"/>
    <col min="15103" max="15103" width="11.140625" style="2871" customWidth="1"/>
    <col min="15104" max="15104" width="12.5703125" style="2871" customWidth="1"/>
    <col min="15105" max="15105" width="13.85546875" style="2871" customWidth="1"/>
    <col min="15106" max="15106" width="13.42578125" style="2871" customWidth="1"/>
    <col min="15107" max="15107" width="11" style="2871" customWidth="1"/>
    <col min="15108" max="15108" width="17.7109375" style="2871" bestFit="1" customWidth="1"/>
    <col min="15109" max="15110" width="9.140625" style="2871"/>
    <col min="15111" max="15111" width="10.140625" style="2871" customWidth="1"/>
    <col min="15112" max="15353" width="9.140625" style="2871"/>
    <col min="15354" max="15354" width="13.28515625" style="2871" customWidth="1"/>
    <col min="15355" max="15355" width="10.5703125" style="2871" customWidth="1"/>
    <col min="15356" max="15356" width="12.140625" style="2871" customWidth="1"/>
    <col min="15357" max="15357" width="8.140625" style="2871" bestFit="1" customWidth="1"/>
    <col min="15358" max="15358" width="11.5703125" style="2871" bestFit="1" customWidth="1"/>
    <col min="15359" max="15359" width="11.140625" style="2871" customWidth="1"/>
    <col min="15360" max="15360" width="12.5703125" style="2871" customWidth="1"/>
    <col min="15361" max="15361" width="13.85546875" style="2871" customWidth="1"/>
    <col min="15362" max="15362" width="13.42578125" style="2871" customWidth="1"/>
    <col min="15363" max="15363" width="11" style="2871" customWidth="1"/>
    <col min="15364" max="15364" width="17.7109375" style="2871" bestFit="1" customWidth="1"/>
    <col min="15365" max="15366" width="9.140625" style="2871"/>
    <col min="15367" max="15367" width="10.140625" style="2871" customWidth="1"/>
    <col min="15368" max="15609" width="9.140625" style="2871"/>
    <col min="15610" max="15610" width="13.28515625" style="2871" customWidth="1"/>
    <col min="15611" max="15611" width="10.5703125" style="2871" customWidth="1"/>
    <col min="15612" max="15612" width="12.140625" style="2871" customWidth="1"/>
    <col min="15613" max="15613" width="8.140625" style="2871" bestFit="1" customWidth="1"/>
    <col min="15614" max="15614" width="11.5703125" style="2871" bestFit="1" customWidth="1"/>
    <col min="15615" max="15615" width="11.140625" style="2871" customWidth="1"/>
    <col min="15616" max="15616" width="12.5703125" style="2871" customWidth="1"/>
    <col min="15617" max="15617" width="13.85546875" style="2871" customWidth="1"/>
    <col min="15618" max="15618" width="13.42578125" style="2871" customWidth="1"/>
    <col min="15619" max="15619" width="11" style="2871" customWidth="1"/>
    <col min="15620" max="15620" width="17.7109375" style="2871" bestFit="1" customWidth="1"/>
    <col min="15621" max="15622" width="9.140625" style="2871"/>
    <col min="15623" max="15623" width="10.140625" style="2871" customWidth="1"/>
    <col min="15624" max="15865" width="9.140625" style="2871"/>
    <col min="15866" max="15866" width="13.28515625" style="2871" customWidth="1"/>
    <col min="15867" max="15867" width="10.5703125" style="2871" customWidth="1"/>
    <col min="15868" max="15868" width="12.140625" style="2871" customWidth="1"/>
    <col min="15869" max="15869" width="8.140625" style="2871" bestFit="1" customWidth="1"/>
    <col min="15870" max="15870" width="11.5703125" style="2871" bestFit="1" customWidth="1"/>
    <col min="15871" max="15871" width="11.140625" style="2871" customWidth="1"/>
    <col min="15872" max="15872" width="12.5703125" style="2871" customWidth="1"/>
    <col min="15873" max="15873" width="13.85546875" style="2871" customWidth="1"/>
    <col min="15874" max="15874" width="13.42578125" style="2871" customWidth="1"/>
    <col min="15875" max="15875" width="11" style="2871" customWidth="1"/>
    <col min="15876" max="15876" width="17.7109375" style="2871" bestFit="1" customWidth="1"/>
    <col min="15877" max="15878" width="9.140625" style="2871"/>
    <col min="15879" max="15879" width="10.140625" style="2871" customWidth="1"/>
    <col min="15880" max="16121" width="9.140625" style="2871"/>
    <col min="16122" max="16122" width="13.28515625" style="2871" customWidth="1"/>
    <col min="16123" max="16123" width="10.5703125" style="2871" customWidth="1"/>
    <col min="16124" max="16124" width="12.140625" style="2871" customWidth="1"/>
    <col min="16125" max="16125" width="8.140625" style="2871" bestFit="1" customWidth="1"/>
    <col min="16126" max="16126" width="11.5703125" style="2871" bestFit="1" customWidth="1"/>
    <col min="16127" max="16127" width="11.140625" style="2871" customWidth="1"/>
    <col min="16128" max="16128" width="12.5703125" style="2871" customWidth="1"/>
    <col min="16129" max="16129" width="13.85546875" style="2871" customWidth="1"/>
    <col min="16130" max="16130" width="13.42578125" style="2871" customWidth="1"/>
    <col min="16131" max="16131" width="11" style="2871" customWidth="1"/>
    <col min="16132" max="16132" width="17.7109375" style="2871" bestFit="1" customWidth="1"/>
    <col min="16133" max="16134" width="9.140625" style="2871"/>
    <col min="16135" max="16135" width="10.140625" style="2871" customWidth="1"/>
    <col min="16136" max="16384" width="9.140625" style="2871"/>
  </cols>
  <sheetData>
    <row r="1" spans="1:48" s="2798" customFormat="1" ht="21" customHeight="1">
      <c r="A1" s="2797" t="s">
        <v>4132</v>
      </c>
    </row>
    <row r="2" spans="1:48" s="2798" customFormat="1" ht="19.5" customHeight="1" thickBot="1"/>
    <row r="3" spans="1:48" s="2801" customFormat="1" ht="13.5" customHeight="1" thickTop="1">
      <c r="A3" s="2799"/>
      <c r="B3" s="3376" t="s">
        <v>4133</v>
      </c>
      <c r="C3" s="3377"/>
      <c r="D3" s="3377"/>
      <c r="E3" s="3378"/>
      <c r="F3" s="3361" t="s">
        <v>4134</v>
      </c>
      <c r="G3" s="3361" t="s">
        <v>4135</v>
      </c>
      <c r="H3" s="3361" t="s">
        <v>4136</v>
      </c>
      <c r="I3" s="3361" t="s">
        <v>4137</v>
      </c>
      <c r="J3" s="3364" t="s">
        <v>4138</v>
      </c>
      <c r="K3" s="2800"/>
      <c r="L3" s="2800"/>
      <c r="M3" s="2800"/>
      <c r="N3" s="2800"/>
      <c r="O3" s="2800"/>
      <c r="P3" s="2800"/>
      <c r="Q3" s="2800"/>
      <c r="R3" s="2800"/>
      <c r="S3" s="2800"/>
      <c r="T3" s="2800"/>
      <c r="U3" s="2800"/>
      <c r="V3" s="2800"/>
      <c r="W3" s="2800"/>
      <c r="X3" s="2800"/>
      <c r="Y3" s="2800"/>
      <c r="Z3" s="2800"/>
      <c r="AA3" s="2800"/>
      <c r="AB3" s="2800"/>
      <c r="AC3" s="2800"/>
      <c r="AD3" s="2800"/>
      <c r="AE3" s="2800"/>
      <c r="AF3" s="2800"/>
      <c r="AG3" s="2800"/>
      <c r="AH3" s="2800"/>
      <c r="AI3" s="2800"/>
      <c r="AJ3" s="2800"/>
      <c r="AK3" s="2800"/>
      <c r="AL3" s="2800"/>
      <c r="AM3" s="2800"/>
      <c r="AN3" s="2800"/>
      <c r="AO3" s="2800"/>
      <c r="AP3" s="2800"/>
      <c r="AQ3" s="2800"/>
      <c r="AR3" s="2800"/>
      <c r="AS3" s="2800"/>
      <c r="AT3" s="2800"/>
      <c r="AU3" s="2800"/>
      <c r="AV3" s="2800"/>
    </row>
    <row r="4" spans="1:48" s="2801" customFormat="1" ht="13.5" customHeight="1">
      <c r="A4" s="2802"/>
      <c r="B4" s="3367" t="s">
        <v>4139</v>
      </c>
      <c r="C4" s="3368"/>
      <c r="D4" s="3368"/>
      <c r="E4" s="3369"/>
      <c r="F4" s="3362"/>
      <c r="G4" s="3362"/>
      <c r="H4" s="3362"/>
      <c r="I4" s="3362"/>
      <c r="J4" s="3365"/>
      <c r="K4" s="2800"/>
      <c r="L4" s="2800"/>
      <c r="M4" s="2800"/>
      <c r="N4" s="2800"/>
      <c r="O4" s="2800"/>
      <c r="P4" s="2800"/>
      <c r="Q4" s="2800"/>
      <c r="R4" s="2800"/>
      <c r="S4" s="2800"/>
      <c r="T4" s="2800"/>
      <c r="U4" s="2800"/>
      <c r="V4" s="2800"/>
      <c r="W4" s="2800"/>
      <c r="X4" s="2800"/>
      <c r="Y4" s="2800"/>
      <c r="Z4" s="2800"/>
      <c r="AA4" s="2800"/>
      <c r="AB4" s="2800"/>
      <c r="AC4" s="2800"/>
      <c r="AD4" s="2800"/>
      <c r="AE4" s="2800"/>
      <c r="AF4" s="2800"/>
      <c r="AG4" s="2800"/>
      <c r="AH4" s="2800"/>
      <c r="AI4" s="2800"/>
      <c r="AJ4" s="2800"/>
      <c r="AK4" s="2800"/>
      <c r="AL4" s="2800"/>
      <c r="AM4" s="2800"/>
      <c r="AN4" s="2800"/>
      <c r="AO4" s="2800"/>
      <c r="AP4" s="2800"/>
      <c r="AQ4" s="2800"/>
      <c r="AR4" s="2800"/>
      <c r="AS4" s="2800"/>
      <c r="AT4" s="2800"/>
      <c r="AU4" s="2800"/>
      <c r="AV4" s="2800"/>
    </row>
    <row r="5" spans="1:48" s="2801" customFormat="1" ht="16.5" customHeight="1" thickBot="1">
      <c r="A5" s="2802"/>
      <c r="B5" s="3370" t="s">
        <v>4140</v>
      </c>
      <c r="C5" s="3371"/>
      <c r="D5" s="3371"/>
      <c r="E5" s="3372"/>
      <c r="F5" s="3362"/>
      <c r="G5" s="3362"/>
      <c r="H5" s="3362"/>
      <c r="I5" s="3362"/>
      <c r="J5" s="3365"/>
      <c r="K5" s="2800"/>
      <c r="L5" s="2800"/>
      <c r="M5" s="2800"/>
      <c r="N5" s="2800"/>
      <c r="O5" s="2800"/>
      <c r="P5" s="2800"/>
      <c r="Q5" s="2800"/>
      <c r="R5" s="2800"/>
      <c r="S5" s="2800"/>
      <c r="T5" s="2800"/>
      <c r="U5" s="2800"/>
      <c r="V5" s="2800"/>
      <c r="W5" s="2800"/>
      <c r="X5" s="2800"/>
      <c r="Y5" s="2800"/>
      <c r="Z5" s="2800"/>
      <c r="AA5" s="2800"/>
      <c r="AB5" s="2800"/>
      <c r="AC5" s="2800"/>
      <c r="AD5" s="2800"/>
      <c r="AE5" s="2800"/>
      <c r="AF5" s="2800"/>
      <c r="AG5" s="2800"/>
      <c r="AH5" s="2800"/>
      <c r="AI5" s="2800"/>
      <c r="AJ5" s="2800"/>
      <c r="AK5" s="2800"/>
      <c r="AL5" s="2800"/>
      <c r="AM5" s="2800"/>
      <c r="AN5" s="2800"/>
      <c r="AO5" s="2800"/>
      <c r="AP5" s="2800"/>
      <c r="AQ5" s="2800"/>
      <c r="AR5" s="2800"/>
      <c r="AS5" s="2800"/>
      <c r="AT5" s="2800"/>
      <c r="AU5" s="2800"/>
      <c r="AV5" s="2800"/>
    </row>
    <row r="6" spans="1:48" s="2801" customFormat="1" ht="38.25" customHeight="1" thickTop="1" thickBot="1">
      <c r="A6" s="2803"/>
      <c r="B6" s="2804" t="s">
        <v>4141</v>
      </c>
      <c r="C6" s="2805" t="s">
        <v>4142</v>
      </c>
      <c r="D6" s="2805" t="s">
        <v>2168</v>
      </c>
      <c r="E6" s="2806" t="s">
        <v>54</v>
      </c>
      <c r="F6" s="3363"/>
      <c r="G6" s="3363"/>
      <c r="H6" s="3363"/>
      <c r="I6" s="3363"/>
      <c r="J6" s="3366"/>
      <c r="K6" s="2800"/>
      <c r="L6" s="2800"/>
      <c r="M6" s="2800"/>
      <c r="N6" s="2800"/>
      <c r="O6" s="2800"/>
      <c r="P6" s="2800"/>
      <c r="Q6" s="2800"/>
      <c r="R6" s="2800"/>
      <c r="S6" s="2800"/>
      <c r="T6" s="2800"/>
      <c r="U6" s="2800"/>
      <c r="V6" s="2800"/>
      <c r="W6" s="2800"/>
      <c r="X6" s="2800"/>
      <c r="Y6" s="2800"/>
      <c r="Z6" s="2800"/>
      <c r="AA6" s="2800"/>
      <c r="AB6" s="2800"/>
      <c r="AC6" s="2800"/>
      <c r="AD6" s="2800"/>
      <c r="AE6" s="2800"/>
      <c r="AF6" s="2800"/>
      <c r="AG6" s="2800"/>
      <c r="AH6" s="2800"/>
      <c r="AI6" s="2800"/>
      <c r="AJ6" s="2800"/>
      <c r="AK6" s="2800"/>
      <c r="AL6" s="2800"/>
      <c r="AM6" s="2800"/>
      <c r="AN6" s="2800"/>
      <c r="AO6" s="2800"/>
      <c r="AP6" s="2800"/>
      <c r="AQ6" s="2800"/>
      <c r="AR6" s="2800"/>
      <c r="AS6" s="2800"/>
      <c r="AT6" s="2800"/>
      <c r="AU6" s="2800"/>
      <c r="AV6" s="2800"/>
    </row>
    <row r="7" spans="1:48" s="2801" customFormat="1" ht="24" customHeight="1" thickTop="1" thickBot="1">
      <c r="A7" s="2807"/>
      <c r="B7" s="3373" t="s">
        <v>49</v>
      </c>
      <c r="C7" s="3374"/>
      <c r="D7" s="3374"/>
      <c r="E7" s="3374"/>
      <c r="F7" s="3374"/>
      <c r="G7" s="3374"/>
      <c r="H7" s="3375"/>
      <c r="I7" s="2808" t="s">
        <v>3702</v>
      </c>
      <c r="J7" s="2808" t="s">
        <v>4143</v>
      </c>
      <c r="K7" s="2800"/>
      <c r="L7" s="2800"/>
      <c r="M7" s="2800"/>
      <c r="N7" s="2800"/>
      <c r="O7" s="2800"/>
      <c r="P7" s="2800"/>
      <c r="Q7" s="2800"/>
      <c r="R7" s="2800"/>
      <c r="S7" s="2800"/>
      <c r="T7" s="2800"/>
      <c r="U7" s="2800"/>
      <c r="V7" s="2800"/>
      <c r="W7" s="2800"/>
      <c r="X7" s="2800"/>
      <c r="Y7" s="2800"/>
      <c r="Z7" s="2800"/>
      <c r="AA7" s="2800"/>
      <c r="AB7" s="2800"/>
      <c r="AC7" s="2800"/>
      <c r="AD7" s="2800"/>
      <c r="AE7" s="2800"/>
      <c r="AF7" s="2800"/>
      <c r="AG7" s="2800"/>
      <c r="AH7" s="2800"/>
      <c r="AI7" s="2800"/>
      <c r="AJ7" s="2800"/>
      <c r="AK7" s="2800"/>
      <c r="AL7" s="2800"/>
      <c r="AM7" s="2800"/>
      <c r="AN7" s="2800"/>
      <c r="AO7" s="2800"/>
      <c r="AP7" s="2800"/>
      <c r="AQ7" s="2800"/>
      <c r="AR7" s="2800"/>
      <c r="AS7" s="2800"/>
      <c r="AT7" s="2800"/>
      <c r="AU7" s="2800"/>
      <c r="AV7" s="2800"/>
    </row>
    <row r="8" spans="1:48" s="2801" customFormat="1" ht="15" hidden="1" customHeight="1" thickTop="1">
      <c r="A8" s="2809" t="s">
        <v>4144</v>
      </c>
      <c r="B8" s="2810">
        <v>1548</v>
      </c>
      <c r="C8" s="2811">
        <v>937</v>
      </c>
      <c r="D8" s="2811">
        <v>57988</v>
      </c>
      <c r="E8" s="2812">
        <v>60473</v>
      </c>
      <c r="F8" s="2813">
        <v>659</v>
      </c>
      <c r="G8" s="2814">
        <v>0.1</v>
      </c>
      <c r="H8" s="2815">
        <f>E8+F8+G8</f>
        <v>61132.1</v>
      </c>
      <c r="I8" s="2816">
        <f>H8/32.3722</f>
        <v>1888.413515300165</v>
      </c>
      <c r="J8" s="2816"/>
      <c r="K8" s="2817"/>
      <c r="L8" s="2800"/>
      <c r="M8" s="2800"/>
      <c r="N8" s="2800"/>
      <c r="O8" s="2800"/>
      <c r="P8" s="2800"/>
      <c r="Q8" s="2800"/>
      <c r="R8" s="2800"/>
      <c r="S8" s="2800"/>
      <c r="T8" s="2800"/>
      <c r="U8" s="2800"/>
      <c r="V8" s="2800"/>
      <c r="W8" s="2800"/>
      <c r="X8" s="2800"/>
      <c r="Y8" s="2800"/>
      <c r="Z8" s="2800"/>
      <c r="AA8" s="2800"/>
      <c r="AB8" s="2800"/>
      <c r="AC8" s="2800"/>
      <c r="AD8" s="2800"/>
      <c r="AE8" s="2800"/>
      <c r="AF8" s="2800"/>
      <c r="AG8" s="2800"/>
      <c r="AH8" s="2800"/>
      <c r="AI8" s="2800"/>
      <c r="AJ8" s="2800"/>
      <c r="AK8" s="2800"/>
      <c r="AL8" s="2800"/>
      <c r="AM8" s="2800"/>
      <c r="AN8" s="2800"/>
      <c r="AO8" s="2800"/>
      <c r="AP8" s="2800"/>
      <c r="AQ8" s="2800"/>
      <c r="AR8" s="2800"/>
      <c r="AS8" s="2800"/>
      <c r="AT8" s="2800"/>
      <c r="AU8" s="2800"/>
      <c r="AV8" s="2800"/>
    </row>
    <row r="9" spans="1:48" s="2801" customFormat="1" ht="15.75" hidden="1" customHeight="1">
      <c r="A9" s="2809" t="s">
        <v>4145</v>
      </c>
      <c r="B9" s="2810">
        <v>1467</v>
      </c>
      <c r="C9" s="2811">
        <v>932</v>
      </c>
      <c r="D9" s="2811">
        <v>60945</v>
      </c>
      <c r="E9" s="2818">
        <v>63344</v>
      </c>
      <c r="F9" s="2819">
        <v>651</v>
      </c>
      <c r="G9" s="2820">
        <v>0</v>
      </c>
      <c r="H9" s="2816">
        <f>E9+F9+G9</f>
        <v>63995</v>
      </c>
      <c r="I9" s="2815">
        <f>H9/31.8576</f>
        <v>2008.7828336095624</v>
      </c>
      <c r="J9" s="2815"/>
      <c r="K9" s="2817"/>
      <c r="L9" s="2800"/>
      <c r="M9" s="2800"/>
      <c r="N9" s="2800"/>
      <c r="O9" s="2800"/>
      <c r="P9" s="2800"/>
      <c r="Q9" s="2800"/>
      <c r="R9" s="2800"/>
      <c r="S9" s="2800"/>
      <c r="T9" s="2800"/>
      <c r="U9" s="2800"/>
      <c r="V9" s="2800"/>
      <c r="W9" s="2800"/>
      <c r="X9" s="2800"/>
      <c r="Y9" s="2800"/>
      <c r="Z9" s="2800"/>
      <c r="AA9" s="2800"/>
      <c r="AB9" s="2800"/>
      <c r="AC9" s="2800"/>
      <c r="AD9" s="2800"/>
      <c r="AE9" s="2800"/>
      <c r="AF9" s="2800"/>
      <c r="AG9" s="2800"/>
      <c r="AH9" s="2800"/>
      <c r="AI9" s="2800"/>
      <c r="AJ9" s="2800"/>
      <c r="AK9" s="2800"/>
      <c r="AL9" s="2800"/>
      <c r="AM9" s="2800"/>
      <c r="AN9" s="2800"/>
      <c r="AO9" s="2800"/>
      <c r="AP9" s="2800"/>
      <c r="AQ9" s="2800"/>
      <c r="AR9" s="2800"/>
      <c r="AS9" s="2800"/>
      <c r="AT9" s="2800"/>
      <c r="AU9" s="2800"/>
      <c r="AV9" s="2800"/>
    </row>
    <row r="10" spans="1:48" s="2801" customFormat="1" ht="15.75" hidden="1" customHeight="1">
      <c r="A10" s="2809" t="s">
        <v>4146</v>
      </c>
      <c r="B10" s="2819">
        <v>1482</v>
      </c>
      <c r="C10" s="2811">
        <v>4656</v>
      </c>
      <c r="D10" s="2811">
        <v>60862</v>
      </c>
      <c r="E10" s="2821" t="s">
        <v>4147</v>
      </c>
      <c r="F10" s="2819">
        <v>651</v>
      </c>
      <c r="G10" s="2820">
        <v>0.1</v>
      </c>
      <c r="H10" s="2816">
        <v>67651.100000000006</v>
      </c>
      <c r="I10" s="2815">
        <f>H10/31.6102</f>
        <v>2140.1667816084682</v>
      </c>
      <c r="J10" s="2815"/>
      <c r="K10" s="2817"/>
      <c r="L10" s="2800"/>
      <c r="M10" s="2800"/>
      <c r="N10" s="2800"/>
      <c r="O10" s="2800"/>
      <c r="P10" s="2800"/>
      <c r="Q10" s="2800"/>
      <c r="R10" s="2800"/>
      <c r="S10" s="2800"/>
      <c r="T10" s="2800"/>
      <c r="U10" s="2800"/>
      <c r="V10" s="2800"/>
      <c r="W10" s="2800"/>
      <c r="X10" s="2800"/>
      <c r="Y10" s="2800"/>
      <c r="Z10" s="2800"/>
      <c r="AA10" s="2800"/>
      <c r="AB10" s="2800"/>
      <c r="AC10" s="2800"/>
      <c r="AD10" s="2800"/>
      <c r="AE10" s="2800"/>
      <c r="AF10" s="2800"/>
      <c r="AG10" s="2800"/>
      <c r="AH10" s="2800"/>
      <c r="AI10" s="2800"/>
      <c r="AJ10" s="2800"/>
      <c r="AK10" s="2800"/>
      <c r="AL10" s="2800"/>
      <c r="AM10" s="2800"/>
      <c r="AN10" s="2800"/>
      <c r="AO10" s="2800"/>
      <c r="AP10" s="2800"/>
      <c r="AQ10" s="2800"/>
      <c r="AR10" s="2800"/>
      <c r="AS10" s="2800"/>
      <c r="AT10" s="2800"/>
      <c r="AU10" s="2800"/>
      <c r="AV10" s="2800"/>
    </row>
    <row r="11" spans="1:48" s="2801" customFormat="1" ht="15.75" hidden="1" customHeight="1">
      <c r="A11" s="2809" t="s">
        <v>4148</v>
      </c>
      <c r="B11" s="2822">
        <v>1500</v>
      </c>
      <c r="C11" s="2811">
        <v>4813</v>
      </c>
      <c r="D11" s="2811">
        <v>59242</v>
      </c>
      <c r="E11" s="2822">
        <v>65555</v>
      </c>
      <c r="F11" s="2819">
        <v>636</v>
      </c>
      <c r="G11" s="2820">
        <v>0.2</v>
      </c>
      <c r="H11" s="2816">
        <v>66191.199999999997</v>
      </c>
      <c r="I11" s="2815">
        <v>2167.8435277009944</v>
      </c>
      <c r="J11" s="2815"/>
      <c r="K11" s="2817"/>
      <c r="L11" s="2800"/>
      <c r="M11" s="2800"/>
      <c r="N11" s="2800"/>
      <c r="O11" s="2800"/>
      <c r="P11" s="2800"/>
      <c r="Q11" s="2800"/>
      <c r="R11" s="2800"/>
      <c r="S11" s="2800"/>
      <c r="T11" s="2800"/>
      <c r="U11" s="2800"/>
      <c r="V11" s="2800"/>
      <c r="W11" s="2800"/>
      <c r="X11" s="2800"/>
      <c r="Y11" s="2800"/>
      <c r="Z11" s="2800"/>
      <c r="AA11" s="2800"/>
      <c r="AB11" s="2800"/>
      <c r="AC11" s="2800"/>
      <c r="AD11" s="2800"/>
      <c r="AE11" s="2800"/>
      <c r="AF11" s="2800"/>
      <c r="AG11" s="2800"/>
      <c r="AH11" s="2800"/>
      <c r="AI11" s="2800"/>
      <c r="AJ11" s="2800"/>
      <c r="AK11" s="2800"/>
      <c r="AL11" s="2800"/>
      <c r="AM11" s="2800"/>
      <c r="AN11" s="2800"/>
      <c r="AO11" s="2800"/>
      <c r="AP11" s="2800"/>
      <c r="AQ11" s="2800"/>
      <c r="AR11" s="2800"/>
      <c r="AS11" s="2800"/>
      <c r="AT11" s="2800"/>
      <c r="AU11" s="2800"/>
      <c r="AV11" s="2800"/>
    </row>
    <row r="12" spans="1:48" s="2801" customFormat="1" ht="15.75" hidden="1" customHeight="1">
      <c r="A12" s="2809" t="s">
        <v>4149</v>
      </c>
      <c r="B12" s="2822">
        <v>1555</v>
      </c>
      <c r="C12" s="2811">
        <v>4802</v>
      </c>
      <c r="D12" s="2811">
        <v>60038</v>
      </c>
      <c r="E12" s="2822">
        <v>66395</v>
      </c>
      <c r="F12" s="2819">
        <v>633</v>
      </c>
      <c r="G12" s="2820">
        <v>0.1</v>
      </c>
      <c r="H12" s="2816">
        <f>E12+F12+G12</f>
        <v>67028.100000000006</v>
      </c>
      <c r="I12" s="2815">
        <f>H12/30.2723</f>
        <v>2214.172692527492</v>
      </c>
      <c r="J12" s="2815"/>
      <c r="K12" s="2817"/>
      <c r="L12" s="2800"/>
      <c r="M12" s="2800"/>
      <c r="N12" s="2800"/>
      <c r="O12" s="2800"/>
      <c r="P12" s="2800"/>
      <c r="Q12" s="2800"/>
      <c r="R12" s="2800"/>
      <c r="S12" s="2800"/>
      <c r="T12" s="2800"/>
      <c r="U12" s="2800"/>
      <c r="V12" s="2800"/>
      <c r="W12" s="2800"/>
      <c r="X12" s="2800"/>
      <c r="Y12" s="2800"/>
      <c r="Z12" s="2800"/>
      <c r="AA12" s="2800"/>
      <c r="AB12" s="2800"/>
      <c r="AC12" s="2800"/>
      <c r="AD12" s="2800"/>
      <c r="AE12" s="2800"/>
      <c r="AF12" s="2800"/>
      <c r="AG12" s="2800"/>
      <c r="AH12" s="2800"/>
      <c r="AI12" s="2800"/>
      <c r="AJ12" s="2800"/>
      <c r="AK12" s="2800"/>
      <c r="AL12" s="2800"/>
      <c r="AM12" s="2800"/>
      <c r="AN12" s="2800"/>
      <c r="AO12" s="2800"/>
      <c r="AP12" s="2800"/>
      <c r="AQ12" s="2800"/>
      <c r="AR12" s="2800"/>
      <c r="AS12" s="2800"/>
      <c r="AT12" s="2800"/>
      <c r="AU12" s="2800"/>
      <c r="AV12" s="2800"/>
    </row>
    <row r="13" spans="1:48" s="2801" customFormat="1" ht="15.75" hidden="1" customHeight="1">
      <c r="A13" s="2823" t="s">
        <v>4150</v>
      </c>
      <c r="B13" s="2824">
        <v>3867</v>
      </c>
      <c r="C13" s="2811">
        <v>4677</v>
      </c>
      <c r="D13" s="2811">
        <v>58869</v>
      </c>
      <c r="E13" s="2825">
        <v>67413</v>
      </c>
      <c r="F13" s="2826">
        <v>807</v>
      </c>
      <c r="G13" s="2827">
        <v>0.2</v>
      </c>
      <c r="H13" s="2816">
        <f>E13+F13+G13</f>
        <v>68220.2</v>
      </c>
      <c r="I13" s="2815">
        <f>H13/30.7998</f>
        <v>2214.9559412723456</v>
      </c>
      <c r="J13" s="2815"/>
      <c r="K13" s="2817"/>
      <c r="L13" s="2800"/>
      <c r="M13" s="2800"/>
      <c r="N13" s="2800"/>
      <c r="O13" s="2800"/>
      <c r="P13" s="2800"/>
      <c r="Q13" s="2800"/>
      <c r="R13" s="2800"/>
      <c r="S13" s="2800"/>
      <c r="T13" s="2800"/>
      <c r="U13" s="2800"/>
      <c r="V13" s="2800"/>
      <c r="W13" s="2800"/>
      <c r="X13" s="2800"/>
      <c r="Y13" s="2800"/>
      <c r="Z13" s="2800"/>
      <c r="AA13" s="2800"/>
      <c r="AB13" s="2800"/>
      <c r="AC13" s="2800"/>
      <c r="AD13" s="2800"/>
      <c r="AE13" s="2800"/>
      <c r="AF13" s="2800"/>
      <c r="AG13" s="2800"/>
      <c r="AH13" s="2800"/>
      <c r="AI13" s="2800"/>
      <c r="AJ13" s="2800"/>
      <c r="AK13" s="2800"/>
      <c r="AL13" s="2800"/>
      <c r="AM13" s="2800"/>
      <c r="AN13" s="2800"/>
      <c r="AO13" s="2800"/>
      <c r="AP13" s="2800"/>
      <c r="AQ13" s="2800"/>
      <c r="AR13" s="2800"/>
      <c r="AS13" s="2800"/>
      <c r="AT13" s="2800"/>
      <c r="AU13" s="2800"/>
      <c r="AV13" s="2800"/>
    </row>
    <row r="14" spans="1:48" s="2801" customFormat="1" ht="15.75" hidden="1" customHeight="1">
      <c r="A14" s="2823" t="s">
        <v>4151</v>
      </c>
      <c r="B14" s="2824">
        <v>4097</v>
      </c>
      <c r="C14" s="2811">
        <v>4651</v>
      </c>
      <c r="D14" s="2811">
        <v>59179</v>
      </c>
      <c r="E14" s="2828">
        <v>67927</v>
      </c>
      <c r="F14" s="2826">
        <v>804</v>
      </c>
      <c r="G14" s="2827">
        <v>0.2</v>
      </c>
      <c r="H14" s="2816">
        <v>68731.199999999997</v>
      </c>
      <c r="I14" s="2815">
        <f>H14/30.8466</f>
        <v>2228.161288440217</v>
      </c>
      <c r="J14" s="2815"/>
      <c r="K14" s="2817"/>
      <c r="L14" s="2800"/>
      <c r="M14" s="2800"/>
      <c r="N14" s="2800"/>
      <c r="O14" s="2800"/>
      <c r="P14" s="2800"/>
      <c r="Q14" s="2800"/>
      <c r="R14" s="2800"/>
      <c r="S14" s="2800"/>
      <c r="T14" s="2800"/>
      <c r="U14" s="2800"/>
      <c r="V14" s="2800"/>
      <c r="W14" s="2800"/>
      <c r="X14" s="2800"/>
      <c r="Y14" s="2800"/>
      <c r="Z14" s="2800"/>
      <c r="AA14" s="2800"/>
      <c r="AB14" s="2800"/>
      <c r="AC14" s="2800"/>
      <c r="AD14" s="2800"/>
      <c r="AE14" s="2800"/>
      <c r="AF14" s="2800"/>
      <c r="AG14" s="2800"/>
      <c r="AH14" s="2800"/>
      <c r="AI14" s="2800"/>
      <c r="AJ14" s="2800"/>
      <c r="AK14" s="2800"/>
      <c r="AL14" s="2800"/>
      <c r="AM14" s="2800"/>
      <c r="AN14" s="2800"/>
      <c r="AO14" s="2800"/>
      <c r="AP14" s="2800"/>
      <c r="AQ14" s="2800"/>
      <c r="AR14" s="2800"/>
      <c r="AS14" s="2800"/>
      <c r="AT14" s="2800"/>
      <c r="AU14" s="2800"/>
      <c r="AV14" s="2800"/>
    </row>
    <row r="15" spans="1:48" s="2801" customFormat="1" ht="15.75" hidden="1" customHeight="1">
      <c r="A15" s="2823" t="s">
        <v>4152</v>
      </c>
      <c r="B15" s="2824">
        <v>4614</v>
      </c>
      <c r="C15" s="2811">
        <v>4942</v>
      </c>
      <c r="D15" s="2811">
        <v>61027</v>
      </c>
      <c r="E15" s="2828">
        <v>70583</v>
      </c>
      <c r="F15" s="2826">
        <v>862</v>
      </c>
      <c r="G15" s="2827">
        <v>0.1</v>
      </c>
      <c r="H15" s="2816">
        <v>71445.100000000006</v>
      </c>
      <c r="I15" s="2815">
        <f>H15/33.5965</f>
        <v>2126.5637789650709</v>
      </c>
      <c r="J15" s="2815"/>
      <c r="K15" s="2817"/>
      <c r="L15" s="2800"/>
      <c r="M15" s="2800"/>
      <c r="N15" s="2800"/>
      <c r="O15" s="2800"/>
      <c r="P15" s="2800"/>
      <c r="Q15" s="2800"/>
      <c r="R15" s="2800"/>
      <c r="S15" s="2800"/>
      <c r="T15" s="2800"/>
      <c r="U15" s="2800"/>
      <c r="V15" s="2800"/>
      <c r="W15" s="2800"/>
      <c r="X15" s="2800"/>
      <c r="Y15" s="2800"/>
      <c r="Z15" s="2800"/>
      <c r="AA15" s="2800"/>
      <c r="AB15" s="2800"/>
      <c r="AC15" s="2800"/>
      <c r="AD15" s="2800"/>
      <c r="AE15" s="2800"/>
      <c r="AF15" s="2800"/>
      <c r="AG15" s="2800"/>
      <c r="AH15" s="2800"/>
      <c r="AI15" s="2800"/>
      <c r="AJ15" s="2800"/>
      <c r="AK15" s="2800"/>
      <c r="AL15" s="2800"/>
      <c r="AM15" s="2800"/>
      <c r="AN15" s="2800"/>
      <c r="AO15" s="2800"/>
      <c r="AP15" s="2800"/>
      <c r="AQ15" s="2800"/>
      <c r="AR15" s="2800"/>
      <c r="AS15" s="2800"/>
      <c r="AT15" s="2800"/>
      <c r="AU15" s="2800"/>
      <c r="AV15" s="2800"/>
    </row>
    <row r="16" spans="1:48" s="2801" customFormat="1" ht="15.75" hidden="1" customHeight="1">
      <c r="A16" s="2829">
        <v>40369</v>
      </c>
      <c r="B16" s="2824">
        <v>3994</v>
      </c>
      <c r="C16" s="2811">
        <v>4583</v>
      </c>
      <c r="D16" s="2811">
        <v>60698</v>
      </c>
      <c r="E16" s="2828">
        <v>69275</v>
      </c>
      <c r="F16" s="2826">
        <v>1011</v>
      </c>
      <c r="G16" s="2827">
        <v>0.1</v>
      </c>
      <c r="H16" s="2816">
        <v>70286.100000000006</v>
      </c>
      <c r="I16" s="2815">
        <f>H16/30.1817</f>
        <v>2328.765443961076</v>
      </c>
      <c r="J16" s="2815"/>
      <c r="K16" s="2817"/>
      <c r="L16" s="2800"/>
      <c r="M16" s="2800"/>
      <c r="N16" s="2800"/>
      <c r="O16" s="2800"/>
      <c r="P16" s="2800"/>
      <c r="Q16" s="2800"/>
      <c r="R16" s="2800"/>
      <c r="S16" s="2800"/>
      <c r="T16" s="2800"/>
      <c r="U16" s="2800"/>
      <c r="V16" s="2800"/>
      <c r="W16" s="2800"/>
      <c r="X16" s="2800"/>
      <c r="Y16" s="2800"/>
      <c r="Z16" s="2800"/>
      <c r="AA16" s="2800"/>
      <c r="AB16" s="2800"/>
      <c r="AC16" s="2800"/>
      <c r="AD16" s="2800"/>
      <c r="AE16" s="2800"/>
      <c r="AF16" s="2800"/>
      <c r="AG16" s="2800"/>
      <c r="AH16" s="2800"/>
      <c r="AI16" s="2800"/>
      <c r="AJ16" s="2800"/>
      <c r="AK16" s="2800"/>
      <c r="AL16" s="2800"/>
      <c r="AM16" s="2800"/>
      <c r="AN16" s="2800"/>
      <c r="AO16" s="2800"/>
      <c r="AP16" s="2800"/>
      <c r="AQ16" s="2800"/>
      <c r="AR16" s="2800"/>
      <c r="AS16" s="2800"/>
      <c r="AT16" s="2800"/>
      <c r="AU16" s="2800"/>
      <c r="AV16" s="2800"/>
    </row>
    <row r="17" spans="1:48" s="2801" customFormat="1" ht="15.75" hidden="1" customHeight="1">
      <c r="A17" s="2829">
        <v>40400</v>
      </c>
      <c r="B17" s="2824">
        <v>4317</v>
      </c>
      <c r="C17" s="2811">
        <v>4648</v>
      </c>
      <c r="D17" s="2811">
        <v>61259</v>
      </c>
      <c r="E17" s="2828">
        <v>70224</v>
      </c>
      <c r="F17" s="2826">
        <v>1027</v>
      </c>
      <c r="G17" s="2827">
        <v>0.2</v>
      </c>
      <c r="H17" s="2816">
        <v>71251.199999999997</v>
      </c>
      <c r="I17" s="2815">
        <f>H17/30.8685</f>
        <v>2308.2171145342336</v>
      </c>
      <c r="J17" s="2815"/>
      <c r="K17" s="2817"/>
      <c r="L17" s="2800"/>
      <c r="M17" s="2800"/>
      <c r="N17" s="2800"/>
      <c r="O17" s="2800"/>
      <c r="P17" s="2800"/>
      <c r="Q17" s="2800"/>
      <c r="R17" s="2800"/>
      <c r="S17" s="2800"/>
      <c r="T17" s="2800"/>
      <c r="U17" s="2800"/>
      <c r="V17" s="2800"/>
      <c r="W17" s="2800"/>
      <c r="X17" s="2800"/>
      <c r="Y17" s="2800"/>
      <c r="Z17" s="2800"/>
      <c r="AA17" s="2800"/>
      <c r="AB17" s="2800"/>
      <c r="AC17" s="2800"/>
      <c r="AD17" s="2800"/>
      <c r="AE17" s="2800"/>
      <c r="AF17" s="2800"/>
      <c r="AG17" s="2800"/>
      <c r="AH17" s="2800"/>
      <c r="AI17" s="2800"/>
      <c r="AJ17" s="2800"/>
      <c r="AK17" s="2800"/>
      <c r="AL17" s="2800"/>
      <c r="AM17" s="2800"/>
      <c r="AN17" s="2800"/>
      <c r="AO17" s="2800"/>
      <c r="AP17" s="2800"/>
      <c r="AQ17" s="2800"/>
      <c r="AR17" s="2800"/>
      <c r="AS17" s="2800"/>
      <c r="AT17" s="2800"/>
      <c r="AU17" s="2800"/>
      <c r="AV17" s="2800"/>
    </row>
    <row r="18" spans="1:48" s="2801" customFormat="1" ht="15.75" hidden="1" customHeight="1">
      <c r="A18" s="2829">
        <v>40431</v>
      </c>
      <c r="B18" s="2824">
        <v>4472</v>
      </c>
      <c r="C18" s="2811">
        <v>4665</v>
      </c>
      <c r="D18" s="2811">
        <v>64159</v>
      </c>
      <c r="E18" s="2828">
        <v>73296</v>
      </c>
      <c r="F18" s="2826">
        <v>1033</v>
      </c>
      <c r="G18" s="2827">
        <v>0.2</v>
      </c>
      <c r="H18" s="2816">
        <f t="shared" ref="H18:H36" si="0">E18+F18+G18</f>
        <v>74329.2</v>
      </c>
      <c r="I18" s="2815">
        <f>H18/30.1123</f>
        <v>2468.3999561640921</v>
      </c>
      <c r="J18" s="2815"/>
      <c r="K18" s="2800"/>
      <c r="L18" s="2800"/>
      <c r="M18" s="2800"/>
      <c r="N18" s="2800"/>
      <c r="O18" s="2800"/>
      <c r="P18" s="2800"/>
      <c r="Q18" s="2800"/>
      <c r="R18" s="2800"/>
      <c r="S18" s="2800"/>
      <c r="T18" s="2800"/>
      <c r="U18" s="2800"/>
      <c r="V18" s="2800"/>
      <c r="W18" s="2800"/>
      <c r="X18" s="2800"/>
      <c r="Y18" s="2800"/>
      <c r="Z18" s="2800"/>
      <c r="AA18" s="2800"/>
      <c r="AB18" s="2800"/>
      <c r="AC18" s="2800"/>
      <c r="AD18" s="2800"/>
      <c r="AE18" s="2800"/>
      <c r="AF18" s="2800"/>
      <c r="AG18" s="2800"/>
      <c r="AH18" s="2800"/>
      <c r="AI18" s="2800"/>
      <c r="AJ18" s="2800"/>
      <c r="AK18" s="2800"/>
      <c r="AL18" s="2800"/>
      <c r="AM18" s="2800"/>
      <c r="AN18" s="2800"/>
      <c r="AO18" s="2800"/>
      <c r="AP18" s="2800"/>
      <c r="AQ18" s="2800"/>
      <c r="AR18" s="2800"/>
      <c r="AS18" s="2800"/>
      <c r="AT18" s="2800"/>
      <c r="AU18" s="2800"/>
      <c r="AV18" s="2800"/>
    </row>
    <row r="19" spans="1:48" s="2801" customFormat="1" ht="15.75" hidden="1" customHeight="1">
      <c r="A19" s="2829">
        <v>40461</v>
      </c>
      <c r="B19" s="2824">
        <v>4517</v>
      </c>
      <c r="C19" s="2811">
        <v>4672</v>
      </c>
      <c r="D19" s="2811">
        <f>E19-C19-B19</f>
        <v>63543</v>
      </c>
      <c r="E19" s="2828">
        <v>72732</v>
      </c>
      <c r="F19" s="2826">
        <v>1034</v>
      </c>
      <c r="G19" s="2827">
        <v>0.1</v>
      </c>
      <c r="H19" s="2816">
        <f t="shared" si="0"/>
        <v>73766.100000000006</v>
      </c>
      <c r="I19" s="2815">
        <f>H19/29.8251</f>
        <v>2473.2892764818898</v>
      </c>
      <c r="J19" s="2815"/>
      <c r="K19" s="2800"/>
      <c r="L19" s="2800"/>
      <c r="M19" s="2800"/>
      <c r="N19" s="2800"/>
      <c r="O19" s="2800"/>
      <c r="P19" s="2800"/>
      <c r="Q19" s="2800"/>
      <c r="R19" s="2800"/>
      <c r="S19" s="2800"/>
      <c r="T19" s="2800"/>
      <c r="U19" s="2800"/>
      <c r="V19" s="2800"/>
      <c r="W19" s="2800"/>
      <c r="X19" s="2800"/>
      <c r="Y19" s="2800"/>
      <c r="Z19" s="2800"/>
      <c r="AA19" s="2800"/>
      <c r="AB19" s="2800"/>
      <c r="AC19" s="2800"/>
      <c r="AD19" s="2800"/>
      <c r="AE19" s="2800"/>
      <c r="AF19" s="2800"/>
      <c r="AG19" s="2800"/>
      <c r="AH19" s="2800"/>
      <c r="AI19" s="2800"/>
      <c r="AJ19" s="2800"/>
      <c r="AK19" s="2800"/>
      <c r="AL19" s="2800"/>
      <c r="AM19" s="2800"/>
      <c r="AN19" s="2800"/>
      <c r="AO19" s="2800"/>
      <c r="AP19" s="2800"/>
      <c r="AQ19" s="2800"/>
      <c r="AR19" s="2800"/>
      <c r="AS19" s="2800"/>
      <c r="AT19" s="2800"/>
      <c r="AU19" s="2800"/>
      <c r="AV19" s="2800"/>
    </row>
    <row r="20" spans="1:48" s="2801" customFormat="1" ht="18.75" hidden="1" customHeight="1">
      <c r="A20" s="2830">
        <v>40492</v>
      </c>
      <c r="B20" s="2824">
        <v>4594</v>
      </c>
      <c r="C20" s="2811">
        <v>4636</v>
      </c>
      <c r="D20" s="2811">
        <f>E20-C20-B20</f>
        <v>65831</v>
      </c>
      <c r="E20" s="2828">
        <v>75061</v>
      </c>
      <c r="F20" s="2819">
        <v>1024</v>
      </c>
      <c r="G20" s="2827">
        <v>0.1</v>
      </c>
      <c r="H20" s="2816">
        <f t="shared" si="0"/>
        <v>76085.100000000006</v>
      </c>
      <c r="I20" s="2815">
        <f>H20/30.4308</f>
        <v>2500.2661776883947</v>
      </c>
      <c r="J20" s="2815"/>
      <c r="K20" s="2800"/>
      <c r="L20" s="2800"/>
      <c r="M20" s="2800"/>
      <c r="N20" s="2800"/>
      <c r="O20" s="2800"/>
      <c r="P20" s="2800"/>
      <c r="Q20" s="2800"/>
      <c r="R20" s="2800"/>
      <c r="S20" s="2800"/>
      <c r="T20" s="2800"/>
      <c r="U20" s="2800"/>
      <c r="V20" s="2800"/>
      <c r="W20" s="2800"/>
      <c r="X20" s="2800"/>
      <c r="Y20" s="2800"/>
      <c r="Z20" s="2800"/>
      <c r="AA20" s="2800"/>
      <c r="AB20" s="2800"/>
      <c r="AC20" s="2800"/>
      <c r="AD20" s="2800"/>
      <c r="AE20" s="2800"/>
      <c r="AF20" s="2800"/>
      <c r="AG20" s="2800"/>
      <c r="AH20" s="2800"/>
      <c r="AI20" s="2800"/>
      <c r="AJ20" s="2800"/>
      <c r="AK20" s="2800"/>
      <c r="AL20" s="2800"/>
      <c r="AM20" s="2800"/>
      <c r="AN20" s="2800"/>
      <c r="AO20" s="2800"/>
      <c r="AP20" s="2800"/>
      <c r="AQ20" s="2800"/>
      <c r="AR20" s="2800"/>
      <c r="AS20" s="2800"/>
      <c r="AT20" s="2800"/>
      <c r="AU20" s="2800"/>
      <c r="AV20" s="2800"/>
    </row>
    <row r="21" spans="1:48" s="2801" customFormat="1" ht="18.75" hidden="1" customHeight="1">
      <c r="A21" s="2830">
        <v>40522</v>
      </c>
      <c r="B21" s="2831">
        <v>4850</v>
      </c>
      <c r="C21" s="2811">
        <v>4675</v>
      </c>
      <c r="D21" s="2811">
        <v>68506</v>
      </c>
      <c r="E21" s="2832">
        <v>78031</v>
      </c>
      <c r="F21" s="2810">
        <v>1033</v>
      </c>
      <c r="G21" s="2814">
        <v>0.1</v>
      </c>
      <c r="H21" s="2816">
        <f t="shared" si="0"/>
        <v>79064.100000000006</v>
      </c>
      <c r="I21" s="2816">
        <f>H21/30.3908</f>
        <v>2601.5800834463066</v>
      </c>
      <c r="J21" s="2816"/>
      <c r="K21" s="2800"/>
      <c r="L21" s="2800"/>
      <c r="M21" s="2800"/>
      <c r="N21" s="2800"/>
      <c r="O21" s="2800"/>
      <c r="P21" s="2800"/>
      <c r="Q21" s="2800"/>
      <c r="R21" s="2800"/>
      <c r="S21" s="2800"/>
      <c r="T21" s="2800"/>
      <c r="U21" s="2800"/>
      <c r="V21" s="2800"/>
      <c r="W21" s="2800"/>
      <c r="X21" s="2800"/>
      <c r="Y21" s="2800"/>
      <c r="Z21" s="2800"/>
      <c r="AA21" s="2800"/>
      <c r="AB21" s="2800"/>
      <c r="AC21" s="2800"/>
      <c r="AD21" s="2800"/>
      <c r="AE21" s="2800"/>
      <c r="AF21" s="2800"/>
      <c r="AG21" s="2800"/>
      <c r="AH21" s="2800"/>
      <c r="AI21" s="2800"/>
      <c r="AJ21" s="2800"/>
      <c r="AK21" s="2800"/>
      <c r="AL21" s="2800"/>
      <c r="AM21" s="2800"/>
      <c r="AN21" s="2800"/>
      <c r="AO21" s="2800"/>
      <c r="AP21" s="2800"/>
      <c r="AQ21" s="2800"/>
      <c r="AR21" s="2800"/>
      <c r="AS21" s="2800"/>
      <c r="AT21" s="2800"/>
      <c r="AU21" s="2800"/>
      <c r="AV21" s="2800"/>
    </row>
    <row r="22" spans="1:48" s="2801" customFormat="1" ht="18.75" hidden="1" customHeight="1">
      <c r="A22" s="2830">
        <v>40554</v>
      </c>
      <c r="B22" s="2831">
        <v>4453</v>
      </c>
      <c r="C22" s="2811">
        <v>4604</v>
      </c>
      <c r="D22" s="2811">
        <v>65545</v>
      </c>
      <c r="E22" s="2832">
        <f>B22+C22+D22</f>
        <v>74602</v>
      </c>
      <c r="F22" s="2810">
        <v>1200</v>
      </c>
      <c r="G22" s="2814">
        <v>0.2</v>
      </c>
      <c r="H22" s="2816">
        <f t="shared" si="0"/>
        <v>75802.2</v>
      </c>
      <c r="I22" s="2816">
        <f>H22/29.4799</f>
        <v>2571.3180845253883</v>
      </c>
      <c r="J22" s="2816">
        <v>4.2705464788732392</v>
      </c>
      <c r="K22" s="2800"/>
      <c r="L22" s="2800"/>
      <c r="M22" s="2800"/>
      <c r="N22" s="2800"/>
      <c r="O22" s="2800"/>
      <c r="P22" s="2800"/>
      <c r="Q22" s="2800"/>
      <c r="R22" s="2800"/>
      <c r="S22" s="2800"/>
      <c r="T22" s="2800"/>
      <c r="U22" s="2800"/>
      <c r="V22" s="2800"/>
      <c r="W22" s="2800"/>
      <c r="X22" s="2800"/>
      <c r="Y22" s="2800"/>
      <c r="Z22" s="2800"/>
      <c r="AA22" s="2800"/>
      <c r="AB22" s="2800"/>
      <c r="AC22" s="2800"/>
      <c r="AD22" s="2800"/>
      <c r="AE22" s="2800"/>
      <c r="AF22" s="2800"/>
      <c r="AG22" s="2800"/>
      <c r="AH22" s="2800"/>
      <c r="AI22" s="2800"/>
      <c r="AJ22" s="2800"/>
      <c r="AK22" s="2800"/>
      <c r="AL22" s="2800"/>
      <c r="AM22" s="2800"/>
      <c r="AN22" s="2800"/>
      <c r="AO22" s="2800"/>
      <c r="AP22" s="2800"/>
      <c r="AQ22" s="2800"/>
      <c r="AR22" s="2800"/>
      <c r="AS22" s="2800"/>
      <c r="AT22" s="2800"/>
      <c r="AU22" s="2800"/>
      <c r="AV22" s="2800"/>
    </row>
    <row r="23" spans="1:48" s="2801" customFormat="1" ht="24" hidden="1" customHeight="1">
      <c r="A23" s="2830">
        <v>40585</v>
      </c>
      <c r="B23" s="2831">
        <v>4676</v>
      </c>
      <c r="C23" s="2811">
        <v>4583</v>
      </c>
      <c r="D23" s="2811">
        <v>65321</v>
      </c>
      <c r="E23" s="2832">
        <f t="shared" ref="E23:E33" si="1">B23+C23+D23</f>
        <v>74580</v>
      </c>
      <c r="F23" s="2810">
        <v>1199</v>
      </c>
      <c r="G23" s="2814">
        <v>0.1</v>
      </c>
      <c r="H23" s="2816">
        <f t="shared" si="0"/>
        <v>75779.100000000006</v>
      </c>
      <c r="I23" s="2816">
        <f>H23/29.2492</f>
        <v>2590.8093212805825</v>
      </c>
      <c r="J23" s="2816">
        <v>4.2692450704225351</v>
      </c>
      <c r="K23" s="2800"/>
      <c r="L23" s="2800"/>
      <c r="M23" s="2800"/>
      <c r="N23" s="2800"/>
      <c r="O23" s="2800"/>
      <c r="P23" s="2800"/>
      <c r="Q23" s="2800"/>
      <c r="R23" s="2800"/>
      <c r="S23" s="2800"/>
      <c r="T23" s="2800"/>
      <c r="U23" s="2800"/>
      <c r="V23" s="2800"/>
      <c r="W23" s="2800"/>
      <c r="X23" s="2800"/>
      <c r="Y23" s="2800"/>
      <c r="Z23" s="2800"/>
      <c r="AA23" s="2800"/>
      <c r="AB23" s="2800"/>
      <c r="AC23" s="2800"/>
      <c r="AD23" s="2800"/>
      <c r="AE23" s="2800"/>
      <c r="AF23" s="2800"/>
      <c r="AG23" s="2800"/>
      <c r="AH23" s="2800"/>
      <c r="AI23" s="2800"/>
      <c r="AJ23" s="2800"/>
      <c r="AK23" s="2800"/>
      <c r="AL23" s="2800"/>
      <c r="AM23" s="2800"/>
      <c r="AN23" s="2800"/>
      <c r="AO23" s="2800"/>
      <c r="AP23" s="2800"/>
      <c r="AQ23" s="2800"/>
      <c r="AR23" s="2800"/>
      <c r="AS23" s="2800"/>
      <c r="AT23" s="2800"/>
      <c r="AU23" s="2800"/>
      <c r="AV23" s="2800"/>
    </row>
    <row r="24" spans="1:48" s="2801" customFormat="1" ht="24" hidden="1" customHeight="1">
      <c r="A24" s="2830">
        <v>40613</v>
      </c>
      <c r="B24" s="2824">
        <v>4586</v>
      </c>
      <c r="C24" s="2822">
        <v>4475</v>
      </c>
      <c r="D24" s="2811">
        <v>67264</v>
      </c>
      <c r="E24" s="2832">
        <f t="shared" si="1"/>
        <v>76325</v>
      </c>
      <c r="F24" s="2822">
        <v>1172</v>
      </c>
      <c r="G24" s="2814">
        <v>0.1</v>
      </c>
      <c r="H24" s="2833">
        <f t="shared" si="0"/>
        <v>77497.100000000006</v>
      </c>
      <c r="I24" s="2816">
        <f>H24/28.3805</f>
        <v>2730.646042176847</v>
      </c>
      <c r="J24" s="2816">
        <v>4.3660338028169017</v>
      </c>
      <c r="K24" s="2800"/>
      <c r="L24" s="2800"/>
      <c r="M24" s="2800"/>
      <c r="N24" s="2800"/>
      <c r="O24" s="2800"/>
      <c r="P24" s="2800"/>
      <c r="Q24" s="2800"/>
      <c r="R24" s="2800"/>
      <c r="S24" s="2800"/>
      <c r="T24" s="2800"/>
      <c r="U24" s="2800"/>
      <c r="V24" s="2800"/>
      <c r="W24" s="2800"/>
      <c r="X24" s="2800"/>
      <c r="Y24" s="2800"/>
      <c r="Z24" s="2800"/>
      <c r="AA24" s="2800"/>
      <c r="AB24" s="2800"/>
      <c r="AC24" s="2800"/>
      <c r="AD24" s="2800"/>
      <c r="AE24" s="2800"/>
      <c r="AF24" s="2800"/>
      <c r="AG24" s="2800"/>
      <c r="AH24" s="2800"/>
      <c r="AI24" s="2800"/>
      <c r="AJ24" s="2800"/>
      <c r="AK24" s="2800"/>
      <c r="AL24" s="2800"/>
      <c r="AM24" s="2800"/>
      <c r="AN24" s="2800"/>
      <c r="AO24" s="2800"/>
      <c r="AP24" s="2800"/>
      <c r="AQ24" s="2800"/>
      <c r="AR24" s="2800"/>
      <c r="AS24" s="2800"/>
      <c r="AT24" s="2800"/>
      <c r="AU24" s="2800"/>
      <c r="AV24" s="2800"/>
    </row>
    <row r="25" spans="1:48" s="2801" customFormat="1" ht="24" hidden="1" customHeight="1">
      <c r="A25" s="2830">
        <v>40644</v>
      </c>
      <c r="B25" s="2831">
        <v>4758</v>
      </c>
      <c r="C25" s="2811">
        <v>4429</v>
      </c>
      <c r="D25" s="2811">
        <v>66475</v>
      </c>
      <c r="E25" s="2832">
        <f t="shared" si="1"/>
        <v>75662</v>
      </c>
      <c r="F25" s="2810">
        <v>1159</v>
      </c>
      <c r="G25" s="2814">
        <v>0.2</v>
      </c>
      <c r="H25" s="2816">
        <f t="shared" si="0"/>
        <v>76821.2</v>
      </c>
      <c r="I25" s="2816">
        <f>H25/27.3973</f>
        <v>2803.9697342438849</v>
      </c>
      <c r="J25" s="2816">
        <v>4.3279549295774649</v>
      </c>
      <c r="K25" s="2800"/>
      <c r="L25" s="2800"/>
      <c r="M25" s="2800"/>
      <c r="N25" s="2800"/>
      <c r="O25" s="2800"/>
      <c r="P25" s="2800"/>
      <c r="Q25" s="2800"/>
      <c r="R25" s="2800"/>
      <c r="S25" s="2800"/>
      <c r="T25" s="2800"/>
      <c r="U25" s="2800"/>
      <c r="V25" s="2800"/>
      <c r="W25" s="2800"/>
      <c r="X25" s="2800"/>
      <c r="Y25" s="2800"/>
      <c r="Z25" s="2800"/>
      <c r="AA25" s="2800"/>
      <c r="AB25" s="2800"/>
      <c r="AC25" s="2800"/>
      <c r="AD25" s="2800"/>
      <c r="AE25" s="2800"/>
      <c r="AF25" s="2800"/>
      <c r="AG25" s="2800"/>
      <c r="AH25" s="2800"/>
      <c r="AI25" s="2800"/>
      <c r="AJ25" s="2800"/>
      <c r="AK25" s="2800"/>
      <c r="AL25" s="2800"/>
      <c r="AM25" s="2800"/>
      <c r="AN25" s="2800"/>
      <c r="AO25" s="2800"/>
      <c r="AP25" s="2800"/>
      <c r="AQ25" s="2800"/>
      <c r="AR25" s="2800"/>
      <c r="AS25" s="2800"/>
      <c r="AT25" s="2800"/>
      <c r="AU25" s="2800"/>
      <c r="AV25" s="2800"/>
    </row>
    <row r="26" spans="1:48" s="2801" customFormat="1" ht="24" hidden="1" customHeight="1">
      <c r="A26" s="2830">
        <v>40674</v>
      </c>
      <c r="B26" s="2831">
        <v>4890</v>
      </c>
      <c r="C26" s="2811">
        <v>4466</v>
      </c>
      <c r="D26" s="2811">
        <v>67861</v>
      </c>
      <c r="E26" s="2832">
        <f t="shared" si="1"/>
        <v>77217</v>
      </c>
      <c r="F26" s="2810">
        <v>1236</v>
      </c>
      <c r="G26" s="2814">
        <v>0.1</v>
      </c>
      <c r="H26" s="2816">
        <f t="shared" si="0"/>
        <v>78453.100000000006</v>
      </c>
      <c r="I26" s="2816">
        <f>H26/28.0719</f>
        <v>2794.7199868908056</v>
      </c>
      <c r="J26" s="2816">
        <v>4.4198929577464794</v>
      </c>
      <c r="K26" s="2800"/>
      <c r="L26" s="2800"/>
      <c r="M26" s="2800"/>
      <c r="N26" s="2800"/>
      <c r="O26" s="2800"/>
      <c r="P26" s="2800"/>
      <c r="Q26" s="2800"/>
      <c r="R26" s="2800"/>
      <c r="S26" s="2800"/>
      <c r="T26" s="2800"/>
      <c r="U26" s="2800"/>
      <c r="V26" s="2800"/>
      <c r="W26" s="2800"/>
      <c r="X26" s="2800"/>
      <c r="Y26" s="2800"/>
      <c r="Z26" s="2800"/>
      <c r="AA26" s="2800"/>
      <c r="AB26" s="2800"/>
      <c r="AC26" s="2800"/>
      <c r="AD26" s="2800"/>
      <c r="AE26" s="2800"/>
      <c r="AF26" s="2800"/>
      <c r="AG26" s="2800"/>
      <c r="AH26" s="2800"/>
      <c r="AI26" s="2800"/>
      <c r="AJ26" s="2800"/>
      <c r="AK26" s="2800"/>
      <c r="AL26" s="2800"/>
      <c r="AM26" s="2800"/>
      <c r="AN26" s="2800"/>
      <c r="AO26" s="2800"/>
      <c r="AP26" s="2800"/>
      <c r="AQ26" s="2800"/>
      <c r="AR26" s="2800"/>
      <c r="AS26" s="2800"/>
      <c r="AT26" s="2800"/>
      <c r="AU26" s="2800"/>
      <c r="AV26" s="2800"/>
    </row>
    <row r="27" spans="1:48" s="2801" customFormat="1" ht="24" hidden="1" customHeight="1">
      <c r="A27" s="2830">
        <v>40695</v>
      </c>
      <c r="B27" s="2831">
        <v>4861</v>
      </c>
      <c r="C27" s="2811">
        <v>4541</v>
      </c>
      <c r="D27" s="2811">
        <v>70852</v>
      </c>
      <c r="E27" s="2832">
        <f t="shared" si="1"/>
        <v>80254</v>
      </c>
      <c r="F27" s="2810">
        <v>1253</v>
      </c>
      <c r="G27" s="2814">
        <v>0.1</v>
      </c>
      <c r="H27" s="2816">
        <f t="shared" si="0"/>
        <v>81507.100000000006</v>
      </c>
      <c r="I27" s="2816">
        <f>H27/28.4684</f>
        <v>2863.0727403015276</v>
      </c>
      <c r="J27" s="2816">
        <v>4.5919492957746479</v>
      </c>
      <c r="K27" s="2800"/>
      <c r="L27" s="2800"/>
      <c r="M27" s="2800"/>
      <c r="N27" s="2800"/>
      <c r="O27" s="2800"/>
      <c r="P27" s="2800"/>
      <c r="Q27" s="2800"/>
      <c r="R27" s="2800"/>
      <c r="S27" s="2800"/>
      <c r="T27" s="2800"/>
      <c r="U27" s="2800"/>
      <c r="V27" s="2800"/>
      <c r="W27" s="2800"/>
      <c r="X27" s="2800"/>
      <c r="Y27" s="2800"/>
      <c r="Z27" s="2800"/>
      <c r="AA27" s="2800"/>
      <c r="AB27" s="2800"/>
      <c r="AC27" s="2800"/>
      <c r="AD27" s="2800"/>
      <c r="AE27" s="2800"/>
      <c r="AF27" s="2800"/>
      <c r="AG27" s="2800"/>
      <c r="AH27" s="2800"/>
      <c r="AI27" s="2800"/>
      <c r="AJ27" s="2800"/>
      <c r="AK27" s="2800"/>
      <c r="AL27" s="2800"/>
      <c r="AM27" s="2800"/>
      <c r="AN27" s="2800"/>
      <c r="AO27" s="2800"/>
      <c r="AP27" s="2800"/>
      <c r="AQ27" s="2800"/>
      <c r="AR27" s="2800"/>
      <c r="AS27" s="2800"/>
      <c r="AT27" s="2800"/>
      <c r="AU27" s="2800"/>
      <c r="AV27" s="2800"/>
    </row>
    <row r="28" spans="1:48" s="2801" customFormat="1" ht="24" hidden="1" customHeight="1">
      <c r="A28" s="2830">
        <v>40725</v>
      </c>
      <c r="B28" s="2831">
        <v>5075</v>
      </c>
      <c r="C28" s="2811">
        <v>4442</v>
      </c>
      <c r="D28" s="2811">
        <v>69531</v>
      </c>
      <c r="E28" s="2832">
        <f t="shared" si="1"/>
        <v>79048</v>
      </c>
      <c r="F28" s="2810">
        <v>1268</v>
      </c>
      <c r="G28" s="2814">
        <v>0.1</v>
      </c>
      <c r="H28" s="2816">
        <f t="shared" si="0"/>
        <v>80316.100000000006</v>
      </c>
      <c r="I28" s="2816">
        <f>H28/27.781</f>
        <v>2891.0442388682918</v>
      </c>
      <c r="J28" s="2816">
        <v>4.5248507042253525</v>
      </c>
      <c r="K28" s="2800"/>
      <c r="L28" s="2800"/>
      <c r="M28" s="2800"/>
      <c r="N28" s="2800"/>
      <c r="O28" s="2800"/>
      <c r="P28" s="2800"/>
      <c r="Q28" s="2800"/>
      <c r="R28" s="2800"/>
      <c r="S28" s="2800"/>
      <c r="T28" s="2800"/>
      <c r="U28" s="2800"/>
      <c r="V28" s="2800"/>
      <c r="W28" s="2800"/>
      <c r="X28" s="2800"/>
      <c r="Y28" s="2800"/>
      <c r="Z28" s="2800"/>
      <c r="AA28" s="2800"/>
      <c r="AB28" s="2800"/>
      <c r="AC28" s="2800"/>
      <c r="AD28" s="2800"/>
      <c r="AE28" s="2800"/>
      <c r="AF28" s="2800"/>
      <c r="AG28" s="2800"/>
      <c r="AH28" s="2800"/>
      <c r="AI28" s="2800"/>
      <c r="AJ28" s="2800"/>
      <c r="AK28" s="2800"/>
      <c r="AL28" s="2800"/>
      <c r="AM28" s="2800"/>
      <c r="AN28" s="2800"/>
      <c r="AO28" s="2800"/>
      <c r="AP28" s="2800"/>
      <c r="AQ28" s="2800"/>
      <c r="AR28" s="2800"/>
      <c r="AS28" s="2800"/>
      <c r="AT28" s="2800"/>
      <c r="AU28" s="2800"/>
      <c r="AV28" s="2800"/>
    </row>
    <row r="29" spans="1:48" s="2801" customFormat="1" ht="0.75" hidden="1" customHeight="1">
      <c r="A29" s="2830">
        <v>40756</v>
      </c>
      <c r="B29" s="2831">
        <v>5668</v>
      </c>
      <c r="C29" s="2811">
        <v>4497</v>
      </c>
      <c r="D29" s="2811">
        <v>69331</v>
      </c>
      <c r="E29" s="2832">
        <f t="shared" si="1"/>
        <v>79496</v>
      </c>
      <c r="F29" s="2810">
        <v>1282</v>
      </c>
      <c r="G29" s="2814">
        <v>0.2</v>
      </c>
      <c r="H29" s="2816">
        <f t="shared" si="0"/>
        <v>80778.2</v>
      </c>
      <c r="I29" s="2816">
        <f>H29/27.919</f>
        <v>2893.3056341559509</v>
      </c>
      <c r="J29" s="2816">
        <v>4.5508845070422534</v>
      </c>
      <c r="K29" s="2800"/>
      <c r="L29" s="2800"/>
      <c r="M29" s="2800"/>
      <c r="N29" s="2800"/>
      <c r="O29" s="2800"/>
      <c r="P29" s="2800"/>
      <c r="Q29" s="2800"/>
      <c r="R29" s="2800"/>
      <c r="S29" s="2800"/>
      <c r="T29" s="2800"/>
      <c r="U29" s="2800"/>
      <c r="V29" s="2800"/>
      <c r="W29" s="2800"/>
      <c r="X29" s="2800"/>
      <c r="Y29" s="2800"/>
      <c r="Z29" s="2800"/>
      <c r="AA29" s="2800"/>
      <c r="AB29" s="2800"/>
      <c r="AC29" s="2800"/>
      <c r="AD29" s="2800"/>
      <c r="AE29" s="2800"/>
      <c r="AF29" s="2800"/>
      <c r="AG29" s="2800"/>
      <c r="AH29" s="2800"/>
      <c r="AI29" s="2800"/>
      <c r="AJ29" s="2800"/>
      <c r="AK29" s="2800"/>
      <c r="AL29" s="2800"/>
      <c r="AM29" s="2800"/>
      <c r="AN29" s="2800"/>
      <c r="AO29" s="2800"/>
      <c r="AP29" s="2800"/>
      <c r="AQ29" s="2800"/>
      <c r="AR29" s="2800"/>
      <c r="AS29" s="2800"/>
      <c r="AT29" s="2800"/>
      <c r="AU29" s="2800"/>
      <c r="AV29" s="2800"/>
    </row>
    <row r="30" spans="1:48" s="2801" customFormat="1" ht="24" hidden="1" customHeight="1">
      <c r="A30" s="2830">
        <v>40787</v>
      </c>
      <c r="B30" s="2834">
        <v>5942</v>
      </c>
      <c r="C30" s="2811">
        <v>4544</v>
      </c>
      <c r="D30" s="2811">
        <v>68208</v>
      </c>
      <c r="E30" s="2832">
        <f t="shared" si="1"/>
        <v>78694</v>
      </c>
      <c r="F30" s="2810">
        <v>1366</v>
      </c>
      <c r="G30" s="2814">
        <v>0.1</v>
      </c>
      <c r="H30" s="2816">
        <f t="shared" si="0"/>
        <v>80060.100000000006</v>
      </c>
      <c r="I30" s="2815">
        <f>H30/29.0268</f>
        <v>2758.1441977758486</v>
      </c>
      <c r="J30" s="2816">
        <v>4.5104281690140846</v>
      </c>
      <c r="K30" s="2800"/>
      <c r="L30" s="2800"/>
      <c r="M30" s="2800"/>
      <c r="N30" s="2800"/>
      <c r="O30" s="2800"/>
      <c r="P30" s="2800"/>
      <c r="Q30" s="2800"/>
      <c r="R30" s="2800"/>
      <c r="S30" s="2800"/>
      <c r="T30" s="2800"/>
      <c r="U30" s="2800"/>
      <c r="V30" s="2800"/>
      <c r="W30" s="2800"/>
      <c r="X30" s="2800"/>
      <c r="Y30" s="2800"/>
      <c r="Z30" s="2800"/>
      <c r="AA30" s="2800"/>
      <c r="AB30" s="2800"/>
      <c r="AC30" s="2800"/>
      <c r="AD30" s="2800"/>
      <c r="AE30" s="2800"/>
      <c r="AF30" s="2800"/>
      <c r="AG30" s="2800"/>
      <c r="AH30" s="2800"/>
      <c r="AI30" s="2800"/>
      <c r="AJ30" s="2800"/>
      <c r="AK30" s="2800"/>
      <c r="AL30" s="2800"/>
      <c r="AM30" s="2800"/>
      <c r="AN30" s="2800"/>
      <c r="AO30" s="2800"/>
      <c r="AP30" s="2800"/>
      <c r="AQ30" s="2800"/>
      <c r="AR30" s="2800"/>
      <c r="AS30" s="2800"/>
      <c r="AT30" s="2800"/>
      <c r="AU30" s="2800"/>
      <c r="AV30" s="2800"/>
    </row>
    <row r="31" spans="1:48" s="2801" customFormat="1" ht="24" hidden="1" customHeight="1">
      <c r="A31" s="2830">
        <v>40817</v>
      </c>
      <c r="B31" s="2834">
        <v>6206</v>
      </c>
      <c r="C31" s="2811">
        <v>4588</v>
      </c>
      <c r="D31" s="2811">
        <v>70437</v>
      </c>
      <c r="E31" s="2832">
        <f t="shared" si="1"/>
        <v>81231</v>
      </c>
      <c r="F31" s="2810">
        <v>1375</v>
      </c>
      <c r="G31" s="2814">
        <v>0.1</v>
      </c>
      <c r="H31" s="2816">
        <f t="shared" si="0"/>
        <v>82606.100000000006</v>
      </c>
      <c r="I31" s="2815">
        <f>H31/28.7684</f>
        <v>2871.4179446893122</v>
      </c>
      <c r="J31" s="2816">
        <v>4.6538647887323945</v>
      </c>
      <c r="K31" s="2800"/>
      <c r="L31" s="2800"/>
      <c r="M31" s="2800"/>
      <c r="N31" s="2800"/>
      <c r="O31" s="2800"/>
      <c r="P31" s="2800"/>
      <c r="Q31" s="2800"/>
      <c r="R31" s="2800"/>
      <c r="S31" s="2800"/>
      <c r="T31" s="2800"/>
      <c r="U31" s="2800"/>
      <c r="V31" s="2800"/>
      <c r="W31" s="2800"/>
      <c r="X31" s="2800"/>
      <c r="Y31" s="2800"/>
      <c r="Z31" s="2800"/>
      <c r="AA31" s="2800"/>
      <c r="AB31" s="2800"/>
      <c r="AC31" s="2800"/>
      <c r="AD31" s="2800"/>
      <c r="AE31" s="2800"/>
      <c r="AF31" s="2800"/>
      <c r="AG31" s="2800"/>
      <c r="AH31" s="2800"/>
      <c r="AI31" s="2800"/>
      <c r="AJ31" s="2800"/>
      <c r="AK31" s="2800"/>
      <c r="AL31" s="2800"/>
      <c r="AM31" s="2800"/>
      <c r="AN31" s="2800"/>
      <c r="AO31" s="2800"/>
      <c r="AP31" s="2800"/>
      <c r="AQ31" s="2800"/>
      <c r="AR31" s="2800"/>
      <c r="AS31" s="2800"/>
      <c r="AT31" s="2800"/>
      <c r="AU31" s="2800"/>
      <c r="AV31" s="2800"/>
    </row>
    <row r="32" spans="1:48" s="2801" customFormat="1" ht="24" hidden="1" customHeight="1">
      <c r="A32" s="2830">
        <v>40848</v>
      </c>
      <c r="B32" s="2834">
        <v>6299</v>
      </c>
      <c r="C32" s="2811">
        <v>4548</v>
      </c>
      <c r="D32" s="2811">
        <v>66783</v>
      </c>
      <c r="E32" s="2832">
        <f t="shared" si="1"/>
        <v>77630</v>
      </c>
      <c r="F32" s="2810">
        <v>1369</v>
      </c>
      <c r="G32" s="2814">
        <v>0.2</v>
      </c>
      <c r="H32" s="2816">
        <f t="shared" si="0"/>
        <v>78999.199999999997</v>
      </c>
      <c r="I32" s="2815">
        <f>H32/29.2762</f>
        <v>2698.4103128138213</v>
      </c>
      <c r="J32" s="2816">
        <v>4.4506591549295775</v>
      </c>
      <c r="K32" s="2800"/>
      <c r="L32" s="2800"/>
      <c r="M32" s="2800"/>
      <c r="N32" s="2800"/>
      <c r="O32" s="2800"/>
      <c r="P32" s="2800"/>
      <c r="Q32" s="2800"/>
      <c r="R32" s="2800"/>
      <c r="S32" s="2800"/>
      <c r="T32" s="2800"/>
      <c r="U32" s="2800"/>
      <c r="V32" s="2800"/>
      <c r="W32" s="2800"/>
      <c r="X32" s="2800"/>
      <c r="Y32" s="2800"/>
      <c r="Z32" s="2800"/>
      <c r="AA32" s="2800"/>
      <c r="AB32" s="2800"/>
      <c r="AC32" s="2800"/>
      <c r="AD32" s="2800"/>
      <c r="AE32" s="2800"/>
      <c r="AF32" s="2800"/>
      <c r="AG32" s="2800"/>
      <c r="AH32" s="2800"/>
      <c r="AI32" s="2800"/>
      <c r="AJ32" s="2800"/>
      <c r="AK32" s="2800"/>
      <c r="AL32" s="2800"/>
      <c r="AM32" s="2800"/>
      <c r="AN32" s="2800"/>
      <c r="AO32" s="2800"/>
      <c r="AP32" s="2800"/>
      <c r="AQ32" s="2800"/>
      <c r="AR32" s="2800"/>
      <c r="AS32" s="2800"/>
      <c r="AT32" s="2800"/>
      <c r="AU32" s="2800"/>
      <c r="AV32" s="2800"/>
    </row>
    <row r="33" spans="1:48" s="2801" customFormat="1" ht="24" hidden="1" customHeight="1">
      <c r="A33" s="2830">
        <v>40878</v>
      </c>
      <c r="B33" s="2834">
        <v>5748</v>
      </c>
      <c r="C33" s="2811">
        <v>4484</v>
      </c>
      <c r="D33" s="2811">
        <v>69822</v>
      </c>
      <c r="E33" s="2832">
        <f t="shared" si="1"/>
        <v>80054</v>
      </c>
      <c r="F33" s="2810">
        <v>1420</v>
      </c>
      <c r="G33" s="2814">
        <v>0.2</v>
      </c>
      <c r="H33" s="2816">
        <f t="shared" si="0"/>
        <v>81474.2</v>
      </c>
      <c r="I33" s="2815">
        <f>H33/29.3262</f>
        <v>2778.205154435283</v>
      </c>
      <c r="J33" s="2816">
        <v>4.590095774647887</v>
      </c>
      <c r="K33" s="2800"/>
      <c r="L33" s="2800"/>
      <c r="M33" s="2800"/>
      <c r="N33" s="2800"/>
      <c r="O33" s="2800"/>
      <c r="P33" s="2800"/>
      <c r="Q33" s="2800"/>
      <c r="R33" s="2800"/>
      <c r="S33" s="2800"/>
      <c r="T33" s="2800"/>
      <c r="U33" s="2800"/>
      <c r="V33" s="2800"/>
      <c r="W33" s="2800"/>
      <c r="X33" s="2800"/>
      <c r="Y33" s="2800"/>
      <c r="Z33" s="2800"/>
      <c r="AA33" s="2800"/>
      <c r="AB33" s="2800"/>
      <c r="AC33" s="2800"/>
      <c r="AD33" s="2800"/>
      <c r="AE33" s="2800"/>
      <c r="AF33" s="2800"/>
      <c r="AG33" s="2800"/>
      <c r="AH33" s="2800"/>
      <c r="AI33" s="2800"/>
      <c r="AJ33" s="2800"/>
      <c r="AK33" s="2800"/>
      <c r="AL33" s="2800"/>
      <c r="AM33" s="2800"/>
      <c r="AN33" s="2800"/>
      <c r="AO33" s="2800"/>
      <c r="AP33" s="2800"/>
      <c r="AQ33" s="2800"/>
      <c r="AR33" s="2800"/>
      <c r="AS33" s="2800"/>
      <c r="AT33" s="2800"/>
      <c r="AU33" s="2800"/>
      <c r="AV33" s="2800"/>
    </row>
    <row r="34" spans="1:48" s="2801" customFormat="1" ht="24" hidden="1" customHeight="1">
      <c r="A34" s="2830">
        <v>40909</v>
      </c>
      <c r="B34" s="2834">
        <v>6382</v>
      </c>
      <c r="C34" s="2811">
        <v>4503</v>
      </c>
      <c r="D34" s="2811">
        <v>69112</v>
      </c>
      <c r="E34" s="2832">
        <v>79997</v>
      </c>
      <c r="F34" s="2810">
        <v>1425</v>
      </c>
      <c r="G34" s="2814">
        <v>0.2</v>
      </c>
      <c r="H34" s="2816">
        <f t="shared" si="0"/>
        <v>81422.2</v>
      </c>
      <c r="I34" s="2815">
        <f>H34/29.1257</f>
        <v>2795.5448281071358</v>
      </c>
      <c r="J34" s="2816">
        <v>4.3</v>
      </c>
      <c r="K34" s="2800"/>
      <c r="L34" s="2800"/>
      <c r="M34" s="2800"/>
      <c r="N34" s="2800"/>
      <c r="O34" s="2800"/>
      <c r="P34" s="2800"/>
      <c r="Q34" s="2800"/>
      <c r="R34" s="2800"/>
      <c r="S34" s="2800"/>
      <c r="T34" s="2800"/>
      <c r="U34" s="2800"/>
      <c r="V34" s="2800"/>
      <c r="W34" s="2800"/>
      <c r="X34" s="2800"/>
      <c r="Y34" s="2800"/>
      <c r="Z34" s="2800"/>
      <c r="AA34" s="2800"/>
      <c r="AB34" s="2800"/>
      <c r="AC34" s="2800"/>
      <c r="AD34" s="2800"/>
      <c r="AE34" s="2800"/>
      <c r="AF34" s="2800"/>
      <c r="AG34" s="2800"/>
      <c r="AH34" s="2800"/>
      <c r="AI34" s="2800"/>
      <c r="AJ34" s="2800"/>
      <c r="AK34" s="2800"/>
      <c r="AL34" s="2800"/>
      <c r="AM34" s="2800"/>
      <c r="AN34" s="2800"/>
      <c r="AO34" s="2800"/>
      <c r="AP34" s="2800"/>
      <c r="AQ34" s="2800"/>
      <c r="AR34" s="2800"/>
      <c r="AS34" s="2800"/>
      <c r="AT34" s="2800"/>
      <c r="AU34" s="2800"/>
      <c r="AV34" s="2800"/>
    </row>
    <row r="35" spans="1:48" s="2801" customFormat="1" ht="24" hidden="1" customHeight="1">
      <c r="A35" s="2830">
        <v>40940</v>
      </c>
      <c r="B35" s="2834">
        <v>6458</v>
      </c>
      <c r="C35" s="2811">
        <v>4467</v>
      </c>
      <c r="D35" s="2811">
        <v>68981</v>
      </c>
      <c r="E35" s="2832">
        <v>79906</v>
      </c>
      <c r="F35" s="2810">
        <v>1443</v>
      </c>
      <c r="G35" s="2814">
        <v>0.2</v>
      </c>
      <c r="H35" s="2816">
        <f t="shared" si="0"/>
        <v>81349.2</v>
      </c>
      <c r="I35" s="2815">
        <f>H35/28.7562</f>
        <v>2828.9273269764431</v>
      </c>
      <c r="J35" s="2816">
        <v>4.3</v>
      </c>
      <c r="K35" s="2800"/>
      <c r="L35" s="2800"/>
      <c r="M35" s="2800"/>
      <c r="N35" s="2800"/>
      <c r="O35" s="2800"/>
      <c r="P35" s="2800"/>
      <c r="Q35" s="2800"/>
      <c r="R35" s="2800"/>
      <c r="S35" s="2800"/>
      <c r="T35" s="2800"/>
      <c r="U35" s="2800"/>
      <c r="V35" s="2800"/>
      <c r="W35" s="2800"/>
      <c r="X35" s="2800"/>
      <c r="Y35" s="2800"/>
      <c r="Z35" s="2800"/>
      <c r="AA35" s="2800"/>
      <c r="AB35" s="2800"/>
      <c r="AC35" s="2800"/>
      <c r="AD35" s="2800"/>
      <c r="AE35" s="2800"/>
      <c r="AF35" s="2800"/>
      <c r="AG35" s="2800"/>
      <c r="AH35" s="2800"/>
      <c r="AI35" s="2800"/>
      <c r="AJ35" s="2800"/>
      <c r="AK35" s="2800"/>
      <c r="AL35" s="2800"/>
      <c r="AM35" s="2800"/>
      <c r="AN35" s="2800"/>
      <c r="AO35" s="2800"/>
      <c r="AP35" s="2800"/>
      <c r="AQ35" s="2800"/>
      <c r="AR35" s="2800"/>
      <c r="AS35" s="2800"/>
      <c r="AT35" s="2800"/>
      <c r="AU35" s="2800"/>
      <c r="AV35" s="2800"/>
    </row>
    <row r="36" spans="1:48" s="2801" customFormat="1" ht="24" hidden="1" customHeight="1">
      <c r="A36" s="2830">
        <v>40969</v>
      </c>
      <c r="B36" s="2834">
        <v>6040</v>
      </c>
      <c r="C36" s="2811">
        <v>4459</v>
      </c>
      <c r="D36" s="2811">
        <v>68870</v>
      </c>
      <c r="E36" s="2832">
        <v>79369</v>
      </c>
      <c r="F36" s="2810">
        <v>1452</v>
      </c>
      <c r="G36" s="2814">
        <v>0.1</v>
      </c>
      <c r="H36" s="2816">
        <f t="shared" si="0"/>
        <v>80821.100000000006</v>
      </c>
      <c r="I36" s="2815">
        <v>2798.2</v>
      </c>
      <c r="J36" s="2816">
        <v>4.3</v>
      </c>
      <c r="K36" s="2800"/>
      <c r="L36" s="2800"/>
      <c r="M36" s="2800"/>
      <c r="N36" s="2800"/>
      <c r="O36" s="2800"/>
      <c r="P36" s="2800"/>
      <c r="Q36" s="2800"/>
      <c r="R36" s="2800"/>
      <c r="S36" s="2800"/>
      <c r="T36" s="2800"/>
      <c r="U36" s="2800"/>
      <c r="V36" s="2800"/>
      <c r="W36" s="2800"/>
      <c r="X36" s="2800"/>
      <c r="Y36" s="2800"/>
      <c r="Z36" s="2800"/>
      <c r="AA36" s="2800"/>
      <c r="AB36" s="2800"/>
      <c r="AC36" s="2800"/>
      <c r="AD36" s="2800"/>
      <c r="AE36" s="2800"/>
      <c r="AF36" s="2800"/>
      <c r="AG36" s="2800"/>
      <c r="AH36" s="2800"/>
      <c r="AI36" s="2800"/>
      <c r="AJ36" s="2800"/>
      <c r="AK36" s="2800"/>
      <c r="AL36" s="2800"/>
      <c r="AM36" s="2800"/>
      <c r="AN36" s="2800"/>
      <c r="AO36" s="2800"/>
      <c r="AP36" s="2800"/>
      <c r="AQ36" s="2800"/>
      <c r="AR36" s="2800"/>
      <c r="AS36" s="2800"/>
      <c r="AT36" s="2800"/>
      <c r="AU36" s="2800"/>
      <c r="AV36" s="2800"/>
    </row>
    <row r="37" spans="1:48" s="2801" customFormat="1" ht="24" hidden="1" customHeight="1">
      <c r="A37" s="2830">
        <v>41000</v>
      </c>
      <c r="B37" s="2834">
        <v>6079</v>
      </c>
      <c r="C37" s="2811">
        <v>4495</v>
      </c>
      <c r="D37" s="2811">
        <v>68421</v>
      </c>
      <c r="E37" s="2835">
        <v>78995</v>
      </c>
      <c r="F37" s="2810">
        <v>1462</v>
      </c>
      <c r="G37" s="2814">
        <v>0.1</v>
      </c>
      <c r="H37" s="2816">
        <v>80457.100000000006</v>
      </c>
      <c r="I37" s="2815">
        <v>2771.4</v>
      </c>
      <c r="J37" s="2816">
        <v>4.3</v>
      </c>
      <c r="K37" s="2800"/>
      <c r="L37" s="2800"/>
      <c r="M37" s="2800"/>
      <c r="N37" s="2800"/>
      <c r="O37" s="2800"/>
      <c r="P37" s="2800"/>
      <c r="Q37" s="2800"/>
      <c r="R37" s="2800"/>
      <c r="S37" s="2800"/>
      <c r="T37" s="2800"/>
      <c r="U37" s="2800"/>
      <c r="V37" s="2800"/>
      <c r="W37" s="2800"/>
      <c r="X37" s="2800"/>
      <c r="Y37" s="2800"/>
      <c r="Z37" s="2800"/>
      <c r="AA37" s="2800"/>
      <c r="AB37" s="2800"/>
      <c r="AC37" s="2800"/>
      <c r="AD37" s="2800"/>
      <c r="AE37" s="2800"/>
      <c r="AF37" s="2800"/>
      <c r="AG37" s="2800"/>
      <c r="AH37" s="2800"/>
      <c r="AI37" s="2800"/>
      <c r="AJ37" s="2800"/>
      <c r="AK37" s="2800"/>
      <c r="AL37" s="2800"/>
      <c r="AM37" s="2800"/>
      <c r="AN37" s="2800"/>
      <c r="AO37" s="2800"/>
      <c r="AP37" s="2800"/>
      <c r="AQ37" s="2800"/>
      <c r="AR37" s="2800"/>
      <c r="AS37" s="2800"/>
      <c r="AT37" s="2800"/>
      <c r="AU37" s="2800"/>
      <c r="AV37" s="2800"/>
    </row>
    <row r="38" spans="1:48" s="2801" customFormat="1" ht="24" hidden="1" customHeight="1">
      <c r="A38" s="2830">
        <v>41030</v>
      </c>
      <c r="B38" s="2834">
        <v>5875</v>
      </c>
      <c r="C38" s="2811">
        <v>4503</v>
      </c>
      <c r="D38" s="2811">
        <v>67703</v>
      </c>
      <c r="E38" s="2835">
        <v>78081</v>
      </c>
      <c r="F38" s="2810">
        <v>1463</v>
      </c>
      <c r="G38" s="2814">
        <v>0.2</v>
      </c>
      <c r="H38" s="2816">
        <f t="shared" ref="H38:H58" si="2">E38+F38+G38</f>
        <v>79544.2</v>
      </c>
      <c r="I38" s="2815">
        <v>2667.5</v>
      </c>
      <c r="J38" s="2816">
        <v>4.2</v>
      </c>
      <c r="K38" s="2800"/>
      <c r="L38" s="2800"/>
      <c r="M38" s="2800"/>
      <c r="N38" s="2800"/>
      <c r="O38" s="2800"/>
      <c r="P38" s="2800"/>
      <c r="Q38" s="2800"/>
      <c r="R38" s="2800"/>
      <c r="S38" s="2800"/>
      <c r="T38" s="2800"/>
      <c r="U38" s="2800"/>
      <c r="V38" s="2800"/>
      <c r="W38" s="2800"/>
      <c r="X38" s="2800"/>
      <c r="Y38" s="2800"/>
      <c r="Z38" s="2800"/>
      <c r="AA38" s="2800"/>
      <c r="AB38" s="2800"/>
      <c r="AC38" s="2800"/>
      <c r="AD38" s="2800"/>
      <c r="AE38" s="2800"/>
      <c r="AF38" s="2800"/>
      <c r="AG38" s="2800"/>
      <c r="AH38" s="2800"/>
      <c r="AI38" s="2800"/>
      <c r="AJ38" s="2800"/>
      <c r="AK38" s="2800"/>
      <c r="AL38" s="2800"/>
      <c r="AM38" s="2800"/>
      <c r="AN38" s="2800"/>
      <c r="AO38" s="2800"/>
      <c r="AP38" s="2800"/>
      <c r="AQ38" s="2800"/>
      <c r="AR38" s="2800"/>
      <c r="AS38" s="2800"/>
      <c r="AT38" s="2800"/>
      <c r="AU38" s="2800"/>
      <c r="AV38" s="2800"/>
    </row>
    <row r="39" spans="1:48" s="2801" customFormat="1" ht="1.5" hidden="1" customHeight="1">
      <c r="A39" s="2830">
        <v>41061</v>
      </c>
      <c r="B39" s="2834">
        <v>6118</v>
      </c>
      <c r="C39" s="2811">
        <v>4676</v>
      </c>
      <c r="D39" s="2811">
        <v>74295</v>
      </c>
      <c r="E39" s="2835">
        <v>85089</v>
      </c>
      <c r="F39" s="2810">
        <v>1582</v>
      </c>
      <c r="G39" s="2814">
        <v>0.1</v>
      </c>
      <c r="H39" s="2816">
        <f t="shared" si="2"/>
        <v>86671.1</v>
      </c>
      <c r="I39" s="2815">
        <v>2798</v>
      </c>
      <c r="J39" s="2816">
        <v>4.5999999999999996</v>
      </c>
      <c r="K39" s="2800"/>
      <c r="L39" s="2800"/>
      <c r="M39" s="2800"/>
      <c r="N39" s="2800"/>
      <c r="O39" s="2800"/>
      <c r="P39" s="2800"/>
      <c r="Q39" s="2800"/>
      <c r="R39" s="2800"/>
      <c r="S39" s="2800"/>
      <c r="T39" s="2800"/>
      <c r="U39" s="2800"/>
      <c r="V39" s="2800"/>
      <c r="W39" s="2800"/>
      <c r="X39" s="2800"/>
      <c r="Y39" s="2800"/>
      <c r="Z39" s="2800"/>
      <c r="AA39" s="2800"/>
      <c r="AB39" s="2800"/>
      <c r="AC39" s="2800"/>
      <c r="AD39" s="2800"/>
      <c r="AE39" s="2800"/>
      <c r="AF39" s="2800"/>
      <c r="AG39" s="2800"/>
      <c r="AH39" s="2800"/>
      <c r="AI39" s="2800"/>
      <c r="AJ39" s="2800"/>
      <c r="AK39" s="2800"/>
      <c r="AL39" s="2800"/>
      <c r="AM39" s="2800"/>
      <c r="AN39" s="2800"/>
      <c r="AO39" s="2800"/>
      <c r="AP39" s="2800"/>
      <c r="AQ39" s="2800"/>
      <c r="AR39" s="2800"/>
      <c r="AS39" s="2800"/>
      <c r="AT39" s="2800"/>
      <c r="AU39" s="2800"/>
      <c r="AV39" s="2800"/>
    </row>
    <row r="40" spans="1:48" s="2801" customFormat="1" ht="24" hidden="1" customHeight="1">
      <c r="A40" s="2830">
        <v>41091</v>
      </c>
      <c r="B40" s="2834">
        <v>6305</v>
      </c>
      <c r="C40" s="2811">
        <v>4654</v>
      </c>
      <c r="D40" s="2811">
        <v>75348</v>
      </c>
      <c r="E40" s="2835">
        <v>86307</v>
      </c>
      <c r="F40" s="2810">
        <v>1568</v>
      </c>
      <c r="G40" s="2814">
        <v>0.2</v>
      </c>
      <c r="H40" s="2816">
        <f t="shared" si="2"/>
        <v>87875.199999999997</v>
      </c>
      <c r="I40" s="2815">
        <v>2845.4</v>
      </c>
      <c r="J40" s="2816">
        <v>4.7</v>
      </c>
      <c r="K40" s="2800"/>
      <c r="L40" s="2800"/>
      <c r="M40" s="2800"/>
      <c r="N40" s="2800"/>
      <c r="O40" s="2800"/>
      <c r="P40" s="2800"/>
      <c r="Q40" s="2800"/>
      <c r="R40" s="2800"/>
      <c r="S40" s="2800"/>
      <c r="T40" s="2800"/>
      <c r="U40" s="2800"/>
      <c r="V40" s="2800"/>
      <c r="W40" s="2800"/>
      <c r="X40" s="2800"/>
      <c r="Y40" s="2800"/>
      <c r="Z40" s="2800"/>
      <c r="AA40" s="2800"/>
      <c r="AB40" s="2800"/>
      <c r="AC40" s="2800"/>
      <c r="AD40" s="2800"/>
      <c r="AE40" s="2800"/>
      <c r="AF40" s="2800"/>
      <c r="AG40" s="2800"/>
      <c r="AH40" s="2800"/>
      <c r="AI40" s="2800"/>
      <c r="AJ40" s="2800"/>
      <c r="AK40" s="2800"/>
      <c r="AL40" s="2800"/>
      <c r="AM40" s="2800"/>
      <c r="AN40" s="2800"/>
      <c r="AO40" s="2800"/>
      <c r="AP40" s="2800"/>
      <c r="AQ40" s="2800"/>
      <c r="AR40" s="2800"/>
      <c r="AS40" s="2800"/>
      <c r="AT40" s="2800"/>
      <c r="AU40" s="2800"/>
      <c r="AV40" s="2800"/>
    </row>
    <row r="41" spans="1:48" s="2801" customFormat="1" ht="24" hidden="1" customHeight="1">
      <c r="A41" s="2830">
        <v>41122</v>
      </c>
      <c r="B41" s="2834">
        <v>6361</v>
      </c>
      <c r="C41" s="2811">
        <v>4631</v>
      </c>
      <c r="D41" s="2811">
        <v>75754</v>
      </c>
      <c r="E41" s="2835">
        <v>86746</v>
      </c>
      <c r="F41" s="2810">
        <v>1561</v>
      </c>
      <c r="G41" s="2814">
        <v>0.2</v>
      </c>
      <c r="H41" s="2816">
        <f t="shared" si="2"/>
        <v>88307.199999999997</v>
      </c>
      <c r="I41" s="2815">
        <v>2897.9</v>
      </c>
      <c r="J41" s="2816">
        <v>4.7</v>
      </c>
      <c r="K41" s="2800"/>
      <c r="L41" s="2800"/>
      <c r="M41" s="2800"/>
      <c r="N41" s="2800"/>
      <c r="O41" s="2800"/>
      <c r="P41" s="2800"/>
      <c r="Q41" s="2800"/>
      <c r="R41" s="2800"/>
      <c r="S41" s="2800"/>
      <c r="T41" s="2800"/>
      <c r="U41" s="2800"/>
      <c r="V41" s="2800"/>
      <c r="W41" s="2800"/>
      <c r="X41" s="2800"/>
      <c r="Y41" s="2800"/>
      <c r="Z41" s="2800"/>
      <c r="AA41" s="2800"/>
      <c r="AB41" s="2800"/>
      <c r="AC41" s="2800"/>
      <c r="AD41" s="2800"/>
      <c r="AE41" s="2800"/>
      <c r="AF41" s="2800"/>
      <c r="AG41" s="2800"/>
      <c r="AH41" s="2800"/>
      <c r="AI41" s="2800"/>
      <c r="AJ41" s="2800"/>
      <c r="AK41" s="2800"/>
      <c r="AL41" s="2800"/>
      <c r="AM41" s="2800"/>
      <c r="AN41" s="2800"/>
      <c r="AO41" s="2800"/>
      <c r="AP41" s="2800"/>
      <c r="AQ41" s="2800"/>
      <c r="AR41" s="2800"/>
      <c r="AS41" s="2800"/>
      <c r="AT41" s="2800"/>
      <c r="AU41" s="2800"/>
      <c r="AV41" s="2800"/>
    </row>
    <row r="42" spans="1:48" s="2801" customFormat="1" ht="24" hidden="1" customHeight="1">
      <c r="A42" s="2830" t="s">
        <v>4153</v>
      </c>
      <c r="B42" s="2834">
        <v>6817</v>
      </c>
      <c r="C42" s="2811">
        <v>4685</v>
      </c>
      <c r="D42" s="2811">
        <v>76297</v>
      </c>
      <c r="E42" s="2835">
        <v>87799</v>
      </c>
      <c r="F42" s="2810">
        <v>1580</v>
      </c>
      <c r="G42" s="2814">
        <v>0.2</v>
      </c>
      <c r="H42" s="2816">
        <f t="shared" si="2"/>
        <v>89379.199999999997</v>
      </c>
      <c r="I42" s="2815">
        <v>2935.9</v>
      </c>
      <c r="J42" s="2816">
        <v>4.7</v>
      </c>
      <c r="K42" s="2800"/>
      <c r="L42" s="2800"/>
      <c r="M42" s="2800"/>
      <c r="N42" s="2800"/>
      <c r="O42" s="2800"/>
      <c r="P42" s="2800"/>
      <c r="Q42" s="2800"/>
      <c r="R42" s="2800"/>
      <c r="S42" s="2800"/>
      <c r="T42" s="2800"/>
      <c r="U42" s="2800"/>
      <c r="V42" s="2800"/>
      <c r="W42" s="2800"/>
      <c r="X42" s="2800"/>
      <c r="Y42" s="2800"/>
      <c r="Z42" s="2800"/>
      <c r="AA42" s="2800"/>
      <c r="AB42" s="2800"/>
      <c r="AC42" s="2800"/>
      <c r="AD42" s="2800"/>
      <c r="AE42" s="2800"/>
      <c r="AF42" s="2800"/>
      <c r="AG42" s="2800"/>
      <c r="AH42" s="2800"/>
      <c r="AI42" s="2800"/>
      <c r="AJ42" s="2800"/>
      <c r="AK42" s="2800"/>
      <c r="AL42" s="2800"/>
      <c r="AM42" s="2800"/>
      <c r="AN42" s="2800"/>
      <c r="AO42" s="2800"/>
      <c r="AP42" s="2800"/>
      <c r="AQ42" s="2800"/>
      <c r="AR42" s="2800"/>
      <c r="AS42" s="2800"/>
      <c r="AT42" s="2800"/>
      <c r="AU42" s="2800"/>
      <c r="AV42" s="2800"/>
    </row>
    <row r="43" spans="1:48" s="2801" customFormat="1" ht="24" hidden="1" customHeight="1">
      <c r="A43" s="2830">
        <v>41183</v>
      </c>
      <c r="B43" s="2834">
        <v>6689</v>
      </c>
      <c r="C43" s="2811">
        <v>4761</v>
      </c>
      <c r="D43" s="2811">
        <v>76522</v>
      </c>
      <c r="E43" s="2835">
        <v>87972</v>
      </c>
      <c r="F43" s="2810">
        <v>1606</v>
      </c>
      <c r="G43" s="2814">
        <v>0.1</v>
      </c>
      <c r="H43" s="2816">
        <f t="shared" si="2"/>
        <v>89578.1</v>
      </c>
      <c r="I43" s="2815">
        <v>2891.8</v>
      </c>
      <c r="J43" s="2816">
        <v>4.7</v>
      </c>
      <c r="K43" s="2800"/>
      <c r="L43" s="2800"/>
      <c r="M43" s="2800"/>
      <c r="N43" s="2800"/>
      <c r="O43" s="2800"/>
      <c r="P43" s="2800"/>
      <c r="Q43" s="2800"/>
      <c r="R43" s="2800"/>
      <c r="S43" s="2800"/>
      <c r="T43" s="2800"/>
      <c r="U43" s="2800"/>
      <c r="V43" s="2800"/>
      <c r="W43" s="2800"/>
      <c r="X43" s="2800"/>
      <c r="Y43" s="2800"/>
      <c r="Z43" s="2800"/>
      <c r="AA43" s="2800"/>
      <c r="AB43" s="2800"/>
      <c r="AC43" s="2800"/>
      <c r="AD43" s="2800"/>
      <c r="AE43" s="2800"/>
      <c r="AF43" s="2800"/>
      <c r="AG43" s="2800"/>
      <c r="AH43" s="2800"/>
      <c r="AI43" s="2800"/>
      <c r="AJ43" s="2800"/>
      <c r="AK43" s="2800"/>
      <c r="AL43" s="2800"/>
      <c r="AM43" s="2800"/>
      <c r="AN43" s="2800"/>
      <c r="AO43" s="2800"/>
      <c r="AP43" s="2800"/>
      <c r="AQ43" s="2800"/>
      <c r="AR43" s="2800"/>
      <c r="AS43" s="2800"/>
      <c r="AT43" s="2800"/>
      <c r="AU43" s="2800"/>
      <c r="AV43" s="2800"/>
    </row>
    <row r="44" spans="1:48" s="2801" customFormat="1" ht="24" hidden="1" customHeight="1">
      <c r="A44" s="2830">
        <v>41214</v>
      </c>
      <c r="B44" s="2834">
        <v>6694</v>
      </c>
      <c r="C44" s="2811">
        <v>4714</v>
      </c>
      <c r="D44" s="2811">
        <v>78955</v>
      </c>
      <c r="E44" s="2835">
        <v>90363</v>
      </c>
      <c r="F44" s="2810">
        <v>1588</v>
      </c>
      <c r="G44" s="2814">
        <v>0.2</v>
      </c>
      <c r="H44" s="2816">
        <f t="shared" si="2"/>
        <v>91951.2</v>
      </c>
      <c r="I44" s="2815">
        <v>2990.7</v>
      </c>
      <c r="J44" s="2816">
        <v>4.9000000000000004</v>
      </c>
      <c r="K44" s="2800"/>
      <c r="L44" s="2800"/>
      <c r="M44" s="2800"/>
      <c r="N44" s="2800"/>
      <c r="O44" s="2800"/>
      <c r="P44" s="2800"/>
      <c r="Q44" s="2800"/>
      <c r="R44" s="2800"/>
      <c r="S44" s="2800"/>
      <c r="T44" s="2800"/>
      <c r="U44" s="2800"/>
      <c r="V44" s="2800"/>
      <c r="W44" s="2800"/>
      <c r="X44" s="2800"/>
      <c r="Y44" s="2800"/>
      <c r="Z44" s="2800"/>
      <c r="AA44" s="2800"/>
      <c r="AB44" s="2800"/>
      <c r="AC44" s="2800"/>
      <c r="AD44" s="2800"/>
      <c r="AE44" s="2800"/>
      <c r="AF44" s="2800"/>
      <c r="AG44" s="2800"/>
      <c r="AH44" s="2800"/>
      <c r="AI44" s="2800"/>
      <c r="AJ44" s="2800"/>
      <c r="AK44" s="2800"/>
      <c r="AL44" s="2800"/>
      <c r="AM44" s="2800"/>
      <c r="AN44" s="2800"/>
      <c r="AO44" s="2800"/>
      <c r="AP44" s="2800"/>
      <c r="AQ44" s="2800"/>
      <c r="AR44" s="2800"/>
      <c r="AS44" s="2800"/>
      <c r="AT44" s="2800"/>
      <c r="AU44" s="2800"/>
      <c r="AV44" s="2800"/>
    </row>
    <row r="45" spans="1:48" s="2801" customFormat="1" ht="24" hidden="1" customHeight="1">
      <c r="A45" s="2830" t="s">
        <v>4154</v>
      </c>
      <c r="B45" s="2834">
        <v>6399</v>
      </c>
      <c r="C45" s="2811">
        <v>4688</v>
      </c>
      <c r="D45" s="2811">
        <v>80322</v>
      </c>
      <c r="E45" s="2835">
        <v>91409</v>
      </c>
      <c r="F45" s="2810">
        <v>1579</v>
      </c>
      <c r="G45" s="2814">
        <v>0.2</v>
      </c>
      <c r="H45" s="2816">
        <f t="shared" si="2"/>
        <v>92988.2</v>
      </c>
      <c r="I45" s="2815">
        <v>3046.3</v>
      </c>
      <c r="J45" s="2816">
        <v>4.9000000000000004</v>
      </c>
      <c r="K45" s="2800"/>
      <c r="L45" s="2800"/>
      <c r="M45" s="2800"/>
      <c r="N45" s="2800"/>
      <c r="O45" s="2800"/>
      <c r="P45" s="2800"/>
      <c r="Q45" s="2800"/>
      <c r="R45" s="2800"/>
      <c r="S45" s="2800"/>
      <c r="T45" s="2800"/>
      <c r="U45" s="2800"/>
      <c r="V45" s="2800"/>
      <c r="W45" s="2800"/>
      <c r="X45" s="2800"/>
      <c r="Y45" s="2800"/>
      <c r="Z45" s="2800"/>
      <c r="AA45" s="2800"/>
      <c r="AB45" s="2800"/>
      <c r="AC45" s="2800"/>
      <c r="AD45" s="2800"/>
      <c r="AE45" s="2800"/>
      <c r="AF45" s="2800"/>
      <c r="AG45" s="2800"/>
      <c r="AH45" s="2800"/>
      <c r="AI45" s="2800"/>
      <c r="AJ45" s="2800"/>
      <c r="AK45" s="2800"/>
      <c r="AL45" s="2800"/>
      <c r="AM45" s="2800"/>
      <c r="AN45" s="2800"/>
      <c r="AO45" s="2800"/>
      <c r="AP45" s="2800"/>
      <c r="AQ45" s="2800"/>
      <c r="AR45" s="2800"/>
      <c r="AS45" s="2800"/>
      <c r="AT45" s="2800"/>
      <c r="AU45" s="2800"/>
      <c r="AV45" s="2800"/>
    </row>
    <row r="46" spans="1:48" s="2801" customFormat="1" ht="24" hidden="1" customHeight="1">
      <c r="A46" s="2830" t="s">
        <v>4155</v>
      </c>
      <c r="B46" s="2834">
        <v>6410</v>
      </c>
      <c r="C46" s="2811">
        <v>4681</v>
      </c>
      <c r="D46" s="2811">
        <v>82858</v>
      </c>
      <c r="E46" s="2835">
        <v>93949</v>
      </c>
      <c r="F46" s="2810">
        <v>1577</v>
      </c>
      <c r="G46" s="2814">
        <v>0.1</v>
      </c>
      <c r="H46" s="2816">
        <f t="shared" si="2"/>
        <v>95526.1</v>
      </c>
      <c r="I46" s="2815">
        <v>3142.2</v>
      </c>
      <c r="J46" s="2816">
        <v>5.0999999999999996</v>
      </c>
      <c r="K46" s="2800"/>
      <c r="L46" s="2800"/>
      <c r="M46" s="2800"/>
      <c r="N46" s="2800"/>
      <c r="O46" s="2800"/>
      <c r="P46" s="2800"/>
      <c r="Q46" s="2800"/>
      <c r="R46" s="2800"/>
      <c r="S46" s="2800"/>
      <c r="T46" s="2800"/>
      <c r="U46" s="2800"/>
      <c r="V46" s="2800"/>
      <c r="W46" s="2800"/>
      <c r="X46" s="2800"/>
      <c r="Y46" s="2800"/>
      <c r="Z46" s="2800"/>
      <c r="AA46" s="2800"/>
      <c r="AB46" s="2800"/>
      <c r="AC46" s="2800"/>
      <c r="AD46" s="2800"/>
      <c r="AE46" s="2800"/>
      <c r="AF46" s="2800"/>
      <c r="AG46" s="2800"/>
      <c r="AH46" s="2800"/>
      <c r="AI46" s="2800"/>
      <c r="AJ46" s="2800"/>
      <c r="AK46" s="2800"/>
      <c r="AL46" s="2800"/>
      <c r="AM46" s="2800"/>
      <c r="AN46" s="2800"/>
      <c r="AO46" s="2800"/>
      <c r="AP46" s="2800"/>
      <c r="AQ46" s="2800"/>
      <c r="AR46" s="2800"/>
      <c r="AS46" s="2800"/>
      <c r="AT46" s="2800"/>
      <c r="AU46" s="2800"/>
      <c r="AV46" s="2800"/>
    </row>
    <row r="47" spans="1:48" s="2801" customFormat="1" ht="24" hidden="1" customHeight="1">
      <c r="A47" s="2836" t="s">
        <v>4156</v>
      </c>
      <c r="B47" s="2834">
        <v>6195</v>
      </c>
      <c r="C47" s="2811">
        <v>4664</v>
      </c>
      <c r="D47" s="2811">
        <v>82523</v>
      </c>
      <c r="E47" s="2832">
        <v>93382</v>
      </c>
      <c r="F47" s="2822">
        <v>1571</v>
      </c>
      <c r="G47" s="2814">
        <v>0.1</v>
      </c>
      <c r="H47" s="2816">
        <f t="shared" si="2"/>
        <v>94953.1</v>
      </c>
      <c r="I47" s="2816">
        <v>3081</v>
      </c>
      <c r="J47" s="2816">
        <v>4.7300945240793553</v>
      </c>
      <c r="K47" s="2837"/>
      <c r="L47" s="2800"/>
      <c r="M47" s="2800"/>
      <c r="N47" s="2800"/>
      <c r="O47" s="2800"/>
      <c r="P47" s="2800"/>
      <c r="Q47" s="2800"/>
      <c r="R47" s="2800"/>
      <c r="S47" s="2800"/>
      <c r="T47" s="2800"/>
      <c r="U47" s="2800"/>
      <c r="V47" s="2800"/>
      <c r="W47" s="2800"/>
      <c r="X47" s="2800"/>
      <c r="Y47" s="2800"/>
      <c r="Z47" s="2800"/>
      <c r="AA47" s="2800"/>
      <c r="AB47" s="2800"/>
      <c r="AC47" s="2800"/>
      <c r="AD47" s="2800"/>
      <c r="AE47" s="2800"/>
      <c r="AF47" s="2800"/>
      <c r="AG47" s="2800"/>
      <c r="AH47" s="2800"/>
      <c r="AI47" s="2800"/>
      <c r="AJ47" s="2800"/>
      <c r="AK47" s="2800"/>
      <c r="AL47" s="2800"/>
      <c r="AM47" s="2800"/>
      <c r="AN47" s="2800"/>
      <c r="AO47" s="2800"/>
      <c r="AP47" s="2800"/>
      <c r="AQ47" s="2800"/>
      <c r="AR47" s="2800"/>
      <c r="AS47" s="2800"/>
      <c r="AT47" s="2800"/>
      <c r="AU47" s="2800"/>
      <c r="AV47" s="2800"/>
    </row>
    <row r="48" spans="1:48" s="2801" customFormat="1" ht="24" hidden="1" customHeight="1">
      <c r="A48" s="2838" t="s">
        <v>4157</v>
      </c>
      <c r="B48" s="2839">
        <v>5542</v>
      </c>
      <c r="C48" s="2840">
        <v>4651</v>
      </c>
      <c r="D48" s="2840">
        <v>93693</v>
      </c>
      <c r="E48" s="2841">
        <v>103886</v>
      </c>
      <c r="F48" s="2842">
        <v>1568</v>
      </c>
      <c r="G48" s="2843">
        <v>0.1</v>
      </c>
      <c r="H48" s="2816">
        <f t="shared" si="2"/>
        <v>105454.1</v>
      </c>
      <c r="I48" s="2844">
        <v>3391.5</v>
      </c>
      <c r="J48" s="2816">
        <v>5.253202485771574</v>
      </c>
      <c r="K48" s="2837"/>
      <c r="L48" s="2800"/>
      <c r="M48" s="2800"/>
      <c r="N48" s="2800"/>
      <c r="O48" s="2800"/>
      <c r="P48" s="2800"/>
      <c r="Q48" s="2800"/>
      <c r="R48" s="2800"/>
      <c r="S48" s="2800"/>
      <c r="T48" s="2800"/>
      <c r="U48" s="2800"/>
      <c r="V48" s="2800"/>
      <c r="W48" s="2800"/>
      <c r="X48" s="2800"/>
      <c r="Y48" s="2800"/>
      <c r="Z48" s="2800"/>
      <c r="AA48" s="2800"/>
      <c r="AB48" s="2800"/>
      <c r="AC48" s="2800"/>
      <c r="AD48" s="2800"/>
      <c r="AE48" s="2800"/>
      <c r="AF48" s="2800"/>
      <c r="AG48" s="2800"/>
      <c r="AH48" s="2800"/>
      <c r="AI48" s="2800"/>
      <c r="AJ48" s="2800"/>
      <c r="AK48" s="2800"/>
      <c r="AL48" s="2800"/>
      <c r="AM48" s="2800"/>
      <c r="AN48" s="2800"/>
      <c r="AO48" s="2800"/>
      <c r="AP48" s="2800"/>
      <c r="AQ48" s="2800"/>
      <c r="AR48" s="2800"/>
      <c r="AS48" s="2800"/>
      <c r="AT48" s="2800"/>
      <c r="AU48" s="2800"/>
      <c r="AV48" s="2800"/>
    </row>
    <row r="49" spans="1:48" s="2801" customFormat="1" ht="24" hidden="1" customHeight="1">
      <c r="A49" s="2838" t="s">
        <v>4158</v>
      </c>
      <c r="B49" s="2839">
        <v>4699</v>
      </c>
      <c r="C49" s="2840">
        <v>4662</v>
      </c>
      <c r="D49" s="2840">
        <v>94063</v>
      </c>
      <c r="E49" s="2845">
        <v>103424</v>
      </c>
      <c r="F49" s="2842">
        <v>1616</v>
      </c>
      <c r="G49" s="2843">
        <v>0.1</v>
      </c>
      <c r="H49" s="2816">
        <f t="shared" si="2"/>
        <v>105040.1</v>
      </c>
      <c r="I49" s="2846">
        <v>3386.9</v>
      </c>
      <c r="J49" s="2815">
        <v>5.2325790502758514</v>
      </c>
      <c r="K49" s="2837"/>
      <c r="L49" s="2800"/>
      <c r="M49" s="2800"/>
      <c r="N49" s="2800"/>
      <c r="O49" s="2800"/>
      <c r="P49" s="2800"/>
      <c r="Q49" s="2800"/>
      <c r="R49" s="2800"/>
      <c r="S49" s="2800"/>
      <c r="T49" s="2800"/>
      <c r="U49" s="2800"/>
      <c r="V49" s="2800"/>
      <c r="W49" s="2800"/>
      <c r="X49" s="2800"/>
      <c r="Y49" s="2800"/>
      <c r="Z49" s="2800"/>
      <c r="AA49" s="2800"/>
      <c r="AB49" s="2800"/>
      <c r="AC49" s="2800"/>
      <c r="AD49" s="2800"/>
      <c r="AE49" s="2800"/>
      <c r="AF49" s="2800"/>
      <c r="AG49" s="2800"/>
      <c r="AH49" s="2800"/>
      <c r="AI49" s="2800"/>
      <c r="AJ49" s="2800"/>
      <c r="AK49" s="2800"/>
      <c r="AL49" s="2800"/>
      <c r="AM49" s="2800"/>
      <c r="AN49" s="2800"/>
      <c r="AO49" s="2800"/>
      <c r="AP49" s="2800"/>
      <c r="AQ49" s="2800"/>
      <c r="AR49" s="2800"/>
      <c r="AS49" s="2800"/>
      <c r="AT49" s="2800"/>
      <c r="AU49" s="2800"/>
      <c r="AV49" s="2800"/>
    </row>
    <row r="50" spans="1:48" s="2801" customFormat="1" ht="24" hidden="1" customHeight="1" thickTop="1">
      <c r="A50" s="2838" t="s">
        <v>4159</v>
      </c>
      <c r="B50" s="2839">
        <v>5165</v>
      </c>
      <c r="C50" s="2840">
        <v>4662</v>
      </c>
      <c r="D50" s="2840">
        <v>90668</v>
      </c>
      <c r="E50" s="2845">
        <v>100495</v>
      </c>
      <c r="F50" s="2842">
        <v>1619</v>
      </c>
      <c r="G50" s="2843">
        <v>0.1</v>
      </c>
      <c r="H50" s="2816">
        <f t="shared" si="2"/>
        <v>102114.1</v>
      </c>
      <c r="I50" s="2846">
        <v>3316.3</v>
      </c>
      <c r="J50" s="2815">
        <v>5.0868201800814479</v>
      </c>
      <c r="K50" s="2837"/>
      <c r="L50" s="2800"/>
      <c r="M50" s="2800"/>
      <c r="N50" s="2800"/>
      <c r="O50" s="2800"/>
      <c r="P50" s="2800"/>
      <c r="Q50" s="2800"/>
      <c r="R50" s="2800"/>
      <c r="S50" s="2800"/>
      <c r="T50" s="2800"/>
      <c r="U50" s="2800"/>
      <c r="V50" s="2800"/>
      <c r="W50" s="2800"/>
      <c r="X50" s="2800"/>
      <c r="Y50" s="2800"/>
      <c r="Z50" s="2800"/>
      <c r="AA50" s="2800"/>
      <c r="AB50" s="2800"/>
      <c r="AC50" s="2800"/>
      <c r="AD50" s="2800"/>
      <c r="AE50" s="2800"/>
      <c r="AF50" s="2800"/>
      <c r="AG50" s="2800"/>
      <c r="AH50" s="2800"/>
      <c r="AI50" s="2800"/>
      <c r="AJ50" s="2800"/>
      <c r="AK50" s="2800"/>
      <c r="AL50" s="2800"/>
      <c r="AM50" s="2800"/>
      <c r="AN50" s="2800"/>
      <c r="AO50" s="2800"/>
      <c r="AP50" s="2800"/>
      <c r="AQ50" s="2800"/>
      <c r="AR50" s="2800"/>
      <c r="AS50" s="2800"/>
      <c r="AT50" s="2800"/>
      <c r="AU50" s="2800"/>
      <c r="AV50" s="2800"/>
    </row>
    <row r="51" spans="1:48" s="2801" customFormat="1" ht="24" hidden="1" customHeight="1" thickTop="1">
      <c r="A51" s="2838" t="s">
        <v>4160</v>
      </c>
      <c r="B51" s="2839">
        <v>5407</v>
      </c>
      <c r="C51" s="2840">
        <v>4667</v>
      </c>
      <c r="D51" s="2840">
        <v>89022</v>
      </c>
      <c r="E51" s="2845">
        <v>99096</v>
      </c>
      <c r="F51" s="2842">
        <v>1620</v>
      </c>
      <c r="G51" s="2843">
        <v>0.1</v>
      </c>
      <c r="H51" s="2816">
        <f t="shared" si="2"/>
        <v>100716.1</v>
      </c>
      <c r="I51" s="2846">
        <v>3271.5</v>
      </c>
      <c r="J51" s="2816">
        <v>5.0171787239871986</v>
      </c>
      <c r="K51" s="2837"/>
      <c r="L51" s="2800"/>
      <c r="M51" s="2800"/>
      <c r="N51" s="2800"/>
      <c r="O51" s="2800"/>
      <c r="P51" s="2800"/>
      <c r="Q51" s="2800"/>
      <c r="R51" s="2800"/>
      <c r="S51" s="2800"/>
      <c r="T51" s="2800"/>
      <c r="U51" s="2800"/>
      <c r="V51" s="2800"/>
      <c r="W51" s="2800"/>
      <c r="X51" s="2800"/>
      <c r="Y51" s="2800"/>
      <c r="Z51" s="2800"/>
      <c r="AA51" s="2800"/>
      <c r="AB51" s="2800"/>
      <c r="AC51" s="2800"/>
      <c r="AD51" s="2800"/>
      <c r="AE51" s="2800"/>
      <c r="AF51" s="2800"/>
      <c r="AG51" s="2800"/>
      <c r="AH51" s="2800"/>
      <c r="AI51" s="2800"/>
      <c r="AJ51" s="2800"/>
      <c r="AK51" s="2800"/>
      <c r="AL51" s="2800"/>
      <c r="AM51" s="2800"/>
      <c r="AN51" s="2800"/>
      <c r="AO51" s="2800"/>
      <c r="AP51" s="2800"/>
      <c r="AQ51" s="2800"/>
      <c r="AR51" s="2800"/>
      <c r="AS51" s="2800"/>
      <c r="AT51" s="2800"/>
      <c r="AU51" s="2800"/>
      <c r="AV51" s="2800"/>
    </row>
    <row r="52" spans="1:48" s="2801" customFormat="1" ht="24" hidden="1" customHeight="1" thickTop="1">
      <c r="A52" s="2838" t="s">
        <v>4161</v>
      </c>
      <c r="B52" s="2839">
        <v>5140</v>
      </c>
      <c r="C52" s="2840">
        <v>4667</v>
      </c>
      <c r="D52" s="2840">
        <v>90922</v>
      </c>
      <c r="E52" s="2845">
        <v>100729</v>
      </c>
      <c r="F52" s="2842">
        <v>1717</v>
      </c>
      <c r="G52" s="2843">
        <v>0.1</v>
      </c>
      <c r="H52" s="2816">
        <f t="shared" si="2"/>
        <v>102446.1</v>
      </c>
      <c r="I52" s="2846">
        <f>H52/30.4674</f>
        <v>3362.4825223025268</v>
      </c>
      <c r="J52" s="2816">
        <v>5.1033587805272926</v>
      </c>
      <c r="K52" s="2837"/>
      <c r="L52" s="2800"/>
      <c r="M52" s="2800"/>
      <c r="N52" s="2800"/>
      <c r="O52" s="2800"/>
      <c r="P52" s="2800"/>
      <c r="Q52" s="2800"/>
      <c r="R52" s="2800"/>
      <c r="S52" s="2800"/>
      <c r="T52" s="2800"/>
      <c r="U52" s="2800"/>
      <c r="V52" s="2800"/>
      <c r="W52" s="2800"/>
      <c r="X52" s="2800"/>
      <c r="Y52" s="2800"/>
      <c r="Z52" s="2800"/>
      <c r="AA52" s="2800"/>
      <c r="AB52" s="2800"/>
      <c r="AC52" s="2800"/>
      <c r="AD52" s="2800"/>
      <c r="AE52" s="2800"/>
      <c r="AF52" s="2800"/>
      <c r="AG52" s="2800"/>
      <c r="AH52" s="2800"/>
      <c r="AI52" s="2800"/>
      <c r="AJ52" s="2800"/>
      <c r="AK52" s="2800"/>
      <c r="AL52" s="2800"/>
      <c r="AM52" s="2800"/>
      <c r="AN52" s="2800"/>
      <c r="AO52" s="2800"/>
      <c r="AP52" s="2800"/>
      <c r="AQ52" s="2800"/>
      <c r="AR52" s="2800"/>
      <c r="AS52" s="2800"/>
      <c r="AT52" s="2800"/>
      <c r="AU52" s="2800"/>
      <c r="AV52" s="2800"/>
    </row>
    <row r="53" spans="1:48" s="2801" customFormat="1" ht="24" hidden="1" customHeight="1" thickTop="1">
      <c r="A53" s="2838" t="s">
        <v>4162</v>
      </c>
      <c r="B53" s="2839">
        <v>5043</v>
      </c>
      <c r="C53" s="2840">
        <v>4671</v>
      </c>
      <c r="D53" s="2840">
        <v>90302</v>
      </c>
      <c r="E53" s="2845">
        <v>100016</v>
      </c>
      <c r="F53" s="2842">
        <v>1698</v>
      </c>
      <c r="G53" s="2843">
        <v>0.1</v>
      </c>
      <c r="H53" s="2816">
        <f t="shared" si="2"/>
        <v>101714.1</v>
      </c>
      <c r="I53" s="2846">
        <f>H53/30.0499</f>
        <v>3384.8398829946191</v>
      </c>
      <c r="J53" s="2816">
        <v>5.0668941554478995</v>
      </c>
      <c r="K53" s="2837"/>
      <c r="L53" s="2800"/>
      <c r="M53" s="2800"/>
      <c r="N53" s="2800"/>
      <c r="O53" s="2800"/>
      <c r="P53" s="2800"/>
      <c r="Q53" s="2800"/>
      <c r="R53" s="2800"/>
      <c r="S53" s="2800"/>
      <c r="T53" s="2800"/>
      <c r="U53" s="2800"/>
      <c r="V53" s="2800"/>
      <c r="W53" s="2800"/>
      <c r="X53" s="2800"/>
      <c r="Y53" s="2800"/>
      <c r="Z53" s="2800"/>
      <c r="AA53" s="2800"/>
      <c r="AB53" s="2800"/>
      <c r="AC53" s="2800"/>
      <c r="AD53" s="2800"/>
      <c r="AE53" s="2800"/>
      <c r="AF53" s="2800"/>
      <c r="AG53" s="2800"/>
      <c r="AH53" s="2800"/>
      <c r="AI53" s="2800"/>
      <c r="AJ53" s="2800"/>
      <c r="AK53" s="2800"/>
      <c r="AL53" s="2800"/>
      <c r="AM53" s="2800"/>
      <c r="AN53" s="2800"/>
      <c r="AO53" s="2800"/>
      <c r="AP53" s="2800"/>
      <c r="AQ53" s="2800"/>
      <c r="AR53" s="2800"/>
      <c r="AS53" s="2800"/>
      <c r="AT53" s="2800"/>
      <c r="AU53" s="2800"/>
      <c r="AV53" s="2800"/>
    </row>
    <row r="54" spans="1:48" s="2801" customFormat="1" ht="24" hidden="1" customHeight="1" thickTop="1">
      <c r="A54" s="2838" t="s">
        <v>4163</v>
      </c>
      <c r="B54" s="2839">
        <v>4757</v>
      </c>
      <c r="C54" s="2840">
        <v>4650</v>
      </c>
      <c r="D54" s="2840">
        <v>89619</v>
      </c>
      <c r="E54" s="2845">
        <v>99026</v>
      </c>
      <c r="F54" s="2842">
        <v>1761</v>
      </c>
      <c r="G54" s="2843">
        <v>0.1</v>
      </c>
      <c r="H54" s="2816">
        <f t="shared" si="2"/>
        <v>100787.1</v>
      </c>
      <c r="I54" s="2846">
        <f>H54/30.2987</f>
        <v>3326.4496496549359</v>
      </c>
      <c r="J54" s="2816">
        <v>5.020715593359653</v>
      </c>
      <c r="K54" s="2837"/>
      <c r="L54" s="2800"/>
      <c r="M54" s="2800"/>
      <c r="N54" s="2800"/>
      <c r="O54" s="2800"/>
      <c r="P54" s="2800"/>
      <c r="Q54" s="2800"/>
      <c r="R54" s="2800"/>
      <c r="S54" s="2800"/>
      <c r="T54" s="2800"/>
      <c r="U54" s="2800"/>
      <c r="V54" s="2800"/>
      <c r="W54" s="2800"/>
      <c r="X54" s="2800"/>
      <c r="Y54" s="2800"/>
      <c r="Z54" s="2800"/>
      <c r="AA54" s="2800"/>
      <c r="AB54" s="2800"/>
      <c r="AC54" s="2800"/>
      <c r="AD54" s="2800"/>
      <c r="AE54" s="2800"/>
      <c r="AF54" s="2800"/>
      <c r="AG54" s="2800"/>
      <c r="AH54" s="2800"/>
      <c r="AI54" s="2800"/>
      <c r="AJ54" s="2800"/>
      <c r="AK54" s="2800"/>
      <c r="AL54" s="2800"/>
      <c r="AM54" s="2800"/>
      <c r="AN54" s="2800"/>
      <c r="AO54" s="2800"/>
      <c r="AP54" s="2800"/>
      <c r="AQ54" s="2800"/>
      <c r="AR54" s="2800"/>
      <c r="AS54" s="2800"/>
      <c r="AT54" s="2800"/>
      <c r="AU54" s="2800"/>
      <c r="AV54" s="2800"/>
    </row>
    <row r="55" spans="1:48" s="2801" customFormat="1" ht="24" hidden="1" customHeight="1" thickTop="1">
      <c r="A55" s="2838" t="s">
        <v>4164</v>
      </c>
      <c r="B55" s="2839">
        <v>4536</v>
      </c>
      <c r="C55" s="2840">
        <v>4630</v>
      </c>
      <c r="D55" s="2840">
        <v>94092</v>
      </c>
      <c r="E55" s="2845">
        <v>103258</v>
      </c>
      <c r="F55" s="2842">
        <v>1751</v>
      </c>
      <c r="G55" s="2843">
        <v>0.1</v>
      </c>
      <c r="H55" s="2816">
        <f t="shared" si="2"/>
        <v>105009.1</v>
      </c>
      <c r="I55" s="2846">
        <f>H55/30.0792</f>
        <v>3491.0868640123408</v>
      </c>
      <c r="J55" s="2816">
        <v>5.2310347833667512</v>
      </c>
      <c r="K55" s="2837"/>
      <c r="L55" s="2800"/>
      <c r="M55" s="2800"/>
      <c r="N55" s="2800"/>
      <c r="O55" s="2800"/>
      <c r="P55" s="2800"/>
      <c r="Q55" s="2800"/>
      <c r="R55" s="2800"/>
      <c r="S55" s="2800"/>
      <c r="T55" s="2800"/>
      <c r="U55" s="2800"/>
      <c r="V55" s="2800"/>
      <c r="W55" s="2800"/>
      <c r="X55" s="2800"/>
      <c r="Y55" s="2800"/>
      <c r="Z55" s="2800"/>
      <c r="AA55" s="2800"/>
      <c r="AB55" s="2800"/>
      <c r="AC55" s="2800"/>
      <c r="AD55" s="2800"/>
      <c r="AE55" s="2800"/>
      <c r="AF55" s="2800"/>
      <c r="AG55" s="2800"/>
      <c r="AH55" s="2800"/>
      <c r="AI55" s="2800"/>
      <c r="AJ55" s="2800"/>
      <c r="AK55" s="2800"/>
      <c r="AL55" s="2800"/>
      <c r="AM55" s="2800"/>
      <c r="AN55" s="2800"/>
      <c r="AO55" s="2800"/>
      <c r="AP55" s="2800"/>
      <c r="AQ55" s="2800"/>
      <c r="AR55" s="2800"/>
      <c r="AS55" s="2800"/>
      <c r="AT55" s="2800"/>
      <c r="AU55" s="2800"/>
      <c r="AV55" s="2800"/>
    </row>
    <row r="56" spans="1:48" s="2801" customFormat="1" ht="24" hidden="1" customHeight="1" thickTop="1">
      <c r="A56" s="2838" t="s">
        <v>4165</v>
      </c>
      <c r="B56" s="2839">
        <v>4776</v>
      </c>
      <c r="C56" s="2840">
        <v>4648</v>
      </c>
      <c r="D56" s="2840">
        <v>93308</v>
      </c>
      <c r="E56" s="2845">
        <v>102732</v>
      </c>
      <c r="F56" s="2842">
        <v>1751</v>
      </c>
      <c r="G56" s="2843">
        <v>0.1</v>
      </c>
      <c r="H56" s="2816">
        <f t="shared" si="2"/>
        <v>104483.1</v>
      </c>
      <c r="I56" s="2846">
        <v>3459.3</v>
      </c>
      <c r="J56" s="2816">
        <v>5.2048320609736356</v>
      </c>
      <c r="K56" s="2847"/>
      <c r="L56" s="2837"/>
      <c r="M56" s="2848"/>
      <c r="N56" s="2800"/>
      <c r="O56" s="2800"/>
      <c r="P56" s="2800"/>
      <c r="Q56" s="2800"/>
      <c r="R56" s="2800"/>
      <c r="S56" s="2800"/>
      <c r="T56" s="2800"/>
      <c r="U56" s="2800"/>
      <c r="V56" s="2800"/>
      <c r="W56" s="2800"/>
      <c r="X56" s="2800"/>
      <c r="Y56" s="2800"/>
      <c r="Z56" s="2800"/>
      <c r="AA56" s="2800"/>
      <c r="AB56" s="2800"/>
      <c r="AC56" s="2800"/>
      <c r="AD56" s="2800"/>
      <c r="AE56" s="2800"/>
      <c r="AF56" s="2800"/>
      <c r="AG56" s="2800"/>
      <c r="AH56" s="2800"/>
      <c r="AI56" s="2800"/>
      <c r="AJ56" s="2800"/>
      <c r="AK56" s="2800"/>
      <c r="AL56" s="2800"/>
      <c r="AM56" s="2800"/>
      <c r="AN56" s="2800"/>
      <c r="AO56" s="2800"/>
      <c r="AP56" s="2800"/>
      <c r="AQ56" s="2800"/>
      <c r="AR56" s="2800"/>
      <c r="AS56" s="2800"/>
      <c r="AT56" s="2800"/>
      <c r="AU56" s="2800"/>
      <c r="AV56" s="2800"/>
    </row>
    <row r="57" spans="1:48" s="2801" customFormat="1" ht="24" hidden="1" customHeight="1" thickTop="1">
      <c r="A57" s="2838" t="s">
        <v>4166</v>
      </c>
      <c r="B57" s="2849">
        <v>5036</v>
      </c>
      <c r="C57" s="2850">
        <v>4637</v>
      </c>
      <c r="D57" s="2850">
        <v>98772</v>
      </c>
      <c r="E57" s="2851">
        <v>108445</v>
      </c>
      <c r="F57" s="2852">
        <v>1761</v>
      </c>
      <c r="G57" s="2853">
        <v>0.1</v>
      </c>
      <c r="H57" s="2854">
        <f t="shared" si="2"/>
        <v>110206.1</v>
      </c>
      <c r="I57" s="2855">
        <v>3662.5</v>
      </c>
      <c r="J57" s="2854">
        <v>5.4866438484037587</v>
      </c>
      <c r="K57" s="2847"/>
      <c r="L57" s="2837"/>
      <c r="M57" s="2848"/>
      <c r="N57" s="2800"/>
      <c r="O57" s="2800"/>
      <c r="P57" s="2800"/>
      <c r="Q57" s="2800"/>
      <c r="R57" s="2800"/>
      <c r="S57" s="2800"/>
      <c r="T57" s="2800"/>
      <c r="U57" s="2800"/>
      <c r="V57" s="2800"/>
      <c r="W57" s="2800"/>
      <c r="X57" s="2800"/>
      <c r="Y57" s="2800"/>
      <c r="Z57" s="2800"/>
      <c r="AA57" s="2800"/>
      <c r="AB57" s="2800"/>
      <c r="AC57" s="2800"/>
      <c r="AD57" s="2800"/>
      <c r="AE57" s="2800"/>
      <c r="AF57" s="2800"/>
      <c r="AG57" s="2800"/>
      <c r="AH57" s="2800"/>
      <c r="AI57" s="2800"/>
      <c r="AJ57" s="2800"/>
      <c r="AK57" s="2800"/>
      <c r="AL57" s="2800"/>
      <c r="AM57" s="2800"/>
      <c r="AN57" s="2800"/>
      <c r="AO57" s="2800"/>
      <c r="AP57" s="2800"/>
      <c r="AQ57" s="2800"/>
      <c r="AR57" s="2800"/>
      <c r="AS57" s="2800"/>
      <c r="AT57" s="2800"/>
      <c r="AU57" s="2800"/>
      <c r="AV57" s="2800"/>
    </row>
    <row r="58" spans="1:48" s="2801" customFormat="1" ht="24" hidden="1" customHeight="1" thickTop="1">
      <c r="A58" s="2838" t="s">
        <v>4167</v>
      </c>
      <c r="B58" s="2849">
        <v>4900</v>
      </c>
      <c r="C58" s="2850">
        <v>4648</v>
      </c>
      <c r="D58" s="2850">
        <v>100713</v>
      </c>
      <c r="E58" s="2851">
        <v>110261</v>
      </c>
      <c r="F58" s="2852">
        <v>1757</v>
      </c>
      <c r="G58" s="2853">
        <v>0.1</v>
      </c>
      <c r="H58" s="2854">
        <f t="shared" si="2"/>
        <v>112018.1</v>
      </c>
      <c r="I58" s="2855">
        <v>3722.9</v>
      </c>
      <c r="J58" s="2854">
        <v>5.5768548136162801</v>
      </c>
      <c r="K58" s="2847"/>
      <c r="L58" s="2837"/>
      <c r="M58" s="2848"/>
      <c r="N58" s="2800"/>
      <c r="O58" s="2800"/>
      <c r="P58" s="2800"/>
      <c r="Q58" s="2800"/>
      <c r="R58" s="2800"/>
      <c r="S58" s="2800"/>
      <c r="T58" s="2800"/>
      <c r="U58" s="2800"/>
      <c r="V58" s="2800"/>
      <c r="W58" s="2800"/>
      <c r="X58" s="2800"/>
      <c r="Y58" s="2800"/>
      <c r="Z58" s="2800"/>
      <c r="AA58" s="2800"/>
      <c r="AB58" s="2800"/>
      <c r="AC58" s="2800"/>
      <c r="AD58" s="2800"/>
      <c r="AE58" s="2800"/>
      <c r="AF58" s="2800"/>
      <c r="AG58" s="2800"/>
      <c r="AH58" s="2800"/>
      <c r="AI58" s="2800"/>
      <c r="AJ58" s="2800"/>
      <c r="AK58" s="2800"/>
      <c r="AL58" s="2800"/>
      <c r="AM58" s="2800"/>
      <c r="AN58" s="2800"/>
      <c r="AO58" s="2800"/>
      <c r="AP58" s="2800"/>
      <c r="AQ58" s="2800"/>
      <c r="AR58" s="2800"/>
      <c r="AS58" s="2800"/>
      <c r="AT58" s="2800"/>
      <c r="AU58" s="2800"/>
      <c r="AV58" s="2800"/>
    </row>
    <row r="59" spans="1:48" s="2801" customFormat="1" ht="24" hidden="1" customHeight="1" thickTop="1">
      <c r="A59" s="2838" t="s">
        <v>4168</v>
      </c>
      <c r="B59" s="2849">
        <v>4867</v>
      </c>
      <c r="C59" s="2850">
        <v>4648</v>
      </c>
      <c r="D59" s="2850">
        <v>105183</v>
      </c>
      <c r="E59" s="2851">
        <v>114698</v>
      </c>
      <c r="F59" s="2852">
        <v>1782</v>
      </c>
      <c r="G59" s="2853">
        <v>0.1</v>
      </c>
      <c r="H59" s="2854">
        <f>E59+F59+G59</f>
        <v>116480.1</v>
      </c>
      <c r="I59" s="2855">
        <v>3885.8</v>
      </c>
      <c r="J59" s="2854">
        <v>5.7989968261870679</v>
      </c>
      <c r="K59" s="2847"/>
      <c r="L59" s="2837"/>
      <c r="M59" s="2848"/>
      <c r="N59" s="2800"/>
      <c r="O59" s="2800"/>
      <c r="P59" s="2800"/>
      <c r="Q59" s="2800"/>
      <c r="R59" s="2800"/>
      <c r="S59" s="2800"/>
      <c r="T59" s="2800"/>
      <c r="U59" s="2800"/>
      <c r="V59" s="2800"/>
      <c r="W59" s="2800"/>
      <c r="X59" s="2800"/>
      <c r="Y59" s="2800"/>
      <c r="Z59" s="2800"/>
      <c r="AA59" s="2800"/>
      <c r="AB59" s="2800"/>
      <c r="AC59" s="2800"/>
      <c r="AD59" s="2800"/>
      <c r="AE59" s="2800"/>
      <c r="AF59" s="2800"/>
      <c r="AG59" s="2800"/>
      <c r="AH59" s="2800"/>
      <c r="AI59" s="2800"/>
      <c r="AJ59" s="2800"/>
      <c r="AK59" s="2800"/>
      <c r="AL59" s="2800"/>
      <c r="AM59" s="2800"/>
      <c r="AN59" s="2800"/>
      <c r="AO59" s="2800"/>
      <c r="AP59" s="2800"/>
      <c r="AQ59" s="2800"/>
      <c r="AR59" s="2800"/>
      <c r="AS59" s="2800"/>
      <c r="AT59" s="2800"/>
      <c r="AU59" s="2800"/>
      <c r="AV59" s="2800"/>
    </row>
    <row r="60" spans="1:48" s="2801" customFormat="1" ht="24" hidden="1" customHeight="1" thickTop="1">
      <c r="A60" s="2838" t="s">
        <v>4169</v>
      </c>
      <c r="B60" s="2849">
        <v>4773</v>
      </c>
      <c r="C60" s="2850">
        <v>4666</v>
      </c>
      <c r="D60" s="2850">
        <v>107597</v>
      </c>
      <c r="E60" s="2851">
        <v>117036</v>
      </c>
      <c r="F60" s="2852">
        <v>1788</v>
      </c>
      <c r="G60" s="2853">
        <v>0</v>
      </c>
      <c r="H60" s="2854">
        <f>E60+F60+G60</f>
        <v>118824</v>
      </c>
      <c r="I60" s="2855">
        <v>3927.7</v>
      </c>
      <c r="J60" s="2854">
        <v>5.9233558903802299</v>
      </c>
      <c r="K60" s="2847"/>
      <c r="L60" s="2837"/>
      <c r="M60" s="2848"/>
      <c r="N60" s="2800"/>
      <c r="O60" s="2800"/>
      <c r="P60" s="2800"/>
      <c r="Q60" s="2800"/>
      <c r="R60" s="2800"/>
      <c r="S60" s="2800"/>
      <c r="T60" s="2800"/>
      <c r="U60" s="2800"/>
      <c r="V60" s="2800"/>
      <c r="W60" s="2800"/>
      <c r="X60" s="2800"/>
      <c r="Y60" s="2800"/>
      <c r="Z60" s="2800"/>
      <c r="AA60" s="2800"/>
      <c r="AB60" s="2800"/>
      <c r="AC60" s="2800"/>
      <c r="AD60" s="2800"/>
      <c r="AE60" s="2800"/>
      <c r="AF60" s="2800"/>
      <c r="AG60" s="2800"/>
      <c r="AH60" s="2800"/>
      <c r="AI60" s="2800"/>
      <c r="AJ60" s="2800"/>
      <c r="AK60" s="2800"/>
      <c r="AL60" s="2800"/>
      <c r="AM60" s="2800"/>
      <c r="AN60" s="2800"/>
      <c r="AO60" s="2800"/>
      <c r="AP60" s="2800"/>
      <c r="AQ60" s="2800"/>
      <c r="AR60" s="2800"/>
      <c r="AS60" s="2800"/>
      <c r="AT60" s="2800"/>
      <c r="AU60" s="2800"/>
      <c r="AV60" s="2800"/>
    </row>
    <row r="61" spans="1:48" s="2801" customFormat="1" ht="24" hidden="1" customHeight="1" thickTop="1">
      <c r="A61" s="2838" t="s">
        <v>4170</v>
      </c>
      <c r="B61" s="2849">
        <v>5001</v>
      </c>
      <c r="C61" s="2850">
        <v>4669</v>
      </c>
      <c r="D61" s="2850">
        <v>109961</v>
      </c>
      <c r="E61" s="2851">
        <v>119631</v>
      </c>
      <c r="F61" s="2852">
        <v>1793</v>
      </c>
      <c r="G61" s="2853">
        <v>0.1</v>
      </c>
      <c r="H61" s="2854">
        <v>121424.1</v>
      </c>
      <c r="I61" s="2855">
        <v>4015.5</v>
      </c>
      <c r="J61" s="2854">
        <v>6.0529704265898987</v>
      </c>
      <c r="K61" s="2847"/>
      <c r="L61" s="2837"/>
      <c r="M61" s="2848"/>
      <c r="N61" s="2800"/>
      <c r="O61" s="2800"/>
      <c r="P61" s="2800"/>
      <c r="Q61" s="2800"/>
      <c r="R61" s="2800"/>
      <c r="S61" s="2800"/>
      <c r="T61" s="2800"/>
      <c r="U61" s="2800"/>
      <c r="V61" s="2800"/>
      <c r="W61" s="2800"/>
      <c r="X61" s="2800"/>
      <c r="Y61" s="2800"/>
      <c r="Z61" s="2800"/>
      <c r="AA61" s="2800"/>
      <c r="AB61" s="2800"/>
      <c r="AC61" s="2800"/>
      <c r="AD61" s="2800"/>
      <c r="AE61" s="2800"/>
      <c r="AF61" s="2800"/>
      <c r="AG61" s="2800"/>
      <c r="AH61" s="2800"/>
      <c r="AI61" s="2800"/>
      <c r="AJ61" s="2800"/>
      <c r="AK61" s="2800"/>
      <c r="AL61" s="2800"/>
      <c r="AM61" s="2800"/>
      <c r="AN61" s="2800"/>
      <c r="AO61" s="2800"/>
      <c r="AP61" s="2800"/>
      <c r="AQ61" s="2800"/>
      <c r="AR61" s="2800"/>
      <c r="AS61" s="2800"/>
      <c r="AT61" s="2800"/>
      <c r="AU61" s="2800"/>
      <c r="AV61" s="2800"/>
    </row>
    <row r="62" spans="1:48" s="2801" customFormat="1" ht="24" customHeight="1" thickTop="1">
      <c r="A62" s="2838" t="s">
        <v>4171</v>
      </c>
      <c r="B62" s="2849">
        <v>4960</v>
      </c>
      <c r="C62" s="2850">
        <v>4668</v>
      </c>
      <c r="D62" s="2850">
        <v>111415</v>
      </c>
      <c r="E62" s="2851">
        <v>121043</v>
      </c>
      <c r="F62" s="2852">
        <v>1789</v>
      </c>
      <c r="G62" s="2853">
        <v>0.1</v>
      </c>
      <c r="H62" s="2854">
        <v>122832.1</v>
      </c>
      <c r="I62" s="2855">
        <v>4033.5</v>
      </c>
      <c r="J62" s="2854">
        <v>6.1231589835620195</v>
      </c>
      <c r="K62" s="2847"/>
      <c r="L62" s="2837"/>
      <c r="M62" s="2848"/>
      <c r="N62" s="2800"/>
      <c r="O62" s="2800"/>
      <c r="P62" s="2800"/>
      <c r="Q62" s="2800"/>
      <c r="R62" s="2800"/>
      <c r="S62" s="2800"/>
      <c r="T62" s="2800"/>
      <c r="U62" s="2800"/>
      <c r="V62" s="2800"/>
      <c r="W62" s="2800"/>
      <c r="X62" s="2800"/>
      <c r="Y62" s="2800"/>
      <c r="Z62" s="2800"/>
      <c r="AA62" s="2800"/>
      <c r="AB62" s="2800"/>
      <c r="AC62" s="2800"/>
      <c r="AD62" s="2800"/>
      <c r="AE62" s="2800"/>
      <c r="AF62" s="2800"/>
      <c r="AG62" s="2800"/>
      <c r="AH62" s="2800"/>
      <c r="AI62" s="2800"/>
      <c r="AJ62" s="2800"/>
      <c r="AK62" s="2800"/>
      <c r="AL62" s="2800"/>
      <c r="AM62" s="2800"/>
      <c r="AN62" s="2800"/>
      <c r="AO62" s="2800"/>
      <c r="AP62" s="2800"/>
      <c r="AQ62" s="2800"/>
      <c r="AR62" s="2800"/>
      <c r="AS62" s="2800"/>
      <c r="AT62" s="2800"/>
      <c r="AU62" s="2800"/>
      <c r="AV62" s="2800"/>
    </row>
    <row r="63" spans="1:48" s="2801" customFormat="1" ht="24" customHeight="1">
      <c r="A63" s="2838" t="s">
        <v>4172</v>
      </c>
      <c r="B63" s="2849">
        <v>4999</v>
      </c>
      <c r="C63" s="2850">
        <v>4684</v>
      </c>
      <c r="D63" s="2850">
        <v>113535</v>
      </c>
      <c r="E63" s="2851">
        <v>123218</v>
      </c>
      <c r="F63" s="2852">
        <v>1802</v>
      </c>
      <c r="G63" s="2853">
        <v>0</v>
      </c>
      <c r="H63" s="2854">
        <v>125020</v>
      </c>
      <c r="I63" s="2855">
        <v>4051.9</v>
      </c>
      <c r="J63" s="2854">
        <v>6.2322254209194803</v>
      </c>
      <c r="K63" s="2847"/>
      <c r="L63" s="2837"/>
      <c r="M63" s="2848"/>
      <c r="N63" s="2800"/>
      <c r="O63" s="2800"/>
      <c r="P63" s="2800"/>
      <c r="Q63" s="2800"/>
      <c r="R63" s="2800"/>
      <c r="S63" s="2800"/>
      <c r="T63" s="2800"/>
      <c r="U63" s="2800"/>
      <c r="V63" s="2800"/>
      <c r="W63" s="2800"/>
      <c r="X63" s="2800"/>
      <c r="Y63" s="2800"/>
      <c r="Z63" s="2800"/>
      <c r="AA63" s="2800"/>
      <c r="AB63" s="2800"/>
      <c r="AC63" s="2800"/>
      <c r="AD63" s="2800"/>
      <c r="AE63" s="2800"/>
      <c r="AF63" s="2800"/>
      <c r="AG63" s="2800"/>
      <c r="AH63" s="2800"/>
      <c r="AI63" s="2800"/>
      <c r="AJ63" s="2800"/>
      <c r="AK63" s="2800"/>
      <c r="AL63" s="2800"/>
      <c r="AM63" s="2800"/>
      <c r="AN63" s="2800"/>
      <c r="AO63" s="2800"/>
      <c r="AP63" s="2800"/>
      <c r="AQ63" s="2800"/>
      <c r="AR63" s="2800"/>
      <c r="AS63" s="2800"/>
      <c r="AT63" s="2800"/>
      <c r="AU63" s="2800"/>
      <c r="AV63" s="2800"/>
    </row>
    <row r="64" spans="1:48" s="2801" customFormat="1" ht="24" customHeight="1">
      <c r="A64" s="2838" t="s">
        <v>4173</v>
      </c>
      <c r="B64" s="2849">
        <v>7235</v>
      </c>
      <c r="C64" s="2850">
        <v>4660</v>
      </c>
      <c r="D64" s="2850">
        <v>108822</v>
      </c>
      <c r="E64" s="2851">
        <v>120717</v>
      </c>
      <c r="F64" s="2852">
        <v>1787</v>
      </c>
      <c r="G64" s="2853">
        <v>0.1</v>
      </c>
      <c r="H64" s="2854">
        <v>122504.1</v>
      </c>
      <c r="I64" s="2855">
        <v>3910.1337699769233</v>
      </c>
      <c r="J64" s="2854">
        <v>6.1067551593596328</v>
      </c>
      <c r="K64" s="2847"/>
      <c r="L64" s="2837"/>
      <c r="M64" s="2848"/>
      <c r="N64" s="2800"/>
      <c r="O64" s="2800"/>
      <c r="P64" s="2800"/>
      <c r="Q64" s="2800"/>
      <c r="R64" s="2800"/>
      <c r="S64" s="2800"/>
      <c r="T64" s="2800"/>
      <c r="U64" s="2800"/>
      <c r="V64" s="2800"/>
      <c r="W64" s="2800"/>
      <c r="X64" s="2800"/>
      <c r="Y64" s="2800"/>
      <c r="Z64" s="2800"/>
      <c r="AA64" s="2800"/>
      <c r="AB64" s="2800"/>
      <c r="AC64" s="2800"/>
      <c r="AD64" s="2800"/>
      <c r="AE64" s="2800"/>
      <c r="AF64" s="2800"/>
      <c r="AG64" s="2800"/>
      <c r="AH64" s="2800"/>
      <c r="AI64" s="2800"/>
      <c r="AJ64" s="2800"/>
      <c r="AK64" s="2800"/>
      <c r="AL64" s="2800"/>
      <c r="AM64" s="2800"/>
      <c r="AN64" s="2800"/>
      <c r="AO64" s="2800"/>
      <c r="AP64" s="2800"/>
      <c r="AQ64" s="2800"/>
      <c r="AR64" s="2800"/>
      <c r="AS64" s="2800"/>
      <c r="AT64" s="2800"/>
      <c r="AU64" s="2800"/>
      <c r="AV64" s="2800"/>
    </row>
    <row r="65" spans="1:48" s="2801" customFormat="1" ht="24" customHeight="1">
      <c r="A65" s="2838" t="s">
        <v>4174</v>
      </c>
      <c r="B65" s="2849">
        <v>8173</v>
      </c>
      <c r="C65" s="2850">
        <v>4638</v>
      </c>
      <c r="D65" s="2850">
        <v>106738</v>
      </c>
      <c r="E65" s="2851">
        <v>119549</v>
      </c>
      <c r="F65" s="2852">
        <v>1782</v>
      </c>
      <c r="G65" s="2853">
        <v>0</v>
      </c>
      <c r="H65" s="2854">
        <v>121331</v>
      </c>
      <c r="I65" s="2855">
        <v>3872.8</v>
      </c>
      <c r="J65" s="2854">
        <v>6.0483076714138742</v>
      </c>
      <c r="K65" s="2847"/>
      <c r="L65" s="2837"/>
      <c r="M65" s="2848"/>
      <c r="N65" s="2800"/>
      <c r="O65" s="2800"/>
      <c r="P65" s="2800"/>
      <c r="Q65" s="2800"/>
      <c r="R65" s="2800"/>
      <c r="S65" s="2800"/>
      <c r="T65" s="2800"/>
      <c r="U65" s="2800"/>
      <c r="V65" s="2800"/>
      <c r="W65" s="2800"/>
      <c r="X65" s="2800"/>
      <c r="Y65" s="2800"/>
      <c r="Z65" s="2800"/>
      <c r="AA65" s="2800"/>
      <c r="AB65" s="2800"/>
      <c r="AC65" s="2800"/>
      <c r="AD65" s="2800"/>
      <c r="AE65" s="2800"/>
      <c r="AF65" s="2800"/>
      <c r="AG65" s="2800"/>
      <c r="AH65" s="2800"/>
      <c r="AI65" s="2800"/>
      <c r="AJ65" s="2800"/>
      <c r="AK65" s="2800"/>
      <c r="AL65" s="2800"/>
      <c r="AM65" s="2800"/>
      <c r="AN65" s="2800"/>
      <c r="AO65" s="2800"/>
      <c r="AP65" s="2800"/>
      <c r="AQ65" s="2800"/>
      <c r="AR65" s="2800"/>
      <c r="AS65" s="2800"/>
      <c r="AT65" s="2800"/>
      <c r="AU65" s="2800"/>
      <c r="AV65" s="2800"/>
    </row>
    <row r="66" spans="1:48" s="2801" customFormat="1" ht="24" customHeight="1">
      <c r="A66" s="2838" t="s">
        <v>4175</v>
      </c>
      <c r="B66" s="2849">
        <v>9464</v>
      </c>
      <c r="C66" s="2850">
        <v>4608</v>
      </c>
      <c r="D66" s="2850">
        <v>103608</v>
      </c>
      <c r="E66" s="2851">
        <v>117680</v>
      </c>
      <c r="F66" s="2852">
        <v>1777</v>
      </c>
      <c r="G66" s="2853">
        <v>0.1</v>
      </c>
      <c r="H66" s="2854">
        <v>119457.1</v>
      </c>
      <c r="I66" s="2855">
        <v>3795.9</v>
      </c>
      <c r="J66" s="2854">
        <v>5.9548999637834941</v>
      </c>
      <c r="K66" s="2847"/>
      <c r="L66" s="2837"/>
      <c r="M66" s="2848"/>
      <c r="N66" s="2800"/>
      <c r="O66" s="2800"/>
      <c r="P66" s="2800"/>
      <c r="Q66" s="2800"/>
      <c r="R66" s="2800"/>
      <c r="S66" s="2800"/>
      <c r="T66" s="2800"/>
      <c r="U66" s="2800"/>
      <c r="V66" s="2800"/>
      <c r="W66" s="2800"/>
      <c r="X66" s="2800"/>
      <c r="Y66" s="2800"/>
      <c r="Z66" s="2800"/>
      <c r="AA66" s="2800"/>
      <c r="AB66" s="2800"/>
      <c r="AC66" s="2800"/>
      <c r="AD66" s="2800"/>
      <c r="AE66" s="2800"/>
      <c r="AF66" s="2800"/>
      <c r="AG66" s="2800"/>
      <c r="AH66" s="2800"/>
      <c r="AI66" s="2800"/>
      <c r="AJ66" s="2800"/>
      <c r="AK66" s="2800"/>
      <c r="AL66" s="2800"/>
      <c r="AM66" s="2800"/>
      <c r="AN66" s="2800"/>
      <c r="AO66" s="2800"/>
      <c r="AP66" s="2800"/>
      <c r="AQ66" s="2800"/>
      <c r="AR66" s="2800"/>
      <c r="AS66" s="2800"/>
      <c r="AT66" s="2800"/>
      <c r="AU66" s="2800"/>
      <c r="AV66" s="2800"/>
    </row>
    <row r="67" spans="1:48" s="2801" customFormat="1" ht="24" customHeight="1">
      <c r="A67" s="2838" t="s">
        <v>4176</v>
      </c>
      <c r="B67" s="2852">
        <v>9657</v>
      </c>
      <c r="C67" s="2850">
        <v>4596</v>
      </c>
      <c r="D67" s="2850">
        <v>108323</v>
      </c>
      <c r="E67" s="2856">
        <v>122576</v>
      </c>
      <c r="F67" s="2852">
        <v>1768</v>
      </c>
      <c r="G67" s="2853">
        <v>0.2</v>
      </c>
      <c r="H67" s="2854">
        <v>124344.2</v>
      </c>
      <c r="I67" s="2855">
        <v>3919.0528269893248</v>
      </c>
      <c r="J67" s="2854">
        <v>6.1985456250213709</v>
      </c>
      <c r="K67" s="2847"/>
      <c r="L67" s="2837"/>
      <c r="M67" s="2848"/>
      <c r="N67" s="2800"/>
      <c r="O67" s="2800"/>
      <c r="P67" s="2800"/>
      <c r="Q67" s="2800"/>
      <c r="R67" s="2800"/>
      <c r="S67" s="2800"/>
      <c r="T67" s="2800"/>
      <c r="U67" s="2800"/>
      <c r="V67" s="2800"/>
      <c r="W67" s="2800"/>
      <c r="X67" s="2800"/>
      <c r="Y67" s="2800"/>
      <c r="Z67" s="2800"/>
      <c r="AA67" s="2800"/>
      <c r="AB67" s="2800"/>
      <c r="AC67" s="2800"/>
      <c r="AD67" s="2800"/>
      <c r="AE67" s="2800"/>
      <c r="AF67" s="2800"/>
      <c r="AG67" s="2800"/>
      <c r="AH67" s="2800"/>
      <c r="AI67" s="2800"/>
      <c r="AJ67" s="2800"/>
      <c r="AK67" s="2800"/>
      <c r="AL67" s="2800"/>
      <c r="AM67" s="2800"/>
      <c r="AN67" s="2800"/>
      <c r="AO67" s="2800"/>
      <c r="AP67" s="2800"/>
      <c r="AQ67" s="2800"/>
      <c r="AR67" s="2800"/>
      <c r="AS67" s="2800"/>
      <c r="AT67" s="2800"/>
      <c r="AU67" s="2800"/>
      <c r="AV67" s="2800"/>
    </row>
    <row r="68" spans="1:48" s="2801" customFormat="1" ht="24" customHeight="1">
      <c r="A68" s="2838" t="s">
        <v>4177</v>
      </c>
      <c r="B68" s="2852">
        <v>11787</v>
      </c>
      <c r="C68" s="2850">
        <v>4600</v>
      </c>
      <c r="D68" s="2850">
        <v>103500</v>
      </c>
      <c r="E68" s="2856">
        <v>119887</v>
      </c>
      <c r="F68" s="2852">
        <v>1775</v>
      </c>
      <c r="G68" s="2853">
        <v>0.1</v>
      </c>
      <c r="H68" s="2854">
        <f t="shared" ref="H68:H69" si="3">E68+F68+G68</f>
        <v>121662.1</v>
      </c>
      <c r="I68" s="2855">
        <v>3727.0159573327451</v>
      </c>
      <c r="J68" s="2854">
        <v>6.0648346855099007</v>
      </c>
      <c r="K68" s="2847"/>
      <c r="L68" s="2837"/>
      <c r="M68" s="2848"/>
      <c r="N68" s="2800"/>
      <c r="O68" s="2800"/>
      <c r="P68" s="2800"/>
      <c r="Q68" s="2800"/>
      <c r="R68" s="2800"/>
      <c r="S68" s="2800"/>
      <c r="T68" s="2800"/>
      <c r="U68" s="2800"/>
      <c r="V68" s="2800"/>
      <c r="W68" s="2800"/>
      <c r="X68" s="2800"/>
      <c r="Y68" s="2800"/>
      <c r="Z68" s="2800"/>
      <c r="AA68" s="2800"/>
      <c r="AB68" s="2800"/>
      <c r="AC68" s="2800"/>
      <c r="AD68" s="2800"/>
      <c r="AE68" s="2800"/>
      <c r="AF68" s="2800"/>
      <c r="AG68" s="2800"/>
      <c r="AH68" s="2800"/>
      <c r="AI68" s="2800"/>
      <c r="AJ68" s="2800"/>
      <c r="AK68" s="2800"/>
      <c r="AL68" s="2800"/>
      <c r="AM68" s="2800"/>
      <c r="AN68" s="2800"/>
      <c r="AO68" s="2800"/>
      <c r="AP68" s="2800"/>
      <c r="AQ68" s="2800"/>
      <c r="AR68" s="2800"/>
      <c r="AS68" s="2800"/>
      <c r="AT68" s="2800"/>
      <c r="AU68" s="2800"/>
      <c r="AV68" s="2800"/>
    </row>
    <row r="69" spans="1:48" s="2801" customFormat="1" ht="24" customHeight="1">
      <c r="A69" s="2838" t="s">
        <v>4178</v>
      </c>
      <c r="B69" s="2852">
        <v>11461</v>
      </c>
      <c r="C69" s="2850">
        <v>4704</v>
      </c>
      <c r="D69" s="2850">
        <v>109650</v>
      </c>
      <c r="E69" s="2856">
        <v>125815</v>
      </c>
      <c r="F69" s="2852">
        <v>1805</v>
      </c>
      <c r="G69" s="2853">
        <v>0.1</v>
      </c>
      <c r="H69" s="2854">
        <f t="shared" si="3"/>
        <v>127620.1</v>
      </c>
      <c r="I69" s="2855">
        <v>3837.2983179885618</v>
      </c>
      <c r="J69" s="2854">
        <v>6.3618399571291482</v>
      </c>
      <c r="K69" s="2847"/>
      <c r="L69" s="2837"/>
      <c r="M69" s="2848"/>
      <c r="N69" s="2800"/>
      <c r="O69" s="2800"/>
      <c r="P69" s="2800"/>
      <c r="Q69" s="2800"/>
      <c r="R69" s="2800"/>
      <c r="S69" s="2800"/>
      <c r="T69" s="2800"/>
      <c r="U69" s="2800"/>
      <c r="V69" s="2800"/>
      <c r="W69" s="2800"/>
      <c r="X69" s="2800"/>
      <c r="Y69" s="2800"/>
      <c r="Z69" s="2800"/>
      <c r="AA69" s="2800"/>
      <c r="AB69" s="2800"/>
      <c r="AC69" s="2800"/>
      <c r="AD69" s="2800"/>
      <c r="AE69" s="2800"/>
      <c r="AF69" s="2800"/>
      <c r="AG69" s="2800"/>
      <c r="AH69" s="2800"/>
      <c r="AI69" s="2800"/>
      <c r="AJ69" s="2800"/>
      <c r="AK69" s="2800"/>
      <c r="AL69" s="2800"/>
      <c r="AM69" s="2800"/>
      <c r="AN69" s="2800"/>
      <c r="AO69" s="2800"/>
      <c r="AP69" s="2800"/>
      <c r="AQ69" s="2800"/>
      <c r="AR69" s="2800"/>
      <c r="AS69" s="2800"/>
      <c r="AT69" s="2800"/>
      <c r="AU69" s="2800"/>
      <c r="AV69" s="2800"/>
    </row>
    <row r="70" spans="1:48" s="2801" customFormat="1" ht="24" customHeight="1">
      <c r="A70" s="2838" t="s">
        <v>4179</v>
      </c>
      <c r="B70" s="2852">
        <v>12284</v>
      </c>
      <c r="C70" s="2850">
        <v>5036</v>
      </c>
      <c r="D70" s="2850">
        <v>121458</v>
      </c>
      <c r="E70" s="2856">
        <v>138778</v>
      </c>
      <c r="F70" s="2852">
        <v>1611</v>
      </c>
      <c r="G70" s="2853">
        <v>0.1</v>
      </c>
      <c r="H70" s="2854">
        <v>140389.1</v>
      </c>
      <c r="I70" s="2855">
        <v>3856.5</v>
      </c>
      <c r="J70" s="2854">
        <v>6.998372403135555</v>
      </c>
      <c r="K70" s="2847"/>
      <c r="L70" s="2837"/>
      <c r="M70" s="2848"/>
      <c r="N70" s="2800"/>
      <c r="O70" s="2800"/>
      <c r="P70" s="2800"/>
      <c r="Q70" s="2800"/>
      <c r="R70" s="2800"/>
      <c r="S70" s="2800"/>
      <c r="T70" s="2800"/>
      <c r="U70" s="2800"/>
      <c r="V70" s="2800"/>
      <c r="W70" s="2800"/>
      <c r="X70" s="2800"/>
      <c r="Y70" s="2800"/>
      <c r="Z70" s="2800"/>
      <c r="AA70" s="2800"/>
      <c r="AB70" s="2800"/>
      <c r="AC70" s="2800"/>
      <c r="AD70" s="2800"/>
      <c r="AE70" s="2800"/>
      <c r="AF70" s="2800"/>
      <c r="AG70" s="2800"/>
      <c r="AH70" s="2800"/>
      <c r="AI70" s="2800"/>
      <c r="AJ70" s="2800"/>
      <c r="AK70" s="2800"/>
      <c r="AL70" s="2800"/>
      <c r="AM70" s="2800"/>
      <c r="AN70" s="2800"/>
      <c r="AO70" s="2800"/>
      <c r="AP70" s="2800"/>
      <c r="AQ70" s="2800"/>
      <c r="AR70" s="2800"/>
      <c r="AS70" s="2800"/>
      <c r="AT70" s="2800"/>
      <c r="AU70" s="2800"/>
      <c r="AV70" s="2800"/>
    </row>
    <row r="71" spans="1:48" s="2801" customFormat="1" ht="24" customHeight="1">
      <c r="A71" s="2838" t="s">
        <v>4180</v>
      </c>
      <c r="B71" s="2852">
        <v>12183</v>
      </c>
      <c r="C71" s="2850">
        <v>4946</v>
      </c>
      <c r="D71" s="2850">
        <v>120126</v>
      </c>
      <c r="E71" s="2856">
        <v>137255</v>
      </c>
      <c r="F71" s="2852">
        <v>1597</v>
      </c>
      <c r="G71" s="2853">
        <v>0.3</v>
      </c>
      <c r="H71" s="2854">
        <v>138852.29999999999</v>
      </c>
      <c r="I71" s="2855">
        <v>3921.8</v>
      </c>
      <c r="J71" s="2854">
        <v>6.9217631883949595</v>
      </c>
      <c r="K71" s="2847"/>
      <c r="L71" s="2837"/>
      <c r="M71" s="2848"/>
      <c r="N71" s="2800"/>
      <c r="O71" s="2800"/>
      <c r="P71" s="2800"/>
      <c r="Q71" s="2800"/>
      <c r="R71" s="2800"/>
      <c r="S71" s="2800"/>
      <c r="T71" s="2800"/>
      <c r="U71" s="2800"/>
      <c r="V71" s="2800"/>
      <c r="W71" s="2800"/>
      <c r="X71" s="2800"/>
      <c r="Y71" s="2800"/>
      <c r="Z71" s="2800"/>
      <c r="AA71" s="2800"/>
      <c r="AB71" s="2800"/>
      <c r="AC71" s="2800"/>
      <c r="AD71" s="2800"/>
      <c r="AE71" s="2800"/>
      <c r="AF71" s="2800"/>
      <c r="AG71" s="2800"/>
      <c r="AH71" s="2800"/>
      <c r="AI71" s="2800"/>
      <c r="AJ71" s="2800"/>
      <c r="AK71" s="2800"/>
      <c r="AL71" s="2800"/>
      <c r="AM71" s="2800"/>
      <c r="AN71" s="2800"/>
      <c r="AO71" s="2800"/>
      <c r="AP71" s="2800"/>
      <c r="AQ71" s="2800"/>
      <c r="AR71" s="2800"/>
      <c r="AS71" s="2800"/>
      <c r="AT71" s="2800"/>
      <c r="AU71" s="2800"/>
      <c r="AV71" s="2800"/>
    </row>
    <row r="72" spans="1:48" s="2801" customFormat="1" ht="24" customHeight="1">
      <c r="A72" s="2838" t="s">
        <v>4181</v>
      </c>
      <c r="B72" s="2852">
        <v>12004</v>
      </c>
      <c r="C72" s="2850">
        <v>4914</v>
      </c>
      <c r="D72" s="2850">
        <v>120956</v>
      </c>
      <c r="E72" s="2856">
        <v>137874</v>
      </c>
      <c r="F72" s="2852">
        <v>1581</v>
      </c>
      <c r="G72" s="2853">
        <v>0.2</v>
      </c>
      <c r="H72" s="2854">
        <v>139455.20000000001</v>
      </c>
      <c r="I72" s="2855">
        <v>3943.5</v>
      </c>
      <c r="J72" s="2854">
        <v>6.9516182500218102</v>
      </c>
      <c r="K72" s="2847"/>
      <c r="L72" s="2837"/>
      <c r="M72" s="2848"/>
      <c r="N72" s="2800"/>
      <c r="O72" s="2800"/>
      <c r="P72" s="2800"/>
      <c r="Q72" s="2800"/>
      <c r="R72" s="2800"/>
      <c r="S72" s="2800"/>
      <c r="T72" s="2800"/>
      <c r="U72" s="2800"/>
      <c r="V72" s="2800"/>
      <c r="W72" s="2800"/>
      <c r="X72" s="2800"/>
      <c r="Y72" s="2800"/>
      <c r="Z72" s="2800"/>
      <c r="AA72" s="2800"/>
      <c r="AB72" s="2800"/>
      <c r="AC72" s="2800"/>
      <c r="AD72" s="2800"/>
      <c r="AE72" s="2800"/>
      <c r="AF72" s="2800"/>
      <c r="AG72" s="2800"/>
      <c r="AH72" s="2800"/>
      <c r="AI72" s="2800"/>
      <c r="AJ72" s="2800"/>
      <c r="AK72" s="2800"/>
      <c r="AL72" s="2800"/>
      <c r="AM72" s="2800"/>
      <c r="AN72" s="2800"/>
      <c r="AO72" s="2800"/>
      <c r="AP72" s="2800"/>
      <c r="AQ72" s="2800"/>
      <c r="AR72" s="2800"/>
      <c r="AS72" s="2800"/>
      <c r="AT72" s="2800"/>
      <c r="AU72" s="2800"/>
      <c r="AV72" s="2800"/>
    </row>
    <row r="73" spans="1:48" s="2801" customFormat="1" ht="24" customHeight="1">
      <c r="A73" s="2838" t="s">
        <v>4182</v>
      </c>
      <c r="B73" s="2852">
        <v>11821</v>
      </c>
      <c r="C73" s="2850">
        <v>4934</v>
      </c>
      <c r="D73" s="2850">
        <v>121570</v>
      </c>
      <c r="E73" s="2856">
        <v>138325</v>
      </c>
      <c r="F73" s="2852">
        <v>1590</v>
      </c>
      <c r="G73" s="2853">
        <v>0.1</v>
      </c>
      <c r="H73" s="2854">
        <v>139915.1</v>
      </c>
      <c r="I73" s="2855">
        <v>3980.1</v>
      </c>
      <c r="J73" s="2854">
        <v>7</v>
      </c>
      <c r="K73" s="2847"/>
      <c r="L73" s="2837"/>
      <c r="M73" s="2848"/>
      <c r="N73" s="2800"/>
      <c r="O73" s="2800"/>
      <c r="P73" s="2800"/>
      <c r="Q73" s="2800"/>
      <c r="R73" s="2800"/>
      <c r="S73" s="2800"/>
      <c r="T73" s="2800"/>
      <c r="U73" s="2800"/>
      <c r="V73" s="2800"/>
      <c r="W73" s="2800"/>
      <c r="X73" s="2800"/>
      <c r="Y73" s="2800"/>
      <c r="Z73" s="2800"/>
      <c r="AA73" s="2800"/>
      <c r="AB73" s="2800"/>
      <c r="AC73" s="2800"/>
      <c r="AD73" s="2800"/>
      <c r="AE73" s="2800"/>
      <c r="AF73" s="2800"/>
      <c r="AG73" s="2800"/>
      <c r="AH73" s="2800"/>
      <c r="AI73" s="2800"/>
      <c r="AJ73" s="2800"/>
      <c r="AK73" s="2800"/>
      <c r="AL73" s="2800"/>
      <c r="AM73" s="2800"/>
      <c r="AN73" s="2800"/>
      <c r="AO73" s="2800"/>
      <c r="AP73" s="2800"/>
      <c r="AQ73" s="2800"/>
      <c r="AR73" s="2800"/>
      <c r="AS73" s="2800"/>
      <c r="AT73" s="2800"/>
      <c r="AU73" s="2800"/>
      <c r="AV73" s="2800"/>
    </row>
    <row r="74" spans="1:48" s="2801" customFormat="1" ht="24" customHeight="1" thickBot="1">
      <c r="A74" s="2857" t="s">
        <v>4183</v>
      </c>
      <c r="B74" s="2858">
        <v>10952</v>
      </c>
      <c r="C74" s="2859">
        <v>4936</v>
      </c>
      <c r="D74" s="2859">
        <v>125854</v>
      </c>
      <c r="E74" s="2860">
        <v>141742</v>
      </c>
      <c r="F74" s="2858">
        <v>1588</v>
      </c>
      <c r="G74" s="2861">
        <v>0.2</v>
      </c>
      <c r="H74" s="2862">
        <v>143330.20000000001</v>
      </c>
      <c r="I74" s="2863">
        <v>4048.541221199393</v>
      </c>
      <c r="J74" s="2862">
        <v>7.1</v>
      </c>
      <c r="K74" s="2847"/>
      <c r="L74" s="2837"/>
      <c r="M74" s="2848"/>
      <c r="N74" s="2800"/>
      <c r="O74" s="2800"/>
      <c r="P74" s="2800"/>
      <c r="Q74" s="2800"/>
      <c r="R74" s="2800"/>
      <c r="S74" s="2800"/>
      <c r="T74" s="2800"/>
      <c r="U74" s="2800"/>
      <c r="V74" s="2800"/>
      <c r="W74" s="2800"/>
      <c r="X74" s="2800"/>
      <c r="Y74" s="2800"/>
      <c r="Z74" s="2800"/>
      <c r="AA74" s="2800"/>
      <c r="AB74" s="2800"/>
      <c r="AC74" s="2800"/>
      <c r="AD74" s="2800"/>
      <c r="AE74" s="2800"/>
      <c r="AF74" s="2800"/>
      <c r="AG74" s="2800"/>
      <c r="AH74" s="2800"/>
      <c r="AI74" s="2800"/>
      <c r="AJ74" s="2800"/>
      <c r="AK74" s="2800"/>
      <c r="AL74" s="2800"/>
      <c r="AM74" s="2800"/>
      <c r="AN74" s="2800"/>
      <c r="AO74" s="2800"/>
      <c r="AP74" s="2800"/>
      <c r="AQ74" s="2800"/>
      <c r="AR74" s="2800"/>
      <c r="AS74" s="2800"/>
      <c r="AT74" s="2800"/>
      <c r="AU74" s="2800"/>
      <c r="AV74" s="2800"/>
    </row>
    <row r="75" spans="1:48" s="2867" customFormat="1" ht="18.75" customHeight="1" thickTop="1">
      <c r="A75" s="2864" t="s">
        <v>4184</v>
      </c>
      <c r="B75" s="2865"/>
      <c r="C75" s="2865"/>
      <c r="D75" s="2865"/>
      <c r="E75" s="2866"/>
      <c r="F75" s="2865"/>
      <c r="G75" s="2865"/>
      <c r="H75" s="2865"/>
      <c r="I75" s="2865"/>
      <c r="J75" s="2865"/>
    </row>
    <row r="76" spans="1:48" s="2798" customFormat="1" ht="18.75" customHeight="1">
      <c r="A76" s="2868" t="s">
        <v>4185</v>
      </c>
      <c r="B76" s="2868"/>
      <c r="D76" s="2866"/>
      <c r="E76" s="2866"/>
      <c r="F76" s="2866"/>
      <c r="G76" s="2869"/>
      <c r="H76" s="2865"/>
      <c r="I76" s="2865"/>
      <c r="J76" s="2865"/>
    </row>
    <row r="77" spans="1:48" s="2798" customFormat="1" ht="18.75" customHeight="1">
      <c r="A77" s="2864" t="s">
        <v>4186</v>
      </c>
    </row>
    <row r="78" spans="1:48" s="2798" customFormat="1" ht="18.75" customHeight="1">
      <c r="A78" s="2864" t="s">
        <v>2053</v>
      </c>
    </row>
    <row r="79" spans="1:48" s="2798" customFormat="1" ht="18.75" customHeight="1">
      <c r="B79" s="2870"/>
      <c r="C79" s="2870"/>
    </row>
    <row r="80" spans="1:48" s="2798" customFormat="1" ht="18.75" customHeight="1"/>
    <row r="81" spans="2:6" s="2798" customFormat="1" ht="18.75" customHeight="1"/>
    <row r="82" spans="2:6" s="2798" customFormat="1" ht="18.75" customHeight="1"/>
    <row r="83" spans="2:6" s="2798" customFormat="1">
      <c r="B83" s="2870"/>
      <c r="C83" s="2870"/>
      <c r="E83" s="2870"/>
      <c r="F83" s="2870"/>
    </row>
    <row r="84" spans="2:6" s="2798" customFormat="1">
      <c r="B84" s="2870"/>
      <c r="C84" s="2870"/>
    </row>
    <row r="85" spans="2:6" s="2798" customFormat="1"/>
    <row r="86" spans="2:6" s="2798" customFormat="1"/>
    <row r="87" spans="2:6" s="2798" customFormat="1"/>
    <row r="88" spans="2:6" s="2798" customFormat="1"/>
    <row r="89" spans="2:6" s="2798" customFormat="1"/>
    <row r="90" spans="2:6" s="2798" customFormat="1"/>
    <row r="91" spans="2:6" s="2798" customFormat="1"/>
    <row r="92" spans="2:6" s="2798" customFormat="1"/>
    <row r="93" spans="2:6" s="2798" customFormat="1"/>
    <row r="94" spans="2:6" s="2798" customFormat="1"/>
    <row r="95" spans="2:6" s="2798" customFormat="1"/>
    <row r="96" spans="2:6" s="2798" customFormat="1"/>
    <row r="97" s="2798" customFormat="1"/>
    <row r="98" s="2798" customFormat="1"/>
    <row r="99" s="2798" customFormat="1"/>
    <row r="100" s="2798" customFormat="1"/>
    <row r="101" s="2798" customFormat="1"/>
    <row r="102" s="2798" customFormat="1"/>
    <row r="103" s="2798" customFormat="1"/>
    <row r="104" s="2798" customFormat="1"/>
    <row r="105" s="2798" customFormat="1"/>
    <row r="106" s="2798" customFormat="1"/>
    <row r="107" s="2798" customFormat="1"/>
    <row r="108" s="2798" customFormat="1"/>
    <row r="109" s="2798" customFormat="1"/>
    <row r="110" s="2798" customFormat="1"/>
    <row r="111" s="2798" customFormat="1"/>
    <row r="112" s="2798" customFormat="1"/>
    <row r="113" s="2798" customFormat="1"/>
    <row r="114" s="2798" customFormat="1"/>
    <row r="115" s="2798" customFormat="1"/>
    <row r="116" s="2798" customFormat="1"/>
    <row r="117" s="2798" customFormat="1"/>
    <row r="118" s="2798" customFormat="1"/>
    <row r="119" s="2798" customFormat="1"/>
    <row r="120" s="2798" customFormat="1"/>
    <row r="121" s="2798" customFormat="1"/>
    <row r="122" s="2798" customFormat="1"/>
    <row r="123" s="2798" customFormat="1"/>
    <row r="124" s="2798" customFormat="1"/>
    <row r="125" s="2798" customFormat="1"/>
    <row r="126" s="2798" customFormat="1"/>
    <row r="127" s="2798" customFormat="1"/>
    <row r="128" s="2798" customFormat="1"/>
    <row r="129" s="2798" customFormat="1"/>
    <row r="130" s="2798" customFormat="1"/>
    <row r="131" s="2798" customFormat="1"/>
    <row r="132" s="2798" customFormat="1"/>
    <row r="133" s="2798" customFormat="1"/>
    <row r="134" s="2798" customFormat="1"/>
    <row r="135" s="2798" customFormat="1"/>
    <row r="136" s="2798" customFormat="1"/>
    <row r="137" s="2798" customFormat="1"/>
    <row r="138" s="2798" customFormat="1"/>
    <row r="139" s="2798" customFormat="1"/>
    <row r="140" s="2798" customFormat="1"/>
    <row r="141" s="2798" customFormat="1"/>
    <row r="142" s="2798" customFormat="1"/>
    <row r="143" s="2798" customFormat="1"/>
    <row r="144" s="2798" customFormat="1"/>
    <row r="145" s="2798" customFormat="1"/>
    <row r="146" s="2798" customFormat="1"/>
    <row r="147" s="2798" customFormat="1"/>
    <row r="148" s="2798" customFormat="1"/>
    <row r="149" s="2798" customFormat="1"/>
    <row r="150" s="2798" customFormat="1"/>
    <row r="151" s="2798" customFormat="1"/>
    <row r="152" s="2798" customFormat="1"/>
    <row r="153" s="2798" customFormat="1"/>
    <row r="154" s="2798" customFormat="1"/>
    <row r="155" s="2798" customFormat="1"/>
    <row r="156" s="2798" customFormat="1"/>
    <row r="157" s="2798" customFormat="1"/>
    <row r="158" s="2798" customFormat="1"/>
    <row r="159" s="2798" customFormat="1"/>
    <row r="160" s="2798" customFormat="1"/>
    <row r="161" s="2798" customFormat="1"/>
    <row r="162" s="2798" customFormat="1"/>
    <row r="163" s="2798" customFormat="1"/>
    <row r="164" s="2798" customFormat="1"/>
    <row r="165" s="2798" customFormat="1"/>
    <row r="166" s="2798" customFormat="1"/>
    <row r="167" s="2798" customFormat="1"/>
    <row r="168" s="2798" customFormat="1"/>
    <row r="169" s="2798" customFormat="1"/>
    <row r="170" s="2798" customFormat="1"/>
    <row r="171" s="2798" customFormat="1"/>
    <row r="172" s="2798" customFormat="1"/>
    <row r="173" s="2798" customFormat="1"/>
    <row r="174" s="2798" customFormat="1"/>
    <row r="175" s="2798" customFormat="1"/>
    <row r="176" s="2798" customFormat="1"/>
    <row r="177" s="2798" customFormat="1"/>
    <row r="178" s="2798" customFormat="1"/>
    <row r="179" s="2798" customFormat="1"/>
    <row r="180" s="2798" customFormat="1"/>
    <row r="181" s="2798" customFormat="1"/>
    <row r="182" s="2798" customFormat="1"/>
    <row r="183" s="2798" customFormat="1"/>
    <row r="184" s="2798" customFormat="1"/>
    <row r="185" s="2798" customFormat="1"/>
    <row r="186" s="2798" customFormat="1"/>
    <row r="187" s="2798" customFormat="1"/>
    <row r="188" s="2798" customFormat="1"/>
    <row r="189" s="2798" customFormat="1"/>
    <row r="190" s="2798" customFormat="1"/>
    <row r="191" s="2798" customFormat="1"/>
    <row r="192" s="2798" customFormat="1"/>
    <row r="193" s="2798" customFormat="1"/>
    <row r="194" s="2798" customFormat="1"/>
    <row r="195" s="2798" customFormat="1"/>
    <row r="196" s="2798" customFormat="1"/>
    <row r="197" s="2798" customFormat="1"/>
    <row r="198" s="2798" customFormat="1"/>
    <row r="199" s="2798" customFormat="1"/>
    <row r="200" s="2798" customFormat="1"/>
    <row r="201" s="2798" customFormat="1"/>
    <row r="202" s="2798" customFormat="1"/>
    <row r="203" s="2798" customFormat="1"/>
    <row r="204" s="2798" customFormat="1"/>
    <row r="205" s="2798" customFormat="1"/>
    <row r="206" s="2798" customFormat="1"/>
    <row r="207" s="2798" customFormat="1"/>
    <row r="208" s="2798" customFormat="1"/>
    <row r="209" s="2798" customFormat="1"/>
    <row r="210" s="2798" customFormat="1"/>
    <row r="211" s="2798" customFormat="1"/>
    <row r="212" s="2798" customFormat="1"/>
    <row r="213" s="2798" customFormat="1"/>
    <row r="214" s="2798" customFormat="1"/>
    <row r="215" s="2798" customFormat="1"/>
    <row r="216" s="2798" customFormat="1"/>
    <row r="217" s="2798" customFormat="1"/>
    <row r="218" s="2798" customFormat="1"/>
    <row r="219" s="2798" customFormat="1"/>
    <row r="220" s="2798" customFormat="1"/>
    <row r="221" s="2798" customFormat="1"/>
    <row r="222" s="2798" customFormat="1"/>
    <row r="223" s="2798" customFormat="1"/>
    <row r="224" s="2798" customFormat="1"/>
    <row r="225" s="2798" customFormat="1"/>
    <row r="226" s="2798" customFormat="1"/>
    <row r="227" s="2798" customFormat="1"/>
    <row r="228" s="2798" customFormat="1"/>
    <row r="229" s="2798" customFormat="1"/>
    <row r="230" s="2798" customFormat="1"/>
    <row r="231" s="2798" customFormat="1"/>
    <row r="232" s="2798" customFormat="1"/>
    <row r="233" s="2798" customFormat="1"/>
    <row r="234" s="2798" customFormat="1"/>
    <row r="235" s="2798" customFormat="1"/>
    <row r="236" s="2798" customFormat="1"/>
    <row r="237" s="2798" customFormat="1"/>
    <row r="238" s="2798" customFormat="1"/>
    <row r="239" s="2798" customFormat="1"/>
    <row r="240" s="2798" customFormat="1"/>
    <row r="241" s="2798" customFormat="1"/>
    <row r="242" s="2798" customFormat="1"/>
    <row r="243" s="2798" customFormat="1"/>
    <row r="244" s="2798" customFormat="1"/>
    <row r="245" s="2798" customFormat="1"/>
    <row r="246" s="2798" customFormat="1"/>
    <row r="247" s="2798" customFormat="1"/>
    <row r="248" s="2798" customFormat="1"/>
    <row r="249" s="2798" customFormat="1"/>
    <row r="250" s="2798" customFormat="1"/>
    <row r="251" s="2798" customFormat="1"/>
    <row r="252" s="2798" customFormat="1"/>
    <row r="253" s="2798" customFormat="1"/>
    <row r="254" s="2798" customFormat="1"/>
    <row r="255" s="2798" customFormat="1"/>
    <row r="256" s="2798" customFormat="1"/>
    <row r="257" s="2798" customFormat="1"/>
  </sheetData>
  <mergeCells count="9">
    <mergeCell ref="I3:I6"/>
    <mergeCell ref="J3:J6"/>
    <mergeCell ref="B4:E4"/>
    <mergeCell ref="B5:E5"/>
    <mergeCell ref="B7:H7"/>
    <mergeCell ref="B3:E3"/>
    <mergeCell ref="F3:F6"/>
    <mergeCell ref="G3:G6"/>
    <mergeCell ref="H3:H6"/>
  </mergeCells>
  <printOptions horizontalCentered="1" verticalCentered="1"/>
  <pageMargins left="0" right="0" top="0.49803149600000002" bottom="0" header="0" footer="0"/>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8"/>
  <sheetViews>
    <sheetView zoomScale="110" zoomScaleNormal="110" workbookViewId="0">
      <selection activeCell="P138" sqref="P138"/>
    </sheetView>
  </sheetViews>
  <sheetFormatPr defaultRowHeight="15"/>
  <cols>
    <col min="1" max="1" width="16" style="2928" customWidth="1"/>
    <col min="2" max="2" width="12.7109375" style="2877" customWidth="1"/>
    <col min="3" max="3" width="11.85546875" style="2877" customWidth="1"/>
    <col min="4" max="4" width="10.42578125" style="2877" customWidth="1"/>
    <col min="5" max="5" width="10.28515625" style="2877" customWidth="1"/>
    <col min="6" max="6" width="8.28515625" style="2877" customWidth="1"/>
    <col min="7" max="7" width="9.85546875" style="2877" customWidth="1"/>
    <col min="8" max="8" width="8.7109375" style="2877" customWidth="1"/>
    <col min="9" max="9" width="9.7109375" style="2877" customWidth="1"/>
    <col min="10" max="10" width="12.85546875" style="2877" customWidth="1"/>
    <col min="11" max="11" width="9.85546875" style="2877" customWidth="1"/>
    <col min="12" max="12" width="10.7109375" style="2877" customWidth="1"/>
    <col min="13" max="256" width="9.140625" style="2877"/>
    <col min="257" max="257" width="16.5703125" style="2877" customWidth="1"/>
    <col min="258" max="258" width="10.42578125" style="2877" customWidth="1"/>
    <col min="259" max="259" width="11.85546875" style="2877" customWidth="1"/>
    <col min="260" max="260" width="10.42578125" style="2877" customWidth="1"/>
    <col min="261" max="261" width="10.28515625" style="2877" customWidth="1"/>
    <col min="262" max="262" width="8.28515625" style="2877" customWidth="1"/>
    <col min="263" max="263" width="11" style="2877" customWidth="1"/>
    <col min="264" max="264" width="8.7109375" style="2877" customWidth="1"/>
    <col min="265" max="265" width="9.7109375" style="2877" customWidth="1"/>
    <col min="266" max="266" width="12.85546875" style="2877" customWidth="1"/>
    <col min="267" max="267" width="9.85546875" style="2877" customWidth="1"/>
    <col min="268" max="268" width="8.7109375" style="2877" customWidth="1"/>
    <col min="269" max="512" width="9.140625" style="2877"/>
    <col min="513" max="513" width="16.5703125" style="2877" customWidth="1"/>
    <col min="514" max="514" width="10.42578125" style="2877" customWidth="1"/>
    <col min="515" max="515" width="11.85546875" style="2877" customWidth="1"/>
    <col min="516" max="516" width="10.42578125" style="2877" customWidth="1"/>
    <col min="517" max="517" width="10.28515625" style="2877" customWidth="1"/>
    <col min="518" max="518" width="8.28515625" style="2877" customWidth="1"/>
    <col min="519" max="519" width="11" style="2877" customWidth="1"/>
    <col min="520" max="520" width="8.7109375" style="2877" customWidth="1"/>
    <col min="521" max="521" width="9.7109375" style="2877" customWidth="1"/>
    <col min="522" max="522" width="12.85546875" style="2877" customWidth="1"/>
    <col min="523" max="523" width="9.85546875" style="2877" customWidth="1"/>
    <col min="524" max="524" width="8.7109375" style="2877" customWidth="1"/>
    <col min="525" max="768" width="9.140625" style="2877"/>
    <col min="769" max="769" width="16.5703125" style="2877" customWidth="1"/>
    <col min="770" max="770" width="10.42578125" style="2877" customWidth="1"/>
    <col min="771" max="771" width="11.85546875" style="2877" customWidth="1"/>
    <col min="772" max="772" width="10.42578125" style="2877" customWidth="1"/>
    <col min="773" max="773" width="10.28515625" style="2877" customWidth="1"/>
    <col min="774" max="774" width="8.28515625" style="2877" customWidth="1"/>
    <col min="775" max="775" width="11" style="2877" customWidth="1"/>
    <col min="776" max="776" width="8.7109375" style="2877" customWidth="1"/>
    <col min="777" max="777" width="9.7109375" style="2877" customWidth="1"/>
    <col min="778" max="778" width="12.85546875" style="2877" customWidth="1"/>
    <col min="779" max="779" width="9.85546875" style="2877" customWidth="1"/>
    <col min="780" max="780" width="8.7109375" style="2877" customWidth="1"/>
    <col min="781" max="1024" width="9.140625" style="2877"/>
    <col min="1025" max="1025" width="16.5703125" style="2877" customWidth="1"/>
    <col min="1026" max="1026" width="10.42578125" style="2877" customWidth="1"/>
    <col min="1027" max="1027" width="11.85546875" style="2877" customWidth="1"/>
    <col min="1028" max="1028" width="10.42578125" style="2877" customWidth="1"/>
    <col min="1029" max="1029" width="10.28515625" style="2877" customWidth="1"/>
    <col min="1030" max="1030" width="8.28515625" style="2877" customWidth="1"/>
    <col min="1031" max="1031" width="11" style="2877" customWidth="1"/>
    <col min="1032" max="1032" width="8.7109375" style="2877" customWidth="1"/>
    <col min="1033" max="1033" width="9.7109375" style="2877" customWidth="1"/>
    <col min="1034" max="1034" width="12.85546875" style="2877" customWidth="1"/>
    <col min="1035" max="1035" width="9.85546875" style="2877" customWidth="1"/>
    <col min="1036" max="1036" width="8.7109375" style="2877" customWidth="1"/>
    <col min="1037" max="1280" width="9.140625" style="2877"/>
    <col min="1281" max="1281" width="16.5703125" style="2877" customWidth="1"/>
    <col min="1282" max="1282" width="10.42578125" style="2877" customWidth="1"/>
    <col min="1283" max="1283" width="11.85546875" style="2877" customWidth="1"/>
    <col min="1284" max="1284" width="10.42578125" style="2877" customWidth="1"/>
    <col min="1285" max="1285" width="10.28515625" style="2877" customWidth="1"/>
    <col min="1286" max="1286" width="8.28515625" style="2877" customWidth="1"/>
    <col min="1287" max="1287" width="11" style="2877" customWidth="1"/>
    <col min="1288" max="1288" width="8.7109375" style="2877" customWidth="1"/>
    <col min="1289" max="1289" width="9.7109375" style="2877" customWidth="1"/>
    <col min="1290" max="1290" width="12.85546875" style="2877" customWidth="1"/>
    <col min="1291" max="1291" width="9.85546875" style="2877" customWidth="1"/>
    <col min="1292" max="1292" width="8.7109375" style="2877" customWidth="1"/>
    <col min="1293" max="1536" width="9.140625" style="2877"/>
    <col min="1537" max="1537" width="16.5703125" style="2877" customWidth="1"/>
    <col min="1538" max="1538" width="10.42578125" style="2877" customWidth="1"/>
    <col min="1539" max="1539" width="11.85546875" style="2877" customWidth="1"/>
    <col min="1540" max="1540" width="10.42578125" style="2877" customWidth="1"/>
    <col min="1541" max="1541" width="10.28515625" style="2877" customWidth="1"/>
    <col min="1542" max="1542" width="8.28515625" style="2877" customWidth="1"/>
    <col min="1543" max="1543" width="11" style="2877" customWidth="1"/>
    <col min="1544" max="1544" width="8.7109375" style="2877" customWidth="1"/>
    <col min="1545" max="1545" width="9.7109375" style="2877" customWidth="1"/>
    <col min="1546" max="1546" width="12.85546875" style="2877" customWidth="1"/>
    <col min="1547" max="1547" width="9.85546875" style="2877" customWidth="1"/>
    <col min="1548" max="1548" width="8.7109375" style="2877" customWidth="1"/>
    <col min="1549" max="1792" width="9.140625" style="2877"/>
    <col min="1793" max="1793" width="16.5703125" style="2877" customWidth="1"/>
    <col min="1794" max="1794" width="10.42578125" style="2877" customWidth="1"/>
    <col min="1795" max="1795" width="11.85546875" style="2877" customWidth="1"/>
    <col min="1796" max="1796" width="10.42578125" style="2877" customWidth="1"/>
    <col min="1797" max="1797" width="10.28515625" style="2877" customWidth="1"/>
    <col min="1798" max="1798" width="8.28515625" style="2877" customWidth="1"/>
    <col min="1799" max="1799" width="11" style="2877" customWidth="1"/>
    <col min="1800" max="1800" width="8.7109375" style="2877" customWidth="1"/>
    <col min="1801" max="1801" width="9.7109375" style="2877" customWidth="1"/>
    <col min="1802" max="1802" width="12.85546875" style="2877" customWidth="1"/>
    <col min="1803" max="1803" width="9.85546875" style="2877" customWidth="1"/>
    <col min="1804" max="1804" width="8.7109375" style="2877" customWidth="1"/>
    <col min="1805" max="2048" width="9.140625" style="2877"/>
    <col min="2049" max="2049" width="16.5703125" style="2877" customWidth="1"/>
    <col min="2050" max="2050" width="10.42578125" style="2877" customWidth="1"/>
    <col min="2051" max="2051" width="11.85546875" style="2877" customWidth="1"/>
    <col min="2052" max="2052" width="10.42578125" style="2877" customWidth="1"/>
    <col min="2053" max="2053" width="10.28515625" style="2877" customWidth="1"/>
    <col min="2054" max="2054" width="8.28515625" style="2877" customWidth="1"/>
    <col min="2055" max="2055" width="11" style="2877" customWidth="1"/>
    <col min="2056" max="2056" width="8.7109375" style="2877" customWidth="1"/>
    <col min="2057" max="2057" width="9.7109375" style="2877" customWidth="1"/>
    <col min="2058" max="2058" width="12.85546875" style="2877" customWidth="1"/>
    <col min="2059" max="2059" width="9.85546875" style="2877" customWidth="1"/>
    <col min="2060" max="2060" width="8.7109375" style="2877" customWidth="1"/>
    <col min="2061" max="2304" width="9.140625" style="2877"/>
    <col min="2305" max="2305" width="16.5703125" style="2877" customWidth="1"/>
    <col min="2306" max="2306" width="10.42578125" style="2877" customWidth="1"/>
    <col min="2307" max="2307" width="11.85546875" style="2877" customWidth="1"/>
    <col min="2308" max="2308" width="10.42578125" style="2877" customWidth="1"/>
    <col min="2309" max="2309" width="10.28515625" style="2877" customWidth="1"/>
    <col min="2310" max="2310" width="8.28515625" style="2877" customWidth="1"/>
    <col min="2311" max="2311" width="11" style="2877" customWidth="1"/>
    <col min="2312" max="2312" width="8.7109375" style="2877" customWidth="1"/>
    <col min="2313" max="2313" width="9.7109375" style="2877" customWidth="1"/>
    <col min="2314" max="2314" width="12.85546875" style="2877" customWidth="1"/>
    <col min="2315" max="2315" width="9.85546875" style="2877" customWidth="1"/>
    <col min="2316" max="2316" width="8.7109375" style="2877" customWidth="1"/>
    <col min="2317" max="2560" width="9.140625" style="2877"/>
    <col min="2561" max="2561" width="16.5703125" style="2877" customWidth="1"/>
    <col min="2562" max="2562" width="10.42578125" style="2877" customWidth="1"/>
    <col min="2563" max="2563" width="11.85546875" style="2877" customWidth="1"/>
    <col min="2564" max="2564" width="10.42578125" style="2877" customWidth="1"/>
    <col min="2565" max="2565" width="10.28515625" style="2877" customWidth="1"/>
    <col min="2566" max="2566" width="8.28515625" style="2877" customWidth="1"/>
    <col min="2567" max="2567" width="11" style="2877" customWidth="1"/>
    <col min="2568" max="2568" width="8.7109375" style="2877" customWidth="1"/>
    <col min="2569" max="2569" width="9.7109375" style="2877" customWidth="1"/>
    <col min="2570" max="2570" width="12.85546875" style="2877" customWidth="1"/>
    <col min="2571" max="2571" width="9.85546875" style="2877" customWidth="1"/>
    <col min="2572" max="2572" width="8.7109375" style="2877" customWidth="1"/>
    <col min="2573" max="2816" width="9.140625" style="2877"/>
    <col min="2817" max="2817" width="16.5703125" style="2877" customWidth="1"/>
    <col min="2818" max="2818" width="10.42578125" style="2877" customWidth="1"/>
    <col min="2819" max="2819" width="11.85546875" style="2877" customWidth="1"/>
    <col min="2820" max="2820" width="10.42578125" style="2877" customWidth="1"/>
    <col min="2821" max="2821" width="10.28515625" style="2877" customWidth="1"/>
    <col min="2822" max="2822" width="8.28515625" style="2877" customWidth="1"/>
    <col min="2823" max="2823" width="11" style="2877" customWidth="1"/>
    <col min="2824" max="2824" width="8.7109375" style="2877" customWidth="1"/>
    <col min="2825" max="2825" width="9.7109375" style="2877" customWidth="1"/>
    <col min="2826" max="2826" width="12.85546875" style="2877" customWidth="1"/>
    <col min="2827" max="2827" width="9.85546875" style="2877" customWidth="1"/>
    <col min="2828" max="2828" width="8.7109375" style="2877" customWidth="1"/>
    <col min="2829" max="3072" width="9.140625" style="2877"/>
    <col min="3073" max="3073" width="16.5703125" style="2877" customWidth="1"/>
    <col min="3074" max="3074" width="10.42578125" style="2877" customWidth="1"/>
    <col min="3075" max="3075" width="11.85546875" style="2877" customWidth="1"/>
    <col min="3076" max="3076" width="10.42578125" style="2877" customWidth="1"/>
    <col min="3077" max="3077" width="10.28515625" style="2877" customWidth="1"/>
    <col min="3078" max="3078" width="8.28515625" style="2877" customWidth="1"/>
    <col min="3079" max="3079" width="11" style="2877" customWidth="1"/>
    <col min="3080" max="3080" width="8.7109375" style="2877" customWidth="1"/>
    <col min="3081" max="3081" width="9.7109375" style="2877" customWidth="1"/>
    <col min="3082" max="3082" width="12.85546875" style="2877" customWidth="1"/>
    <col min="3083" max="3083" width="9.85546875" style="2877" customWidth="1"/>
    <col min="3084" max="3084" width="8.7109375" style="2877" customWidth="1"/>
    <col min="3085" max="3328" width="9.140625" style="2877"/>
    <col min="3329" max="3329" width="16.5703125" style="2877" customWidth="1"/>
    <col min="3330" max="3330" width="10.42578125" style="2877" customWidth="1"/>
    <col min="3331" max="3331" width="11.85546875" style="2877" customWidth="1"/>
    <col min="3332" max="3332" width="10.42578125" style="2877" customWidth="1"/>
    <col min="3333" max="3333" width="10.28515625" style="2877" customWidth="1"/>
    <col min="3334" max="3334" width="8.28515625" style="2877" customWidth="1"/>
    <col min="3335" max="3335" width="11" style="2877" customWidth="1"/>
    <col min="3336" max="3336" width="8.7109375" style="2877" customWidth="1"/>
    <col min="3337" max="3337" width="9.7109375" style="2877" customWidth="1"/>
    <col min="3338" max="3338" width="12.85546875" style="2877" customWidth="1"/>
    <col min="3339" max="3339" width="9.85546875" style="2877" customWidth="1"/>
    <col min="3340" max="3340" width="8.7109375" style="2877" customWidth="1"/>
    <col min="3341" max="3584" width="9.140625" style="2877"/>
    <col min="3585" max="3585" width="16.5703125" style="2877" customWidth="1"/>
    <col min="3586" max="3586" width="10.42578125" style="2877" customWidth="1"/>
    <col min="3587" max="3587" width="11.85546875" style="2877" customWidth="1"/>
    <col min="3588" max="3588" width="10.42578125" style="2877" customWidth="1"/>
    <col min="3589" max="3589" width="10.28515625" style="2877" customWidth="1"/>
    <col min="3590" max="3590" width="8.28515625" style="2877" customWidth="1"/>
    <col min="3591" max="3591" width="11" style="2877" customWidth="1"/>
    <col min="3592" max="3592" width="8.7109375" style="2877" customWidth="1"/>
    <col min="3593" max="3593" width="9.7109375" style="2877" customWidth="1"/>
    <col min="3594" max="3594" width="12.85546875" style="2877" customWidth="1"/>
    <col min="3595" max="3595" width="9.85546875" style="2877" customWidth="1"/>
    <col min="3596" max="3596" width="8.7109375" style="2877" customWidth="1"/>
    <col min="3597" max="3840" width="9.140625" style="2877"/>
    <col min="3841" max="3841" width="16.5703125" style="2877" customWidth="1"/>
    <col min="3842" max="3842" width="10.42578125" style="2877" customWidth="1"/>
    <col min="3843" max="3843" width="11.85546875" style="2877" customWidth="1"/>
    <col min="3844" max="3844" width="10.42578125" style="2877" customWidth="1"/>
    <col min="3845" max="3845" width="10.28515625" style="2877" customWidth="1"/>
    <col min="3846" max="3846" width="8.28515625" style="2877" customWidth="1"/>
    <col min="3847" max="3847" width="11" style="2877" customWidth="1"/>
    <col min="3848" max="3848" width="8.7109375" style="2877" customWidth="1"/>
    <col min="3849" max="3849" width="9.7109375" style="2877" customWidth="1"/>
    <col min="3850" max="3850" width="12.85546875" style="2877" customWidth="1"/>
    <col min="3851" max="3851" width="9.85546875" style="2877" customWidth="1"/>
    <col min="3852" max="3852" width="8.7109375" style="2877" customWidth="1"/>
    <col min="3853" max="4096" width="9.140625" style="2877"/>
    <col min="4097" max="4097" width="16.5703125" style="2877" customWidth="1"/>
    <col min="4098" max="4098" width="10.42578125" style="2877" customWidth="1"/>
    <col min="4099" max="4099" width="11.85546875" style="2877" customWidth="1"/>
    <col min="4100" max="4100" width="10.42578125" style="2877" customWidth="1"/>
    <col min="4101" max="4101" width="10.28515625" style="2877" customWidth="1"/>
    <col min="4102" max="4102" width="8.28515625" style="2877" customWidth="1"/>
    <col min="4103" max="4103" width="11" style="2877" customWidth="1"/>
    <col min="4104" max="4104" width="8.7109375" style="2877" customWidth="1"/>
    <col min="4105" max="4105" width="9.7109375" style="2877" customWidth="1"/>
    <col min="4106" max="4106" width="12.85546875" style="2877" customWidth="1"/>
    <col min="4107" max="4107" width="9.85546875" style="2877" customWidth="1"/>
    <col min="4108" max="4108" width="8.7109375" style="2877" customWidth="1"/>
    <col min="4109" max="4352" width="9.140625" style="2877"/>
    <col min="4353" max="4353" width="16.5703125" style="2877" customWidth="1"/>
    <col min="4354" max="4354" width="10.42578125" style="2877" customWidth="1"/>
    <col min="4355" max="4355" width="11.85546875" style="2877" customWidth="1"/>
    <col min="4356" max="4356" width="10.42578125" style="2877" customWidth="1"/>
    <col min="4357" max="4357" width="10.28515625" style="2877" customWidth="1"/>
    <col min="4358" max="4358" width="8.28515625" style="2877" customWidth="1"/>
    <col min="4359" max="4359" width="11" style="2877" customWidth="1"/>
    <col min="4360" max="4360" width="8.7109375" style="2877" customWidth="1"/>
    <col min="4361" max="4361" width="9.7109375" style="2877" customWidth="1"/>
    <col min="4362" max="4362" width="12.85546875" style="2877" customWidth="1"/>
    <col min="4363" max="4363" width="9.85546875" style="2877" customWidth="1"/>
    <col min="4364" max="4364" width="8.7109375" style="2877" customWidth="1"/>
    <col min="4365" max="4608" width="9.140625" style="2877"/>
    <col min="4609" max="4609" width="16.5703125" style="2877" customWidth="1"/>
    <col min="4610" max="4610" width="10.42578125" style="2877" customWidth="1"/>
    <col min="4611" max="4611" width="11.85546875" style="2877" customWidth="1"/>
    <col min="4612" max="4612" width="10.42578125" style="2877" customWidth="1"/>
    <col min="4613" max="4613" width="10.28515625" style="2877" customWidth="1"/>
    <col min="4614" max="4614" width="8.28515625" style="2877" customWidth="1"/>
    <col min="4615" max="4615" width="11" style="2877" customWidth="1"/>
    <col min="4616" max="4616" width="8.7109375" style="2877" customWidth="1"/>
    <col min="4617" max="4617" width="9.7109375" style="2877" customWidth="1"/>
    <col min="4618" max="4618" width="12.85546875" style="2877" customWidth="1"/>
    <col min="4619" max="4619" width="9.85546875" style="2877" customWidth="1"/>
    <col min="4620" max="4620" width="8.7109375" style="2877" customWidth="1"/>
    <col min="4621" max="4864" width="9.140625" style="2877"/>
    <col min="4865" max="4865" width="16.5703125" style="2877" customWidth="1"/>
    <col min="4866" max="4866" width="10.42578125" style="2877" customWidth="1"/>
    <col min="4867" max="4867" width="11.85546875" style="2877" customWidth="1"/>
    <col min="4868" max="4868" width="10.42578125" style="2877" customWidth="1"/>
    <col min="4869" max="4869" width="10.28515625" style="2877" customWidth="1"/>
    <col min="4870" max="4870" width="8.28515625" style="2877" customWidth="1"/>
    <col min="4871" max="4871" width="11" style="2877" customWidth="1"/>
    <col min="4872" max="4872" width="8.7109375" style="2877" customWidth="1"/>
    <col min="4873" max="4873" width="9.7109375" style="2877" customWidth="1"/>
    <col min="4874" max="4874" width="12.85546875" style="2877" customWidth="1"/>
    <col min="4875" max="4875" width="9.85546875" style="2877" customWidth="1"/>
    <col min="4876" max="4876" width="8.7109375" style="2877" customWidth="1"/>
    <col min="4877" max="5120" width="9.140625" style="2877"/>
    <col min="5121" max="5121" width="16.5703125" style="2877" customWidth="1"/>
    <col min="5122" max="5122" width="10.42578125" style="2877" customWidth="1"/>
    <col min="5123" max="5123" width="11.85546875" style="2877" customWidth="1"/>
    <col min="5124" max="5124" width="10.42578125" style="2877" customWidth="1"/>
    <col min="5125" max="5125" width="10.28515625" style="2877" customWidth="1"/>
    <col min="5126" max="5126" width="8.28515625" style="2877" customWidth="1"/>
    <col min="5127" max="5127" width="11" style="2877" customWidth="1"/>
    <col min="5128" max="5128" width="8.7109375" style="2877" customWidth="1"/>
    <col min="5129" max="5129" width="9.7109375" style="2877" customWidth="1"/>
    <col min="5130" max="5130" width="12.85546875" style="2877" customWidth="1"/>
    <col min="5131" max="5131" width="9.85546875" style="2877" customWidth="1"/>
    <col min="5132" max="5132" width="8.7109375" style="2877" customWidth="1"/>
    <col min="5133" max="5376" width="9.140625" style="2877"/>
    <col min="5377" max="5377" width="16.5703125" style="2877" customWidth="1"/>
    <col min="5378" max="5378" width="10.42578125" style="2877" customWidth="1"/>
    <col min="5379" max="5379" width="11.85546875" style="2877" customWidth="1"/>
    <col min="5380" max="5380" width="10.42578125" style="2877" customWidth="1"/>
    <col min="5381" max="5381" width="10.28515625" style="2877" customWidth="1"/>
    <col min="5382" max="5382" width="8.28515625" style="2877" customWidth="1"/>
    <col min="5383" max="5383" width="11" style="2877" customWidth="1"/>
    <col min="5384" max="5384" width="8.7109375" style="2877" customWidth="1"/>
    <col min="5385" max="5385" width="9.7109375" style="2877" customWidth="1"/>
    <col min="5386" max="5386" width="12.85546875" style="2877" customWidth="1"/>
    <col min="5387" max="5387" width="9.85546875" style="2877" customWidth="1"/>
    <col min="5388" max="5388" width="8.7109375" style="2877" customWidth="1"/>
    <col min="5389" max="5632" width="9.140625" style="2877"/>
    <col min="5633" max="5633" width="16.5703125" style="2877" customWidth="1"/>
    <col min="5634" max="5634" width="10.42578125" style="2877" customWidth="1"/>
    <col min="5635" max="5635" width="11.85546875" style="2877" customWidth="1"/>
    <col min="5636" max="5636" width="10.42578125" style="2877" customWidth="1"/>
    <col min="5637" max="5637" width="10.28515625" style="2877" customWidth="1"/>
    <col min="5638" max="5638" width="8.28515625" style="2877" customWidth="1"/>
    <col min="5639" max="5639" width="11" style="2877" customWidth="1"/>
    <col min="5640" max="5640" width="8.7109375" style="2877" customWidth="1"/>
    <col min="5641" max="5641" width="9.7109375" style="2877" customWidth="1"/>
    <col min="5642" max="5642" width="12.85546875" style="2877" customWidth="1"/>
    <col min="5643" max="5643" width="9.85546875" style="2877" customWidth="1"/>
    <col min="5644" max="5644" width="8.7109375" style="2877" customWidth="1"/>
    <col min="5645" max="5888" width="9.140625" style="2877"/>
    <col min="5889" max="5889" width="16.5703125" style="2877" customWidth="1"/>
    <col min="5890" max="5890" width="10.42578125" style="2877" customWidth="1"/>
    <col min="5891" max="5891" width="11.85546875" style="2877" customWidth="1"/>
    <col min="5892" max="5892" width="10.42578125" style="2877" customWidth="1"/>
    <col min="5893" max="5893" width="10.28515625" style="2877" customWidth="1"/>
    <col min="5894" max="5894" width="8.28515625" style="2877" customWidth="1"/>
    <col min="5895" max="5895" width="11" style="2877" customWidth="1"/>
    <col min="5896" max="5896" width="8.7109375" style="2877" customWidth="1"/>
    <col min="5897" max="5897" width="9.7109375" style="2877" customWidth="1"/>
    <col min="5898" max="5898" width="12.85546875" style="2877" customWidth="1"/>
    <col min="5899" max="5899" width="9.85546875" style="2877" customWidth="1"/>
    <col min="5900" max="5900" width="8.7109375" style="2877" customWidth="1"/>
    <col min="5901" max="6144" width="9.140625" style="2877"/>
    <col min="6145" max="6145" width="16.5703125" style="2877" customWidth="1"/>
    <col min="6146" max="6146" width="10.42578125" style="2877" customWidth="1"/>
    <col min="6147" max="6147" width="11.85546875" style="2877" customWidth="1"/>
    <col min="6148" max="6148" width="10.42578125" style="2877" customWidth="1"/>
    <col min="6149" max="6149" width="10.28515625" style="2877" customWidth="1"/>
    <col min="6150" max="6150" width="8.28515625" style="2877" customWidth="1"/>
    <col min="6151" max="6151" width="11" style="2877" customWidth="1"/>
    <col min="6152" max="6152" width="8.7109375" style="2877" customWidth="1"/>
    <col min="6153" max="6153" width="9.7109375" style="2877" customWidth="1"/>
    <col min="6154" max="6154" width="12.85546875" style="2877" customWidth="1"/>
    <col min="6155" max="6155" width="9.85546875" style="2877" customWidth="1"/>
    <col min="6156" max="6156" width="8.7109375" style="2877" customWidth="1"/>
    <col min="6157" max="6400" width="9.140625" style="2877"/>
    <col min="6401" max="6401" width="16.5703125" style="2877" customWidth="1"/>
    <col min="6402" max="6402" width="10.42578125" style="2877" customWidth="1"/>
    <col min="6403" max="6403" width="11.85546875" style="2877" customWidth="1"/>
    <col min="6404" max="6404" width="10.42578125" style="2877" customWidth="1"/>
    <col min="6405" max="6405" width="10.28515625" style="2877" customWidth="1"/>
    <col min="6406" max="6406" width="8.28515625" style="2877" customWidth="1"/>
    <col min="6407" max="6407" width="11" style="2877" customWidth="1"/>
    <col min="6408" max="6408" width="8.7109375" style="2877" customWidth="1"/>
    <col min="6409" max="6409" width="9.7109375" style="2877" customWidth="1"/>
    <col min="6410" max="6410" width="12.85546875" style="2877" customWidth="1"/>
    <col min="6411" max="6411" width="9.85546875" style="2877" customWidth="1"/>
    <col min="6412" max="6412" width="8.7109375" style="2877" customWidth="1"/>
    <col min="6413" max="6656" width="9.140625" style="2877"/>
    <col min="6657" max="6657" width="16.5703125" style="2877" customWidth="1"/>
    <col min="6658" max="6658" width="10.42578125" style="2877" customWidth="1"/>
    <col min="6659" max="6659" width="11.85546875" style="2877" customWidth="1"/>
    <col min="6660" max="6660" width="10.42578125" style="2877" customWidth="1"/>
    <col min="6661" max="6661" width="10.28515625" style="2877" customWidth="1"/>
    <col min="6662" max="6662" width="8.28515625" style="2877" customWidth="1"/>
    <col min="6663" max="6663" width="11" style="2877" customWidth="1"/>
    <col min="6664" max="6664" width="8.7109375" style="2877" customWidth="1"/>
    <col min="6665" max="6665" width="9.7109375" style="2877" customWidth="1"/>
    <col min="6666" max="6666" width="12.85546875" style="2877" customWidth="1"/>
    <col min="6667" max="6667" width="9.85546875" style="2877" customWidth="1"/>
    <col min="6668" max="6668" width="8.7109375" style="2877" customWidth="1"/>
    <col min="6669" max="6912" width="9.140625" style="2877"/>
    <col min="6913" max="6913" width="16.5703125" style="2877" customWidth="1"/>
    <col min="6914" max="6914" width="10.42578125" style="2877" customWidth="1"/>
    <col min="6915" max="6915" width="11.85546875" style="2877" customWidth="1"/>
    <col min="6916" max="6916" width="10.42578125" style="2877" customWidth="1"/>
    <col min="6917" max="6917" width="10.28515625" style="2877" customWidth="1"/>
    <col min="6918" max="6918" width="8.28515625" style="2877" customWidth="1"/>
    <col min="6919" max="6919" width="11" style="2877" customWidth="1"/>
    <col min="6920" max="6920" width="8.7109375" style="2877" customWidth="1"/>
    <col min="6921" max="6921" width="9.7109375" style="2877" customWidth="1"/>
    <col min="6922" max="6922" width="12.85546875" style="2877" customWidth="1"/>
    <col min="6923" max="6923" width="9.85546875" style="2877" customWidth="1"/>
    <col min="6924" max="6924" width="8.7109375" style="2877" customWidth="1"/>
    <col min="6925" max="7168" width="9.140625" style="2877"/>
    <col min="7169" max="7169" width="16.5703125" style="2877" customWidth="1"/>
    <col min="7170" max="7170" width="10.42578125" style="2877" customWidth="1"/>
    <col min="7171" max="7171" width="11.85546875" style="2877" customWidth="1"/>
    <col min="7172" max="7172" width="10.42578125" style="2877" customWidth="1"/>
    <col min="7173" max="7173" width="10.28515625" style="2877" customWidth="1"/>
    <col min="7174" max="7174" width="8.28515625" style="2877" customWidth="1"/>
    <col min="7175" max="7175" width="11" style="2877" customWidth="1"/>
    <col min="7176" max="7176" width="8.7109375" style="2877" customWidth="1"/>
    <col min="7177" max="7177" width="9.7109375" style="2877" customWidth="1"/>
    <col min="7178" max="7178" width="12.85546875" style="2877" customWidth="1"/>
    <col min="7179" max="7179" width="9.85546875" style="2877" customWidth="1"/>
    <col min="7180" max="7180" width="8.7109375" style="2877" customWidth="1"/>
    <col min="7181" max="7424" width="9.140625" style="2877"/>
    <col min="7425" max="7425" width="16.5703125" style="2877" customWidth="1"/>
    <col min="7426" max="7426" width="10.42578125" style="2877" customWidth="1"/>
    <col min="7427" max="7427" width="11.85546875" style="2877" customWidth="1"/>
    <col min="7428" max="7428" width="10.42578125" style="2877" customWidth="1"/>
    <col min="7429" max="7429" width="10.28515625" style="2877" customWidth="1"/>
    <col min="7430" max="7430" width="8.28515625" style="2877" customWidth="1"/>
    <col min="7431" max="7431" width="11" style="2877" customWidth="1"/>
    <col min="7432" max="7432" width="8.7109375" style="2877" customWidth="1"/>
    <col min="7433" max="7433" width="9.7109375" style="2877" customWidth="1"/>
    <col min="7434" max="7434" width="12.85546875" style="2877" customWidth="1"/>
    <col min="7435" max="7435" width="9.85546875" style="2877" customWidth="1"/>
    <col min="7436" max="7436" width="8.7109375" style="2877" customWidth="1"/>
    <col min="7437" max="7680" width="9.140625" style="2877"/>
    <col min="7681" max="7681" width="16.5703125" style="2877" customWidth="1"/>
    <col min="7682" max="7682" width="10.42578125" style="2877" customWidth="1"/>
    <col min="7683" max="7683" width="11.85546875" style="2877" customWidth="1"/>
    <col min="7684" max="7684" width="10.42578125" style="2877" customWidth="1"/>
    <col min="7685" max="7685" width="10.28515625" style="2877" customWidth="1"/>
    <col min="7686" max="7686" width="8.28515625" style="2877" customWidth="1"/>
    <col min="7687" max="7687" width="11" style="2877" customWidth="1"/>
    <col min="7688" max="7688" width="8.7109375" style="2877" customWidth="1"/>
    <col min="7689" max="7689" width="9.7109375" style="2877" customWidth="1"/>
    <col min="7690" max="7690" width="12.85546875" style="2877" customWidth="1"/>
    <col min="7691" max="7691" width="9.85546875" style="2877" customWidth="1"/>
    <col min="7692" max="7692" width="8.7109375" style="2877" customWidth="1"/>
    <col min="7693" max="7936" width="9.140625" style="2877"/>
    <col min="7937" max="7937" width="16.5703125" style="2877" customWidth="1"/>
    <col min="7938" max="7938" width="10.42578125" style="2877" customWidth="1"/>
    <col min="7939" max="7939" width="11.85546875" style="2877" customWidth="1"/>
    <col min="7940" max="7940" width="10.42578125" style="2877" customWidth="1"/>
    <col min="7941" max="7941" width="10.28515625" style="2877" customWidth="1"/>
    <col min="7942" max="7942" width="8.28515625" style="2877" customWidth="1"/>
    <col min="7943" max="7943" width="11" style="2877" customWidth="1"/>
    <col min="7944" max="7944" width="8.7109375" style="2877" customWidth="1"/>
    <col min="7945" max="7945" width="9.7109375" style="2877" customWidth="1"/>
    <col min="7946" max="7946" width="12.85546875" style="2877" customWidth="1"/>
    <col min="7947" max="7947" width="9.85546875" style="2877" customWidth="1"/>
    <col min="7948" max="7948" width="8.7109375" style="2877" customWidth="1"/>
    <col min="7949" max="8192" width="9.140625" style="2877"/>
    <col min="8193" max="8193" width="16.5703125" style="2877" customWidth="1"/>
    <col min="8194" max="8194" width="10.42578125" style="2877" customWidth="1"/>
    <col min="8195" max="8195" width="11.85546875" style="2877" customWidth="1"/>
    <col min="8196" max="8196" width="10.42578125" style="2877" customWidth="1"/>
    <col min="8197" max="8197" width="10.28515625" style="2877" customWidth="1"/>
    <col min="8198" max="8198" width="8.28515625" style="2877" customWidth="1"/>
    <col min="8199" max="8199" width="11" style="2877" customWidth="1"/>
    <col min="8200" max="8200" width="8.7109375" style="2877" customWidth="1"/>
    <col min="8201" max="8201" width="9.7109375" style="2877" customWidth="1"/>
    <col min="8202" max="8202" width="12.85546875" style="2877" customWidth="1"/>
    <col min="8203" max="8203" width="9.85546875" style="2877" customWidth="1"/>
    <col min="8204" max="8204" width="8.7109375" style="2877" customWidth="1"/>
    <col min="8205" max="8448" width="9.140625" style="2877"/>
    <col min="8449" max="8449" width="16.5703125" style="2877" customWidth="1"/>
    <col min="8450" max="8450" width="10.42578125" style="2877" customWidth="1"/>
    <col min="8451" max="8451" width="11.85546875" style="2877" customWidth="1"/>
    <col min="8452" max="8452" width="10.42578125" style="2877" customWidth="1"/>
    <col min="8453" max="8453" width="10.28515625" style="2877" customWidth="1"/>
    <col min="8454" max="8454" width="8.28515625" style="2877" customWidth="1"/>
    <col min="8455" max="8455" width="11" style="2877" customWidth="1"/>
    <col min="8456" max="8456" width="8.7109375" style="2877" customWidth="1"/>
    <col min="8457" max="8457" width="9.7109375" style="2877" customWidth="1"/>
    <col min="8458" max="8458" width="12.85546875" style="2877" customWidth="1"/>
    <col min="8459" max="8459" width="9.85546875" style="2877" customWidth="1"/>
    <col min="8460" max="8460" width="8.7109375" style="2877" customWidth="1"/>
    <col min="8461" max="8704" width="9.140625" style="2877"/>
    <col min="8705" max="8705" width="16.5703125" style="2877" customWidth="1"/>
    <col min="8706" max="8706" width="10.42578125" style="2877" customWidth="1"/>
    <col min="8707" max="8707" width="11.85546875" style="2877" customWidth="1"/>
    <col min="8708" max="8708" width="10.42578125" style="2877" customWidth="1"/>
    <col min="8709" max="8709" width="10.28515625" style="2877" customWidth="1"/>
    <col min="8710" max="8710" width="8.28515625" style="2877" customWidth="1"/>
    <col min="8711" max="8711" width="11" style="2877" customWidth="1"/>
    <col min="8712" max="8712" width="8.7109375" style="2877" customWidth="1"/>
    <col min="8713" max="8713" width="9.7109375" style="2877" customWidth="1"/>
    <col min="8714" max="8714" width="12.85546875" style="2877" customWidth="1"/>
    <col min="8715" max="8715" width="9.85546875" style="2877" customWidth="1"/>
    <col min="8716" max="8716" width="8.7109375" style="2877" customWidth="1"/>
    <col min="8717" max="8960" width="9.140625" style="2877"/>
    <col min="8961" max="8961" width="16.5703125" style="2877" customWidth="1"/>
    <col min="8962" max="8962" width="10.42578125" style="2877" customWidth="1"/>
    <col min="8963" max="8963" width="11.85546875" style="2877" customWidth="1"/>
    <col min="8964" max="8964" width="10.42578125" style="2877" customWidth="1"/>
    <col min="8965" max="8965" width="10.28515625" style="2877" customWidth="1"/>
    <col min="8966" max="8966" width="8.28515625" style="2877" customWidth="1"/>
    <col min="8967" max="8967" width="11" style="2877" customWidth="1"/>
    <col min="8968" max="8968" width="8.7109375" style="2877" customWidth="1"/>
    <col min="8969" max="8969" width="9.7109375" style="2877" customWidth="1"/>
    <col min="8970" max="8970" width="12.85546875" style="2877" customWidth="1"/>
    <col min="8971" max="8971" width="9.85546875" style="2877" customWidth="1"/>
    <col min="8972" max="8972" width="8.7109375" style="2877" customWidth="1"/>
    <col min="8973" max="9216" width="9.140625" style="2877"/>
    <col min="9217" max="9217" width="16.5703125" style="2877" customWidth="1"/>
    <col min="9218" max="9218" width="10.42578125" style="2877" customWidth="1"/>
    <col min="9219" max="9219" width="11.85546875" style="2877" customWidth="1"/>
    <col min="9220" max="9220" width="10.42578125" style="2877" customWidth="1"/>
    <col min="9221" max="9221" width="10.28515625" style="2877" customWidth="1"/>
    <col min="9222" max="9222" width="8.28515625" style="2877" customWidth="1"/>
    <col min="9223" max="9223" width="11" style="2877" customWidth="1"/>
    <col min="9224" max="9224" width="8.7109375" style="2877" customWidth="1"/>
    <col min="9225" max="9225" width="9.7109375" style="2877" customWidth="1"/>
    <col min="9226" max="9226" width="12.85546875" style="2877" customWidth="1"/>
    <col min="9227" max="9227" width="9.85546875" style="2877" customWidth="1"/>
    <col min="9228" max="9228" width="8.7109375" style="2877" customWidth="1"/>
    <col min="9229" max="9472" width="9.140625" style="2877"/>
    <col min="9473" max="9473" width="16.5703125" style="2877" customWidth="1"/>
    <col min="9474" max="9474" width="10.42578125" style="2877" customWidth="1"/>
    <col min="9475" max="9475" width="11.85546875" style="2877" customWidth="1"/>
    <col min="9476" max="9476" width="10.42578125" style="2877" customWidth="1"/>
    <col min="9477" max="9477" width="10.28515625" style="2877" customWidth="1"/>
    <col min="9478" max="9478" width="8.28515625" style="2877" customWidth="1"/>
    <col min="9479" max="9479" width="11" style="2877" customWidth="1"/>
    <col min="9480" max="9480" width="8.7109375" style="2877" customWidth="1"/>
    <col min="9481" max="9481" width="9.7109375" style="2877" customWidth="1"/>
    <col min="9482" max="9482" width="12.85546875" style="2877" customWidth="1"/>
    <col min="9483" max="9483" width="9.85546875" style="2877" customWidth="1"/>
    <col min="9484" max="9484" width="8.7109375" style="2877" customWidth="1"/>
    <col min="9485" max="9728" width="9.140625" style="2877"/>
    <col min="9729" max="9729" width="16.5703125" style="2877" customWidth="1"/>
    <col min="9730" max="9730" width="10.42578125" style="2877" customWidth="1"/>
    <col min="9731" max="9731" width="11.85546875" style="2877" customWidth="1"/>
    <col min="9732" max="9732" width="10.42578125" style="2877" customWidth="1"/>
    <col min="9733" max="9733" width="10.28515625" style="2877" customWidth="1"/>
    <col min="9734" max="9734" width="8.28515625" style="2877" customWidth="1"/>
    <col min="9735" max="9735" width="11" style="2877" customWidth="1"/>
    <col min="9736" max="9736" width="8.7109375" style="2877" customWidth="1"/>
    <col min="9737" max="9737" width="9.7109375" style="2877" customWidth="1"/>
    <col min="9738" max="9738" width="12.85546875" style="2877" customWidth="1"/>
    <col min="9739" max="9739" width="9.85546875" style="2877" customWidth="1"/>
    <col min="9740" max="9740" width="8.7109375" style="2877" customWidth="1"/>
    <col min="9741" max="9984" width="9.140625" style="2877"/>
    <col min="9985" max="9985" width="16.5703125" style="2877" customWidth="1"/>
    <col min="9986" max="9986" width="10.42578125" style="2877" customWidth="1"/>
    <col min="9987" max="9987" width="11.85546875" style="2877" customWidth="1"/>
    <col min="9988" max="9988" width="10.42578125" style="2877" customWidth="1"/>
    <col min="9989" max="9989" width="10.28515625" style="2877" customWidth="1"/>
    <col min="9990" max="9990" width="8.28515625" style="2877" customWidth="1"/>
    <col min="9991" max="9991" width="11" style="2877" customWidth="1"/>
    <col min="9992" max="9992" width="8.7109375" style="2877" customWidth="1"/>
    <col min="9993" max="9993" width="9.7109375" style="2877" customWidth="1"/>
    <col min="9994" max="9994" width="12.85546875" style="2877" customWidth="1"/>
    <col min="9995" max="9995" width="9.85546875" style="2877" customWidth="1"/>
    <col min="9996" max="9996" width="8.7109375" style="2877" customWidth="1"/>
    <col min="9997" max="10240" width="9.140625" style="2877"/>
    <col min="10241" max="10241" width="16.5703125" style="2877" customWidth="1"/>
    <col min="10242" max="10242" width="10.42578125" style="2877" customWidth="1"/>
    <col min="10243" max="10243" width="11.85546875" style="2877" customWidth="1"/>
    <col min="10244" max="10244" width="10.42578125" style="2877" customWidth="1"/>
    <col min="10245" max="10245" width="10.28515625" style="2877" customWidth="1"/>
    <col min="10246" max="10246" width="8.28515625" style="2877" customWidth="1"/>
    <col min="10247" max="10247" width="11" style="2877" customWidth="1"/>
    <col min="10248" max="10248" width="8.7109375" style="2877" customWidth="1"/>
    <col min="10249" max="10249" width="9.7109375" style="2877" customWidth="1"/>
    <col min="10250" max="10250" width="12.85546875" style="2877" customWidth="1"/>
    <col min="10251" max="10251" width="9.85546875" style="2877" customWidth="1"/>
    <col min="10252" max="10252" width="8.7109375" style="2877" customWidth="1"/>
    <col min="10253" max="10496" width="9.140625" style="2877"/>
    <col min="10497" max="10497" width="16.5703125" style="2877" customWidth="1"/>
    <col min="10498" max="10498" width="10.42578125" style="2877" customWidth="1"/>
    <col min="10499" max="10499" width="11.85546875" style="2877" customWidth="1"/>
    <col min="10500" max="10500" width="10.42578125" style="2877" customWidth="1"/>
    <col min="10501" max="10501" width="10.28515625" style="2877" customWidth="1"/>
    <col min="10502" max="10502" width="8.28515625" style="2877" customWidth="1"/>
    <col min="10503" max="10503" width="11" style="2877" customWidth="1"/>
    <col min="10504" max="10504" width="8.7109375" style="2877" customWidth="1"/>
    <col min="10505" max="10505" width="9.7109375" style="2877" customWidth="1"/>
    <col min="10506" max="10506" width="12.85546875" style="2877" customWidth="1"/>
    <col min="10507" max="10507" width="9.85546875" style="2877" customWidth="1"/>
    <col min="10508" max="10508" width="8.7109375" style="2877" customWidth="1"/>
    <col min="10509" max="10752" width="9.140625" style="2877"/>
    <col min="10753" max="10753" width="16.5703125" style="2877" customWidth="1"/>
    <col min="10754" max="10754" width="10.42578125" style="2877" customWidth="1"/>
    <col min="10755" max="10755" width="11.85546875" style="2877" customWidth="1"/>
    <col min="10756" max="10756" width="10.42578125" style="2877" customWidth="1"/>
    <col min="10757" max="10757" width="10.28515625" style="2877" customWidth="1"/>
    <col min="10758" max="10758" width="8.28515625" style="2877" customWidth="1"/>
    <col min="10759" max="10759" width="11" style="2877" customWidth="1"/>
    <col min="10760" max="10760" width="8.7109375" style="2877" customWidth="1"/>
    <col min="10761" max="10761" width="9.7109375" style="2877" customWidth="1"/>
    <col min="10762" max="10762" width="12.85546875" style="2877" customWidth="1"/>
    <col min="10763" max="10763" width="9.85546875" style="2877" customWidth="1"/>
    <col min="10764" max="10764" width="8.7109375" style="2877" customWidth="1"/>
    <col min="10765" max="11008" width="9.140625" style="2877"/>
    <col min="11009" max="11009" width="16.5703125" style="2877" customWidth="1"/>
    <col min="11010" max="11010" width="10.42578125" style="2877" customWidth="1"/>
    <col min="11011" max="11011" width="11.85546875" style="2877" customWidth="1"/>
    <col min="11012" max="11012" width="10.42578125" style="2877" customWidth="1"/>
    <col min="11013" max="11013" width="10.28515625" style="2877" customWidth="1"/>
    <col min="11014" max="11014" width="8.28515625" style="2877" customWidth="1"/>
    <col min="11015" max="11015" width="11" style="2877" customWidth="1"/>
    <col min="11016" max="11016" width="8.7109375" style="2877" customWidth="1"/>
    <col min="11017" max="11017" width="9.7109375" style="2877" customWidth="1"/>
    <col min="11018" max="11018" width="12.85546875" style="2877" customWidth="1"/>
    <col min="11019" max="11019" width="9.85546875" style="2877" customWidth="1"/>
    <col min="11020" max="11020" width="8.7109375" style="2877" customWidth="1"/>
    <col min="11021" max="11264" width="9.140625" style="2877"/>
    <col min="11265" max="11265" width="16.5703125" style="2877" customWidth="1"/>
    <col min="11266" max="11266" width="10.42578125" style="2877" customWidth="1"/>
    <col min="11267" max="11267" width="11.85546875" style="2877" customWidth="1"/>
    <col min="11268" max="11268" width="10.42578125" style="2877" customWidth="1"/>
    <col min="11269" max="11269" width="10.28515625" style="2877" customWidth="1"/>
    <col min="11270" max="11270" width="8.28515625" style="2877" customWidth="1"/>
    <col min="11271" max="11271" width="11" style="2877" customWidth="1"/>
    <col min="11272" max="11272" width="8.7109375" style="2877" customWidth="1"/>
    <col min="11273" max="11273" width="9.7109375" style="2877" customWidth="1"/>
    <col min="11274" max="11274" width="12.85546875" style="2877" customWidth="1"/>
    <col min="11275" max="11275" width="9.85546875" style="2877" customWidth="1"/>
    <col min="11276" max="11276" width="8.7109375" style="2877" customWidth="1"/>
    <col min="11277" max="11520" width="9.140625" style="2877"/>
    <col min="11521" max="11521" width="16.5703125" style="2877" customWidth="1"/>
    <col min="11522" max="11522" width="10.42578125" style="2877" customWidth="1"/>
    <col min="11523" max="11523" width="11.85546875" style="2877" customWidth="1"/>
    <col min="11524" max="11524" width="10.42578125" style="2877" customWidth="1"/>
    <col min="11525" max="11525" width="10.28515625" style="2877" customWidth="1"/>
    <col min="11526" max="11526" width="8.28515625" style="2877" customWidth="1"/>
    <col min="11527" max="11527" width="11" style="2877" customWidth="1"/>
    <col min="11528" max="11528" width="8.7109375" style="2877" customWidth="1"/>
    <col min="11529" max="11529" width="9.7109375" style="2877" customWidth="1"/>
    <col min="11530" max="11530" width="12.85546875" style="2877" customWidth="1"/>
    <col min="11531" max="11531" width="9.85546875" style="2877" customWidth="1"/>
    <col min="11532" max="11532" width="8.7109375" style="2877" customWidth="1"/>
    <col min="11533" max="11776" width="9.140625" style="2877"/>
    <col min="11777" max="11777" width="16.5703125" style="2877" customWidth="1"/>
    <col min="11778" max="11778" width="10.42578125" style="2877" customWidth="1"/>
    <col min="11779" max="11779" width="11.85546875" style="2877" customWidth="1"/>
    <col min="11780" max="11780" width="10.42578125" style="2877" customWidth="1"/>
    <col min="11781" max="11781" width="10.28515625" style="2877" customWidth="1"/>
    <col min="11782" max="11782" width="8.28515625" style="2877" customWidth="1"/>
    <col min="11783" max="11783" width="11" style="2877" customWidth="1"/>
    <col min="11784" max="11784" width="8.7109375" style="2877" customWidth="1"/>
    <col min="11785" max="11785" width="9.7109375" style="2877" customWidth="1"/>
    <col min="11786" max="11786" width="12.85546875" style="2877" customWidth="1"/>
    <col min="11787" max="11787" width="9.85546875" style="2877" customWidth="1"/>
    <col min="11788" max="11788" width="8.7109375" style="2877" customWidth="1"/>
    <col min="11789" max="12032" width="9.140625" style="2877"/>
    <col min="12033" max="12033" width="16.5703125" style="2877" customWidth="1"/>
    <col min="12034" max="12034" width="10.42578125" style="2877" customWidth="1"/>
    <col min="12035" max="12035" width="11.85546875" style="2877" customWidth="1"/>
    <col min="12036" max="12036" width="10.42578125" style="2877" customWidth="1"/>
    <col min="12037" max="12037" width="10.28515625" style="2877" customWidth="1"/>
    <col min="12038" max="12038" width="8.28515625" style="2877" customWidth="1"/>
    <col min="12039" max="12039" width="11" style="2877" customWidth="1"/>
    <col min="12040" max="12040" width="8.7109375" style="2877" customWidth="1"/>
    <col min="12041" max="12041" width="9.7109375" style="2877" customWidth="1"/>
    <col min="12042" max="12042" width="12.85546875" style="2877" customWidth="1"/>
    <col min="12043" max="12043" width="9.85546875" style="2877" customWidth="1"/>
    <col min="12044" max="12044" width="8.7109375" style="2877" customWidth="1"/>
    <col min="12045" max="12288" width="9.140625" style="2877"/>
    <col min="12289" max="12289" width="16.5703125" style="2877" customWidth="1"/>
    <col min="12290" max="12290" width="10.42578125" style="2877" customWidth="1"/>
    <col min="12291" max="12291" width="11.85546875" style="2877" customWidth="1"/>
    <col min="12292" max="12292" width="10.42578125" style="2877" customWidth="1"/>
    <col min="12293" max="12293" width="10.28515625" style="2877" customWidth="1"/>
    <col min="12294" max="12294" width="8.28515625" style="2877" customWidth="1"/>
    <col min="12295" max="12295" width="11" style="2877" customWidth="1"/>
    <col min="12296" max="12296" width="8.7109375" style="2877" customWidth="1"/>
    <col min="12297" max="12297" width="9.7109375" style="2877" customWidth="1"/>
    <col min="12298" max="12298" width="12.85546875" style="2877" customWidth="1"/>
    <col min="12299" max="12299" width="9.85546875" style="2877" customWidth="1"/>
    <col min="12300" max="12300" width="8.7109375" style="2877" customWidth="1"/>
    <col min="12301" max="12544" width="9.140625" style="2877"/>
    <col min="12545" max="12545" width="16.5703125" style="2877" customWidth="1"/>
    <col min="12546" max="12546" width="10.42578125" style="2877" customWidth="1"/>
    <col min="12547" max="12547" width="11.85546875" style="2877" customWidth="1"/>
    <col min="12548" max="12548" width="10.42578125" style="2877" customWidth="1"/>
    <col min="12549" max="12549" width="10.28515625" style="2877" customWidth="1"/>
    <col min="12550" max="12550" width="8.28515625" style="2877" customWidth="1"/>
    <col min="12551" max="12551" width="11" style="2877" customWidth="1"/>
    <col min="12552" max="12552" width="8.7109375" style="2877" customWidth="1"/>
    <col min="12553" max="12553" width="9.7109375" style="2877" customWidth="1"/>
    <col min="12554" max="12554" width="12.85546875" style="2877" customWidth="1"/>
    <col min="12555" max="12555" width="9.85546875" style="2877" customWidth="1"/>
    <col min="12556" max="12556" width="8.7109375" style="2877" customWidth="1"/>
    <col min="12557" max="12800" width="9.140625" style="2877"/>
    <col min="12801" max="12801" width="16.5703125" style="2877" customWidth="1"/>
    <col min="12802" max="12802" width="10.42578125" style="2877" customWidth="1"/>
    <col min="12803" max="12803" width="11.85546875" style="2877" customWidth="1"/>
    <col min="12804" max="12804" width="10.42578125" style="2877" customWidth="1"/>
    <col min="12805" max="12805" width="10.28515625" style="2877" customWidth="1"/>
    <col min="12806" max="12806" width="8.28515625" style="2877" customWidth="1"/>
    <col min="12807" max="12807" width="11" style="2877" customWidth="1"/>
    <col min="12808" max="12808" width="8.7109375" style="2877" customWidth="1"/>
    <col min="12809" max="12809" width="9.7109375" style="2877" customWidth="1"/>
    <col min="12810" max="12810" width="12.85546875" style="2877" customWidth="1"/>
    <col min="12811" max="12811" width="9.85546875" style="2877" customWidth="1"/>
    <col min="12812" max="12812" width="8.7109375" style="2877" customWidth="1"/>
    <col min="12813" max="13056" width="9.140625" style="2877"/>
    <col min="13057" max="13057" width="16.5703125" style="2877" customWidth="1"/>
    <col min="13058" max="13058" width="10.42578125" style="2877" customWidth="1"/>
    <col min="13059" max="13059" width="11.85546875" style="2877" customWidth="1"/>
    <col min="13060" max="13060" width="10.42578125" style="2877" customWidth="1"/>
    <col min="13061" max="13061" width="10.28515625" style="2877" customWidth="1"/>
    <col min="13062" max="13062" width="8.28515625" style="2877" customWidth="1"/>
    <col min="13063" max="13063" width="11" style="2877" customWidth="1"/>
    <col min="13064" max="13064" width="8.7109375" style="2877" customWidth="1"/>
    <col min="13065" max="13065" width="9.7109375" style="2877" customWidth="1"/>
    <col min="13066" max="13066" width="12.85546875" style="2877" customWidth="1"/>
    <col min="13067" max="13067" width="9.85546875" style="2877" customWidth="1"/>
    <col min="13068" max="13068" width="8.7109375" style="2877" customWidth="1"/>
    <col min="13069" max="13312" width="9.140625" style="2877"/>
    <col min="13313" max="13313" width="16.5703125" style="2877" customWidth="1"/>
    <col min="13314" max="13314" width="10.42578125" style="2877" customWidth="1"/>
    <col min="13315" max="13315" width="11.85546875" style="2877" customWidth="1"/>
    <col min="13316" max="13316" width="10.42578125" style="2877" customWidth="1"/>
    <col min="13317" max="13317" width="10.28515625" style="2877" customWidth="1"/>
    <col min="13318" max="13318" width="8.28515625" style="2877" customWidth="1"/>
    <col min="13319" max="13319" width="11" style="2877" customWidth="1"/>
    <col min="13320" max="13320" width="8.7109375" style="2877" customWidth="1"/>
    <col min="13321" max="13321" width="9.7109375" style="2877" customWidth="1"/>
    <col min="13322" max="13322" width="12.85546875" style="2877" customWidth="1"/>
    <col min="13323" max="13323" width="9.85546875" style="2877" customWidth="1"/>
    <col min="13324" max="13324" width="8.7109375" style="2877" customWidth="1"/>
    <col min="13325" max="13568" width="9.140625" style="2877"/>
    <col min="13569" max="13569" width="16.5703125" style="2877" customWidth="1"/>
    <col min="13570" max="13570" width="10.42578125" style="2877" customWidth="1"/>
    <col min="13571" max="13571" width="11.85546875" style="2877" customWidth="1"/>
    <col min="13572" max="13572" width="10.42578125" style="2877" customWidth="1"/>
    <col min="13573" max="13573" width="10.28515625" style="2877" customWidth="1"/>
    <col min="13574" max="13574" width="8.28515625" style="2877" customWidth="1"/>
    <col min="13575" max="13575" width="11" style="2877" customWidth="1"/>
    <col min="13576" max="13576" width="8.7109375" style="2877" customWidth="1"/>
    <col min="13577" max="13577" width="9.7109375" style="2877" customWidth="1"/>
    <col min="13578" max="13578" width="12.85546875" style="2877" customWidth="1"/>
    <col min="13579" max="13579" width="9.85546875" style="2877" customWidth="1"/>
    <col min="13580" max="13580" width="8.7109375" style="2877" customWidth="1"/>
    <col min="13581" max="13824" width="9.140625" style="2877"/>
    <col min="13825" max="13825" width="16.5703125" style="2877" customWidth="1"/>
    <col min="13826" max="13826" width="10.42578125" style="2877" customWidth="1"/>
    <col min="13827" max="13827" width="11.85546875" style="2877" customWidth="1"/>
    <col min="13828" max="13828" width="10.42578125" style="2877" customWidth="1"/>
    <col min="13829" max="13829" width="10.28515625" style="2877" customWidth="1"/>
    <col min="13830" max="13830" width="8.28515625" style="2877" customWidth="1"/>
    <col min="13831" max="13831" width="11" style="2877" customWidth="1"/>
    <col min="13832" max="13832" width="8.7109375" style="2877" customWidth="1"/>
    <col min="13833" max="13833" width="9.7109375" style="2877" customWidth="1"/>
    <col min="13834" max="13834" width="12.85546875" style="2877" customWidth="1"/>
    <col min="13835" max="13835" width="9.85546875" style="2877" customWidth="1"/>
    <col min="13836" max="13836" width="8.7109375" style="2877" customWidth="1"/>
    <col min="13837" max="14080" width="9.140625" style="2877"/>
    <col min="14081" max="14081" width="16.5703125" style="2877" customWidth="1"/>
    <col min="14082" max="14082" width="10.42578125" style="2877" customWidth="1"/>
    <col min="14083" max="14083" width="11.85546875" style="2877" customWidth="1"/>
    <col min="14084" max="14084" width="10.42578125" style="2877" customWidth="1"/>
    <col min="14085" max="14085" width="10.28515625" style="2877" customWidth="1"/>
    <col min="14086" max="14086" width="8.28515625" style="2877" customWidth="1"/>
    <col min="14087" max="14087" width="11" style="2877" customWidth="1"/>
    <col min="14088" max="14088" width="8.7109375" style="2877" customWidth="1"/>
    <col min="14089" max="14089" width="9.7109375" style="2877" customWidth="1"/>
    <col min="14090" max="14090" width="12.85546875" style="2877" customWidth="1"/>
    <col min="14091" max="14091" width="9.85546875" style="2877" customWidth="1"/>
    <col min="14092" max="14092" width="8.7109375" style="2877" customWidth="1"/>
    <col min="14093" max="14336" width="9.140625" style="2877"/>
    <col min="14337" max="14337" width="16.5703125" style="2877" customWidth="1"/>
    <col min="14338" max="14338" width="10.42578125" style="2877" customWidth="1"/>
    <col min="14339" max="14339" width="11.85546875" style="2877" customWidth="1"/>
    <col min="14340" max="14340" width="10.42578125" style="2877" customWidth="1"/>
    <col min="14341" max="14341" width="10.28515625" style="2877" customWidth="1"/>
    <col min="14342" max="14342" width="8.28515625" style="2877" customWidth="1"/>
    <col min="14343" max="14343" width="11" style="2877" customWidth="1"/>
    <col min="14344" max="14344" width="8.7109375" style="2877" customWidth="1"/>
    <col min="14345" max="14345" width="9.7109375" style="2877" customWidth="1"/>
    <col min="14346" max="14346" width="12.85546875" style="2877" customWidth="1"/>
    <col min="14347" max="14347" width="9.85546875" style="2877" customWidth="1"/>
    <col min="14348" max="14348" width="8.7109375" style="2877" customWidth="1"/>
    <col min="14349" max="14592" width="9.140625" style="2877"/>
    <col min="14593" max="14593" width="16.5703125" style="2877" customWidth="1"/>
    <col min="14594" max="14594" width="10.42578125" style="2877" customWidth="1"/>
    <col min="14595" max="14595" width="11.85546875" style="2877" customWidth="1"/>
    <col min="14596" max="14596" width="10.42578125" style="2877" customWidth="1"/>
    <col min="14597" max="14597" width="10.28515625" style="2877" customWidth="1"/>
    <col min="14598" max="14598" width="8.28515625" style="2877" customWidth="1"/>
    <col min="14599" max="14599" width="11" style="2877" customWidth="1"/>
    <col min="14600" max="14600" width="8.7109375" style="2877" customWidth="1"/>
    <col min="14601" max="14601" width="9.7109375" style="2877" customWidth="1"/>
    <col min="14602" max="14602" width="12.85546875" style="2877" customWidth="1"/>
    <col min="14603" max="14603" width="9.85546875" style="2877" customWidth="1"/>
    <col min="14604" max="14604" width="8.7109375" style="2877" customWidth="1"/>
    <col min="14605" max="14848" width="9.140625" style="2877"/>
    <col min="14849" max="14849" width="16.5703125" style="2877" customWidth="1"/>
    <col min="14850" max="14850" width="10.42578125" style="2877" customWidth="1"/>
    <col min="14851" max="14851" width="11.85546875" style="2877" customWidth="1"/>
    <col min="14852" max="14852" width="10.42578125" style="2877" customWidth="1"/>
    <col min="14853" max="14853" width="10.28515625" style="2877" customWidth="1"/>
    <col min="14854" max="14854" width="8.28515625" style="2877" customWidth="1"/>
    <col min="14855" max="14855" width="11" style="2877" customWidth="1"/>
    <col min="14856" max="14856" width="8.7109375" style="2877" customWidth="1"/>
    <col min="14857" max="14857" width="9.7109375" style="2877" customWidth="1"/>
    <col min="14858" max="14858" width="12.85546875" style="2877" customWidth="1"/>
    <col min="14859" max="14859" width="9.85546875" style="2877" customWidth="1"/>
    <col min="14860" max="14860" width="8.7109375" style="2877" customWidth="1"/>
    <col min="14861" max="15104" width="9.140625" style="2877"/>
    <col min="15105" max="15105" width="16.5703125" style="2877" customWidth="1"/>
    <col min="15106" max="15106" width="10.42578125" style="2877" customWidth="1"/>
    <col min="15107" max="15107" width="11.85546875" style="2877" customWidth="1"/>
    <col min="15108" max="15108" width="10.42578125" style="2877" customWidth="1"/>
    <col min="15109" max="15109" width="10.28515625" style="2877" customWidth="1"/>
    <col min="15110" max="15110" width="8.28515625" style="2877" customWidth="1"/>
    <col min="15111" max="15111" width="11" style="2877" customWidth="1"/>
    <col min="15112" max="15112" width="8.7109375" style="2877" customWidth="1"/>
    <col min="15113" max="15113" width="9.7109375" style="2877" customWidth="1"/>
    <col min="15114" max="15114" width="12.85546875" style="2877" customWidth="1"/>
    <col min="15115" max="15115" width="9.85546875" style="2877" customWidth="1"/>
    <col min="15116" max="15116" width="8.7109375" style="2877" customWidth="1"/>
    <col min="15117" max="15360" width="9.140625" style="2877"/>
    <col min="15361" max="15361" width="16.5703125" style="2877" customWidth="1"/>
    <col min="15362" max="15362" width="10.42578125" style="2877" customWidth="1"/>
    <col min="15363" max="15363" width="11.85546875" style="2877" customWidth="1"/>
    <col min="15364" max="15364" width="10.42578125" style="2877" customWidth="1"/>
    <col min="15365" max="15365" width="10.28515625" style="2877" customWidth="1"/>
    <col min="15366" max="15366" width="8.28515625" style="2877" customWidth="1"/>
    <col min="15367" max="15367" width="11" style="2877" customWidth="1"/>
    <col min="15368" max="15368" width="8.7109375" style="2877" customWidth="1"/>
    <col min="15369" max="15369" width="9.7109375" style="2877" customWidth="1"/>
    <col min="15370" max="15370" width="12.85546875" style="2877" customWidth="1"/>
    <col min="15371" max="15371" width="9.85546875" style="2877" customWidth="1"/>
    <col min="15372" max="15372" width="8.7109375" style="2877" customWidth="1"/>
    <col min="15373" max="15616" width="9.140625" style="2877"/>
    <col min="15617" max="15617" width="16.5703125" style="2877" customWidth="1"/>
    <col min="15618" max="15618" width="10.42578125" style="2877" customWidth="1"/>
    <col min="15619" max="15619" width="11.85546875" style="2877" customWidth="1"/>
    <col min="15620" max="15620" width="10.42578125" style="2877" customWidth="1"/>
    <col min="15621" max="15621" width="10.28515625" style="2877" customWidth="1"/>
    <col min="15622" max="15622" width="8.28515625" style="2877" customWidth="1"/>
    <col min="15623" max="15623" width="11" style="2877" customWidth="1"/>
    <col min="15624" max="15624" width="8.7109375" style="2877" customWidth="1"/>
    <col min="15625" max="15625" width="9.7109375" style="2877" customWidth="1"/>
    <col min="15626" max="15626" width="12.85546875" style="2877" customWidth="1"/>
    <col min="15627" max="15627" width="9.85546875" style="2877" customWidth="1"/>
    <col min="15628" max="15628" width="8.7109375" style="2877" customWidth="1"/>
    <col min="15629" max="15872" width="9.140625" style="2877"/>
    <col min="15873" max="15873" width="16.5703125" style="2877" customWidth="1"/>
    <col min="15874" max="15874" width="10.42578125" style="2877" customWidth="1"/>
    <col min="15875" max="15875" width="11.85546875" style="2877" customWidth="1"/>
    <col min="15876" max="15876" width="10.42578125" style="2877" customWidth="1"/>
    <col min="15877" max="15877" width="10.28515625" style="2877" customWidth="1"/>
    <col min="15878" max="15878" width="8.28515625" style="2877" customWidth="1"/>
    <col min="15879" max="15879" width="11" style="2877" customWidth="1"/>
    <col min="15880" max="15880" width="8.7109375" style="2877" customWidth="1"/>
    <col min="15881" max="15881" width="9.7109375" style="2877" customWidth="1"/>
    <col min="15882" max="15882" width="12.85546875" style="2877" customWidth="1"/>
    <col min="15883" max="15883" width="9.85546875" style="2877" customWidth="1"/>
    <col min="15884" max="15884" width="8.7109375" style="2877" customWidth="1"/>
    <col min="15885" max="16128" width="9.140625" style="2877"/>
    <col min="16129" max="16129" width="16.5703125" style="2877" customWidth="1"/>
    <col min="16130" max="16130" width="10.42578125" style="2877" customWidth="1"/>
    <col min="16131" max="16131" width="11.85546875" style="2877" customWidth="1"/>
    <col min="16132" max="16132" width="10.42578125" style="2877" customWidth="1"/>
    <col min="16133" max="16133" width="10.28515625" style="2877" customWidth="1"/>
    <col min="16134" max="16134" width="8.28515625" style="2877" customWidth="1"/>
    <col min="16135" max="16135" width="11" style="2877" customWidth="1"/>
    <col min="16136" max="16136" width="8.7109375" style="2877" customWidth="1"/>
    <col min="16137" max="16137" width="9.7109375" style="2877" customWidth="1"/>
    <col min="16138" max="16138" width="12.85546875" style="2877" customWidth="1"/>
    <col min="16139" max="16139" width="9.85546875" style="2877" customWidth="1"/>
    <col min="16140" max="16140" width="8.7109375" style="2877" customWidth="1"/>
    <col min="16141" max="16384" width="9.140625" style="2877"/>
  </cols>
  <sheetData>
    <row r="1" spans="1:13" ht="18" customHeight="1">
      <c r="A1" s="2872" t="s">
        <v>4187</v>
      </c>
      <c r="B1" s="2873"/>
      <c r="C1" s="2873"/>
      <c r="D1" s="2873"/>
      <c r="E1" s="2874"/>
      <c r="F1" s="2874"/>
      <c r="G1" s="2875"/>
      <c r="H1" s="2876"/>
    </row>
    <row r="2" spans="1:13" ht="18" customHeight="1">
      <c r="A2" s="2872" t="s">
        <v>3184</v>
      </c>
      <c r="B2" s="2873"/>
      <c r="C2" s="2878"/>
      <c r="D2" s="2873"/>
      <c r="E2" s="2874"/>
      <c r="F2" s="2874"/>
      <c r="G2" s="2875"/>
      <c r="H2" s="2876"/>
    </row>
    <row r="3" spans="1:13" ht="3" customHeight="1" thickBot="1">
      <c r="A3" s="2879"/>
      <c r="B3" s="2880"/>
      <c r="C3" s="2880"/>
      <c r="D3" s="2880"/>
      <c r="E3" s="2880"/>
      <c r="G3" s="2876"/>
      <c r="H3" s="2876"/>
    </row>
    <row r="4" spans="1:13" s="46" customFormat="1" ht="14.25" thickTop="1" thickBot="1">
      <c r="A4" s="2881"/>
      <c r="B4" s="2882" t="s">
        <v>4188</v>
      </c>
      <c r="C4" s="2883" t="s">
        <v>4189</v>
      </c>
      <c r="D4" s="2884" t="s">
        <v>4190</v>
      </c>
      <c r="E4" s="2884"/>
      <c r="F4" s="3390" t="s">
        <v>4191</v>
      </c>
      <c r="G4" s="3391"/>
      <c r="H4" s="2885"/>
    </row>
    <row r="5" spans="1:13" s="46" customFormat="1" ht="12.75">
      <c r="A5" s="2886"/>
      <c r="B5" s="2887" t="s">
        <v>4192</v>
      </c>
      <c r="C5" s="2888" t="s">
        <v>4193</v>
      </c>
      <c r="D5" s="2888" t="s">
        <v>4194</v>
      </c>
      <c r="E5" s="2888" t="s">
        <v>2071</v>
      </c>
      <c r="F5" s="3392" t="s">
        <v>2350</v>
      </c>
      <c r="G5" s="3393"/>
    </row>
    <row r="6" spans="1:13" s="46" customFormat="1" ht="12" customHeight="1">
      <c r="A6" s="2886"/>
      <c r="B6" s="2887" t="s">
        <v>4195</v>
      </c>
      <c r="C6" s="2888" t="s">
        <v>4196</v>
      </c>
      <c r="D6" s="2888" t="s">
        <v>4197</v>
      </c>
      <c r="E6" s="2888" t="s">
        <v>4198</v>
      </c>
      <c r="F6" s="3392" t="s">
        <v>4199</v>
      </c>
      <c r="G6" s="3393"/>
    </row>
    <row r="7" spans="1:13" s="46" customFormat="1" ht="16.5" customHeight="1">
      <c r="A7" s="2886"/>
      <c r="B7" s="2889"/>
      <c r="C7" s="2888" t="s">
        <v>4200</v>
      </c>
      <c r="D7" s="2888"/>
      <c r="E7" s="2888"/>
      <c r="F7" s="3392" t="s">
        <v>4201</v>
      </c>
      <c r="G7" s="3393"/>
    </row>
    <row r="8" spans="1:13" s="2893" customFormat="1" ht="15" customHeight="1" thickBot="1">
      <c r="A8" s="2890"/>
      <c r="B8" s="2891" t="s">
        <v>3702</v>
      </c>
      <c r="C8" s="2892" t="s">
        <v>3702</v>
      </c>
      <c r="D8" s="2892" t="s">
        <v>3702</v>
      </c>
      <c r="E8" s="2892" t="s">
        <v>49</v>
      </c>
      <c r="F8" s="3394" t="s">
        <v>4202</v>
      </c>
      <c r="G8" s="3395"/>
    </row>
    <row r="9" spans="1:13" ht="14.1" customHeight="1" thickTop="1">
      <c r="A9" s="2894">
        <v>42186</v>
      </c>
      <c r="B9" s="2895"/>
      <c r="C9" s="2896"/>
      <c r="D9" s="2896"/>
      <c r="E9" s="2896"/>
      <c r="F9" s="3396"/>
      <c r="G9" s="3397"/>
      <c r="H9" s="2876"/>
      <c r="L9" s="2897"/>
      <c r="M9" s="2898"/>
    </row>
    <row r="10" spans="1:13" ht="15.75" customHeight="1">
      <c r="A10" s="2899" t="s">
        <v>4203</v>
      </c>
      <c r="B10" s="2900">
        <v>5.54</v>
      </c>
      <c r="C10" s="2901">
        <v>0.83</v>
      </c>
      <c r="D10" s="2901">
        <v>6.67</v>
      </c>
      <c r="E10" s="2902">
        <v>235.65</v>
      </c>
      <c r="F10" s="3383" t="s">
        <v>4204</v>
      </c>
      <c r="G10" s="3380"/>
      <c r="H10" s="2876"/>
      <c r="J10" s="2903"/>
      <c r="K10" s="2904"/>
      <c r="L10" s="2897"/>
    </row>
    <row r="11" spans="1:13" ht="15.75" customHeight="1">
      <c r="A11" s="2899" t="s">
        <v>4205</v>
      </c>
      <c r="B11" s="2900">
        <v>17.329999999999998</v>
      </c>
      <c r="C11" s="2901">
        <v>1.32</v>
      </c>
      <c r="D11" s="2901">
        <v>19.95</v>
      </c>
      <c r="E11" s="2902">
        <v>708.62</v>
      </c>
      <c r="F11" s="3383" t="s">
        <v>4206</v>
      </c>
      <c r="G11" s="3380"/>
      <c r="H11" s="2876"/>
      <c r="J11" s="2903"/>
      <c r="K11" s="2904"/>
      <c r="L11" s="2897"/>
    </row>
    <row r="12" spans="1:13" ht="15.75" customHeight="1">
      <c r="A12" s="2899" t="s">
        <v>4207</v>
      </c>
      <c r="B12" s="2900">
        <v>8.32</v>
      </c>
      <c r="C12" s="2901">
        <v>2.38</v>
      </c>
      <c r="D12" s="2901">
        <v>12.87</v>
      </c>
      <c r="E12" s="2902">
        <v>457.27</v>
      </c>
      <c r="F12" s="3383" t="s">
        <v>4208</v>
      </c>
      <c r="G12" s="3380"/>
      <c r="H12" s="2876"/>
      <c r="J12" s="2903"/>
      <c r="K12" s="2904"/>
      <c r="L12" s="2897"/>
    </row>
    <row r="13" spans="1:13" ht="15.75" customHeight="1">
      <c r="A13" s="2899" t="s">
        <v>4209</v>
      </c>
      <c r="B13" s="2900">
        <v>25.31</v>
      </c>
      <c r="C13" s="2901">
        <v>1.21</v>
      </c>
      <c r="D13" s="2901">
        <v>28.38</v>
      </c>
      <c r="E13" s="2902">
        <v>1012.03</v>
      </c>
      <c r="F13" s="3379" t="s">
        <v>4210</v>
      </c>
      <c r="G13" s="3380"/>
      <c r="H13" s="2876"/>
      <c r="J13" s="2903"/>
      <c r="K13" s="2904"/>
      <c r="L13" s="2897"/>
    </row>
    <row r="14" spans="1:13" ht="15.75" customHeight="1">
      <c r="A14" s="2899" t="s">
        <v>4211</v>
      </c>
      <c r="B14" s="2900">
        <v>11.08</v>
      </c>
      <c r="C14" s="2901">
        <v>1.5</v>
      </c>
      <c r="D14" s="2901">
        <v>15.12</v>
      </c>
      <c r="E14" s="2902">
        <v>538.27</v>
      </c>
      <c r="F14" s="3379" t="s">
        <v>4212</v>
      </c>
      <c r="G14" s="3380"/>
      <c r="H14" s="2876"/>
      <c r="J14" s="2903"/>
      <c r="K14" s="2904"/>
      <c r="L14" s="2897"/>
    </row>
    <row r="15" spans="1:13" ht="10.5" customHeight="1" thickBot="1">
      <c r="A15" s="2905"/>
      <c r="B15" s="2906"/>
      <c r="C15" s="2907"/>
      <c r="D15" s="2907"/>
      <c r="E15" s="2907"/>
      <c r="F15" s="3388"/>
      <c r="G15" s="3389"/>
      <c r="H15" s="2876"/>
      <c r="J15" s="2903"/>
      <c r="K15" s="2908"/>
      <c r="L15" s="2909"/>
      <c r="M15" s="2898"/>
    </row>
    <row r="16" spans="1:13" ht="14.1" hidden="1" customHeight="1">
      <c r="A16" s="2910">
        <v>37073</v>
      </c>
      <c r="B16" s="2900">
        <v>0</v>
      </c>
      <c r="C16" s="2901">
        <v>1.98</v>
      </c>
      <c r="D16" s="2901">
        <v>1.98</v>
      </c>
      <c r="E16" s="2901">
        <v>58.15</v>
      </c>
      <c r="F16" s="3386" t="s">
        <v>4213</v>
      </c>
      <c r="G16" s="3387"/>
      <c r="H16" s="2876"/>
    </row>
    <row r="17" spans="1:8" ht="14.1" hidden="1" customHeight="1">
      <c r="A17" s="2910">
        <v>37104</v>
      </c>
      <c r="B17" s="2900">
        <v>0</v>
      </c>
      <c r="C17" s="2901">
        <v>0</v>
      </c>
      <c r="D17" s="2901">
        <v>0</v>
      </c>
      <c r="E17" s="2901">
        <v>0</v>
      </c>
      <c r="F17" s="3386" t="s">
        <v>4214</v>
      </c>
      <c r="G17" s="3387"/>
      <c r="H17" s="2876"/>
    </row>
    <row r="18" spans="1:8" ht="14.1" hidden="1" customHeight="1">
      <c r="A18" s="2910">
        <v>37135</v>
      </c>
      <c r="B18" s="2900">
        <v>0</v>
      </c>
      <c r="C18" s="2901">
        <v>1.56</v>
      </c>
      <c r="D18" s="2901">
        <v>1.56</v>
      </c>
      <c r="E18" s="2901">
        <v>46.53</v>
      </c>
      <c r="F18" s="3386" t="s">
        <v>4215</v>
      </c>
      <c r="G18" s="3387"/>
      <c r="H18" s="2876"/>
    </row>
    <row r="19" spans="1:8" ht="14.1" hidden="1" customHeight="1">
      <c r="A19" s="2910">
        <v>37165</v>
      </c>
      <c r="B19" s="2900">
        <v>0.1</v>
      </c>
      <c r="C19" s="2901">
        <v>0.46</v>
      </c>
      <c r="D19" s="2901">
        <v>0.56000000000000005</v>
      </c>
      <c r="E19" s="2901">
        <v>16.829999999999998</v>
      </c>
      <c r="F19" s="3386" t="s">
        <v>4216</v>
      </c>
      <c r="G19" s="3387"/>
      <c r="H19" s="2876"/>
    </row>
    <row r="20" spans="1:8" ht="14.1" hidden="1" customHeight="1">
      <c r="A20" s="2910">
        <v>37196</v>
      </c>
      <c r="B20" s="2900">
        <v>0</v>
      </c>
      <c r="C20" s="2901">
        <v>0</v>
      </c>
      <c r="D20" s="2901" t="s">
        <v>4217</v>
      </c>
      <c r="E20" s="2901">
        <v>5.18</v>
      </c>
      <c r="F20" s="3386" t="s">
        <v>4218</v>
      </c>
      <c r="G20" s="3387"/>
      <c r="H20" s="2876"/>
    </row>
    <row r="21" spans="1:8" ht="14.1" hidden="1" customHeight="1">
      <c r="A21" s="2910">
        <v>37226</v>
      </c>
      <c r="B21" s="2900">
        <v>0.3</v>
      </c>
      <c r="C21" s="2901">
        <v>0.06</v>
      </c>
      <c r="D21" s="2901" t="s">
        <v>4219</v>
      </c>
      <c r="E21" s="2901">
        <v>19.14</v>
      </c>
      <c r="F21" s="3386" t="s">
        <v>4220</v>
      </c>
      <c r="G21" s="3387"/>
      <c r="H21" s="2876"/>
    </row>
    <row r="22" spans="1:8" ht="14.1" hidden="1" customHeight="1">
      <c r="A22" s="2910">
        <v>37530</v>
      </c>
      <c r="B22" s="2900">
        <v>3.89</v>
      </c>
      <c r="C22" s="2901">
        <v>0</v>
      </c>
      <c r="D22" s="2901" t="s">
        <v>4221</v>
      </c>
      <c r="E22" s="2901">
        <v>115.74</v>
      </c>
      <c r="F22" s="3386" t="s">
        <v>4222</v>
      </c>
      <c r="G22" s="3387"/>
      <c r="H22" s="2876"/>
    </row>
    <row r="23" spans="1:8" ht="14.1" hidden="1" customHeight="1">
      <c r="A23" s="2910">
        <v>37895</v>
      </c>
      <c r="B23" s="2900">
        <v>1.75</v>
      </c>
      <c r="C23" s="2901">
        <v>1.99</v>
      </c>
      <c r="D23" s="2901" t="s">
        <v>4223</v>
      </c>
      <c r="E23" s="2901">
        <v>106.74</v>
      </c>
      <c r="F23" s="3386" t="s">
        <v>4224</v>
      </c>
      <c r="G23" s="3387"/>
      <c r="H23" s="2876"/>
    </row>
    <row r="24" spans="1:8" ht="14.1" hidden="1" customHeight="1">
      <c r="A24" s="2910">
        <v>38534</v>
      </c>
      <c r="B24" s="2900">
        <v>2.0299999999999998</v>
      </c>
      <c r="C24" s="2901">
        <v>1</v>
      </c>
      <c r="D24" s="2901" t="s">
        <v>4225</v>
      </c>
      <c r="E24" s="2901">
        <v>100.76</v>
      </c>
      <c r="F24" s="3386" t="s">
        <v>4226</v>
      </c>
      <c r="G24" s="3387"/>
      <c r="H24" s="2876"/>
    </row>
    <row r="25" spans="1:8" ht="14.1" hidden="1" customHeight="1">
      <c r="A25" s="2911">
        <v>38596</v>
      </c>
      <c r="B25" s="2900">
        <v>5.1100000000000003</v>
      </c>
      <c r="C25" s="2901">
        <v>0.66</v>
      </c>
      <c r="D25" s="2901" t="s">
        <v>4227</v>
      </c>
      <c r="E25" s="2901">
        <v>210.7</v>
      </c>
      <c r="F25" s="3386" t="s">
        <v>4228</v>
      </c>
      <c r="G25" s="3387"/>
      <c r="H25" s="2876"/>
    </row>
    <row r="26" spans="1:8" ht="14.1" hidden="1" customHeight="1">
      <c r="A26" s="2910">
        <v>38657</v>
      </c>
      <c r="B26" s="2900">
        <v>0.4</v>
      </c>
      <c r="C26" s="2901">
        <v>1.36</v>
      </c>
      <c r="D26" s="2901" t="s">
        <v>4229</v>
      </c>
      <c r="E26" s="2901">
        <v>68.89</v>
      </c>
      <c r="F26" s="3386" t="s">
        <v>4230</v>
      </c>
      <c r="G26" s="3387"/>
      <c r="H26" s="2876"/>
    </row>
    <row r="27" spans="1:8" ht="14.1" hidden="1" customHeight="1">
      <c r="A27" s="2910">
        <v>38687</v>
      </c>
      <c r="B27" s="2900">
        <v>5.91</v>
      </c>
      <c r="C27" s="2901">
        <v>0.7</v>
      </c>
      <c r="D27" s="2901" t="s">
        <v>4231</v>
      </c>
      <c r="E27" s="2901">
        <v>540.69000000000005</v>
      </c>
      <c r="F27" s="3386" t="s">
        <v>4232</v>
      </c>
      <c r="G27" s="3387"/>
      <c r="H27" s="2876"/>
    </row>
    <row r="28" spans="1:8" ht="14.1" hidden="1" customHeight="1">
      <c r="A28" s="2910">
        <v>38718</v>
      </c>
      <c r="B28" s="2900">
        <v>1.66</v>
      </c>
      <c r="C28" s="2901">
        <v>1.57</v>
      </c>
      <c r="D28" s="2901" t="s">
        <v>4233</v>
      </c>
      <c r="E28" s="2901">
        <v>148.76</v>
      </c>
      <c r="F28" s="3386" t="s">
        <v>4234</v>
      </c>
      <c r="G28" s="3387"/>
      <c r="H28" s="2876"/>
    </row>
    <row r="29" spans="1:8" ht="14.1" hidden="1" customHeight="1">
      <c r="A29" s="2910">
        <v>38749</v>
      </c>
      <c r="B29" s="2900">
        <v>0.17</v>
      </c>
      <c r="C29" s="2901">
        <v>0.26</v>
      </c>
      <c r="D29" s="2901" t="s">
        <v>4235</v>
      </c>
      <c r="E29" s="2901">
        <v>53.89</v>
      </c>
      <c r="F29" s="3386" t="s">
        <v>4236</v>
      </c>
      <c r="G29" s="3387"/>
      <c r="H29" s="2876"/>
    </row>
    <row r="30" spans="1:8" ht="14.1" hidden="1" customHeight="1">
      <c r="A30" s="2910">
        <v>38777</v>
      </c>
      <c r="B30" s="2900">
        <v>0.36</v>
      </c>
      <c r="C30" s="2901">
        <v>0.67</v>
      </c>
      <c r="D30" s="2901" t="s">
        <v>4237</v>
      </c>
      <c r="E30" s="2901">
        <v>414.24</v>
      </c>
      <c r="F30" s="3386" t="s">
        <v>4238</v>
      </c>
      <c r="G30" s="3387"/>
      <c r="H30" s="2876"/>
    </row>
    <row r="31" spans="1:8" ht="14.1" hidden="1" customHeight="1">
      <c r="A31" s="2910">
        <v>38808</v>
      </c>
      <c r="B31" s="2900">
        <v>0.74</v>
      </c>
      <c r="C31" s="2901">
        <v>0.25</v>
      </c>
      <c r="D31" s="2901" t="s">
        <v>4239</v>
      </c>
      <c r="E31" s="2901">
        <v>116.01</v>
      </c>
      <c r="F31" s="3386" t="s">
        <v>4240</v>
      </c>
      <c r="G31" s="3387"/>
      <c r="H31" s="2876"/>
    </row>
    <row r="32" spans="1:8" ht="14.1" hidden="1" customHeight="1">
      <c r="A32" s="2910">
        <v>38838</v>
      </c>
      <c r="B32" s="2900">
        <v>0.23</v>
      </c>
      <c r="C32" s="2901">
        <v>0.94</v>
      </c>
      <c r="D32" s="2901" t="s">
        <v>4241</v>
      </c>
      <c r="E32" s="2901">
        <v>50.61</v>
      </c>
      <c r="F32" s="3383">
        <v>30.922499999999999</v>
      </c>
      <c r="G32" s="3380"/>
      <c r="H32" s="2876"/>
    </row>
    <row r="33" spans="1:8" ht="14.1" hidden="1" customHeight="1">
      <c r="A33" s="2910">
        <v>38869</v>
      </c>
      <c r="B33" s="2900">
        <v>0.49</v>
      </c>
      <c r="C33" s="2901">
        <v>0.76</v>
      </c>
      <c r="D33" s="2901" t="s">
        <v>4242</v>
      </c>
      <c r="E33" s="2901">
        <v>52.15</v>
      </c>
      <c r="F33" s="3383" t="s">
        <v>4243</v>
      </c>
      <c r="G33" s="3380"/>
      <c r="H33" s="2876"/>
    </row>
    <row r="34" spans="1:8" ht="14.1" hidden="1" customHeight="1">
      <c r="A34" s="2910">
        <v>38899</v>
      </c>
      <c r="B34" s="2900">
        <v>0.44</v>
      </c>
      <c r="C34" s="2901">
        <v>4.05</v>
      </c>
      <c r="D34" s="2901" t="s">
        <v>4244</v>
      </c>
      <c r="E34" s="2901">
        <v>155.75</v>
      </c>
      <c r="F34" s="3383" t="s">
        <v>4245</v>
      </c>
      <c r="G34" s="3380"/>
      <c r="H34" s="2876"/>
    </row>
    <row r="35" spans="1:8" ht="14.1" hidden="1" customHeight="1">
      <c r="A35" s="2910">
        <v>38930</v>
      </c>
      <c r="B35" s="2900">
        <v>1.01</v>
      </c>
      <c r="C35" s="2901">
        <v>2.2000000000000002</v>
      </c>
      <c r="D35" s="2901" t="s">
        <v>4246</v>
      </c>
      <c r="E35" s="2901">
        <v>115.01</v>
      </c>
      <c r="F35" s="3383" t="s">
        <v>4247</v>
      </c>
      <c r="G35" s="3380"/>
      <c r="H35" s="2876"/>
    </row>
    <row r="36" spans="1:8" ht="14.1" hidden="1" customHeight="1">
      <c r="A36" s="2910">
        <v>38961</v>
      </c>
      <c r="B36" s="2900">
        <v>1.93</v>
      </c>
      <c r="C36" s="2901">
        <v>2.31</v>
      </c>
      <c r="D36" s="2901" t="s">
        <v>4248</v>
      </c>
      <c r="E36" s="2901">
        <v>456.78</v>
      </c>
      <c r="F36" s="3383" t="s">
        <v>4249</v>
      </c>
      <c r="G36" s="3380"/>
      <c r="H36" s="2876"/>
    </row>
    <row r="37" spans="1:8" ht="14.1" hidden="1" customHeight="1">
      <c r="A37" s="2910">
        <v>38991</v>
      </c>
      <c r="B37" s="2900">
        <v>0.4</v>
      </c>
      <c r="C37" s="2901">
        <v>0.75</v>
      </c>
      <c r="D37" s="2901" t="s">
        <v>4250</v>
      </c>
      <c r="E37" s="2901">
        <v>49.98</v>
      </c>
      <c r="F37" s="3383" t="s">
        <v>4251</v>
      </c>
      <c r="G37" s="3380"/>
      <c r="H37" s="2876"/>
    </row>
    <row r="38" spans="1:8" ht="14.1" hidden="1" customHeight="1">
      <c r="A38" s="2910">
        <v>39022</v>
      </c>
      <c r="B38" s="2900">
        <v>0.56000000000000005</v>
      </c>
      <c r="C38" s="2901">
        <v>1.94</v>
      </c>
      <c r="D38" s="2901" t="s">
        <v>4252</v>
      </c>
      <c r="E38" s="2901">
        <v>112.75</v>
      </c>
      <c r="F38" s="3383" t="s">
        <v>4253</v>
      </c>
      <c r="G38" s="3380"/>
      <c r="H38" s="2876"/>
    </row>
    <row r="39" spans="1:8" ht="14.1" hidden="1" customHeight="1">
      <c r="A39" s="2910">
        <v>39052</v>
      </c>
      <c r="B39" s="2900">
        <v>0.5</v>
      </c>
      <c r="C39" s="2901">
        <v>1.61</v>
      </c>
      <c r="D39" s="2901" t="s">
        <v>4254</v>
      </c>
      <c r="E39" s="2901">
        <v>83.33</v>
      </c>
      <c r="F39" s="3383" t="s">
        <v>4255</v>
      </c>
      <c r="G39" s="3380"/>
      <c r="H39" s="2876"/>
    </row>
    <row r="40" spans="1:8" ht="14.1" hidden="1" customHeight="1">
      <c r="A40" s="2910">
        <v>39083</v>
      </c>
      <c r="B40" s="2900">
        <v>0.25</v>
      </c>
      <c r="C40" s="2901">
        <v>0.81</v>
      </c>
      <c r="D40" s="2901" t="s">
        <v>4256</v>
      </c>
      <c r="E40" s="2901">
        <v>46.62</v>
      </c>
      <c r="F40" s="3383" t="s">
        <v>4257</v>
      </c>
      <c r="G40" s="3380"/>
      <c r="H40" s="2876"/>
    </row>
    <row r="41" spans="1:8" ht="14.1" hidden="1" customHeight="1">
      <c r="A41" s="2910">
        <v>39114</v>
      </c>
      <c r="B41" s="2900">
        <v>16.86</v>
      </c>
      <c r="C41" s="2901">
        <v>2.95</v>
      </c>
      <c r="D41" s="2901" t="s">
        <v>4258</v>
      </c>
      <c r="E41" s="2901">
        <v>666.46</v>
      </c>
      <c r="F41" s="3383" t="s">
        <v>4259</v>
      </c>
      <c r="G41" s="3380"/>
      <c r="H41" s="2876"/>
    </row>
    <row r="42" spans="1:8" ht="14.1" hidden="1" customHeight="1">
      <c r="A42" s="2910">
        <v>39142</v>
      </c>
      <c r="B42" s="2900">
        <v>4.4000000000000004</v>
      </c>
      <c r="C42" s="2901">
        <v>1.45</v>
      </c>
      <c r="D42" s="2901" t="s">
        <v>4260</v>
      </c>
      <c r="E42" s="2901">
        <v>226.42</v>
      </c>
      <c r="F42" s="3383" t="s">
        <v>4261</v>
      </c>
      <c r="G42" s="3380"/>
      <c r="H42" s="2876"/>
    </row>
    <row r="43" spans="1:8" ht="14.1" hidden="1" customHeight="1">
      <c r="A43" s="2910">
        <v>39173</v>
      </c>
      <c r="B43" s="2900">
        <v>5.85</v>
      </c>
      <c r="C43" s="2901">
        <v>0.64</v>
      </c>
      <c r="D43" s="2901" t="s">
        <v>4262</v>
      </c>
      <c r="E43" s="2901">
        <v>244.12</v>
      </c>
      <c r="F43" s="3383" t="s">
        <v>4263</v>
      </c>
      <c r="G43" s="3380"/>
      <c r="H43" s="2876"/>
    </row>
    <row r="44" spans="1:8" ht="14.1" hidden="1" customHeight="1">
      <c r="A44" s="2910">
        <v>39203</v>
      </c>
      <c r="B44" s="2900">
        <v>8.9600000000000009</v>
      </c>
      <c r="C44" s="2901">
        <v>1.31</v>
      </c>
      <c r="D44" s="2901" t="s">
        <v>4264</v>
      </c>
      <c r="E44" s="2901">
        <v>342.3</v>
      </c>
      <c r="F44" s="3383" t="s">
        <v>4265</v>
      </c>
      <c r="G44" s="3380"/>
      <c r="H44" s="2876"/>
    </row>
    <row r="45" spans="1:8" ht="14.1" hidden="1" customHeight="1">
      <c r="A45" s="2910">
        <v>39234</v>
      </c>
      <c r="B45" s="2900">
        <v>4.5599999999999996</v>
      </c>
      <c r="C45" s="2901">
        <v>1.66</v>
      </c>
      <c r="D45" s="2901" t="s">
        <v>4266</v>
      </c>
      <c r="E45" s="2901">
        <v>209.69</v>
      </c>
      <c r="F45" s="3383" t="s">
        <v>4267</v>
      </c>
      <c r="G45" s="3380"/>
      <c r="H45" s="2876"/>
    </row>
    <row r="46" spans="1:8" ht="14.1" hidden="1" customHeight="1">
      <c r="A46" s="2910">
        <v>39264</v>
      </c>
      <c r="B46" s="2900">
        <v>7.6</v>
      </c>
      <c r="C46" s="2901">
        <v>1.08</v>
      </c>
      <c r="D46" s="2901" t="s">
        <v>4268</v>
      </c>
      <c r="E46" s="2901">
        <v>288.64999999999998</v>
      </c>
      <c r="F46" s="3383" t="s">
        <v>4269</v>
      </c>
      <c r="G46" s="3380"/>
      <c r="H46" s="2876"/>
    </row>
    <row r="47" spans="1:8" ht="14.1" hidden="1" customHeight="1">
      <c r="A47" s="2910">
        <v>39295</v>
      </c>
      <c r="B47" s="2900">
        <v>2.38</v>
      </c>
      <c r="C47" s="2901">
        <v>0.96</v>
      </c>
      <c r="D47" s="2901" t="s">
        <v>4270</v>
      </c>
      <c r="E47" s="2901">
        <v>124.61</v>
      </c>
      <c r="F47" s="3383" t="s">
        <v>4271</v>
      </c>
      <c r="G47" s="3380"/>
      <c r="H47" s="2876"/>
    </row>
    <row r="48" spans="1:8" ht="14.1" hidden="1" customHeight="1">
      <c r="A48" s="2910">
        <v>39326</v>
      </c>
      <c r="B48" s="2900">
        <v>8.48</v>
      </c>
      <c r="C48" s="2901">
        <v>1.53</v>
      </c>
      <c r="D48" s="2901" t="s">
        <v>4272</v>
      </c>
      <c r="E48" s="2901">
        <v>335.52</v>
      </c>
      <c r="F48" s="3383" t="s">
        <v>4273</v>
      </c>
      <c r="G48" s="3380"/>
      <c r="H48" s="2876"/>
    </row>
    <row r="49" spans="1:8" ht="14.1" hidden="1" customHeight="1">
      <c r="A49" s="2910">
        <v>39387</v>
      </c>
      <c r="B49" s="2900">
        <v>3.45</v>
      </c>
      <c r="C49" s="2901">
        <v>5.52</v>
      </c>
      <c r="D49" s="2901" t="s">
        <v>4274</v>
      </c>
      <c r="E49" s="2901">
        <v>290.58</v>
      </c>
      <c r="F49" s="3383" t="s">
        <v>4275</v>
      </c>
      <c r="G49" s="3380"/>
      <c r="H49" s="2876"/>
    </row>
    <row r="50" spans="1:8" ht="14.1" hidden="1" customHeight="1">
      <c r="A50" s="2910">
        <v>39417</v>
      </c>
      <c r="B50" s="2900">
        <v>3.96</v>
      </c>
      <c r="C50" s="2901">
        <v>3.16</v>
      </c>
      <c r="D50" s="2901" t="s">
        <v>4276</v>
      </c>
      <c r="E50" s="2901">
        <v>264.17</v>
      </c>
      <c r="F50" s="3383" t="s">
        <v>4277</v>
      </c>
      <c r="G50" s="3380"/>
      <c r="H50" s="2876"/>
    </row>
    <row r="51" spans="1:8" ht="14.1" hidden="1" customHeight="1">
      <c r="A51" s="2910">
        <v>39448</v>
      </c>
      <c r="B51" s="2900">
        <v>5.99</v>
      </c>
      <c r="C51" s="2901">
        <v>2.34</v>
      </c>
      <c r="D51" s="2901" t="s">
        <v>4278</v>
      </c>
      <c r="E51" s="2901">
        <v>274.18</v>
      </c>
      <c r="F51" s="3383" t="s">
        <v>4279</v>
      </c>
      <c r="G51" s="3380"/>
      <c r="H51" s="2876"/>
    </row>
    <row r="52" spans="1:8" ht="14.1" hidden="1" customHeight="1">
      <c r="A52" s="2910">
        <v>39479</v>
      </c>
      <c r="B52" s="2900">
        <v>8.43</v>
      </c>
      <c r="C52" s="2901">
        <v>13.15</v>
      </c>
      <c r="D52" s="2901" t="s">
        <v>4280</v>
      </c>
      <c r="E52" s="2901">
        <v>665.18</v>
      </c>
      <c r="F52" s="3383" t="s">
        <v>4281</v>
      </c>
      <c r="G52" s="3380"/>
      <c r="H52" s="2876"/>
    </row>
    <row r="53" spans="1:8" ht="14.1" hidden="1" customHeight="1">
      <c r="A53" s="2910">
        <v>39508</v>
      </c>
      <c r="B53" s="2900">
        <v>3.91</v>
      </c>
      <c r="C53" s="2901">
        <v>18.399999999999999</v>
      </c>
      <c r="D53" s="2901" t="s">
        <v>4282</v>
      </c>
      <c r="E53" s="2901">
        <v>621.45000000000005</v>
      </c>
      <c r="F53" s="3383" t="s">
        <v>4283</v>
      </c>
      <c r="G53" s="3380"/>
      <c r="H53" s="2876"/>
    </row>
    <row r="54" spans="1:8" ht="14.1" hidden="1" customHeight="1">
      <c r="A54" s="2910">
        <v>39539</v>
      </c>
      <c r="B54" s="2900">
        <v>4.55</v>
      </c>
      <c r="C54" s="2901">
        <v>6.63</v>
      </c>
      <c r="D54" s="2901" t="s">
        <v>4284</v>
      </c>
      <c r="E54" s="2901">
        <v>354.72</v>
      </c>
      <c r="F54" s="3383" t="s">
        <v>4285</v>
      </c>
      <c r="G54" s="3380"/>
      <c r="H54" s="2876"/>
    </row>
    <row r="55" spans="1:8" ht="14.1" hidden="1" customHeight="1">
      <c r="A55" s="2910">
        <v>39569</v>
      </c>
      <c r="B55" s="2900">
        <v>11.79</v>
      </c>
      <c r="C55" s="2901">
        <v>7.15</v>
      </c>
      <c r="D55" s="2901" t="s">
        <v>4286</v>
      </c>
      <c r="E55" s="2901">
        <v>567.78</v>
      </c>
      <c r="F55" s="3383" t="s">
        <v>4287</v>
      </c>
      <c r="G55" s="3380"/>
      <c r="H55" s="2876"/>
    </row>
    <row r="56" spans="1:8" ht="14.1" hidden="1" customHeight="1">
      <c r="A56" s="2910">
        <v>39600</v>
      </c>
      <c r="B56" s="2900">
        <v>4.1100000000000003</v>
      </c>
      <c r="C56" s="2901">
        <v>16.68</v>
      </c>
      <c r="D56" s="2901" t="s">
        <v>4288</v>
      </c>
      <c r="E56" s="2901">
        <v>579.89</v>
      </c>
      <c r="F56" s="3383" t="s">
        <v>4289</v>
      </c>
      <c r="G56" s="3380"/>
      <c r="H56" s="2876"/>
    </row>
    <row r="57" spans="1:8" ht="14.1" hidden="1" customHeight="1">
      <c r="A57" s="2910">
        <v>39630</v>
      </c>
      <c r="B57" s="2900">
        <v>5.43</v>
      </c>
      <c r="C57" s="2901">
        <v>13.57</v>
      </c>
      <c r="D57" s="2901" t="s">
        <v>4290</v>
      </c>
      <c r="E57" s="2901">
        <v>537.29</v>
      </c>
      <c r="F57" s="3384" t="s">
        <v>4291</v>
      </c>
      <c r="G57" s="3385"/>
      <c r="H57" s="2876"/>
    </row>
    <row r="58" spans="1:8" ht="14.1" hidden="1" customHeight="1">
      <c r="A58" s="2910">
        <v>39661</v>
      </c>
      <c r="B58" s="2900">
        <v>1.95</v>
      </c>
      <c r="C58" s="2901">
        <v>1.71</v>
      </c>
      <c r="D58" s="2901" t="s">
        <v>4292</v>
      </c>
      <c r="E58" s="2901">
        <v>165.77</v>
      </c>
      <c r="F58" s="3383" t="s">
        <v>4293</v>
      </c>
      <c r="G58" s="3380"/>
      <c r="H58" s="2876"/>
    </row>
    <row r="59" spans="1:8" ht="14.1" hidden="1" customHeight="1">
      <c r="A59" s="2910">
        <v>39722</v>
      </c>
      <c r="B59" s="2900">
        <v>1.3</v>
      </c>
      <c r="C59" s="2901">
        <v>12.87</v>
      </c>
      <c r="D59" s="2901" t="s">
        <v>4294</v>
      </c>
      <c r="E59" s="2901">
        <v>464.44</v>
      </c>
      <c r="F59" s="3383" t="s">
        <v>4295</v>
      </c>
      <c r="G59" s="3380"/>
      <c r="H59" s="2876"/>
    </row>
    <row r="60" spans="1:8" ht="14.1" hidden="1" customHeight="1">
      <c r="A60" s="2910">
        <v>39753</v>
      </c>
      <c r="B60" s="2900">
        <v>2.66</v>
      </c>
      <c r="C60" s="2901">
        <v>6.73</v>
      </c>
      <c r="D60" s="2901" t="s">
        <v>4296</v>
      </c>
      <c r="E60" s="2901">
        <v>326.2</v>
      </c>
      <c r="F60" s="3383" t="s">
        <v>4297</v>
      </c>
      <c r="G60" s="3380"/>
      <c r="H60" s="2876"/>
    </row>
    <row r="61" spans="1:8" ht="14.1" hidden="1" customHeight="1">
      <c r="A61" s="2910">
        <v>39783</v>
      </c>
      <c r="B61" s="2900">
        <v>4.08</v>
      </c>
      <c r="C61" s="2901">
        <v>11.7</v>
      </c>
      <c r="D61" s="2901" t="s">
        <v>4298</v>
      </c>
      <c r="E61" s="2901">
        <v>558.11</v>
      </c>
      <c r="F61" s="3383" t="s">
        <v>4299</v>
      </c>
      <c r="G61" s="3380"/>
      <c r="H61" s="2876"/>
    </row>
    <row r="62" spans="1:8" ht="14.1" hidden="1" customHeight="1">
      <c r="A62" s="2910">
        <v>39814</v>
      </c>
      <c r="B62" s="2900">
        <v>3.52</v>
      </c>
      <c r="C62" s="2901">
        <v>3.45</v>
      </c>
      <c r="D62" s="2901" t="s">
        <v>4300</v>
      </c>
      <c r="E62" s="2901">
        <v>261.17</v>
      </c>
      <c r="F62" s="3383" t="s">
        <v>4301</v>
      </c>
      <c r="G62" s="3380"/>
      <c r="H62" s="2876"/>
    </row>
    <row r="63" spans="1:8" ht="14.1" hidden="1" customHeight="1">
      <c r="A63" s="2910">
        <v>39845</v>
      </c>
      <c r="B63" s="2900">
        <v>6.68</v>
      </c>
      <c r="C63" s="2901">
        <v>3.28</v>
      </c>
      <c r="D63" s="2901" t="s">
        <v>4302</v>
      </c>
      <c r="E63" s="2901">
        <v>437.05</v>
      </c>
      <c r="F63" s="3384" t="s">
        <v>4303</v>
      </c>
      <c r="G63" s="3385"/>
      <c r="H63" s="2876"/>
    </row>
    <row r="64" spans="1:8" ht="14.1" hidden="1" customHeight="1">
      <c r="A64" s="2910">
        <v>39873</v>
      </c>
      <c r="B64" s="2900">
        <v>4.8099999999999996</v>
      </c>
      <c r="C64" s="2901">
        <v>7.3</v>
      </c>
      <c r="D64" s="2901" t="s">
        <v>4304</v>
      </c>
      <c r="E64" s="2901">
        <v>488.8</v>
      </c>
      <c r="F64" s="3384" t="s">
        <v>4305</v>
      </c>
      <c r="G64" s="3385"/>
      <c r="H64" s="2876"/>
    </row>
    <row r="65" spans="1:8" ht="14.1" hidden="1" customHeight="1">
      <c r="A65" s="2910">
        <v>39904</v>
      </c>
      <c r="B65" s="2900">
        <v>4.34</v>
      </c>
      <c r="C65" s="2901">
        <v>7.63</v>
      </c>
      <c r="D65" s="2901" t="s">
        <v>4306</v>
      </c>
      <c r="E65" s="2901">
        <v>429.09</v>
      </c>
      <c r="F65" s="3384" t="s">
        <v>4307</v>
      </c>
      <c r="G65" s="3385"/>
      <c r="H65" s="2876"/>
    </row>
    <row r="66" spans="1:8" ht="14.1" hidden="1" customHeight="1">
      <c r="A66" s="2910">
        <v>39934</v>
      </c>
      <c r="B66" s="2900">
        <v>2.41</v>
      </c>
      <c r="C66" s="2901">
        <v>5.57</v>
      </c>
      <c r="D66" s="2901" t="s">
        <v>4308</v>
      </c>
      <c r="E66" s="2901">
        <v>304.04000000000002</v>
      </c>
      <c r="F66" s="3383" t="s">
        <v>4309</v>
      </c>
      <c r="G66" s="3380"/>
      <c r="H66" s="2876"/>
    </row>
    <row r="67" spans="1:8" ht="14.1" hidden="1" customHeight="1">
      <c r="A67" s="2910">
        <v>39965</v>
      </c>
      <c r="B67" s="2900">
        <v>3.08</v>
      </c>
      <c r="C67" s="2901">
        <v>6.08</v>
      </c>
      <c r="D67" s="2901" t="s">
        <v>4310</v>
      </c>
      <c r="E67" s="2901">
        <v>374.1</v>
      </c>
      <c r="F67" s="3383" t="s">
        <v>4311</v>
      </c>
      <c r="G67" s="3380"/>
      <c r="H67" s="2876"/>
    </row>
    <row r="68" spans="1:8" ht="14.1" hidden="1" customHeight="1">
      <c r="A68" s="2910">
        <v>39995</v>
      </c>
      <c r="B68" s="2900">
        <v>3.62</v>
      </c>
      <c r="C68" s="2901">
        <v>3.56</v>
      </c>
      <c r="D68" s="2901" t="s">
        <v>4312</v>
      </c>
      <c r="E68" s="2901">
        <v>289.12</v>
      </c>
      <c r="F68" s="3383" t="s">
        <v>4313</v>
      </c>
      <c r="G68" s="3380"/>
      <c r="H68" s="2876"/>
    </row>
    <row r="69" spans="1:8" ht="14.1" hidden="1" customHeight="1">
      <c r="A69" s="2910">
        <v>40026</v>
      </c>
      <c r="B69" s="2900">
        <v>6.85</v>
      </c>
      <c r="C69" s="2901">
        <v>1.93</v>
      </c>
      <c r="D69" s="2901" t="s">
        <v>4314</v>
      </c>
      <c r="E69" s="2901">
        <v>582.69000000000005</v>
      </c>
      <c r="F69" s="3383" t="s">
        <v>4315</v>
      </c>
      <c r="G69" s="3380"/>
      <c r="H69" s="2876"/>
    </row>
    <row r="70" spans="1:8" ht="14.1" hidden="1" customHeight="1">
      <c r="A70" s="2910">
        <v>40057</v>
      </c>
      <c r="B70" s="2900">
        <v>22.08</v>
      </c>
      <c r="C70" s="2901">
        <v>1.18</v>
      </c>
      <c r="D70" s="2901" t="s">
        <v>4316</v>
      </c>
      <c r="E70" s="2902">
        <v>1111.92</v>
      </c>
      <c r="F70" s="3383" t="s">
        <v>4317</v>
      </c>
      <c r="G70" s="3380"/>
      <c r="H70" s="2876"/>
    </row>
    <row r="71" spans="1:8" ht="14.1" hidden="1" customHeight="1">
      <c r="A71" s="2910">
        <v>40087</v>
      </c>
      <c r="B71" s="2900">
        <v>24.84</v>
      </c>
      <c r="C71" s="2901">
        <v>6.38</v>
      </c>
      <c r="D71" s="2901" t="s">
        <v>4318</v>
      </c>
      <c r="E71" s="2902">
        <v>1261</v>
      </c>
      <c r="F71" s="3383" t="s">
        <v>4319</v>
      </c>
      <c r="G71" s="3380"/>
      <c r="H71" s="2876"/>
    </row>
    <row r="72" spans="1:8" ht="14.1" hidden="1" customHeight="1">
      <c r="A72" s="2910">
        <v>40118</v>
      </c>
      <c r="B72" s="2900">
        <v>21.1</v>
      </c>
      <c r="C72" s="2901">
        <v>3.05</v>
      </c>
      <c r="D72" s="2901" t="s">
        <v>4320</v>
      </c>
      <c r="E72" s="2902">
        <v>1456.85</v>
      </c>
      <c r="F72" s="3383" t="s">
        <v>4321</v>
      </c>
      <c r="G72" s="3380"/>
      <c r="H72" s="2876"/>
    </row>
    <row r="73" spans="1:8" ht="14.1" hidden="1" customHeight="1">
      <c r="A73" s="2910">
        <v>40148</v>
      </c>
      <c r="B73" s="2900">
        <v>11.45</v>
      </c>
      <c r="C73" s="2901">
        <v>4</v>
      </c>
      <c r="D73" s="2901" t="s">
        <v>4322</v>
      </c>
      <c r="E73" s="2902">
        <v>1080.6500000000001</v>
      </c>
      <c r="F73" s="3383" t="s">
        <v>4323</v>
      </c>
      <c r="G73" s="3380"/>
      <c r="H73" s="2876"/>
    </row>
    <row r="74" spans="1:8" ht="14.1" hidden="1" customHeight="1">
      <c r="A74" s="2910">
        <v>40179</v>
      </c>
      <c r="B74" s="2900">
        <v>27.21</v>
      </c>
      <c r="C74" s="2901">
        <v>3.38</v>
      </c>
      <c r="D74" s="2901" t="s">
        <v>4324</v>
      </c>
      <c r="E74" s="2902">
        <v>1222.32</v>
      </c>
      <c r="F74" s="3383" t="s">
        <v>4325</v>
      </c>
      <c r="G74" s="3380"/>
      <c r="H74" s="2876"/>
    </row>
    <row r="75" spans="1:8" ht="14.1" hidden="1" customHeight="1">
      <c r="A75" s="2910">
        <v>40210</v>
      </c>
      <c r="B75" s="2900">
        <v>19.239999999999998</v>
      </c>
      <c r="C75" s="2901">
        <v>3.63</v>
      </c>
      <c r="D75" s="2901" t="s">
        <v>4326</v>
      </c>
      <c r="E75" s="2902">
        <v>951.84</v>
      </c>
      <c r="F75" s="3383" t="s">
        <v>4327</v>
      </c>
      <c r="G75" s="3380"/>
      <c r="H75" s="2876"/>
    </row>
    <row r="76" spans="1:8" ht="14.1" hidden="1" customHeight="1">
      <c r="A76" s="2910">
        <v>40238</v>
      </c>
      <c r="B76" s="2900">
        <v>23.2</v>
      </c>
      <c r="C76" s="2901">
        <v>12.02</v>
      </c>
      <c r="D76" s="2901" t="s">
        <v>4328</v>
      </c>
      <c r="E76" s="2902">
        <v>1425.47</v>
      </c>
      <c r="F76" s="3383" t="s">
        <v>4329</v>
      </c>
      <c r="G76" s="3380"/>
      <c r="H76" s="2876"/>
    </row>
    <row r="77" spans="1:8" ht="14.1" hidden="1" customHeight="1">
      <c r="A77" s="2910">
        <v>40269</v>
      </c>
      <c r="B77" s="2900">
        <v>16.72</v>
      </c>
      <c r="C77" s="2901">
        <v>8</v>
      </c>
      <c r="D77" s="2901" t="s">
        <v>4330</v>
      </c>
      <c r="E77" s="2902">
        <v>947.83</v>
      </c>
      <c r="F77" s="3383" t="s">
        <v>4331</v>
      </c>
      <c r="G77" s="3380"/>
      <c r="H77" s="2876"/>
    </row>
    <row r="78" spans="1:8" ht="14.1" hidden="1" customHeight="1">
      <c r="A78" s="2910">
        <v>40299</v>
      </c>
      <c r="B78" s="2900">
        <v>18.41</v>
      </c>
      <c r="C78" s="2901">
        <v>12.21</v>
      </c>
      <c r="D78" s="2901" t="s">
        <v>4332</v>
      </c>
      <c r="E78" s="2902">
        <v>1336.56</v>
      </c>
      <c r="F78" s="3383" t="s">
        <v>4333</v>
      </c>
      <c r="G78" s="3380"/>
      <c r="H78" s="2876"/>
    </row>
    <row r="79" spans="1:8" ht="14.1" hidden="1" customHeight="1">
      <c r="A79" s="2910">
        <v>40330</v>
      </c>
      <c r="B79" s="2900">
        <v>21.85</v>
      </c>
      <c r="C79" s="2901">
        <v>9.68</v>
      </c>
      <c r="D79" s="2901" t="s">
        <v>4334</v>
      </c>
      <c r="E79" s="2902">
        <v>1227.8</v>
      </c>
      <c r="F79" s="3383" t="s">
        <v>4335</v>
      </c>
      <c r="G79" s="3380"/>
      <c r="H79" s="2876"/>
    </row>
    <row r="80" spans="1:8" ht="14.1" hidden="1" customHeight="1">
      <c r="A80" s="2910">
        <v>40360</v>
      </c>
      <c r="B80" s="2900">
        <v>16.600000000000001</v>
      </c>
      <c r="C80" s="2901">
        <v>28.12</v>
      </c>
      <c r="D80" s="2901" t="s">
        <v>4336</v>
      </c>
      <c r="E80" s="2902">
        <v>1714.26</v>
      </c>
      <c r="F80" s="3383" t="s">
        <v>4337</v>
      </c>
      <c r="G80" s="3380"/>
      <c r="H80" s="2876"/>
    </row>
    <row r="81" spans="1:8" ht="14.1" hidden="1" customHeight="1">
      <c r="A81" s="2910">
        <v>40391</v>
      </c>
      <c r="B81" s="2900">
        <v>13.24</v>
      </c>
      <c r="C81" s="2901">
        <v>11.83</v>
      </c>
      <c r="D81" s="2901" t="s">
        <v>4338</v>
      </c>
      <c r="E81" s="2902">
        <v>939.88</v>
      </c>
      <c r="F81" s="3383" t="s">
        <v>4339</v>
      </c>
      <c r="G81" s="3380"/>
      <c r="H81" s="2876"/>
    </row>
    <row r="82" spans="1:8" ht="14.1" hidden="1" customHeight="1">
      <c r="A82" s="2910">
        <v>40422</v>
      </c>
      <c r="B82" s="2900">
        <v>20.89</v>
      </c>
      <c r="C82" s="2901">
        <v>6.03</v>
      </c>
      <c r="D82" s="2901" t="s">
        <v>4340</v>
      </c>
      <c r="E82" s="2902">
        <v>1097.56</v>
      </c>
      <c r="F82" s="3383" t="s">
        <v>4341</v>
      </c>
      <c r="G82" s="3380"/>
      <c r="H82" s="2876"/>
    </row>
    <row r="83" spans="1:8" ht="14.1" hidden="1" customHeight="1">
      <c r="A83" s="2910">
        <v>40452</v>
      </c>
      <c r="B83" s="2900">
        <v>18.71</v>
      </c>
      <c r="C83" s="2901">
        <v>5.26</v>
      </c>
      <c r="D83" s="2901" t="s">
        <v>4342</v>
      </c>
      <c r="E83" s="2902">
        <v>1046.9100000000001</v>
      </c>
      <c r="F83" s="3379" t="s">
        <v>4343</v>
      </c>
      <c r="G83" s="3380"/>
      <c r="H83" s="2876"/>
    </row>
    <row r="84" spans="1:8" ht="14.1" hidden="1" customHeight="1">
      <c r="A84" s="2910">
        <v>40483</v>
      </c>
      <c r="B84" s="2900">
        <v>29.44</v>
      </c>
      <c r="C84" s="2901">
        <v>5.84</v>
      </c>
      <c r="D84" s="2901" t="s">
        <v>4344</v>
      </c>
      <c r="E84" s="2902">
        <v>1280.3800000000001</v>
      </c>
      <c r="F84" s="3379" t="s">
        <v>4345</v>
      </c>
      <c r="G84" s="3380"/>
      <c r="H84" s="2876"/>
    </row>
    <row r="85" spans="1:8" ht="14.1" hidden="1" customHeight="1">
      <c r="A85" s="2910">
        <v>40513</v>
      </c>
      <c r="B85" s="2900">
        <v>35.69</v>
      </c>
      <c r="C85" s="2901">
        <v>5.16</v>
      </c>
      <c r="D85" s="2901" t="s">
        <v>4346</v>
      </c>
      <c r="E85" s="2902">
        <v>1728.3</v>
      </c>
      <c r="F85" s="3379" t="s">
        <v>4347</v>
      </c>
      <c r="G85" s="3380"/>
      <c r="H85" s="2876"/>
    </row>
    <row r="86" spans="1:8" ht="14.1" hidden="1" customHeight="1">
      <c r="A86" s="2910">
        <v>40544</v>
      </c>
      <c r="B86" s="2900">
        <v>23.73</v>
      </c>
      <c r="C86" s="2901">
        <v>7.69</v>
      </c>
      <c r="D86" s="2901" t="s">
        <v>4348</v>
      </c>
      <c r="E86" s="2902">
        <v>1204.47</v>
      </c>
      <c r="F86" s="3379" t="s">
        <v>4349</v>
      </c>
      <c r="G86" s="3380"/>
      <c r="H86" s="2876"/>
    </row>
    <row r="87" spans="1:8" ht="14.1" hidden="1" customHeight="1">
      <c r="A87" s="2910">
        <v>40575</v>
      </c>
      <c r="B87" s="2900">
        <v>24.14</v>
      </c>
      <c r="C87" s="2901">
        <v>6.37</v>
      </c>
      <c r="D87" s="2901" t="s">
        <v>4350</v>
      </c>
      <c r="E87" s="2902">
        <v>1096.3599999999999</v>
      </c>
      <c r="F87" s="3379" t="s">
        <v>4351</v>
      </c>
      <c r="G87" s="3380"/>
      <c r="H87" s="2876"/>
    </row>
    <row r="88" spans="1:8" ht="14.1" hidden="1" customHeight="1">
      <c r="A88" s="2910">
        <v>40603</v>
      </c>
      <c r="B88" s="2900">
        <v>24.19</v>
      </c>
      <c r="C88" s="2901">
        <v>13.15</v>
      </c>
      <c r="D88" s="2901" t="s">
        <v>4352</v>
      </c>
      <c r="E88" s="2902">
        <v>1310.5</v>
      </c>
      <c r="F88" s="3383" t="s">
        <v>4353</v>
      </c>
      <c r="G88" s="3380"/>
      <c r="H88" s="2876"/>
    </row>
    <row r="89" spans="1:8" ht="14.1" hidden="1" customHeight="1">
      <c r="A89" s="2910">
        <v>40634</v>
      </c>
      <c r="B89" s="2900">
        <v>21.19</v>
      </c>
      <c r="C89" s="2901">
        <v>6.92</v>
      </c>
      <c r="D89" s="2901" t="s">
        <v>4354</v>
      </c>
      <c r="E89" s="2902">
        <v>929.43</v>
      </c>
      <c r="F89" s="3379" t="s">
        <v>4355</v>
      </c>
      <c r="G89" s="3380"/>
      <c r="H89" s="2876"/>
    </row>
    <row r="90" spans="1:8" ht="14.1" hidden="1" customHeight="1">
      <c r="A90" s="2910">
        <v>40664</v>
      </c>
      <c r="B90" s="2900">
        <v>23.22</v>
      </c>
      <c r="C90" s="2901">
        <v>7.6</v>
      </c>
      <c r="D90" s="2901" t="s">
        <v>4356</v>
      </c>
      <c r="E90" s="2902">
        <v>1014.25</v>
      </c>
      <c r="F90" s="3379" t="s">
        <v>4357</v>
      </c>
      <c r="G90" s="3380"/>
      <c r="H90" s="2876"/>
    </row>
    <row r="91" spans="1:8" ht="14.1" hidden="1" customHeight="1">
      <c r="A91" s="2910">
        <v>40695</v>
      </c>
      <c r="B91" s="2900">
        <v>30.73</v>
      </c>
      <c r="C91" s="2901">
        <v>6.97</v>
      </c>
      <c r="D91" s="2901" t="s">
        <v>4358</v>
      </c>
      <c r="E91" s="2902">
        <v>1273.55</v>
      </c>
      <c r="F91" s="3379" t="s">
        <v>4359</v>
      </c>
      <c r="G91" s="3380"/>
      <c r="H91" s="2876"/>
    </row>
    <row r="92" spans="1:8" ht="14.1" hidden="1" customHeight="1">
      <c r="A92" s="2910">
        <v>40756</v>
      </c>
      <c r="B92" s="2900">
        <v>26.96</v>
      </c>
      <c r="C92" s="2901">
        <v>16.64</v>
      </c>
      <c r="D92" s="2901" t="s">
        <v>4360</v>
      </c>
      <c r="E92" s="2902">
        <v>1478.06</v>
      </c>
      <c r="F92" s="3379" t="s">
        <v>4361</v>
      </c>
      <c r="G92" s="3380"/>
      <c r="H92" s="2876"/>
    </row>
    <row r="93" spans="1:8" ht="14.1" hidden="1" customHeight="1">
      <c r="A93" s="2910">
        <v>40787</v>
      </c>
      <c r="B93" s="2900">
        <v>41.07</v>
      </c>
      <c r="C93" s="2901">
        <v>20.440000000000001</v>
      </c>
      <c r="D93" s="2901" t="s">
        <v>4362</v>
      </c>
      <c r="E93" s="2902">
        <v>1888.03</v>
      </c>
      <c r="F93" s="3379" t="s">
        <v>4363</v>
      </c>
      <c r="G93" s="3380"/>
      <c r="H93" s="2876"/>
    </row>
    <row r="94" spans="1:8" ht="14.1" hidden="1" customHeight="1">
      <c r="A94" s="2910">
        <v>40817</v>
      </c>
      <c r="B94" s="2900">
        <v>40.25</v>
      </c>
      <c r="C94" s="2901">
        <v>11.88</v>
      </c>
      <c r="D94" s="2901" t="s">
        <v>4364</v>
      </c>
      <c r="E94" s="2902">
        <v>1679.33</v>
      </c>
      <c r="F94" s="3379" t="s">
        <v>4365</v>
      </c>
      <c r="G94" s="3380"/>
      <c r="H94" s="2876"/>
    </row>
    <row r="95" spans="1:8" ht="14.1" hidden="1" customHeight="1">
      <c r="A95" s="2910">
        <v>40848</v>
      </c>
      <c r="B95" s="2900">
        <v>26.19</v>
      </c>
      <c r="C95" s="2901">
        <v>13.3</v>
      </c>
      <c r="D95" s="2901" t="s">
        <v>4366</v>
      </c>
      <c r="E95" s="2902">
        <v>1310.44</v>
      </c>
      <c r="F95" s="3379" t="s">
        <v>4367</v>
      </c>
      <c r="G95" s="3380"/>
      <c r="H95" s="2876"/>
    </row>
    <row r="96" spans="1:8" ht="14.1" hidden="1" customHeight="1">
      <c r="A96" s="2910">
        <v>40878</v>
      </c>
      <c r="B96" s="2900">
        <v>28.96</v>
      </c>
      <c r="C96" s="2901">
        <v>10.96</v>
      </c>
      <c r="D96" s="2901" t="s">
        <v>4368</v>
      </c>
      <c r="E96" s="2902">
        <v>1374.71</v>
      </c>
      <c r="F96" s="3379" t="s">
        <v>4369</v>
      </c>
      <c r="G96" s="3380"/>
      <c r="H96" s="2876"/>
    </row>
    <row r="97" spans="1:10" ht="14.1" hidden="1" customHeight="1">
      <c r="A97" s="2910">
        <v>40909</v>
      </c>
      <c r="B97" s="2900">
        <v>43.62</v>
      </c>
      <c r="C97" s="2901">
        <v>11.42</v>
      </c>
      <c r="D97" s="2901" t="s">
        <v>4370</v>
      </c>
      <c r="E97" s="2902">
        <v>1757.35</v>
      </c>
      <c r="F97" s="3379" t="s">
        <v>4371</v>
      </c>
      <c r="G97" s="3380"/>
      <c r="H97" s="2876"/>
    </row>
    <row r="98" spans="1:10" ht="14.1" hidden="1" customHeight="1">
      <c r="A98" s="2910">
        <v>40940</v>
      </c>
      <c r="B98" s="2900">
        <v>34.33</v>
      </c>
      <c r="C98" s="2901">
        <v>13.84</v>
      </c>
      <c r="D98" s="2901" t="s">
        <v>4372</v>
      </c>
      <c r="E98" s="2902">
        <v>1529.15</v>
      </c>
      <c r="F98" s="3379" t="s">
        <v>4373</v>
      </c>
      <c r="G98" s="3380"/>
      <c r="H98" s="2876"/>
    </row>
    <row r="99" spans="1:10" ht="14.1" hidden="1" customHeight="1">
      <c r="A99" s="2910">
        <v>40969</v>
      </c>
      <c r="B99" s="2900">
        <v>36.18</v>
      </c>
      <c r="C99" s="2901">
        <v>10.08</v>
      </c>
      <c r="D99" s="2901">
        <v>51.65</v>
      </c>
      <c r="E99" s="2902">
        <v>1511.19</v>
      </c>
      <c r="F99" s="3379" t="s">
        <v>4374</v>
      </c>
      <c r="G99" s="3380"/>
      <c r="H99" s="2876"/>
    </row>
    <row r="100" spans="1:10" ht="18.75" hidden="1" customHeight="1">
      <c r="A100" s="2910">
        <v>41000</v>
      </c>
      <c r="B100" s="2900">
        <v>43.08</v>
      </c>
      <c r="C100" s="2901">
        <v>11.34</v>
      </c>
      <c r="D100" s="2901">
        <v>58.45</v>
      </c>
      <c r="E100" s="2902">
        <v>1713.55</v>
      </c>
      <c r="F100" s="3379" t="s">
        <v>4375</v>
      </c>
      <c r="G100" s="3380"/>
      <c r="H100" s="2876"/>
    </row>
    <row r="101" spans="1:10" ht="16.5" hidden="1" customHeight="1">
      <c r="A101" s="2910">
        <v>41030</v>
      </c>
      <c r="B101" s="2900">
        <v>25.34</v>
      </c>
      <c r="C101" s="2901">
        <v>8.5500000000000007</v>
      </c>
      <c r="D101" s="2901">
        <v>37.869999999999997</v>
      </c>
      <c r="E101" s="2902">
        <v>1124.6199999999999</v>
      </c>
      <c r="F101" s="3379" t="s">
        <v>4376</v>
      </c>
      <c r="G101" s="3380"/>
      <c r="H101" s="2876"/>
    </row>
    <row r="102" spans="1:10" ht="16.5" hidden="1" customHeight="1">
      <c r="A102" s="2910">
        <v>41061</v>
      </c>
      <c r="B102" s="2900">
        <v>134.1</v>
      </c>
      <c r="C102" s="2901">
        <v>10.27</v>
      </c>
      <c r="D102" s="2901">
        <v>161.47999999999999</v>
      </c>
      <c r="E102" s="2902">
        <v>4958.6400000000003</v>
      </c>
      <c r="F102" s="3379" t="s">
        <v>4377</v>
      </c>
      <c r="G102" s="3380"/>
      <c r="H102" s="2876"/>
    </row>
    <row r="103" spans="1:10" ht="16.5" hidden="1" customHeight="1">
      <c r="A103" s="2910">
        <v>41091</v>
      </c>
      <c r="B103" s="2900">
        <v>67.73</v>
      </c>
      <c r="C103" s="2901">
        <v>10.91</v>
      </c>
      <c r="D103" s="2901">
        <v>92.16</v>
      </c>
      <c r="E103" s="2902">
        <v>2888.91</v>
      </c>
      <c r="F103" s="3379" t="s">
        <v>4378</v>
      </c>
      <c r="G103" s="3380"/>
      <c r="H103" s="2876"/>
    </row>
    <row r="104" spans="1:10" ht="16.5" hidden="1" customHeight="1">
      <c r="A104" s="2910">
        <v>41122</v>
      </c>
      <c r="B104" s="2900">
        <v>69.150000000000006</v>
      </c>
      <c r="C104" s="2901">
        <v>5.58</v>
      </c>
      <c r="D104" s="2901">
        <v>73.48</v>
      </c>
      <c r="E104" s="2902">
        <v>3172.96</v>
      </c>
      <c r="F104" s="3379" t="s">
        <v>4379</v>
      </c>
      <c r="G104" s="3380"/>
      <c r="H104" s="2876"/>
    </row>
    <row r="105" spans="1:10" ht="16.5" hidden="1" customHeight="1">
      <c r="A105" s="2910">
        <v>41153</v>
      </c>
      <c r="B105" s="2900">
        <v>37.659999999999997</v>
      </c>
      <c r="C105" s="2901">
        <v>16.37</v>
      </c>
      <c r="D105" s="2901">
        <v>95.18</v>
      </c>
      <c r="E105" s="2902">
        <v>2899.88</v>
      </c>
      <c r="F105" s="3379" t="s">
        <v>4380</v>
      </c>
      <c r="G105" s="3380"/>
      <c r="H105" s="2876"/>
    </row>
    <row r="106" spans="1:10" ht="16.5" hidden="1" customHeight="1">
      <c r="A106" s="2910">
        <v>41183</v>
      </c>
      <c r="B106" s="2900">
        <v>51.55</v>
      </c>
      <c r="C106" s="2901">
        <v>13.34</v>
      </c>
      <c r="D106" s="2901">
        <v>79.239999999999995</v>
      </c>
      <c r="E106" s="2902">
        <v>2457.33</v>
      </c>
      <c r="F106" s="3379" t="s">
        <v>4381</v>
      </c>
      <c r="G106" s="3380"/>
      <c r="H106" s="2876"/>
    </row>
    <row r="107" spans="1:10" ht="16.5" hidden="1" customHeight="1">
      <c r="A107" s="2910">
        <v>41214</v>
      </c>
      <c r="B107" s="2900">
        <v>47.28</v>
      </c>
      <c r="C107" s="2901">
        <v>8.08</v>
      </c>
      <c r="D107" s="2901">
        <v>68.89</v>
      </c>
      <c r="E107" s="2902">
        <v>2150.52</v>
      </c>
      <c r="F107" s="3379" t="s">
        <v>4382</v>
      </c>
      <c r="G107" s="3380"/>
      <c r="H107" s="2876"/>
    </row>
    <row r="108" spans="1:10" ht="16.5" hidden="1" customHeight="1">
      <c r="A108" s="2910">
        <v>41244</v>
      </c>
      <c r="B108" s="2900">
        <v>90.51</v>
      </c>
      <c r="C108" s="2901">
        <v>9.85</v>
      </c>
      <c r="D108" s="2901">
        <v>126.57</v>
      </c>
      <c r="E108" s="2902">
        <v>3910.75</v>
      </c>
      <c r="F108" s="3379" t="s">
        <v>4383</v>
      </c>
      <c r="G108" s="3380"/>
      <c r="H108" s="2876"/>
    </row>
    <row r="109" spans="1:10" ht="16.5" hidden="1" customHeight="1">
      <c r="A109" s="2910">
        <v>41275</v>
      </c>
      <c r="B109" s="2900">
        <v>97.06</v>
      </c>
      <c r="C109" s="2901">
        <v>14.61</v>
      </c>
      <c r="D109" s="2901">
        <v>148.71</v>
      </c>
      <c r="E109" s="2902">
        <v>4557.99</v>
      </c>
      <c r="F109" s="3379" t="s">
        <v>4384</v>
      </c>
      <c r="G109" s="3380"/>
      <c r="H109" s="2876"/>
    </row>
    <row r="110" spans="1:10" ht="16.5" hidden="1" customHeight="1">
      <c r="A110" s="2910">
        <v>41306</v>
      </c>
      <c r="B110" s="2900">
        <v>72.33</v>
      </c>
      <c r="C110" s="2901">
        <v>8.5</v>
      </c>
      <c r="D110" s="2901">
        <v>116.56</v>
      </c>
      <c r="E110" s="2902">
        <v>3580.41</v>
      </c>
      <c r="F110" s="3379" t="s">
        <v>4385</v>
      </c>
      <c r="G110" s="3380"/>
      <c r="H110" s="2876"/>
    </row>
    <row r="111" spans="1:10" ht="16.5" hidden="1" customHeight="1">
      <c r="A111" s="2910">
        <v>41334</v>
      </c>
      <c r="B111" s="2900">
        <v>32.83</v>
      </c>
      <c r="C111" s="2901">
        <v>8.01</v>
      </c>
      <c r="D111" s="2901">
        <v>104.06</v>
      </c>
      <c r="E111" s="2902">
        <v>3245.21</v>
      </c>
      <c r="F111" s="3379" t="s">
        <v>4386</v>
      </c>
      <c r="G111" s="3380"/>
      <c r="H111" s="2876"/>
      <c r="J111" s="2898"/>
    </row>
    <row r="112" spans="1:10" ht="16.5" hidden="1" customHeight="1" thickTop="1">
      <c r="A112" s="2910">
        <v>41365</v>
      </c>
      <c r="B112" s="2900">
        <v>31.14</v>
      </c>
      <c r="C112" s="2901">
        <v>6.42</v>
      </c>
      <c r="D112" s="2901">
        <v>94.44</v>
      </c>
      <c r="E112" s="2902">
        <v>2949.84</v>
      </c>
      <c r="F112" s="3379" t="s">
        <v>4387</v>
      </c>
      <c r="G112" s="3380"/>
      <c r="H112" s="2876"/>
      <c r="J112" s="2912"/>
    </row>
    <row r="113" spans="1:10" ht="16.5" hidden="1" customHeight="1" thickTop="1">
      <c r="A113" s="2910">
        <v>41395</v>
      </c>
      <c r="B113" s="2900">
        <v>37.270000000000003</v>
      </c>
      <c r="C113" s="2901">
        <v>8.11</v>
      </c>
      <c r="D113" s="2901">
        <v>67.290000000000006</v>
      </c>
      <c r="E113" s="2902">
        <v>3522.92</v>
      </c>
      <c r="F113" s="3379" t="s">
        <v>4388</v>
      </c>
      <c r="G113" s="3380"/>
      <c r="H113" s="2876"/>
    </row>
    <row r="114" spans="1:10" ht="16.5" hidden="1" customHeight="1" thickTop="1">
      <c r="A114" s="2910">
        <v>41426</v>
      </c>
      <c r="B114" s="2900">
        <v>24.57</v>
      </c>
      <c r="C114" s="2901">
        <v>6.94</v>
      </c>
      <c r="D114" s="2901">
        <v>78.48</v>
      </c>
      <c r="E114" s="2902">
        <v>2440.63</v>
      </c>
      <c r="F114" s="3379" t="s">
        <v>4389</v>
      </c>
      <c r="G114" s="3380"/>
      <c r="H114" s="2876"/>
    </row>
    <row r="115" spans="1:10" ht="16.5" hidden="1" customHeight="1" thickTop="1">
      <c r="A115" s="2910">
        <v>41456</v>
      </c>
      <c r="B115" s="2900">
        <v>38.03</v>
      </c>
      <c r="C115" s="2901">
        <v>10.35</v>
      </c>
      <c r="D115" s="2901">
        <v>120.38</v>
      </c>
      <c r="E115" s="2902">
        <v>3739.79</v>
      </c>
      <c r="F115" s="3379" t="s">
        <v>4390</v>
      </c>
      <c r="G115" s="3380"/>
      <c r="H115" s="2876"/>
    </row>
    <row r="116" spans="1:10" ht="16.5" hidden="1" customHeight="1" thickTop="1">
      <c r="A116" s="2910">
        <v>41487</v>
      </c>
      <c r="B116" s="2900">
        <v>24.08</v>
      </c>
      <c r="C116" s="2901">
        <v>6.38</v>
      </c>
      <c r="D116" s="2901">
        <v>48.17</v>
      </c>
      <c r="E116" s="2902">
        <v>1492.87</v>
      </c>
      <c r="F116" s="3379" t="s">
        <v>4391</v>
      </c>
      <c r="G116" s="3380"/>
      <c r="H116" s="2876"/>
    </row>
    <row r="117" spans="1:10" ht="16.5" hidden="1" customHeight="1" thickTop="1">
      <c r="A117" s="2910">
        <v>41518</v>
      </c>
      <c r="B117" s="2900">
        <v>23.82</v>
      </c>
      <c r="C117" s="2901">
        <v>8.5</v>
      </c>
      <c r="D117" s="2901">
        <v>41.91</v>
      </c>
      <c r="E117" s="2902">
        <v>1297.1099999999999</v>
      </c>
      <c r="F117" s="3379" t="s">
        <v>4392</v>
      </c>
      <c r="G117" s="3380"/>
      <c r="H117" s="2876"/>
    </row>
    <row r="118" spans="1:10" ht="16.5" hidden="1" customHeight="1" thickTop="1">
      <c r="A118" s="2910">
        <v>41548</v>
      </c>
      <c r="B118" s="2900">
        <v>37.909999999999997</v>
      </c>
      <c r="C118" s="2901">
        <v>13.13</v>
      </c>
      <c r="D118" s="2901">
        <v>89.72</v>
      </c>
      <c r="E118" s="2902">
        <v>2724.34</v>
      </c>
      <c r="F118" s="3379" t="s">
        <v>4393</v>
      </c>
      <c r="G118" s="3380"/>
      <c r="H118" s="2876"/>
    </row>
    <row r="119" spans="1:10" ht="16.5" hidden="1" customHeight="1" thickTop="1">
      <c r="A119" s="2910">
        <v>41579</v>
      </c>
      <c r="B119" s="2900">
        <v>19.329999999999998</v>
      </c>
      <c r="C119" s="2901">
        <v>9.5</v>
      </c>
      <c r="D119" s="2901">
        <v>93.5</v>
      </c>
      <c r="E119" s="2902">
        <v>2861.6</v>
      </c>
      <c r="F119" s="3379" t="s">
        <v>4394</v>
      </c>
      <c r="G119" s="3380"/>
      <c r="H119" s="2876"/>
    </row>
    <row r="120" spans="1:10" ht="16.5" hidden="1" customHeight="1" thickTop="1">
      <c r="A120" s="2910">
        <v>41609</v>
      </c>
      <c r="B120" s="2900">
        <v>88.1</v>
      </c>
      <c r="C120" s="2901">
        <v>16.989999999999998</v>
      </c>
      <c r="D120" s="2901">
        <v>153.71</v>
      </c>
      <c r="E120" s="2902">
        <v>4662.2299999999996</v>
      </c>
      <c r="F120" s="3379" t="s">
        <v>4395</v>
      </c>
      <c r="G120" s="3380"/>
      <c r="H120" s="2876"/>
    </row>
    <row r="121" spans="1:10" ht="16.5" hidden="1" customHeight="1" thickTop="1">
      <c r="A121" s="2910">
        <v>41640</v>
      </c>
      <c r="B121" s="2900">
        <v>67.38</v>
      </c>
      <c r="C121" s="2901">
        <v>5.07</v>
      </c>
      <c r="D121" s="2901">
        <v>136.83000000000001</v>
      </c>
      <c r="E121" s="2902">
        <v>4159.8999999999996</v>
      </c>
      <c r="F121" s="3379" t="s">
        <v>4396</v>
      </c>
      <c r="G121" s="3380"/>
      <c r="H121" s="2876"/>
      <c r="J121" s="2912"/>
    </row>
    <row r="122" spans="1:10" ht="16.5" hidden="1" customHeight="1" thickTop="1">
      <c r="A122" s="2910">
        <v>41671</v>
      </c>
      <c r="B122" s="2900">
        <v>51.98</v>
      </c>
      <c r="C122" s="2901">
        <v>6.99</v>
      </c>
      <c r="D122" s="2901">
        <v>151.44999999999999</v>
      </c>
      <c r="E122" s="2902">
        <v>4603.47</v>
      </c>
      <c r="F122" s="3379" t="s">
        <v>4397</v>
      </c>
      <c r="G122" s="3380"/>
      <c r="H122" s="2876"/>
      <c r="J122" s="2898"/>
    </row>
    <row r="123" spans="1:10" ht="16.5" hidden="1" customHeight="1" thickTop="1">
      <c r="A123" s="2910">
        <v>41699</v>
      </c>
      <c r="B123" s="2900">
        <v>62.26</v>
      </c>
      <c r="C123" s="2901">
        <v>9.14</v>
      </c>
      <c r="D123" s="2901">
        <v>123.72</v>
      </c>
      <c r="E123" s="2902">
        <v>3736.8</v>
      </c>
      <c r="F123" s="3379" t="s">
        <v>4398</v>
      </c>
      <c r="G123" s="3380"/>
      <c r="H123" s="2876"/>
      <c r="J123" s="2898"/>
    </row>
    <row r="124" spans="1:10" ht="16.5" hidden="1" customHeight="1" thickTop="1">
      <c r="A124" s="2910">
        <v>41730</v>
      </c>
      <c r="B124" s="2900">
        <v>78.150000000000006</v>
      </c>
      <c r="C124" s="2901">
        <v>12.89</v>
      </c>
      <c r="D124" s="2901">
        <v>169.02</v>
      </c>
      <c r="E124" s="2902">
        <v>5100.54</v>
      </c>
      <c r="F124" s="3379" t="s">
        <v>4399</v>
      </c>
      <c r="G124" s="3380"/>
      <c r="H124" s="2876"/>
      <c r="J124" s="2898"/>
    </row>
    <row r="125" spans="1:10" ht="16.5" hidden="1" customHeight="1" thickTop="1">
      <c r="A125" s="2910">
        <v>41760</v>
      </c>
      <c r="B125" s="2900">
        <v>58.18</v>
      </c>
      <c r="C125" s="2901">
        <v>40.369999999999997</v>
      </c>
      <c r="D125" s="2901">
        <v>161.15</v>
      </c>
      <c r="E125" s="2902">
        <v>4867.96</v>
      </c>
      <c r="F125" s="3379" t="s">
        <v>4400</v>
      </c>
      <c r="G125" s="3380"/>
      <c r="H125" s="2876"/>
      <c r="J125" s="2898"/>
    </row>
    <row r="126" spans="1:10" ht="16.5" hidden="1" customHeight="1" thickTop="1">
      <c r="A126" s="2910">
        <v>41791</v>
      </c>
      <c r="B126" s="2900">
        <v>47.57</v>
      </c>
      <c r="C126" s="2901">
        <v>10.68</v>
      </c>
      <c r="D126" s="2901">
        <v>132.34</v>
      </c>
      <c r="E126" s="2902">
        <v>4029.02</v>
      </c>
      <c r="F126" s="3379" t="s">
        <v>4401</v>
      </c>
      <c r="G126" s="3380"/>
      <c r="H126" s="2876"/>
      <c r="J126" s="2898"/>
    </row>
    <row r="127" spans="1:10" ht="16.5" customHeight="1" thickTop="1">
      <c r="A127" s="2910">
        <v>41821</v>
      </c>
      <c r="B127" s="2900">
        <v>59.9</v>
      </c>
      <c r="C127" s="2901">
        <v>15.14</v>
      </c>
      <c r="D127" s="2901">
        <v>124.94</v>
      </c>
      <c r="E127" s="2902">
        <v>3805.36</v>
      </c>
      <c r="F127" s="3379" t="s">
        <v>4402</v>
      </c>
      <c r="G127" s="3380"/>
      <c r="H127" s="2876"/>
      <c r="J127" s="2898"/>
    </row>
    <row r="128" spans="1:10" ht="16.5" customHeight="1">
      <c r="A128" s="2910">
        <v>41852</v>
      </c>
      <c r="B128" s="2900">
        <v>45.89</v>
      </c>
      <c r="C128" s="2901">
        <v>12.53</v>
      </c>
      <c r="D128" s="2901">
        <v>63.82</v>
      </c>
      <c r="E128" s="2902">
        <v>1962.38</v>
      </c>
      <c r="F128" s="3379" t="s">
        <v>4403</v>
      </c>
      <c r="G128" s="3380"/>
      <c r="H128" s="2876"/>
      <c r="J128" s="2898"/>
    </row>
    <row r="129" spans="1:10" ht="16.5" customHeight="1">
      <c r="A129" s="2910">
        <v>41883</v>
      </c>
      <c r="B129" s="2900">
        <v>46.91</v>
      </c>
      <c r="C129" s="2901">
        <v>8.64</v>
      </c>
      <c r="D129" s="2901">
        <v>104.53</v>
      </c>
      <c r="E129" s="2902">
        <v>3278.6</v>
      </c>
      <c r="F129" s="3379" t="s">
        <v>4404</v>
      </c>
      <c r="G129" s="3380"/>
      <c r="H129" s="2876"/>
      <c r="J129" s="2898"/>
    </row>
    <row r="130" spans="1:10" ht="16.5" customHeight="1">
      <c r="A130" s="2910">
        <v>41913</v>
      </c>
      <c r="B130" s="2900">
        <v>63.45</v>
      </c>
      <c r="C130" s="2901">
        <v>10.41</v>
      </c>
      <c r="D130" s="2901">
        <v>78.709999999999994</v>
      </c>
      <c r="E130" s="2902">
        <v>2477.8000000000002</v>
      </c>
      <c r="F130" s="3379" t="s">
        <v>4405</v>
      </c>
      <c r="G130" s="3380"/>
      <c r="H130" s="2876"/>
      <c r="J130" s="2898"/>
    </row>
    <row r="131" spans="1:10" ht="16.5" customHeight="1">
      <c r="A131" s="2910">
        <v>41944</v>
      </c>
      <c r="B131" s="2900">
        <v>84.59</v>
      </c>
      <c r="C131" s="2901">
        <v>15.48</v>
      </c>
      <c r="D131" s="2901">
        <v>106.93</v>
      </c>
      <c r="E131" s="2902">
        <v>3379.67</v>
      </c>
      <c r="F131" s="3379" t="s">
        <v>4406</v>
      </c>
      <c r="G131" s="3380"/>
      <c r="H131" s="2876"/>
      <c r="J131" s="2898"/>
    </row>
    <row r="132" spans="1:10" ht="16.5" customHeight="1">
      <c r="A132" s="2910">
        <v>41974</v>
      </c>
      <c r="B132" s="2900">
        <v>150.36000000000001</v>
      </c>
      <c r="C132" s="2901">
        <v>12.23</v>
      </c>
      <c r="D132" s="2901">
        <v>181.06</v>
      </c>
      <c r="E132" s="2902">
        <v>5739.8</v>
      </c>
      <c r="F132" s="3379" t="s">
        <v>4407</v>
      </c>
      <c r="G132" s="3380"/>
      <c r="H132" s="2876"/>
      <c r="J132" s="2898"/>
    </row>
    <row r="133" spans="1:10" ht="16.5" customHeight="1">
      <c r="A133" s="2910">
        <v>42005</v>
      </c>
      <c r="B133" s="2900">
        <v>76.5</v>
      </c>
      <c r="C133" s="2901">
        <v>13.11</v>
      </c>
      <c r="D133" s="2901">
        <v>96.61</v>
      </c>
      <c r="E133" s="2902">
        <v>3132.72</v>
      </c>
      <c r="F133" s="3379" t="s">
        <v>4408</v>
      </c>
      <c r="G133" s="3380"/>
      <c r="H133" s="2876"/>
      <c r="J133" s="2898"/>
    </row>
    <row r="134" spans="1:10" ht="16.5" customHeight="1">
      <c r="A134" s="2910">
        <v>42036</v>
      </c>
      <c r="B134" s="2900">
        <v>126.07</v>
      </c>
      <c r="C134" s="2901">
        <v>15.69</v>
      </c>
      <c r="D134" s="2901">
        <v>145.72</v>
      </c>
      <c r="E134" s="2902">
        <v>4827.0600000000004</v>
      </c>
      <c r="F134" s="3379" t="s">
        <v>4409</v>
      </c>
      <c r="G134" s="3380"/>
      <c r="H134" s="2876"/>
      <c r="J134" s="2898"/>
    </row>
    <row r="135" spans="1:10" ht="16.5" customHeight="1">
      <c r="A135" s="2910">
        <v>42064</v>
      </c>
      <c r="B135" s="2900">
        <v>117.91</v>
      </c>
      <c r="C135" s="2901">
        <v>13.34</v>
      </c>
      <c r="D135" s="2901">
        <v>135.36000000000001</v>
      </c>
      <c r="E135" s="2902">
        <v>4815.3900000000003</v>
      </c>
      <c r="F135" s="3379" t="s">
        <v>4410</v>
      </c>
      <c r="G135" s="3380"/>
      <c r="H135" s="2876"/>
      <c r="J135" s="2898"/>
    </row>
    <row r="136" spans="1:10" ht="16.5" customHeight="1">
      <c r="A136" s="2910">
        <v>42095</v>
      </c>
      <c r="B136" s="2900">
        <v>54.83</v>
      </c>
      <c r="C136" s="2901">
        <v>8.0299999999999994</v>
      </c>
      <c r="D136" s="2901">
        <v>67.709999999999994</v>
      </c>
      <c r="E136" s="2902">
        <v>2452.87</v>
      </c>
      <c r="F136" s="3379" t="s">
        <v>4411</v>
      </c>
      <c r="G136" s="3380"/>
      <c r="H136" s="2876"/>
      <c r="J136" s="2898"/>
    </row>
    <row r="137" spans="1:10" ht="16.5" customHeight="1">
      <c r="A137" s="2910">
        <v>42125</v>
      </c>
      <c r="B137" s="2900">
        <v>114.69</v>
      </c>
      <c r="C137" s="2901">
        <v>7.39</v>
      </c>
      <c r="D137" s="2901">
        <v>127.34</v>
      </c>
      <c r="E137" s="2902">
        <v>4462.5</v>
      </c>
      <c r="F137" s="3379" t="s">
        <v>4412</v>
      </c>
      <c r="G137" s="3380"/>
      <c r="H137" s="2876"/>
      <c r="J137" s="2898"/>
    </row>
    <row r="138" spans="1:10" ht="16.5" customHeight="1">
      <c r="A138" s="2910">
        <v>42156</v>
      </c>
      <c r="B138" s="2900">
        <v>98.34</v>
      </c>
      <c r="C138" s="2901">
        <v>15.01</v>
      </c>
      <c r="D138" s="2901">
        <v>119.64</v>
      </c>
      <c r="E138" s="2902">
        <v>4216.55</v>
      </c>
      <c r="F138" s="3379" t="s">
        <v>4413</v>
      </c>
      <c r="G138" s="3380"/>
      <c r="H138" s="2876"/>
      <c r="J138" s="2898"/>
    </row>
    <row r="139" spans="1:10" ht="16.5" customHeight="1">
      <c r="A139" s="2910">
        <v>42186</v>
      </c>
      <c r="B139" s="2900">
        <v>67.58</v>
      </c>
      <c r="C139" s="2901">
        <v>7.24</v>
      </c>
      <c r="D139" s="2901">
        <v>82.99</v>
      </c>
      <c r="E139" s="2902">
        <v>2951.84</v>
      </c>
      <c r="F139" s="3379" t="s">
        <v>4414</v>
      </c>
      <c r="G139" s="3380"/>
      <c r="H139" s="2876"/>
      <c r="J139" s="2898"/>
    </row>
    <row r="140" spans="1:10" ht="14.1" customHeight="1" thickBot="1">
      <c r="A140" s="2913"/>
      <c r="B140" s="2914"/>
      <c r="C140" s="2915"/>
      <c r="D140" s="2915"/>
      <c r="E140" s="2915"/>
      <c r="F140" s="3381"/>
      <c r="G140" s="3382"/>
      <c r="H140" s="2876"/>
    </row>
    <row r="141" spans="1:10" ht="15.75" thickTop="1">
      <c r="A141" s="2916" t="s">
        <v>4415</v>
      </c>
      <c r="B141" s="2917"/>
      <c r="C141" s="2917"/>
      <c r="D141" s="2917"/>
      <c r="E141" s="2917"/>
      <c r="F141" s="2918"/>
      <c r="I141" s="2876"/>
    </row>
    <row r="142" spans="1:10">
      <c r="A142" s="2919" t="s">
        <v>4416</v>
      </c>
      <c r="B142" s="2917"/>
      <c r="C142" s="2917"/>
      <c r="D142" s="2917"/>
      <c r="E142" s="2917"/>
      <c r="F142" s="2918"/>
      <c r="I142" s="2876"/>
    </row>
    <row r="143" spans="1:10" ht="22.5" customHeight="1">
      <c r="A143" s="2920" t="s">
        <v>2704</v>
      </c>
      <c r="B143" s="2917"/>
      <c r="C143" s="2917"/>
      <c r="D143" s="2917"/>
      <c r="E143" s="2917"/>
      <c r="F143" s="2918"/>
      <c r="I143" s="2876"/>
    </row>
    <row r="144" spans="1:10">
      <c r="A144" s="2730"/>
      <c r="B144" s="2917"/>
      <c r="C144" s="2917"/>
      <c r="D144" s="2917"/>
      <c r="E144" s="2917"/>
      <c r="F144" s="2918"/>
      <c r="I144" s="2876"/>
    </row>
    <row r="145" spans="1:9" s="2921" customFormat="1" ht="17.25" customHeight="1">
      <c r="C145" s="2922"/>
      <c r="D145" s="2923"/>
    </row>
    <row r="146" spans="1:9">
      <c r="A146" s="2924"/>
      <c r="B146" s="2917"/>
      <c r="C146" s="2917"/>
      <c r="D146" s="2925"/>
      <c r="F146" s="2918"/>
      <c r="G146" s="2880"/>
      <c r="H146" s="2876"/>
      <c r="I146" s="2876"/>
    </row>
    <row r="147" spans="1:9" ht="15" customHeight="1">
      <c r="A147" s="2926"/>
      <c r="G147" s="2876"/>
      <c r="H147" s="2876"/>
      <c r="I147" s="2876"/>
    </row>
    <row r="148" spans="1:9" s="2921" customFormat="1" ht="17.25" customHeight="1">
      <c r="A148" s="2920"/>
      <c r="C148" s="2922"/>
      <c r="D148" s="2923"/>
    </row>
    <row r="149" spans="1:9" s="2921" customFormat="1" ht="17.25" customHeight="1">
      <c r="A149" s="2920"/>
      <c r="C149" s="2922"/>
      <c r="D149" s="2923"/>
    </row>
    <row r="150" spans="1:9" s="2921" customFormat="1" ht="13.5">
      <c r="A150" s="2920"/>
      <c r="C150" s="2922"/>
      <c r="D150" s="2923"/>
    </row>
    <row r="152" spans="1:9">
      <c r="A152" s="2927"/>
    </row>
    <row r="155" spans="1:9">
      <c r="F155" s="2877" t="s">
        <v>42</v>
      </c>
    </row>
    <row r="168" spans="4:4">
      <c r="D168" s="2929"/>
    </row>
  </sheetData>
  <mergeCells count="137">
    <mergeCell ref="F4:G4"/>
    <mergeCell ref="F5:G5"/>
    <mergeCell ref="F6:G6"/>
    <mergeCell ref="F7:G7"/>
    <mergeCell ref="F8:G8"/>
    <mergeCell ref="F9:G9"/>
    <mergeCell ref="F16:G16"/>
    <mergeCell ref="F17:G17"/>
    <mergeCell ref="F18:G18"/>
    <mergeCell ref="F19:G19"/>
    <mergeCell ref="F20:G20"/>
    <mergeCell ref="F21:G21"/>
    <mergeCell ref="F10:G10"/>
    <mergeCell ref="F11:G11"/>
    <mergeCell ref="F12:G12"/>
    <mergeCell ref="F13:G13"/>
    <mergeCell ref="F14:G14"/>
    <mergeCell ref="F15:G15"/>
    <mergeCell ref="F28:G28"/>
    <mergeCell ref="F29:G29"/>
    <mergeCell ref="F30:G30"/>
    <mergeCell ref="F31:G31"/>
    <mergeCell ref="F32:G32"/>
    <mergeCell ref="F33:G33"/>
    <mergeCell ref="F22:G22"/>
    <mergeCell ref="F23:G23"/>
    <mergeCell ref="F24:G24"/>
    <mergeCell ref="F25:G25"/>
    <mergeCell ref="F26:G26"/>
    <mergeCell ref="F27:G27"/>
    <mergeCell ref="F40:G40"/>
    <mergeCell ref="F41:G41"/>
    <mergeCell ref="F42:G42"/>
    <mergeCell ref="F43:G43"/>
    <mergeCell ref="F44:G44"/>
    <mergeCell ref="F45:G45"/>
    <mergeCell ref="F34:G34"/>
    <mergeCell ref="F35:G35"/>
    <mergeCell ref="F36:G36"/>
    <mergeCell ref="F37:G37"/>
    <mergeCell ref="F38:G38"/>
    <mergeCell ref="F39:G39"/>
    <mergeCell ref="F52:G52"/>
    <mergeCell ref="F53:G53"/>
    <mergeCell ref="F54:G54"/>
    <mergeCell ref="F55:G55"/>
    <mergeCell ref="F56:G56"/>
    <mergeCell ref="F57:G57"/>
    <mergeCell ref="F46:G46"/>
    <mergeCell ref="F47:G47"/>
    <mergeCell ref="F48:G48"/>
    <mergeCell ref="F49:G49"/>
    <mergeCell ref="F50:G50"/>
    <mergeCell ref="F51:G51"/>
    <mergeCell ref="F64:G64"/>
    <mergeCell ref="F65:G65"/>
    <mergeCell ref="F66:G66"/>
    <mergeCell ref="F67:G67"/>
    <mergeCell ref="F68:G68"/>
    <mergeCell ref="F69:G69"/>
    <mergeCell ref="F58:G58"/>
    <mergeCell ref="F59:G59"/>
    <mergeCell ref="F60:G60"/>
    <mergeCell ref="F61:G61"/>
    <mergeCell ref="F62:G62"/>
    <mergeCell ref="F63:G63"/>
    <mergeCell ref="F76:G76"/>
    <mergeCell ref="F77:G77"/>
    <mergeCell ref="F78:G78"/>
    <mergeCell ref="F79:G79"/>
    <mergeCell ref="F80:G80"/>
    <mergeCell ref="F81:G81"/>
    <mergeCell ref="F70:G70"/>
    <mergeCell ref="F71:G71"/>
    <mergeCell ref="F72:G72"/>
    <mergeCell ref="F73:G73"/>
    <mergeCell ref="F74:G74"/>
    <mergeCell ref="F75:G75"/>
    <mergeCell ref="F88:G88"/>
    <mergeCell ref="F89:G89"/>
    <mergeCell ref="F90:G90"/>
    <mergeCell ref="F91:G91"/>
    <mergeCell ref="F92:G92"/>
    <mergeCell ref="F93:G93"/>
    <mergeCell ref="F82:G82"/>
    <mergeCell ref="F83:G83"/>
    <mergeCell ref="F84:G84"/>
    <mergeCell ref="F85:G85"/>
    <mergeCell ref="F86:G86"/>
    <mergeCell ref="F87:G87"/>
    <mergeCell ref="F100:G100"/>
    <mergeCell ref="F101:G101"/>
    <mergeCell ref="F102:G102"/>
    <mergeCell ref="F103:G103"/>
    <mergeCell ref="F104:G104"/>
    <mergeCell ref="F105:G105"/>
    <mergeCell ref="F94:G94"/>
    <mergeCell ref="F95:G95"/>
    <mergeCell ref="F96:G96"/>
    <mergeCell ref="F97:G97"/>
    <mergeCell ref="F98:G98"/>
    <mergeCell ref="F99:G99"/>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24:G124"/>
    <mergeCell ref="F125:G125"/>
    <mergeCell ref="F126:G126"/>
    <mergeCell ref="F127:G127"/>
    <mergeCell ref="F128:G128"/>
    <mergeCell ref="F129:G129"/>
    <mergeCell ref="F118:G118"/>
    <mergeCell ref="F119:G119"/>
    <mergeCell ref="F120:G120"/>
    <mergeCell ref="F121:G121"/>
    <mergeCell ref="F122:G122"/>
    <mergeCell ref="F123:G123"/>
    <mergeCell ref="F136:G136"/>
    <mergeCell ref="F137:G137"/>
    <mergeCell ref="F138:G138"/>
    <mergeCell ref="F139:G139"/>
    <mergeCell ref="F140:G140"/>
    <mergeCell ref="F130:G130"/>
    <mergeCell ref="F131:G131"/>
    <mergeCell ref="F132:G132"/>
    <mergeCell ref="F133:G133"/>
    <mergeCell ref="F134:G134"/>
    <mergeCell ref="F135:G135"/>
  </mergeCells>
  <printOptions horizontalCentered="1" verticalCentered="1"/>
  <pageMargins left="0.25" right="0.25" top="0.75" bottom="0.75" header="0.3" footer="0.3"/>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75"/>
  <sheetViews>
    <sheetView showGridLines="0" zoomScaleNormal="100" workbookViewId="0">
      <selection activeCell="R135" sqref="R135"/>
    </sheetView>
  </sheetViews>
  <sheetFormatPr defaultRowHeight="15"/>
  <cols>
    <col min="1" max="1" width="10.7109375" style="1764" customWidth="1"/>
    <col min="2" max="2" width="11.28515625" style="1763" customWidth="1"/>
    <col min="3" max="3" width="12.7109375" style="1763" customWidth="1"/>
    <col min="4" max="4" width="12" style="1763" customWidth="1"/>
    <col min="5" max="5" width="12.5703125" style="1763" customWidth="1"/>
    <col min="6" max="6" width="10.85546875" style="1763" customWidth="1"/>
    <col min="7" max="9" width="12.42578125" style="1763" customWidth="1"/>
    <col min="10" max="10" width="10.42578125" style="1763" customWidth="1"/>
    <col min="11" max="11" width="12.7109375" style="1763" customWidth="1"/>
    <col min="12" max="12" width="16.85546875" style="1763" customWidth="1"/>
    <col min="13" max="13" width="9.140625" style="1763"/>
    <col min="14" max="14" width="8.7109375" style="1763" customWidth="1"/>
    <col min="15" max="15" width="9.140625" style="1763"/>
    <col min="16" max="16" width="14.28515625" style="1763" bestFit="1" customWidth="1"/>
    <col min="17" max="258" width="9.140625" style="1763"/>
    <col min="259" max="259" width="10.7109375" style="1763" customWidth="1"/>
    <col min="260" max="267" width="10.42578125" style="1763" customWidth="1"/>
    <col min="268" max="268" width="14.28515625" style="1763" customWidth="1"/>
    <col min="269" max="269" width="9.140625" style="1763"/>
    <col min="270" max="270" width="8.7109375" style="1763" customWidth="1"/>
    <col min="271" max="514" width="9.140625" style="1763"/>
    <col min="515" max="515" width="10.7109375" style="1763" customWidth="1"/>
    <col min="516" max="523" width="10.42578125" style="1763" customWidth="1"/>
    <col min="524" max="524" width="14.28515625" style="1763" customWidth="1"/>
    <col min="525" max="525" width="9.140625" style="1763"/>
    <col min="526" max="526" width="8.7109375" style="1763" customWidth="1"/>
    <col min="527" max="770" width="9.140625" style="1763"/>
    <col min="771" max="771" width="10.7109375" style="1763" customWidth="1"/>
    <col min="772" max="779" width="10.42578125" style="1763" customWidth="1"/>
    <col min="780" max="780" width="14.28515625" style="1763" customWidth="1"/>
    <col min="781" max="781" width="9.140625" style="1763"/>
    <col min="782" max="782" width="8.7109375" style="1763" customWidth="1"/>
    <col min="783" max="1026" width="9.140625" style="1763"/>
    <col min="1027" max="1027" width="10.7109375" style="1763" customWidth="1"/>
    <col min="1028" max="1035" width="10.42578125" style="1763" customWidth="1"/>
    <col min="1036" max="1036" width="14.28515625" style="1763" customWidth="1"/>
    <col min="1037" max="1037" width="9.140625" style="1763"/>
    <col min="1038" max="1038" width="8.7109375" style="1763" customWidth="1"/>
    <col min="1039" max="1282" width="9.140625" style="1763"/>
    <col min="1283" max="1283" width="10.7109375" style="1763" customWidth="1"/>
    <col min="1284" max="1291" width="10.42578125" style="1763" customWidth="1"/>
    <col min="1292" max="1292" width="14.28515625" style="1763" customWidth="1"/>
    <col min="1293" max="1293" width="9.140625" style="1763"/>
    <col min="1294" max="1294" width="8.7109375" style="1763" customWidth="1"/>
    <col min="1295" max="1538" width="9.140625" style="1763"/>
    <col min="1539" max="1539" width="10.7109375" style="1763" customWidth="1"/>
    <col min="1540" max="1547" width="10.42578125" style="1763" customWidth="1"/>
    <col min="1548" max="1548" width="14.28515625" style="1763" customWidth="1"/>
    <col min="1549" max="1549" width="9.140625" style="1763"/>
    <col min="1550" max="1550" width="8.7109375" style="1763" customWidth="1"/>
    <col min="1551" max="1794" width="9.140625" style="1763"/>
    <col min="1795" max="1795" width="10.7109375" style="1763" customWidth="1"/>
    <col min="1796" max="1803" width="10.42578125" style="1763" customWidth="1"/>
    <col min="1804" max="1804" width="14.28515625" style="1763" customWidth="1"/>
    <col min="1805" max="1805" width="9.140625" style="1763"/>
    <col min="1806" max="1806" width="8.7109375" style="1763" customWidth="1"/>
    <col min="1807" max="2050" width="9.140625" style="1763"/>
    <col min="2051" max="2051" width="10.7109375" style="1763" customWidth="1"/>
    <col min="2052" max="2059" width="10.42578125" style="1763" customWidth="1"/>
    <col min="2060" max="2060" width="14.28515625" style="1763" customWidth="1"/>
    <col min="2061" max="2061" width="9.140625" style="1763"/>
    <col min="2062" max="2062" width="8.7109375" style="1763" customWidth="1"/>
    <col min="2063" max="2306" width="9.140625" style="1763"/>
    <col min="2307" max="2307" width="10.7109375" style="1763" customWidth="1"/>
    <col min="2308" max="2315" width="10.42578125" style="1763" customWidth="1"/>
    <col min="2316" max="2316" width="14.28515625" style="1763" customWidth="1"/>
    <col min="2317" max="2317" width="9.140625" style="1763"/>
    <col min="2318" max="2318" width="8.7109375" style="1763" customWidth="1"/>
    <col min="2319" max="2562" width="9.140625" style="1763"/>
    <col min="2563" max="2563" width="10.7109375" style="1763" customWidth="1"/>
    <col min="2564" max="2571" width="10.42578125" style="1763" customWidth="1"/>
    <col min="2572" max="2572" width="14.28515625" style="1763" customWidth="1"/>
    <col min="2573" max="2573" width="9.140625" style="1763"/>
    <col min="2574" max="2574" width="8.7109375" style="1763" customWidth="1"/>
    <col min="2575" max="2818" width="9.140625" style="1763"/>
    <col min="2819" max="2819" width="10.7109375" style="1763" customWidth="1"/>
    <col min="2820" max="2827" width="10.42578125" style="1763" customWidth="1"/>
    <col min="2828" max="2828" width="14.28515625" style="1763" customWidth="1"/>
    <col min="2829" max="2829" width="9.140625" style="1763"/>
    <col min="2830" max="2830" width="8.7109375" style="1763" customWidth="1"/>
    <col min="2831" max="3074" width="9.140625" style="1763"/>
    <col min="3075" max="3075" width="10.7109375" style="1763" customWidth="1"/>
    <col min="3076" max="3083" width="10.42578125" style="1763" customWidth="1"/>
    <col min="3084" max="3084" width="14.28515625" style="1763" customWidth="1"/>
    <col min="3085" max="3085" width="9.140625" style="1763"/>
    <col min="3086" max="3086" width="8.7109375" style="1763" customWidth="1"/>
    <col min="3087" max="3330" width="9.140625" style="1763"/>
    <col min="3331" max="3331" width="10.7109375" style="1763" customWidth="1"/>
    <col min="3332" max="3339" width="10.42578125" style="1763" customWidth="1"/>
    <col min="3340" max="3340" width="14.28515625" style="1763" customWidth="1"/>
    <col min="3341" max="3341" width="9.140625" style="1763"/>
    <col min="3342" max="3342" width="8.7109375" style="1763" customWidth="1"/>
    <col min="3343" max="3586" width="9.140625" style="1763"/>
    <col min="3587" max="3587" width="10.7109375" style="1763" customWidth="1"/>
    <col min="3588" max="3595" width="10.42578125" style="1763" customWidth="1"/>
    <col min="3596" max="3596" width="14.28515625" style="1763" customWidth="1"/>
    <col min="3597" max="3597" width="9.140625" style="1763"/>
    <col min="3598" max="3598" width="8.7109375" style="1763" customWidth="1"/>
    <col min="3599" max="3842" width="9.140625" style="1763"/>
    <col min="3843" max="3843" width="10.7109375" style="1763" customWidth="1"/>
    <col min="3844" max="3851" width="10.42578125" style="1763" customWidth="1"/>
    <col min="3852" max="3852" width="14.28515625" style="1763" customWidth="1"/>
    <col min="3853" max="3853" width="9.140625" style="1763"/>
    <col min="3854" max="3854" width="8.7109375" style="1763" customWidth="1"/>
    <col min="3855" max="4098" width="9.140625" style="1763"/>
    <col min="4099" max="4099" width="10.7109375" style="1763" customWidth="1"/>
    <col min="4100" max="4107" width="10.42578125" style="1763" customWidth="1"/>
    <col min="4108" max="4108" width="14.28515625" style="1763" customWidth="1"/>
    <col min="4109" max="4109" width="9.140625" style="1763"/>
    <col min="4110" max="4110" width="8.7109375" style="1763" customWidth="1"/>
    <col min="4111" max="4354" width="9.140625" style="1763"/>
    <col min="4355" max="4355" width="10.7109375" style="1763" customWidth="1"/>
    <col min="4356" max="4363" width="10.42578125" style="1763" customWidth="1"/>
    <col min="4364" max="4364" width="14.28515625" style="1763" customWidth="1"/>
    <col min="4365" max="4365" width="9.140625" style="1763"/>
    <col min="4366" max="4366" width="8.7109375" style="1763" customWidth="1"/>
    <col min="4367" max="4610" width="9.140625" style="1763"/>
    <col min="4611" max="4611" width="10.7109375" style="1763" customWidth="1"/>
    <col min="4612" max="4619" width="10.42578125" style="1763" customWidth="1"/>
    <col min="4620" max="4620" width="14.28515625" style="1763" customWidth="1"/>
    <col min="4621" max="4621" width="9.140625" style="1763"/>
    <col min="4622" max="4622" width="8.7109375" style="1763" customWidth="1"/>
    <col min="4623" max="4866" width="9.140625" style="1763"/>
    <col min="4867" max="4867" width="10.7109375" style="1763" customWidth="1"/>
    <col min="4868" max="4875" width="10.42578125" style="1763" customWidth="1"/>
    <col min="4876" max="4876" width="14.28515625" style="1763" customWidth="1"/>
    <col min="4877" max="4877" width="9.140625" style="1763"/>
    <col min="4878" max="4878" width="8.7109375" style="1763" customWidth="1"/>
    <col min="4879" max="5122" width="9.140625" style="1763"/>
    <col min="5123" max="5123" width="10.7109375" style="1763" customWidth="1"/>
    <col min="5124" max="5131" width="10.42578125" style="1763" customWidth="1"/>
    <col min="5132" max="5132" width="14.28515625" style="1763" customWidth="1"/>
    <col min="5133" max="5133" width="9.140625" style="1763"/>
    <col min="5134" max="5134" width="8.7109375" style="1763" customWidth="1"/>
    <col min="5135" max="5378" width="9.140625" style="1763"/>
    <col min="5379" max="5379" width="10.7109375" style="1763" customWidth="1"/>
    <col min="5380" max="5387" width="10.42578125" style="1763" customWidth="1"/>
    <col min="5388" max="5388" width="14.28515625" style="1763" customWidth="1"/>
    <col min="5389" max="5389" width="9.140625" style="1763"/>
    <col min="5390" max="5390" width="8.7109375" style="1763" customWidth="1"/>
    <col min="5391" max="5634" width="9.140625" style="1763"/>
    <col min="5635" max="5635" width="10.7109375" style="1763" customWidth="1"/>
    <col min="5636" max="5643" width="10.42578125" style="1763" customWidth="1"/>
    <col min="5644" max="5644" width="14.28515625" style="1763" customWidth="1"/>
    <col min="5645" max="5645" width="9.140625" style="1763"/>
    <col min="5646" max="5646" width="8.7109375" style="1763" customWidth="1"/>
    <col min="5647" max="5890" width="9.140625" style="1763"/>
    <col min="5891" max="5891" width="10.7109375" style="1763" customWidth="1"/>
    <col min="5892" max="5899" width="10.42578125" style="1763" customWidth="1"/>
    <col min="5900" max="5900" width="14.28515625" style="1763" customWidth="1"/>
    <col min="5901" max="5901" width="9.140625" style="1763"/>
    <col min="5902" max="5902" width="8.7109375" style="1763" customWidth="1"/>
    <col min="5903" max="6146" width="9.140625" style="1763"/>
    <col min="6147" max="6147" width="10.7109375" style="1763" customWidth="1"/>
    <col min="6148" max="6155" width="10.42578125" style="1763" customWidth="1"/>
    <col min="6156" max="6156" width="14.28515625" style="1763" customWidth="1"/>
    <col min="6157" max="6157" width="9.140625" style="1763"/>
    <col min="6158" max="6158" width="8.7109375" style="1763" customWidth="1"/>
    <col min="6159" max="6402" width="9.140625" style="1763"/>
    <col min="6403" max="6403" width="10.7109375" style="1763" customWidth="1"/>
    <col min="6404" max="6411" width="10.42578125" style="1763" customWidth="1"/>
    <col min="6412" max="6412" width="14.28515625" style="1763" customWidth="1"/>
    <col min="6413" max="6413" width="9.140625" style="1763"/>
    <col min="6414" max="6414" width="8.7109375" style="1763" customWidth="1"/>
    <col min="6415" max="6658" width="9.140625" style="1763"/>
    <col min="6659" max="6659" width="10.7109375" style="1763" customWidth="1"/>
    <col min="6660" max="6667" width="10.42578125" style="1763" customWidth="1"/>
    <col min="6668" max="6668" width="14.28515625" style="1763" customWidth="1"/>
    <col min="6669" max="6669" width="9.140625" style="1763"/>
    <col min="6670" max="6670" width="8.7109375" style="1763" customWidth="1"/>
    <col min="6671" max="6914" width="9.140625" style="1763"/>
    <col min="6915" max="6915" width="10.7109375" style="1763" customWidth="1"/>
    <col min="6916" max="6923" width="10.42578125" style="1763" customWidth="1"/>
    <col min="6924" max="6924" width="14.28515625" style="1763" customWidth="1"/>
    <col min="6925" max="6925" width="9.140625" style="1763"/>
    <col min="6926" max="6926" width="8.7109375" style="1763" customWidth="1"/>
    <col min="6927" max="7170" width="9.140625" style="1763"/>
    <col min="7171" max="7171" width="10.7109375" style="1763" customWidth="1"/>
    <col min="7172" max="7179" width="10.42578125" style="1763" customWidth="1"/>
    <col min="7180" max="7180" width="14.28515625" style="1763" customWidth="1"/>
    <col min="7181" max="7181" width="9.140625" style="1763"/>
    <col min="7182" max="7182" width="8.7109375" style="1763" customWidth="1"/>
    <col min="7183" max="7426" width="9.140625" style="1763"/>
    <col min="7427" max="7427" width="10.7109375" style="1763" customWidth="1"/>
    <col min="7428" max="7435" width="10.42578125" style="1763" customWidth="1"/>
    <col min="7436" max="7436" width="14.28515625" style="1763" customWidth="1"/>
    <col min="7437" max="7437" width="9.140625" style="1763"/>
    <col min="7438" max="7438" width="8.7109375" style="1763" customWidth="1"/>
    <col min="7439" max="7682" width="9.140625" style="1763"/>
    <col min="7683" max="7683" width="10.7109375" style="1763" customWidth="1"/>
    <col min="7684" max="7691" width="10.42578125" style="1763" customWidth="1"/>
    <col min="7692" max="7692" width="14.28515625" style="1763" customWidth="1"/>
    <col min="7693" max="7693" width="9.140625" style="1763"/>
    <col min="7694" max="7694" width="8.7109375" style="1763" customWidth="1"/>
    <col min="7695" max="7938" width="9.140625" style="1763"/>
    <col min="7939" max="7939" width="10.7109375" style="1763" customWidth="1"/>
    <col min="7940" max="7947" width="10.42578125" style="1763" customWidth="1"/>
    <col min="7948" max="7948" width="14.28515625" style="1763" customWidth="1"/>
    <col min="7949" max="7949" width="9.140625" style="1763"/>
    <col min="7950" max="7950" width="8.7109375" style="1763" customWidth="1"/>
    <col min="7951" max="8194" width="9.140625" style="1763"/>
    <col min="8195" max="8195" width="10.7109375" style="1763" customWidth="1"/>
    <col min="8196" max="8203" width="10.42578125" style="1763" customWidth="1"/>
    <col min="8204" max="8204" width="14.28515625" style="1763" customWidth="1"/>
    <col min="8205" max="8205" width="9.140625" style="1763"/>
    <col min="8206" max="8206" width="8.7109375" style="1763" customWidth="1"/>
    <col min="8207" max="8450" width="9.140625" style="1763"/>
    <col min="8451" max="8451" width="10.7109375" style="1763" customWidth="1"/>
    <col min="8452" max="8459" width="10.42578125" style="1763" customWidth="1"/>
    <col min="8460" max="8460" width="14.28515625" style="1763" customWidth="1"/>
    <col min="8461" max="8461" width="9.140625" style="1763"/>
    <col min="8462" max="8462" width="8.7109375" style="1763" customWidth="1"/>
    <col min="8463" max="8706" width="9.140625" style="1763"/>
    <col min="8707" max="8707" width="10.7109375" style="1763" customWidth="1"/>
    <col min="8708" max="8715" width="10.42578125" style="1763" customWidth="1"/>
    <col min="8716" max="8716" width="14.28515625" style="1763" customWidth="1"/>
    <col min="8717" max="8717" width="9.140625" style="1763"/>
    <col min="8718" max="8718" width="8.7109375" style="1763" customWidth="1"/>
    <col min="8719" max="8962" width="9.140625" style="1763"/>
    <col min="8963" max="8963" width="10.7109375" style="1763" customWidth="1"/>
    <col min="8964" max="8971" width="10.42578125" style="1763" customWidth="1"/>
    <col min="8972" max="8972" width="14.28515625" style="1763" customWidth="1"/>
    <col min="8973" max="8973" width="9.140625" style="1763"/>
    <col min="8974" max="8974" width="8.7109375" style="1763" customWidth="1"/>
    <col min="8975" max="9218" width="9.140625" style="1763"/>
    <col min="9219" max="9219" width="10.7109375" style="1763" customWidth="1"/>
    <col min="9220" max="9227" width="10.42578125" style="1763" customWidth="1"/>
    <col min="9228" max="9228" width="14.28515625" style="1763" customWidth="1"/>
    <col min="9229" max="9229" width="9.140625" style="1763"/>
    <col min="9230" max="9230" width="8.7109375" style="1763" customWidth="1"/>
    <col min="9231" max="9474" width="9.140625" style="1763"/>
    <col min="9475" max="9475" width="10.7109375" style="1763" customWidth="1"/>
    <col min="9476" max="9483" width="10.42578125" style="1763" customWidth="1"/>
    <col min="9484" max="9484" width="14.28515625" style="1763" customWidth="1"/>
    <col min="9485" max="9485" width="9.140625" style="1763"/>
    <col min="9486" max="9486" width="8.7109375" style="1763" customWidth="1"/>
    <col min="9487" max="9730" width="9.140625" style="1763"/>
    <col min="9731" max="9731" width="10.7109375" style="1763" customWidth="1"/>
    <col min="9732" max="9739" width="10.42578125" style="1763" customWidth="1"/>
    <col min="9740" max="9740" width="14.28515625" style="1763" customWidth="1"/>
    <col min="9741" max="9741" width="9.140625" style="1763"/>
    <col min="9742" max="9742" width="8.7109375" style="1763" customWidth="1"/>
    <col min="9743" max="9986" width="9.140625" style="1763"/>
    <col min="9987" max="9987" width="10.7109375" style="1763" customWidth="1"/>
    <col min="9988" max="9995" width="10.42578125" style="1763" customWidth="1"/>
    <col min="9996" max="9996" width="14.28515625" style="1763" customWidth="1"/>
    <col min="9997" max="9997" width="9.140625" style="1763"/>
    <col min="9998" max="9998" width="8.7109375" style="1763" customWidth="1"/>
    <col min="9999" max="10242" width="9.140625" style="1763"/>
    <col min="10243" max="10243" width="10.7109375" style="1763" customWidth="1"/>
    <col min="10244" max="10251" width="10.42578125" style="1763" customWidth="1"/>
    <col min="10252" max="10252" width="14.28515625" style="1763" customWidth="1"/>
    <col min="10253" max="10253" width="9.140625" style="1763"/>
    <col min="10254" max="10254" width="8.7109375" style="1763" customWidth="1"/>
    <col min="10255" max="10498" width="9.140625" style="1763"/>
    <col min="10499" max="10499" width="10.7109375" style="1763" customWidth="1"/>
    <col min="10500" max="10507" width="10.42578125" style="1763" customWidth="1"/>
    <col min="10508" max="10508" width="14.28515625" style="1763" customWidth="1"/>
    <col min="10509" max="10509" width="9.140625" style="1763"/>
    <col min="10510" max="10510" width="8.7109375" style="1763" customWidth="1"/>
    <col min="10511" max="10754" width="9.140625" style="1763"/>
    <col min="10755" max="10755" width="10.7109375" style="1763" customWidth="1"/>
    <col min="10756" max="10763" width="10.42578125" style="1763" customWidth="1"/>
    <col min="10764" max="10764" width="14.28515625" style="1763" customWidth="1"/>
    <col min="10765" max="10765" width="9.140625" style="1763"/>
    <col min="10766" max="10766" width="8.7109375" style="1763" customWidth="1"/>
    <col min="10767" max="11010" width="9.140625" style="1763"/>
    <col min="11011" max="11011" width="10.7109375" style="1763" customWidth="1"/>
    <col min="11012" max="11019" width="10.42578125" style="1763" customWidth="1"/>
    <col min="11020" max="11020" width="14.28515625" style="1763" customWidth="1"/>
    <col min="11021" max="11021" width="9.140625" style="1763"/>
    <col min="11022" max="11022" width="8.7109375" style="1763" customWidth="1"/>
    <col min="11023" max="11266" width="9.140625" style="1763"/>
    <col min="11267" max="11267" width="10.7109375" style="1763" customWidth="1"/>
    <col min="11268" max="11275" width="10.42578125" style="1763" customWidth="1"/>
    <col min="11276" max="11276" width="14.28515625" style="1763" customWidth="1"/>
    <col min="11277" max="11277" width="9.140625" style="1763"/>
    <col min="11278" max="11278" width="8.7109375" style="1763" customWidth="1"/>
    <col min="11279" max="11522" width="9.140625" style="1763"/>
    <col min="11523" max="11523" width="10.7109375" style="1763" customWidth="1"/>
    <col min="11524" max="11531" width="10.42578125" style="1763" customWidth="1"/>
    <col min="11532" max="11532" width="14.28515625" style="1763" customWidth="1"/>
    <col min="11533" max="11533" width="9.140625" style="1763"/>
    <col min="11534" max="11534" width="8.7109375" style="1763" customWidth="1"/>
    <col min="11535" max="11778" width="9.140625" style="1763"/>
    <col min="11779" max="11779" width="10.7109375" style="1763" customWidth="1"/>
    <col min="11780" max="11787" width="10.42578125" style="1763" customWidth="1"/>
    <col min="11788" max="11788" width="14.28515625" style="1763" customWidth="1"/>
    <col min="11789" max="11789" width="9.140625" style="1763"/>
    <col min="11790" max="11790" width="8.7109375" style="1763" customWidth="1"/>
    <col min="11791" max="12034" width="9.140625" style="1763"/>
    <col min="12035" max="12035" width="10.7109375" style="1763" customWidth="1"/>
    <col min="12036" max="12043" width="10.42578125" style="1763" customWidth="1"/>
    <col min="12044" max="12044" width="14.28515625" style="1763" customWidth="1"/>
    <col min="12045" max="12045" width="9.140625" style="1763"/>
    <col min="12046" max="12046" width="8.7109375" style="1763" customWidth="1"/>
    <col min="12047" max="12290" width="9.140625" style="1763"/>
    <col min="12291" max="12291" width="10.7109375" style="1763" customWidth="1"/>
    <col min="12292" max="12299" width="10.42578125" style="1763" customWidth="1"/>
    <col min="12300" max="12300" width="14.28515625" style="1763" customWidth="1"/>
    <col min="12301" max="12301" width="9.140625" style="1763"/>
    <col min="12302" max="12302" width="8.7109375" style="1763" customWidth="1"/>
    <col min="12303" max="12546" width="9.140625" style="1763"/>
    <col min="12547" max="12547" width="10.7109375" style="1763" customWidth="1"/>
    <col min="12548" max="12555" width="10.42578125" style="1763" customWidth="1"/>
    <col min="12556" max="12556" width="14.28515625" style="1763" customWidth="1"/>
    <col min="12557" max="12557" width="9.140625" style="1763"/>
    <col min="12558" max="12558" width="8.7109375" style="1763" customWidth="1"/>
    <col min="12559" max="12802" width="9.140625" style="1763"/>
    <col min="12803" max="12803" width="10.7109375" style="1763" customWidth="1"/>
    <col min="12804" max="12811" width="10.42578125" style="1763" customWidth="1"/>
    <col min="12812" max="12812" width="14.28515625" style="1763" customWidth="1"/>
    <col min="12813" max="12813" width="9.140625" style="1763"/>
    <col min="12814" max="12814" width="8.7109375" style="1763" customWidth="1"/>
    <col min="12815" max="13058" width="9.140625" style="1763"/>
    <col min="13059" max="13059" width="10.7109375" style="1763" customWidth="1"/>
    <col min="13060" max="13067" width="10.42578125" style="1763" customWidth="1"/>
    <col min="13068" max="13068" width="14.28515625" style="1763" customWidth="1"/>
    <col min="13069" max="13069" width="9.140625" style="1763"/>
    <col min="13070" max="13070" width="8.7109375" style="1763" customWidth="1"/>
    <col min="13071" max="13314" width="9.140625" style="1763"/>
    <col min="13315" max="13315" width="10.7109375" style="1763" customWidth="1"/>
    <col min="13316" max="13323" width="10.42578125" style="1763" customWidth="1"/>
    <col min="13324" max="13324" width="14.28515625" style="1763" customWidth="1"/>
    <col min="13325" max="13325" width="9.140625" style="1763"/>
    <col min="13326" max="13326" width="8.7109375" style="1763" customWidth="1"/>
    <col min="13327" max="13570" width="9.140625" style="1763"/>
    <col min="13571" max="13571" width="10.7109375" style="1763" customWidth="1"/>
    <col min="13572" max="13579" width="10.42578125" style="1763" customWidth="1"/>
    <col min="13580" max="13580" width="14.28515625" style="1763" customWidth="1"/>
    <col min="13581" max="13581" width="9.140625" style="1763"/>
    <col min="13582" max="13582" width="8.7109375" style="1763" customWidth="1"/>
    <col min="13583" max="13826" width="9.140625" style="1763"/>
    <col min="13827" max="13827" width="10.7109375" style="1763" customWidth="1"/>
    <col min="13828" max="13835" width="10.42578125" style="1763" customWidth="1"/>
    <col min="13836" max="13836" width="14.28515625" style="1763" customWidth="1"/>
    <col min="13837" max="13837" width="9.140625" style="1763"/>
    <col min="13838" max="13838" width="8.7109375" style="1763" customWidth="1"/>
    <col min="13839" max="14082" width="9.140625" style="1763"/>
    <col min="14083" max="14083" width="10.7109375" style="1763" customWidth="1"/>
    <col min="14084" max="14091" width="10.42578125" style="1763" customWidth="1"/>
    <col min="14092" max="14092" width="14.28515625" style="1763" customWidth="1"/>
    <col min="14093" max="14093" width="9.140625" style="1763"/>
    <col min="14094" max="14094" width="8.7109375" style="1763" customWidth="1"/>
    <col min="14095" max="14338" width="9.140625" style="1763"/>
    <col min="14339" max="14339" width="10.7109375" style="1763" customWidth="1"/>
    <col min="14340" max="14347" width="10.42578125" style="1763" customWidth="1"/>
    <col min="14348" max="14348" width="14.28515625" style="1763" customWidth="1"/>
    <col min="14349" max="14349" width="9.140625" style="1763"/>
    <col min="14350" max="14350" width="8.7109375" style="1763" customWidth="1"/>
    <col min="14351" max="14594" width="9.140625" style="1763"/>
    <col min="14595" max="14595" width="10.7109375" style="1763" customWidth="1"/>
    <col min="14596" max="14603" width="10.42578125" style="1763" customWidth="1"/>
    <col min="14604" max="14604" width="14.28515625" style="1763" customWidth="1"/>
    <col min="14605" max="14605" width="9.140625" style="1763"/>
    <col min="14606" max="14606" width="8.7109375" style="1763" customWidth="1"/>
    <col min="14607" max="14850" width="9.140625" style="1763"/>
    <col min="14851" max="14851" width="10.7109375" style="1763" customWidth="1"/>
    <col min="14852" max="14859" width="10.42578125" style="1763" customWidth="1"/>
    <col min="14860" max="14860" width="14.28515625" style="1763" customWidth="1"/>
    <col min="14861" max="14861" width="9.140625" style="1763"/>
    <col min="14862" max="14862" width="8.7109375" style="1763" customWidth="1"/>
    <col min="14863" max="15106" width="9.140625" style="1763"/>
    <col min="15107" max="15107" width="10.7109375" style="1763" customWidth="1"/>
    <col min="15108" max="15115" width="10.42578125" style="1763" customWidth="1"/>
    <col min="15116" max="15116" width="14.28515625" style="1763" customWidth="1"/>
    <col min="15117" max="15117" width="9.140625" style="1763"/>
    <col min="15118" max="15118" width="8.7109375" style="1763" customWidth="1"/>
    <col min="15119" max="15362" width="9.140625" style="1763"/>
    <col min="15363" max="15363" width="10.7109375" style="1763" customWidth="1"/>
    <col min="15364" max="15371" width="10.42578125" style="1763" customWidth="1"/>
    <col min="15372" max="15372" width="14.28515625" style="1763" customWidth="1"/>
    <col min="15373" max="15373" width="9.140625" style="1763"/>
    <col min="15374" max="15374" width="8.7109375" style="1763" customWidth="1"/>
    <col min="15375" max="15618" width="9.140625" style="1763"/>
    <col min="15619" max="15619" width="10.7109375" style="1763" customWidth="1"/>
    <col min="15620" max="15627" width="10.42578125" style="1763" customWidth="1"/>
    <col min="15628" max="15628" width="14.28515625" style="1763" customWidth="1"/>
    <col min="15629" max="15629" width="9.140625" style="1763"/>
    <col min="15630" max="15630" width="8.7109375" style="1763" customWidth="1"/>
    <col min="15631" max="15874" width="9.140625" style="1763"/>
    <col min="15875" max="15875" width="10.7109375" style="1763" customWidth="1"/>
    <col min="15876" max="15883" width="10.42578125" style="1763" customWidth="1"/>
    <col min="15884" max="15884" width="14.28515625" style="1763" customWidth="1"/>
    <col min="15885" max="15885" width="9.140625" style="1763"/>
    <col min="15886" max="15886" width="8.7109375" style="1763" customWidth="1"/>
    <col min="15887" max="16130" width="9.140625" style="1763"/>
    <col min="16131" max="16131" width="10.7109375" style="1763" customWidth="1"/>
    <col min="16132" max="16139" width="10.42578125" style="1763" customWidth="1"/>
    <col min="16140" max="16140" width="14.28515625" style="1763" customWidth="1"/>
    <col min="16141" max="16141" width="9.140625" style="1763"/>
    <col min="16142" max="16142" width="8.7109375" style="1763" customWidth="1"/>
    <col min="16143" max="16384" width="9.140625" style="1763"/>
  </cols>
  <sheetData>
    <row r="1" spans="1:13" ht="24.75" customHeight="1">
      <c r="A1" s="1760" t="s">
        <v>3183</v>
      </c>
      <c r="B1" s="1761"/>
      <c r="C1" s="1761"/>
      <c r="D1" s="1761"/>
      <c r="E1" s="1761"/>
      <c r="F1" s="1761"/>
      <c r="G1" s="1761"/>
      <c r="H1" s="1761"/>
      <c r="I1" s="1761"/>
      <c r="J1" s="1761"/>
      <c r="K1" s="1761"/>
      <c r="L1" s="1761"/>
      <c r="M1" s="1762"/>
    </row>
    <row r="2" spans="1:13" ht="23.25" customHeight="1">
      <c r="A2" s="1760" t="s">
        <v>3184</v>
      </c>
      <c r="B2" s="1761"/>
      <c r="C2" s="1761"/>
      <c r="D2" s="1761"/>
      <c r="E2" s="1761"/>
      <c r="F2" s="1761"/>
      <c r="G2" s="1761"/>
      <c r="H2" s="1761"/>
      <c r="I2" s="1761"/>
      <c r="J2" s="1761"/>
      <c r="K2" s="1761"/>
      <c r="L2" s="1761"/>
      <c r="M2" s="1762"/>
    </row>
    <row r="3" spans="1:13" ht="17.25" customHeight="1" thickBot="1">
      <c r="J3" s="1765"/>
      <c r="K3" s="1765"/>
    </row>
    <row r="4" spans="1:13">
      <c r="A4" s="1766" t="s">
        <v>78</v>
      </c>
      <c r="B4" s="1767" t="s">
        <v>3185</v>
      </c>
      <c r="C4" s="1768" t="s">
        <v>3186</v>
      </c>
      <c r="D4" s="1769" t="s">
        <v>3187</v>
      </c>
      <c r="E4" s="1770" t="s">
        <v>3186</v>
      </c>
      <c r="F4" s="1771" t="s">
        <v>3188</v>
      </c>
      <c r="G4" s="1772" t="s">
        <v>3186</v>
      </c>
      <c r="H4" s="1771" t="s">
        <v>3189</v>
      </c>
      <c r="I4" s="1772" t="s">
        <v>3186</v>
      </c>
      <c r="J4" s="1772" t="s">
        <v>3187</v>
      </c>
      <c r="K4" s="1769" t="s">
        <v>3186</v>
      </c>
      <c r="L4" s="1772" t="s">
        <v>3190</v>
      </c>
    </row>
    <row r="5" spans="1:13">
      <c r="A5" s="1773"/>
      <c r="B5" s="1774" t="s">
        <v>3191</v>
      </c>
      <c r="C5" s="1775" t="s">
        <v>3192</v>
      </c>
      <c r="D5" s="1776" t="s">
        <v>3193</v>
      </c>
      <c r="E5" s="1777" t="s">
        <v>3192</v>
      </c>
      <c r="F5" s="1778" t="s">
        <v>3194</v>
      </c>
      <c r="G5" s="1779" t="s">
        <v>3192</v>
      </c>
      <c r="H5" s="1778" t="s">
        <v>3195</v>
      </c>
      <c r="I5" s="1779" t="s">
        <v>3192</v>
      </c>
      <c r="J5" s="1779" t="s">
        <v>3196</v>
      </c>
      <c r="K5" s="1776" t="s">
        <v>3192</v>
      </c>
      <c r="L5" s="1779" t="s">
        <v>3197</v>
      </c>
    </row>
    <row r="6" spans="1:13" s="1783" customFormat="1" ht="13.5" customHeight="1">
      <c r="A6" s="1780"/>
      <c r="B6" s="3403" t="s">
        <v>3198</v>
      </c>
      <c r="C6" s="3405" t="s">
        <v>3199</v>
      </c>
      <c r="D6" s="3407" t="s">
        <v>3198</v>
      </c>
      <c r="E6" s="3409" t="s">
        <v>3200</v>
      </c>
      <c r="F6" s="1781" t="s">
        <v>3201</v>
      </c>
      <c r="G6" s="1782" t="s">
        <v>3202</v>
      </c>
      <c r="H6" s="1781" t="s">
        <v>3201</v>
      </c>
      <c r="I6" s="1782" t="s">
        <v>3203</v>
      </c>
      <c r="J6" s="3398" t="s">
        <v>3204</v>
      </c>
      <c r="K6" s="3398" t="s">
        <v>3205</v>
      </c>
      <c r="L6" s="3398" t="s">
        <v>3206</v>
      </c>
    </row>
    <row r="7" spans="1:13" s="1787" customFormat="1" ht="18" customHeight="1" thickBot="1">
      <c r="A7" s="1784"/>
      <c r="B7" s="3404"/>
      <c r="C7" s="3406"/>
      <c r="D7" s="3408"/>
      <c r="E7" s="3410"/>
      <c r="F7" s="1785"/>
      <c r="G7" s="1786"/>
      <c r="H7" s="1785"/>
      <c r="I7" s="1786"/>
      <c r="J7" s="3399"/>
      <c r="K7" s="3399"/>
      <c r="L7" s="3399"/>
    </row>
    <row r="8" spans="1:13" ht="14.1" hidden="1" customHeight="1">
      <c r="A8" s="1788"/>
      <c r="B8" s="1789"/>
      <c r="C8" s="1790"/>
      <c r="D8" s="1791"/>
      <c r="E8" s="1792"/>
      <c r="F8" s="1793"/>
      <c r="G8" s="1794"/>
      <c r="H8" s="1794"/>
      <c r="I8" s="1794"/>
      <c r="J8" s="1794"/>
      <c r="K8" s="1791"/>
      <c r="L8" s="1794"/>
    </row>
    <row r="9" spans="1:13" ht="15.75" hidden="1" thickTop="1">
      <c r="A9" s="1795">
        <v>37073</v>
      </c>
      <c r="B9" s="1796">
        <v>10</v>
      </c>
      <c r="C9" s="1797" t="s">
        <v>3207</v>
      </c>
      <c r="D9" s="1798" t="s">
        <v>60</v>
      </c>
      <c r="E9" s="1799" t="s">
        <v>60</v>
      </c>
      <c r="F9" s="1800" t="s">
        <v>60</v>
      </c>
      <c r="G9" s="1801" t="s">
        <v>60</v>
      </c>
      <c r="H9" s="1801"/>
      <c r="I9" s="1801"/>
      <c r="J9" s="1801" t="s">
        <v>60</v>
      </c>
      <c r="K9" s="1798" t="s">
        <v>60</v>
      </c>
      <c r="L9" s="1801" t="s">
        <v>60</v>
      </c>
    </row>
    <row r="10" spans="1:13" ht="15.75" hidden="1" thickTop="1">
      <c r="A10" s="1795">
        <v>37104</v>
      </c>
      <c r="B10" s="1796">
        <v>2</v>
      </c>
      <c r="C10" s="1802">
        <v>29.45</v>
      </c>
      <c r="D10" s="1798" t="s">
        <v>60</v>
      </c>
      <c r="E10" s="1799" t="s">
        <v>60</v>
      </c>
      <c r="F10" s="1800" t="s">
        <v>60</v>
      </c>
      <c r="G10" s="1801" t="s">
        <v>60</v>
      </c>
      <c r="H10" s="1801"/>
      <c r="I10" s="1801"/>
      <c r="J10" s="1801" t="s">
        <v>60</v>
      </c>
      <c r="K10" s="1798" t="s">
        <v>60</v>
      </c>
      <c r="L10" s="1801" t="s">
        <v>60</v>
      </c>
    </row>
    <row r="11" spans="1:13" ht="15.75" hidden="1" thickTop="1">
      <c r="A11" s="1795">
        <v>37135</v>
      </c>
      <c r="B11" s="1796">
        <v>0</v>
      </c>
      <c r="C11" s="1802" t="s">
        <v>60</v>
      </c>
      <c r="D11" s="1798" t="s">
        <v>60</v>
      </c>
      <c r="E11" s="1799" t="s">
        <v>60</v>
      </c>
      <c r="F11" s="1800" t="s">
        <v>60</v>
      </c>
      <c r="G11" s="1801" t="s">
        <v>60</v>
      </c>
      <c r="H11" s="1801"/>
      <c r="I11" s="1801"/>
      <c r="J11" s="1801" t="s">
        <v>60</v>
      </c>
      <c r="K11" s="1798" t="s">
        <v>60</v>
      </c>
      <c r="L11" s="1801" t="s">
        <v>60</v>
      </c>
    </row>
    <row r="12" spans="1:13" ht="15.75" hidden="1" thickTop="1">
      <c r="A12" s="1795">
        <v>37165</v>
      </c>
      <c r="B12" s="1796">
        <v>2</v>
      </c>
      <c r="C12" s="1802">
        <v>30.07</v>
      </c>
      <c r="D12" s="1798" t="s">
        <v>60</v>
      </c>
      <c r="E12" s="1799" t="s">
        <v>60</v>
      </c>
      <c r="F12" s="1800" t="s">
        <v>60</v>
      </c>
      <c r="G12" s="1801" t="s">
        <v>60</v>
      </c>
      <c r="H12" s="1801"/>
      <c r="I12" s="1801"/>
      <c r="J12" s="1801" t="s">
        <v>60</v>
      </c>
      <c r="K12" s="1798" t="s">
        <v>60</v>
      </c>
      <c r="L12" s="1801" t="s">
        <v>60</v>
      </c>
    </row>
    <row r="13" spans="1:13" ht="15.75" hidden="1" thickTop="1">
      <c r="A13" s="1795">
        <v>37196</v>
      </c>
      <c r="B13" s="1796">
        <v>5</v>
      </c>
      <c r="C13" s="1802" t="s">
        <v>3208</v>
      </c>
      <c r="D13" s="1798" t="s">
        <v>60</v>
      </c>
      <c r="E13" s="1799" t="s">
        <v>60</v>
      </c>
      <c r="F13" s="1800" t="s">
        <v>60</v>
      </c>
      <c r="G13" s="1801" t="s">
        <v>60</v>
      </c>
      <c r="H13" s="1801"/>
      <c r="I13" s="1801"/>
      <c r="J13" s="1801" t="s">
        <v>60</v>
      </c>
      <c r="K13" s="1798" t="s">
        <v>60</v>
      </c>
      <c r="L13" s="1801" t="s">
        <v>60</v>
      </c>
    </row>
    <row r="14" spans="1:13" ht="15.75" hidden="1" thickTop="1">
      <c r="A14" s="1795">
        <v>37226</v>
      </c>
      <c r="B14" s="1796">
        <v>0</v>
      </c>
      <c r="C14" s="1802" t="s">
        <v>60</v>
      </c>
      <c r="D14" s="1798" t="s">
        <v>60</v>
      </c>
      <c r="E14" s="1799" t="s">
        <v>60</v>
      </c>
      <c r="F14" s="1800" t="s">
        <v>60</v>
      </c>
      <c r="G14" s="1801" t="s">
        <v>60</v>
      </c>
      <c r="H14" s="1801"/>
      <c r="I14" s="1801"/>
      <c r="J14" s="1801" t="s">
        <v>60</v>
      </c>
      <c r="K14" s="1798" t="s">
        <v>60</v>
      </c>
      <c r="L14" s="1801" t="s">
        <v>60</v>
      </c>
    </row>
    <row r="15" spans="1:13" ht="15.75" hidden="1" thickTop="1">
      <c r="A15" s="1803">
        <v>37530</v>
      </c>
      <c r="B15" s="1796">
        <v>0</v>
      </c>
      <c r="C15" s="1797" t="s">
        <v>60</v>
      </c>
      <c r="D15" s="1798">
        <v>3.4</v>
      </c>
      <c r="E15" s="1804">
        <v>29.52</v>
      </c>
      <c r="F15" s="1800">
        <v>3.4</v>
      </c>
      <c r="G15" s="1805">
        <v>29.52</v>
      </c>
      <c r="H15" s="1805"/>
      <c r="I15" s="1805"/>
      <c r="J15" s="1801">
        <v>3.4</v>
      </c>
      <c r="K15" s="1806">
        <v>29.52</v>
      </c>
      <c r="L15" s="1801">
        <v>3.4</v>
      </c>
    </row>
    <row r="16" spans="1:13" ht="14.1" hidden="1" customHeight="1">
      <c r="A16" s="1803">
        <v>37895</v>
      </c>
      <c r="B16" s="1796">
        <v>0</v>
      </c>
      <c r="C16" s="1797" t="s">
        <v>60</v>
      </c>
      <c r="D16" s="1798">
        <v>30.7</v>
      </c>
      <c r="E16" s="1804">
        <v>28.8</v>
      </c>
      <c r="F16" s="1800">
        <v>30.7</v>
      </c>
      <c r="G16" s="1805">
        <v>28.8</v>
      </c>
      <c r="H16" s="1805"/>
      <c r="I16" s="1805"/>
      <c r="J16" s="1801">
        <v>30.7</v>
      </c>
      <c r="K16" s="1806">
        <v>28.8</v>
      </c>
      <c r="L16" s="1801">
        <v>30.7</v>
      </c>
    </row>
    <row r="17" spans="1:12" ht="15.75" hidden="1" thickTop="1">
      <c r="A17" s="1803">
        <v>38534</v>
      </c>
      <c r="B17" s="1807">
        <v>26</v>
      </c>
      <c r="C17" s="1802" t="s">
        <v>3209</v>
      </c>
      <c r="D17" s="1798">
        <v>0</v>
      </c>
      <c r="E17" s="1799" t="s">
        <v>60</v>
      </c>
      <c r="F17" s="1800">
        <v>0</v>
      </c>
      <c r="G17" s="1801" t="s">
        <v>60</v>
      </c>
      <c r="H17" s="1801"/>
      <c r="I17" s="1801"/>
      <c r="J17" s="1801">
        <v>0</v>
      </c>
      <c r="K17" s="1798" t="s">
        <v>60</v>
      </c>
      <c r="L17" s="1801">
        <v>0</v>
      </c>
    </row>
    <row r="18" spans="1:12" ht="15.75" hidden="1" thickTop="1">
      <c r="A18" s="1803">
        <v>38596</v>
      </c>
      <c r="B18" s="1807">
        <v>23.5</v>
      </c>
      <c r="C18" s="1802" t="s">
        <v>3210</v>
      </c>
      <c r="D18" s="1798">
        <v>0</v>
      </c>
      <c r="E18" s="1799" t="s">
        <v>60</v>
      </c>
      <c r="F18" s="1800">
        <v>0</v>
      </c>
      <c r="G18" s="1801" t="s">
        <v>60</v>
      </c>
      <c r="H18" s="1801"/>
      <c r="I18" s="1801"/>
      <c r="J18" s="1801">
        <v>0</v>
      </c>
      <c r="K18" s="1798" t="s">
        <v>60</v>
      </c>
      <c r="L18" s="1801">
        <v>0</v>
      </c>
    </row>
    <row r="19" spans="1:12" ht="15.75" hidden="1" thickTop="1">
      <c r="A19" s="1803">
        <v>38657</v>
      </c>
      <c r="B19" s="1796">
        <v>15</v>
      </c>
      <c r="C19" s="1802" t="s">
        <v>3211</v>
      </c>
      <c r="D19" s="1798">
        <v>0</v>
      </c>
      <c r="E19" s="1799" t="s">
        <v>60</v>
      </c>
      <c r="F19" s="1800">
        <v>0</v>
      </c>
      <c r="G19" s="1801" t="s">
        <v>60</v>
      </c>
      <c r="H19" s="1801"/>
      <c r="I19" s="1801"/>
      <c r="J19" s="1801">
        <v>0</v>
      </c>
      <c r="K19" s="1798" t="s">
        <v>60</v>
      </c>
      <c r="L19" s="1801">
        <v>0</v>
      </c>
    </row>
    <row r="20" spans="1:12" ht="15.75" hidden="1" thickTop="1">
      <c r="A20" s="1803">
        <v>38687</v>
      </c>
      <c r="B20" s="1808">
        <v>6.5</v>
      </c>
      <c r="C20" s="1802">
        <v>30.55</v>
      </c>
      <c r="D20" s="1798">
        <v>0</v>
      </c>
      <c r="E20" s="1799" t="s">
        <v>60</v>
      </c>
      <c r="F20" s="1800">
        <v>0</v>
      </c>
      <c r="G20" s="1801" t="s">
        <v>60</v>
      </c>
      <c r="H20" s="1801"/>
      <c r="I20" s="1801"/>
      <c r="J20" s="1801">
        <v>0</v>
      </c>
      <c r="K20" s="1798" t="s">
        <v>60</v>
      </c>
      <c r="L20" s="1801">
        <v>0</v>
      </c>
    </row>
    <row r="21" spans="1:12" ht="15.75" hidden="1" thickTop="1">
      <c r="A21" s="1803">
        <v>38718</v>
      </c>
      <c r="B21" s="1808">
        <v>0</v>
      </c>
      <c r="C21" s="1802" t="s">
        <v>60</v>
      </c>
      <c r="D21" s="1798">
        <v>0</v>
      </c>
      <c r="E21" s="1799" t="s">
        <v>60</v>
      </c>
      <c r="F21" s="1800">
        <v>0</v>
      </c>
      <c r="G21" s="1801" t="s">
        <v>60</v>
      </c>
      <c r="H21" s="1801"/>
      <c r="I21" s="1801"/>
      <c r="J21" s="1801">
        <v>0</v>
      </c>
      <c r="K21" s="1798" t="s">
        <v>60</v>
      </c>
      <c r="L21" s="1801">
        <v>0</v>
      </c>
    </row>
    <row r="22" spans="1:12" ht="15.75" hidden="1" thickTop="1">
      <c r="A22" s="1803">
        <v>38749</v>
      </c>
      <c r="B22" s="1808">
        <v>8</v>
      </c>
      <c r="C22" s="1802">
        <v>30.67</v>
      </c>
      <c r="D22" s="1798">
        <v>0</v>
      </c>
      <c r="E22" s="1799" t="s">
        <v>60</v>
      </c>
      <c r="F22" s="1800">
        <v>0</v>
      </c>
      <c r="G22" s="1801" t="s">
        <v>60</v>
      </c>
      <c r="H22" s="1801"/>
      <c r="I22" s="1801"/>
      <c r="J22" s="1801">
        <v>0</v>
      </c>
      <c r="K22" s="1798" t="s">
        <v>60</v>
      </c>
      <c r="L22" s="1801">
        <v>0</v>
      </c>
    </row>
    <row r="23" spans="1:12" ht="14.1" hidden="1" customHeight="1">
      <c r="A23" s="1803">
        <v>38777</v>
      </c>
      <c r="B23" s="1808">
        <v>0</v>
      </c>
      <c r="C23" s="1802" t="s">
        <v>60</v>
      </c>
      <c r="D23" s="1798">
        <v>0</v>
      </c>
      <c r="E23" s="1799" t="s">
        <v>60</v>
      </c>
      <c r="F23" s="1800">
        <v>0</v>
      </c>
      <c r="G23" s="1801" t="s">
        <v>60</v>
      </c>
      <c r="H23" s="1801"/>
      <c r="I23" s="1801"/>
      <c r="J23" s="1801">
        <v>0</v>
      </c>
      <c r="K23" s="1798" t="s">
        <v>60</v>
      </c>
      <c r="L23" s="1801">
        <v>0</v>
      </c>
    </row>
    <row r="24" spans="1:12" ht="14.1" hidden="1" customHeight="1">
      <c r="A24" s="1803">
        <v>38808</v>
      </c>
      <c r="B24" s="1808">
        <v>0</v>
      </c>
      <c r="C24" s="1802" t="s">
        <v>60</v>
      </c>
      <c r="D24" s="1798">
        <v>0</v>
      </c>
      <c r="E24" s="1799" t="s">
        <v>60</v>
      </c>
      <c r="F24" s="1800">
        <v>0</v>
      </c>
      <c r="G24" s="1801" t="s">
        <v>60</v>
      </c>
      <c r="H24" s="1801"/>
      <c r="I24" s="1801"/>
      <c r="J24" s="1801">
        <v>0</v>
      </c>
      <c r="K24" s="1798" t="s">
        <v>60</v>
      </c>
      <c r="L24" s="1801">
        <v>0</v>
      </c>
    </row>
    <row r="25" spans="1:12" ht="14.1" hidden="1" customHeight="1">
      <c r="A25" s="1803">
        <v>38838</v>
      </c>
      <c r="B25" s="1808">
        <v>0</v>
      </c>
      <c r="C25" s="1802" t="s">
        <v>60</v>
      </c>
      <c r="D25" s="1798">
        <v>0</v>
      </c>
      <c r="E25" s="1799" t="s">
        <v>60</v>
      </c>
      <c r="F25" s="1800">
        <v>0</v>
      </c>
      <c r="G25" s="1801" t="s">
        <v>60</v>
      </c>
      <c r="H25" s="1801"/>
      <c r="I25" s="1801"/>
      <c r="J25" s="1801">
        <v>0</v>
      </c>
      <c r="K25" s="1798" t="s">
        <v>60</v>
      </c>
      <c r="L25" s="1801">
        <v>0</v>
      </c>
    </row>
    <row r="26" spans="1:12" ht="14.1" hidden="1" customHeight="1">
      <c r="A26" s="1803">
        <v>38869</v>
      </c>
      <c r="B26" s="1808">
        <v>10</v>
      </c>
      <c r="C26" s="1802">
        <v>30.95</v>
      </c>
      <c r="D26" s="1798">
        <v>0</v>
      </c>
      <c r="E26" s="1799" t="s">
        <v>60</v>
      </c>
      <c r="F26" s="1800">
        <v>0</v>
      </c>
      <c r="G26" s="1801" t="s">
        <v>60</v>
      </c>
      <c r="H26" s="1801"/>
      <c r="I26" s="1801"/>
      <c r="J26" s="1801">
        <v>0</v>
      </c>
      <c r="K26" s="1798" t="s">
        <v>60</v>
      </c>
      <c r="L26" s="1801">
        <v>0</v>
      </c>
    </row>
    <row r="27" spans="1:12" ht="14.1" hidden="1" customHeight="1">
      <c r="A27" s="1803">
        <v>38899</v>
      </c>
      <c r="B27" s="1808">
        <v>9.5</v>
      </c>
      <c r="C27" s="1802" t="s">
        <v>3212</v>
      </c>
      <c r="D27" s="1798">
        <v>0</v>
      </c>
      <c r="E27" s="1799" t="s">
        <v>60</v>
      </c>
      <c r="F27" s="1800">
        <v>0</v>
      </c>
      <c r="G27" s="1801" t="s">
        <v>60</v>
      </c>
      <c r="H27" s="1801"/>
      <c r="I27" s="1801"/>
      <c r="J27" s="1801">
        <v>0</v>
      </c>
      <c r="K27" s="1798" t="s">
        <v>60</v>
      </c>
      <c r="L27" s="1801">
        <v>0</v>
      </c>
    </row>
    <row r="28" spans="1:12" ht="14.1" hidden="1" customHeight="1">
      <c r="A28" s="1803">
        <v>38930</v>
      </c>
      <c r="B28" s="1808">
        <v>31</v>
      </c>
      <c r="C28" s="1802">
        <v>32.159999999999997</v>
      </c>
      <c r="D28" s="1798">
        <v>0</v>
      </c>
      <c r="E28" s="1799" t="s">
        <v>60</v>
      </c>
      <c r="F28" s="1800">
        <v>0</v>
      </c>
      <c r="G28" s="1801" t="s">
        <v>60</v>
      </c>
      <c r="H28" s="1801"/>
      <c r="I28" s="1801"/>
      <c r="J28" s="1801">
        <v>0</v>
      </c>
      <c r="K28" s="1798" t="s">
        <v>60</v>
      </c>
      <c r="L28" s="1801">
        <v>0</v>
      </c>
    </row>
    <row r="29" spans="1:12" ht="14.1" hidden="1" customHeight="1">
      <c r="A29" s="1803">
        <v>38961</v>
      </c>
      <c r="B29" s="1808">
        <v>31.8</v>
      </c>
      <c r="C29" s="1802">
        <v>32.159999999999997</v>
      </c>
      <c r="D29" s="1798">
        <v>0</v>
      </c>
      <c r="E29" s="1799" t="s">
        <v>60</v>
      </c>
      <c r="F29" s="1800">
        <v>0</v>
      </c>
      <c r="G29" s="1801" t="s">
        <v>60</v>
      </c>
      <c r="H29" s="1801"/>
      <c r="I29" s="1801"/>
      <c r="J29" s="1801">
        <v>0</v>
      </c>
      <c r="K29" s="1798" t="s">
        <v>60</v>
      </c>
      <c r="L29" s="1801">
        <v>0</v>
      </c>
    </row>
    <row r="30" spans="1:12" ht="14.1" hidden="1" customHeight="1">
      <c r="A30" s="1803">
        <v>38991</v>
      </c>
      <c r="B30" s="1808">
        <v>15.4</v>
      </c>
      <c r="C30" s="1802">
        <v>32.159999999999997</v>
      </c>
      <c r="D30" s="1798">
        <v>0</v>
      </c>
      <c r="E30" s="1799" t="s">
        <v>60</v>
      </c>
      <c r="F30" s="1800">
        <v>0</v>
      </c>
      <c r="G30" s="1801" t="s">
        <v>60</v>
      </c>
      <c r="H30" s="1801"/>
      <c r="I30" s="1801"/>
      <c r="J30" s="1801">
        <v>0</v>
      </c>
      <c r="K30" s="1798" t="s">
        <v>60</v>
      </c>
      <c r="L30" s="1801">
        <v>0</v>
      </c>
    </row>
    <row r="31" spans="1:12" ht="14.1" hidden="1" customHeight="1">
      <c r="A31" s="1803">
        <v>39022</v>
      </c>
      <c r="B31" s="1808">
        <v>10.5</v>
      </c>
      <c r="C31" s="1802">
        <v>32.299999999999997</v>
      </c>
      <c r="D31" s="1798">
        <v>0</v>
      </c>
      <c r="E31" s="1799" t="s">
        <v>60</v>
      </c>
      <c r="F31" s="1800">
        <v>0</v>
      </c>
      <c r="G31" s="1801" t="s">
        <v>60</v>
      </c>
      <c r="H31" s="1801"/>
      <c r="I31" s="1801"/>
      <c r="J31" s="1801">
        <v>0</v>
      </c>
      <c r="K31" s="1798" t="s">
        <v>60</v>
      </c>
      <c r="L31" s="1801">
        <v>0</v>
      </c>
    </row>
    <row r="32" spans="1:12" ht="14.1" hidden="1" customHeight="1">
      <c r="A32" s="1803">
        <v>39052</v>
      </c>
      <c r="B32" s="1808">
        <v>22.4</v>
      </c>
      <c r="C32" s="1802" t="s">
        <v>3213</v>
      </c>
      <c r="D32" s="1798">
        <v>0</v>
      </c>
      <c r="E32" s="1799" t="s">
        <v>60</v>
      </c>
      <c r="F32" s="1800">
        <v>0</v>
      </c>
      <c r="G32" s="1801" t="s">
        <v>60</v>
      </c>
      <c r="H32" s="1801"/>
      <c r="I32" s="1801"/>
      <c r="J32" s="1801">
        <v>0</v>
      </c>
      <c r="K32" s="1798" t="s">
        <v>60</v>
      </c>
      <c r="L32" s="1801">
        <v>0</v>
      </c>
    </row>
    <row r="33" spans="1:12" ht="14.1" hidden="1" customHeight="1">
      <c r="A33" s="1803">
        <v>39083</v>
      </c>
      <c r="B33" s="1808">
        <v>38</v>
      </c>
      <c r="C33" s="1802">
        <v>32.799999999999997</v>
      </c>
      <c r="D33" s="1798">
        <v>0</v>
      </c>
      <c r="E33" s="1799" t="s">
        <v>60</v>
      </c>
      <c r="F33" s="1800">
        <v>0</v>
      </c>
      <c r="G33" s="1801" t="s">
        <v>60</v>
      </c>
      <c r="H33" s="1801"/>
      <c r="I33" s="1801"/>
      <c r="J33" s="1801">
        <v>0</v>
      </c>
      <c r="K33" s="1798" t="s">
        <v>60</v>
      </c>
      <c r="L33" s="1801">
        <v>0</v>
      </c>
    </row>
    <row r="34" spans="1:12" ht="14.1" hidden="1" customHeight="1">
      <c r="A34" s="1803">
        <v>39114</v>
      </c>
      <c r="B34" s="1808">
        <v>10.8</v>
      </c>
      <c r="C34" s="1802">
        <v>32.75</v>
      </c>
      <c r="D34" s="1798">
        <v>64</v>
      </c>
      <c r="E34" s="1799" t="s">
        <v>3214</v>
      </c>
      <c r="F34" s="1800">
        <v>0</v>
      </c>
      <c r="G34" s="1801" t="s">
        <v>60</v>
      </c>
      <c r="H34" s="1801"/>
      <c r="I34" s="1801"/>
      <c r="J34" s="1801">
        <v>0</v>
      </c>
      <c r="K34" s="1798" t="s">
        <v>60</v>
      </c>
      <c r="L34" s="1801">
        <v>0</v>
      </c>
    </row>
    <row r="35" spans="1:12" ht="14.1" hidden="1" customHeight="1">
      <c r="A35" s="1803">
        <v>39142</v>
      </c>
      <c r="B35" s="1808">
        <v>0</v>
      </c>
      <c r="C35" s="1802" t="s">
        <v>60</v>
      </c>
      <c r="D35" s="1798">
        <v>75.3</v>
      </c>
      <c r="E35" s="1799" t="s">
        <v>3215</v>
      </c>
      <c r="F35" s="1800">
        <v>0</v>
      </c>
      <c r="G35" s="1801" t="s">
        <v>60</v>
      </c>
      <c r="H35" s="1801"/>
      <c r="I35" s="1801"/>
      <c r="J35" s="1801">
        <v>0</v>
      </c>
      <c r="K35" s="1798" t="s">
        <v>60</v>
      </c>
      <c r="L35" s="1801">
        <v>0</v>
      </c>
    </row>
    <row r="36" spans="1:12" ht="14.1" hidden="1" customHeight="1">
      <c r="A36" s="1803">
        <v>39173</v>
      </c>
      <c r="B36" s="1808">
        <v>0</v>
      </c>
      <c r="C36" s="1802" t="s">
        <v>60</v>
      </c>
      <c r="D36" s="1798">
        <v>113.5</v>
      </c>
      <c r="E36" s="1799" t="s">
        <v>3216</v>
      </c>
      <c r="F36" s="1800">
        <v>0</v>
      </c>
      <c r="G36" s="1801" t="s">
        <v>60</v>
      </c>
      <c r="H36" s="1801"/>
      <c r="I36" s="1801"/>
      <c r="J36" s="1801">
        <v>0</v>
      </c>
      <c r="K36" s="1798" t="s">
        <v>60</v>
      </c>
      <c r="L36" s="1801">
        <v>0</v>
      </c>
    </row>
    <row r="37" spans="1:12" ht="14.1" hidden="1" customHeight="1">
      <c r="A37" s="1803">
        <v>39203</v>
      </c>
      <c r="B37" s="1808">
        <v>0</v>
      </c>
      <c r="C37" s="1802" t="s">
        <v>60</v>
      </c>
      <c r="D37" s="1798">
        <v>0</v>
      </c>
      <c r="E37" s="1799" t="s">
        <v>60</v>
      </c>
      <c r="F37" s="1800">
        <v>0</v>
      </c>
      <c r="G37" s="1801" t="s">
        <v>60</v>
      </c>
      <c r="H37" s="1801"/>
      <c r="I37" s="1801"/>
      <c r="J37" s="1801">
        <v>0</v>
      </c>
      <c r="K37" s="1798" t="s">
        <v>60</v>
      </c>
      <c r="L37" s="1801">
        <v>0</v>
      </c>
    </row>
    <row r="38" spans="1:12" ht="14.1" hidden="1" customHeight="1">
      <c r="A38" s="1803">
        <v>39234</v>
      </c>
      <c r="B38" s="1808">
        <v>0</v>
      </c>
      <c r="C38" s="1802" t="s">
        <v>60</v>
      </c>
      <c r="D38" s="1798">
        <v>0</v>
      </c>
      <c r="E38" s="1799" t="s">
        <v>60</v>
      </c>
      <c r="F38" s="1800">
        <v>0</v>
      </c>
      <c r="G38" s="1801" t="s">
        <v>60</v>
      </c>
      <c r="H38" s="1801"/>
      <c r="I38" s="1801"/>
      <c r="J38" s="1801">
        <v>0</v>
      </c>
      <c r="K38" s="1798" t="s">
        <v>60</v>
      </c>
      <c r="L38" s="1801">
        <v>0</v>
      </c>
    </row>
    <row r="39" spans="1:12" ht="14.1" hidden="1" customHeight="1">
      <c r="A39" s="1803">
        <v>39264</v>
      </c>
      <c r="B39" s="1808">
        <v>0</v>
      </c>
      <c r="C39" s="1802" t="s">
        <v>60</v>
      </c>
      <c r="D39" s="1798">
        <v>0</v>
      </c>
      <c r="E39" s="1799" t="s">
        <v>60</v>
      </c>
      <c r="F39" s="1800">
        <v>0</v>
      </c>
      <c r="G39" s="1801" t="s">
        <v>60</v>
      </c>
      <c r="H39" s="1801"/>
      <c r="I39" s="1801"/>
      <c r="J39" s="1801">
        <v>0</v>
      </c>
      <c r="K39" s="1798" t="s">
        <v>60</v>
      </c>
      <c r="L39" s="1801">
        <v>0</v>
      </c>
    </row>
    <row r="40" spans="1:12" ht="14.1" hidden="1" customHeight="1">
      <c r="A40" s="1803">
        <v>39295</v>
      </c>
      <c r="B40" s="1808">
        <v>0</v>
      </c>
      <c r="C40" s="1802" t="s">
        <v>60</v>
      </c>
      <c r="D40" s="1798">
        <v>0</v>
      </c>
      <c r="E40" s="1799" t="s">
        <v>60</v>
      </c>
      <c r="F40" s="1800">
        <v>0</v>
      </c>
      <c r="G40" s="1801" t="s">
        <v>60</v>
      </c>
      <c r="H40" s="1801"/>
      <c r="I40" s="1801"/>
      <c r="J40" s="1801">
        <v>0</v>
      </c>
      <c r="K40" s="1798" t="s">
        <v>60</v>
      </c>
      <c r="L40" s="1801">
        <v>0</v>
      </c>
    </row>
    <row r="41" spans="1:12" ht="14.1" hidden="1" customHeight="1">
      <c r="A41" s="1803">
        <v>39326</v>
      </c>
      <c r="B41" s="1808">
        <v>0</v>
      </c>
      <c r="C41" s="1802">
        <v>39.688000000000002</v>
      </c>
      <c r="D41" s="1798">
        <v>0</v>
      </c>
      <c r="E41" s="1799" t="s">
        <v>60</v>
      </c>
      <c r="F41" s="1800">
        <v>0</v>
      </c>
      <c r="G41" s="1801" t="s">
        <v>60</v>
      </c>
      <c r="H41" s="1801"/>
      <c r="I41" s="1801"/>
      <c r="J41" s="1801">
        <v>0</v>
      </c>
      <c r="K41" s="1798" t="s">
        <v>60</v>
      </c>
      <c r="L41" s="1801">
        <v>0</v>
      </c>
    </row>
    <row r="42" spans="1:12" ht="14.1" hidden="1" customHeight="1">
      <c r="A42" s="1803">
        <v>39387</v>
      </c>
      <c r="B42" s="1798">
        <v>0</v>
      </c>
      <c r="C42" s="1802" t="s">
        <v>60</v>
      </c>
      <c r="D42" s="1798">
        <v>0</v>
      </c>
      <c r="E42" s="1799" t="s">
        <v>60</v>
      </c>
      <c r="F42" s="1800">
        <v>0</v>
      </c>
      <c r="G42" s="1801" t="s">
        <v>60</v>
      </c>
      <c r="H42" s="1801"/>
      <c r="I42" s="1801"/>
      <c r="J42" s="1801">
        <v>0</v>
      </c>
      <c r="K42" s="1798" t="s">
        <v>60</v>
      </c>
      <c r="L42" s="1801">
        <v>0</v>
      </c>
    </row>
    <row r="43" spans="1:12" ht="14.1" hidden="1" customHeight="1">
      <c r="A43" s="1803">
        <v>39417</v>
      </c>
      <c r="B43" s="1798">
        <v>0</v>
      </c>
      <c r="C43" s="1802" t="s">
        <v>60</v>
      </c>
      <c r="D43" s="1798">
        <v>0</v>
      </c>
      <c r="E43" s="1799" t="s">
        <v>60</v>
      </c>
      <c r="F43" s="1800">
        <v>40.5</v>
      </c>
      <c r="G43" s="1805">
        <v>41.62</v>
      </c>
      <c r="H43" s="1805"/>
      <c r="I43" s="1805"/>
      <c r="J43" s="1801">
        <v>0</v>
      </c>
      <c r="K43" s="1806" t="s">
        <v>60</v>
      </c>
      <c r="L43" s="1801">
        <v>0</v>
      </c>
    </row>
    <row r="44" spans="1:12" ht="14.1" hidden="1" customHeight="1">
      <c r="A44" s="1803">
        <v>39448</v>
      </c>
      <c r="B44" s="1798">
        <v>0</v>
      </c>
      <c r="C44" s="1802" t="s">
        <v>60</v>
      </c>
      <c r="D44" s="1798">
        <v>21</v>
      </c>
      <c r="E44" s="1799" t="s">
        <v>3217</v>
      </c>
      <c r="F44" s="1800">
        <v>0</v>
      </c>
      <c r="G44" s="1805" t="s">
        <v>60</v>
      </c>
      <c r="H44" s="1805"/>
      <c r="I44" s="1805"/>
      <c r="J44" s="1801">
        <v>1</v>
      </c>
      <c r="K44" s="1806">
        <v>56.62</v>
      </c>
      <c r="L44" s="1801">
        <v>1</v>
      </c>
    </row>
    <row r="45" spans="1:12" ht="14.1" hidden="1" customHeight="1">
      <c r="A45" s="1803">
        <v>39479</v>
      </c>
      <c r="B45" s="1798">
        <v>0</v>
      </c>
      <c r="C45" s="1802" t="s">
        <v>60</v>
      </c>
      <c r="D45" s="1798">
        <v>35</v>
      </c>
      <c r="E45" s="1799" t="s">
        <v>3218</v>
      </c>
      <c r="F45" s="1800">
        <v>0</v>
      </c>
      <c r="G45" s="1805" t="s">
        <v>60</v>
      </c>
      <c r="H45" s="1805"/>
      <c r="I45" s="1805"/>
      <c r="J45" s="1801">
        <v>0</v>
      </c>
      <c r="K45" s="1806" t="s">
        <v>60</v>
      </c>
      <c r="L45" s="1801">
        <v>0</v>
      </c>
    </row>
    <row r="46" spans="1:12" ht="14.1" hidden="1" customHeight="1">
      <c r="A46" s="1803">
        <v>39508</v>
      </c>
      <c r="B46" s="1798">
        <v>0</v>
      </c>
      <c r="C46" s="1802" t="s">
        <v>60</v>
      </c>
      <c r="D46" s="1798">
        <v>120</v>
      </c>
      <c r="E46" s="1799" t="s">
        <v>3219</v>
      </c>
      <c r="F46" s="1800">
        <v>5.5</v>
      </c>
      <c r="G46" s="1805" t="s">
        <v>3220</v>
      </c>
      <c r="H46" s="1805"/>
      <c r="I46" s="1805"/>
      <c r="J46" s="1801">
        <v>0</v>
      </c>
      <c r="K46" s="1806" t="s">
        <v>60</v>
      </c>
      <c r="L46" s="1801">
        <v>0</v>
      </c>
    </row>
    <row r="47" spans="1:12" ht="14.1" hidden="1" customHeight="1">
      <c r="A47" s="1803">
        <v>39539</v>
      </c>
      <c r="B47" s="1798">
        <v>0</v>
      </c>
      <c r="C47" s="1802" t="s">
        <v>60</v>
      </c>
      <c r="D47" s="1798">
        <v>54</v>
      </c>
      <c r="E47" s="1804">
        <v>25.9</v>
      </c>
      <c r="F47" s="1800">
        <v>0</v>
      </c>
      <c r="G47" s="1805" t="s">
        <v>60</v>
      </c>
      <c r="H47" s="1805"/>
      <c r="I47" s="1805"/>
      <c r="J47" s="1801">
        <v>0</v>
      </c>
      <c r="K47" s="1806" t="s">
        <v>60</v>
      </c>
      <c r="L47" s="1801">
        <v>0</v>
      </c>
    </row>
    <row r="48" spans="1:12" ht="14.1" hidden="1" customHeight="1">
      <c r="A48" s="1803">
        <v>39569</v>
      </c>
      <c r="B48" s="1798">
        <v>30</v>
      </c>
      <c r="C48" s="1802" t="s">
        <v>3221</v>
      </c>
      <c r="D48" s="1798">
        <v>0</v>
      </c>
      <c r="E48" s="1804" t="s">
        <v>60</v>
      </c>
      <c r="F48" s="1800">
        <v>0</v>
      </c>
      <c r="G48" s="1805" t="s">
        <v>60</v>
      </c>
      <c r="H48" s="1805"/>
      <c r="I48" s="1805"/>
      <c r="J48" s="1801">
        <v>0</v>
      </c>
      <c r="K48" s="1806" t="s">
        <v>60</v>
      </c>
      <c r="L48" s="1801">
        <v>0</v>
      </c>
    </row>
    <row r="49" spans="1:12" ht="14.1" hidden="1" customHeight="1">
      <c r="A49" s="1803">
        <v>39600</v>
      </c>
      <c r="B49" s="1798">
        <v>15</v>
      </c>
      <c r="C49" s="1802">
        <v>27.25</v>
      </c>
      <c r="D49" s="1798">
        <v>0</v>
      </c>
      <c r="E49" s="1804" t="s">
        <v>60</v>
      </c>
      <c r="F49" s="1800">
        <v>0</v>
      </c>
      <c r="G49" s="1805" t="s">
        <v>60</v>
      </c>
      <c r="H49" s="1805"/>
      <c r="I49" s="1805"/>
      <c r="J49" s="1801">
        <v>0</v>
      </c>
      <c r="K49" s="1806" t="s">
        <v>60</v>
      </c>
      <c r="L49" s="1801">
        <v>0</v>
      </c>
    </row>
    <row r="50" spans="1:12" ht="14.1" hidden="1" customHeight="1">
      <c r="A50" s="1803">
        <v>39630</v>
      </c>
      <c r="B50" s="1798">
        <v>0</v>
      </c>
      <c r="C50" s="1802" t="s">
        <v>60</v>
      </c>
      <c r="D50" s="1798">
        <v>0</v>
      </c>
      <c r="E50" s="1804" t="s">
        <v>60</v>
      </c>
      <c r="F50" s="1800">
        <v>0</v>
      </c>
      <c r="G50" s="1805" t="s">
        <v>60</v>
      </c>
      <c r="H50" s="1805"/>
      <c r="I50" s="1805"/>
      <c r="J50" s="1801">
        <v>0</v>
      </c>
      <c r="K50" s="1806" t="s">
        <v>60</v>
      </c>
      <c r="L50" s="1801">
        <v>0</v>
      </c>
    </row>
    <row r="51" spans="1:12" ht="14.1" hidden="1" customHeight="1">
      <c r="A51" s="1803">
        <v>39661</v>
      </c>
      <c r="B51" s="1798">
        <v>25</v>
      </c>
      <c r="C51" s="1802">
        <v>27.95</v>
      </c>
      <c r="D51" s="1798">
        <v>0</v>
      </c>
      <c r="E51" s="1804" t="s">
        <v>60</v>
      </c>
      <c r="F51" s="1800">
        <v>0</v>
      </c>
      <c r="G51" s="1805" t="s">
        <v>60</v>
      </c>
      <c r="H51" s="1805"/>
      <c r="I51" s="1805"/>
      <c r="J51" s="1801">
        <v>0</v>
      </c>
      <c r="K51" s="1806" t="s">
        <v>60</v>
      </c>
      <c r="L51" s="1801">
        <v>0</v>
      </c>
    </row>
    <row r="52" spans="1:12" ht="14.1" hidden="1" customHeight="1">
      <c r="A52" s="1803">
        <v>39722</v>
      </c>
      <c r="B52" s="1798">
        <v>70</v>
      </c>
      <c r="C52" s="1802" t="s">
        <v>3222</v>
      </c>
      <c r="D52" s="1798">
        <v>0</v>
      </c>
      <c r="E52" s="1804" t="s">
        <v>60</v>
      </c>
      <c r="F52" s="1800">
        <v>0</v>
      </c>
      <c r="G52" s="1805" t="s">
        <v>60</v>
      </c>
      <c r="H52" s="1805"/>
      <c r="I52" s="1805"/>
      <c r="J52" s="1801">
        <v>0</v>
      </c>
      <c r="K52" s="1806" t="s">
        <v>60</v>
      </c>
      <c r="L52" s="1801">
        <v>0</v>
      </c>
    </row>
    <row r="53" spans="1:12" ht="14.1" hidden="1" customHeight="1">
      <c r="A53" s="1803">
        <v>39753</v>
      </c>
      <c r="B53" s="1798">
        <v>55</v>
      </c>
      <c r="C53" s="1802" t="s">
        <v>3223</v>
      </c>
      <c r="D53" s="1798">
        <v>0</v>
      </c>
      <c r="E53" s="1804" t="s">
        <v>60</v>
      </c>
      <c r="F53" s="1800">
        <v>0</v>
      </c>
      <c r="G53" s="1805" t="s">
        <v>60</v>
      </c>
      <c r="H53" s="1805"/>
      <c r="I53" s="1805"/>
      <c r="J53" s="1801">
        <v>0</v>
      </c>
      <c r="K53" s="1806" t="s">
        <v>60</v>
      </c>
      <c r="L53" s="1801">
        <v>0</v>
      </c>
    </row>
    <row r="54" spans="1:12" ht="14.1" hidden="1" customHeight="1">
      <c r="A54" s="1803">
        <v>39783</v>
      </c>
      <c r="B54" s="1798">
        <v>0</v>
      </c>
      <c r="C54" s="1802" t="s">
        <v>60</v>
      </c>
      <c r="D54" s="1798">
        <v>0</v>
      </c>
      <c r="E54" s="1804" t="s">
        <v>60</v>
      </c>
      <c r="F54" s="1800">
        <v>0</v>
      </c>
      <c r="G54" s="1805" t="s">
        <v>60</v>
      </c>
      <c r="H54" s="1805"/>
      <c r="I54" s="1805"/>
      <c r="J54" s="1801">
        <v>0</v>
      </c>
      <c r="K54" s="1806" t="s">
        <v>60</v>
      </c>
      <c r="L54" s="1801">
        <v>0</v>
      </c>
    </row>
    <row r="55" spans="1:12" ht="14.1" hidden="1" customHeight="1">
      <c r="A55" s="1803">
        <v>39814</v>
      </c>
      <c r="B55" s="1798">
        <v>0</v>
      </c>
      <c r="C55" s="1802" t="s">
        <v>60</v>
      </c>
      <c r="D55" s="1798">
        <v>0</v>
      </c>
      <c r="E55" s="1804" t="s">
        <v>60</v>
      </c>
      <c r="F55" s="1800">
        <v>0</v>
      </c>
      <c r="G55" s="1805" t="s">
        <v>60</v>
      </c>
      <c r="H55" s="1805"/>
      <c r="I55" s="1805"/>
      <c r="J55" s="1801">
        <v>0</v>
      </c>
      <c r="K55" s="1806" t="s">
        <v>60</v>
      </c>
      <c r="L55" s="1801">
        <v>0</v>
      </c>
    </row>
    <row r="56" spans="1:12" ht="14.1" hidden="1" customHeight="1">
      <c r="A56" s="1803">
        <v>39845</v>
      </c>
      <c r="B56" s="1809">
        <v>0</v>
      </c>
      <c r="C56" s="1802" t="s">
        <v>60</v>
      </c>
      <c r="D56" s="1798">
        <v>0</v>
      </c>
      <c r="E56" s="1804" t="s">
        <v>60</v>
      </c>
      <c r="F56" s="1800">
        <v>0</v>
      </c>
      <c r="G56" s="1805" t="s">
        <v>60</v>
      </c>
      <c r="H56" s="1805"/>
      <c r="I56" s="1805"/>
      <c r="J56" s="1801">
        <v>0</v>
      </c>
      <c r="K56" s="1806" t="s">
        <v>60</v>
      </c>
      <c r="L56" s="1801">
        <v>0</v>
      </c>
    </row>
    <row r="57" spans="1:12" ht="14.1" hidden="1" customHeight="1">
      <c r="A57" s="1803">
        <v>39873</v>
      </c>
      <c r="B57" s="1809">
        <v>0</v>
      </c>
      <c r="C57" s="1802" t="s">
        <v>60</v>
      </c>
      <c r="D57" s="1798">
        <v>0</v>
      </c>
      <c r="E57" s="1804" t="s">
        <v>60</v>
      </c>
      <c r="F57" s="1800">
        <v>0</v>
      </c>
      <c r="G57" s="1805" t="s">
        <v>60</v>
      </c>
      <c r="H57" s="1805"/>
      <c r="I57" s="1805"/>
      <c r="J57" s="1801">
        <v>0</v>
      </c>
      <c r="K57" s="1806" t="s">
        <v>60</v>
      </c>
      <c r="L57" s="1801">
        <v>0</v>
      </c>
    </row>
    <row r="58" spans="1:12" ht="14.1" hidden="1" customHeight="1">
      <c r="A58" s="1803">
        <v>39904</v>
      </c>
      <c r="B58" s="1809">
        <v>0</v>
      </c>
      <c r="C58" s="1802" t="s">
        <v>60</v>
      </c>
      <c r="D58" s="1798">
        <v>0</v>
      </c>
      <c r="E58" s="1804" t="s">
        <v>60</v>
      </c>
      <c r="F58" s="1800">
        <v>0</v>
      </c>
      <c r="G58" s="1805" t="s">
        <v>60</v>
      </c>
      <c r="H58" s="1805"/>
      <c r="I58" s="1805"/>
      <c r="J58" s="1801">
        <v>0</v>
      </c>
      <c r="K58" s="1806" t="s">
        <v>60</v>
      </c>
      <c r="L58" s="1801">
        <v>0</v>
      </c>
    </row>
    <row r="59" spans="1:12" ht="14.1" hidden="1" customHeight="1">
      <c r="A59" s="1803">
        <v>39934</v>
      </c>
      <c r="B59" s="1809">
        <v>0</v>
      </c>
      <c r="C59" s="1802" t="s">
        <v>60</v>
      </c>
      <c r="D59" s="1798">
        <v>0</v>
      </c>
      <c r="E59" s="1804" t="s">
        <v>60</v>
      </c>
      <c r="F59" s="1800">
        <v>0</v>
      </c>
      <c r="G59" s="1805" t="s">
        <v>60</v>
      </c>
      <c r="H59" s="1805"/>
      <c r="I59" s="1805"/>
      <c r="J59" s="1801">
        <v>0</v>
      </c>
      <c r="K59" s="1806" t="s">
        <v>60</v>
      </c>
      <c r="L59" s="1801">
        <v>0</v>
      </c>
    </row>
    <row r="60" spans="1:12" ht="14.1" hidden="1" customHeight="1">
      <c r="A60" s="1803">
        <v>39965</v>
      </c>
      <c r="B60" s="1809">
        <v>0</v>
      </c>
      <c r="C60" s="1802" t="s">
        <v>60</v>
      </c>
      <c r="D60" s="1798">
        <v>0</v>
      </c>
      <c r="E60" s="1804" t="s">
        <v>60</v>
      </c>
      <c r="F60" s="1800">
        <v>0</v>
      </c>
      <c r="G60" s="1805" t="s">
        <v>60</v>
      </c>
      <c r="H60" s="1805"/>
      <c r="I60" s="1805"/>
      <c r="J60" s="1801">
        <v>0</v>
      </c>
      <c r="K60" s="1806" t="s">
        <v>60</v>
      </c>
      <c r="L60" s="1801">
        <v>0</v>
      </c>
    </row>
    <row r="61" spans="1:12" ht="17.25" hidden="1" customHeight="1">
      <c r="A61" s="1803">
        <v>39995</v>
      </c>
      <c r="B61" s="1809">
        <v>0</v>
      </c>
      <c r="C61" s="1802" t="s">
        <v>60</v>
      </c>
      <c r="D61" s="1798">
        <v>0</v>
      </c>
      <c r="E61" s="1804" t="s">
        <v>60</v>
      </c>
      <c r="F61" s="1800">
        <v>0</v>
      </c>
      <c r="G61" s="1805" t="s">
        <v>60</v>
      </c>
      <c r="H61" s="1805"/>
      <c r="I61" s="1805"/>
      <c r="J61" s="1801">
        <v>0</v>
      </c>
      <c r="K61" s="1806" t="s">
        <v>60</v>
      </c>
      <c r="L61" s="1801">
        <v>0</v>
      </c>
    </row>
    <row r="62" spans="1:12" ht="14.1" hidden="1" customHeight="1">
      <c r="A62" s="1803">
        <v>40026</v>
      </c>
      <c r="B62" s="1809">
        <v>0</v>
      </c>
      <c r="C62" s="1802" t="s">
        <v>60</v>
      </c>
      <c r="D62" s="1798">
        <v>0</v>
      </c>
      <c r="E62" s="1804" t="s">
        <v>60</v>
      </c>
      <c r="F62" s="1800">
        <v>0</v>
      </c>
      <c r="G62" s="1805" t="s">
        <v>60</v>
      </c>
      <c r="H62" s="1805"/>
      <c r="I62" s="1805"/>
      <c r="J62" s="1801">
        <v>0</v>
      </c>
      <c r="K62" s="1806" t="s">
        <v>60</v>
      </c>
      <c r="L62" s="1801">
        <v>0</v>
      </c>
    </row>
    <row r="63" spans="1:12" ht="14.1" hidden="1" customHeight="1">
      <c r="A63" s="1803">
        <v>40057</v>
      </c>
      <c r="B63" s="1809">
        <v>0</v>
      </c>
      <c r="C63" s="1802" t="s">
        <v>60</v>
      </c>
      <c r="D63" s="1798">
        <v>0</v>
      </c>
      <c r="E63" s="1804" t="s">
        <v>60</v>
      </c>
      <c r="F63" s="1800">
        <v>0</v>
      </c>
      <c r="G63" s="1805" t="s">
        <v>60</v>
      </c>
      <c r="H63" s="1805"/>
      <c r="I63" s="1805"/>
      <c r="J63" s="1801">
        <v>0</v>
      </c>
      <c r="K63" s="1806" t="s">
        <v>60</v>
      </c>
      <c r="L63" s="1801">
        <v>0</v>
      </c>
    </row>
    <row r="64" spans="1:12" ht="14.1" hidden="1" customHeight="1">
      <c r="A64" s="1810">
        <v>40087</v>
      </c>
      <c r="B64" s="1811">
        <v>0</v>
      </c>
      <c r="C64" s="1812" t="s">
        <v>60</v>
      </c>
      <c r="D64" s="1813">
        <v>0</v>
      </c>
      <c r="E64" s="1814" t="s">
        <v>60</v>
      </c>
      <c r="F64" s="1815">
        <v>0</v>
      </c>
      <c r="G64" s="1816" t="s">
        <v>60</v>
      </c>
      <c r="H64" s="1816"/>
      <c r="I64" s="1816"/>
      <c r="J64" s="1817">
        <v>0</v>
      </c>
      <c r="K64" s="1818" t="s">
        <v>60</v>
      </c>
      <c r="L64" s="1817">
        <v>0</v>
      </c>
    </row>
    <row r="65" spans="1:12" ht="15" hidden="1" customHeight="1">
      <c r="A65" s="1810">
        <v>40118</v>
      </c>
      <c r="B65" s="1811">
        <v>0</v>
      </c>
      <c r="C65" s="1812" t="s">
        <v>60</v>
      </c>
      <c r="D65" s="1813">
        <v>0</v>
      </c>
      <c r="E65" s="1814" t="s">
        <v>60</v>
      </c>
      <c r="F65" s="1815">
        <v>0</v>
      </c>
      <c r="G65" s="1816" t="s">
        <v>60</v>
      </c>
      <c r="H65" s="1816"/>
      <c r="I65" s="1816"/>
      <c r="J65" s="1817">
        <v>0</v>
      </c>
      <c r="K65" s="1818" t="s">
        <v>60</v>
      </c>
      <c r="L65" s="1817">
        <v>0</v>
      </c>
    </row>
    <row r="66" spans="1:12" ht="15" hidden="1" customHeight="1">
      <c r="A66" s="1810">
        <v>40148</v>
      </c>
      <c r="B66" s="1811">
        <v>0</v>
      </c>
      <c r="C66" s="1812" t="s">
        <v>60</v>
      </c>
      <c r="D66" s="1813">
        <v>0</v>
      </c>
      <c r="E66" s="1814" t="s">
        <v>60</v>
      </c>
      <c r="F66" s="1815">
        <v>0</v>
      </c>
      <c r="G66" s="1816" t="s">
        <v>60</v>
      </c>
      <c r="H66" s="1816"/>
      <c r="I66" s="1816"/>
      <c r="J66" s="1817">
        <v>0</v>
      </c>
      <c r="K66" s="1818" t="s">
        <v>60</v>
      </c>
      <c r="L66" s="1817">
        <v>0</v>
      </c>
    </row>
    <row r="67" spans="1:12" ht="15" hidden="1" customHeight="1">
      <c r="A67" s="1810">
        <v>40179</v>
      </c>
      <c r="B67" s="1811">
        <v>0</v>
      </c>
      <c r="C67" s="1812" t="s">
        <v>60</v>
      </c>
      <c r="D67" s="1813">
        <v>0</v>
      </c>
      <c r="E67" s="1814" t="s">
        <v>60</v>
      </c>
      <c r="F67" s="1815">
        <v>0</v>
      </c>
      <c r="G67" s="1816" t="s">
        <v>60</v>
      </c>
      <c r="H67" s="1816"/>
      <c r="I67" s="1816"/>
      <c r="J67" s="1817">
        <v>0</v>
      </c>
      <c r="K67" s="1818" t="s">
        <v>60</v>
      </c>
      <c r="L67" s="1817">
        <v>0</v>
      </c>
    </row>
    <row r="68" spans="1:12" ht="15" hidden="1" customHeight="1">
      <c r="A68" s="1810">
        <v>40210</v>
      </c>
      <c r="B68" s="1811">
        <v>0</v>
      </c>
      <c r="C68" s="1812" t="s">
        <v>60</v>
      </c>
      <c r="D68" s="1813">
        <v>0</v>
      </c>
      <c r="E68" s="1814" t="s">
        <v>60</v>
      </c>
      <c r="F68" s="1815">
        <v>0</v>
      </c>
      <c r="G68" s="1816" t="s">
        <v>60</v>
      </c>
      <c r="H68" s="1816"/>
      <c r="I68" s="1816"/>
      <c r="J68" s="1817">
        <v>0</v>
      </c>
      <c r="K68" s="1818" t="s">
        <v>60</v>
      </c>
      <c r="L68" s="1817">
        <v>0</v>
      </c>
    </row>
    <row r="69" spans="1:12" ht="15" hidden="1" customHeight="1">
      <c r="A69" s="1810">
        <v>40238</v>
      </c>
      <c r="B69" s="1811">
        <v>0</v>
      </c>
      <c r="C69" s="1812" t="s">
        <v>60</v>
      </c>
      <c r="D69" s="1813">
        <v>0</v>
      </c>
      <c r="E69" s="1814" t="s">
        <v>60</v>
      </c>
      <c r="F69" s="1815">
        <v>0</v>
      </c>
      <c r="G69" s="1816" t="s">
        <v>60</v>
      </c>
      <c r="H69" s="1816"/>
      <c r="I69" s="1816"/>
      <c r="J69" s="1817">
        <v>0</v>
      </c>
      <c r="K69" s="1818" t="s">
        <v>60</v>
      </c>
      <c r="L69" s="1817">
        <v>0</v>
      </c>
    </row>
    <row r="70" spans="1:12" ht="15" hidden="1" customHeight="1">
      <c r="A70" s="1810">
        <v>40269</v>
      </c>
      <c r="B70" s="1811">
        <v>0</v>
      </c>
      <c r="C70" s="1812" t="s">
        <v>60</v>
      </c>
      <c r="D70" s="1813">
        <v>0</v>
      </c>
      <c r="E70" s="1814" t="s">
        <v>60</v>
      </c>
      <c r="F70" s="1815">
        <v>0</v>
      </c>
      <c r="G70" s="1816" t="s">
        <v>60</v>
      </c>
      <c r="H70" s="1816"/>
      <c r="I70" s="1816"/>
      <c r="J70" s="1817">
        <v>0</v>
      </c>
      <c r="K70" s="1818" t="s">
        <v>60</v>
      </c>
      <c r="L70" s="1817">
        <v>0</v>
      </c>
    </row>
    <row r="71" spans="1:12" ht="15" hidden="1" customHeight="1">
      <c r="A71" s="1810">
        <v>40299</v>
      </c>
      <c r="B71" s="1811">
        <v>0</v>
      </c>
      <c r="C71" s="1812" t="s">
        <v>60</v>
      </c>
      <c r="D71" s="1813">
        <v>0</v>
      </c>
      <c r="E71" s="1814" t="s">
        <v>60</v>
      </c>
      <c r="F71" s="1815">
        <v>0</v>
      </c>
      <c r="G71" s="1816" t="s">
        <v>60</v>
      </c>
      <c r="H71" s="1816"/>
      <c r="I71" s="1816"/>
      <c r="J71" s="1817">
        <v>0</v>
      </c>
      <c r="K71" s="1818" t="s">
        <v>60</v>
      </c>
      <c r="L71" s="1817">
        <v>0</v>
      </c>
    </row>
    <row r="72" spans="1:12" ht="15" hidden="1" customHeight="1">
      <c r="A72" s="1810">
        <v>40330</v>
      </c>
      <c r="B72" s="1811">
        <v>0</v>
      </c>
      <c r="C72" s="1812" t="s">
        <v>60</v>
      </c>
      <c r="D72" s="1813">
        <v>0</v>
      </c>
      <c r="E72" s="1814" t="s">
        <v>60</v>
      </c>
      <c r="F72" s="1815">
        <v>0</v>
      </c>
      <c r="G72" s="1816" t="s">
        <v>60</v>
      </c>
      <c r="H72" s="1816"/>
      <c r="I72" s="1816"/>
      <c r="J72" s="1817">
        <v>0</v>
      </c>
      <c r="K72" s="1818" t="s">
        <v>60</v>
      </c>
      <c r="L72" s="1817">
        <v>0</v>
      </c>
    </row>
    <row r="73" spans="1:12" ht="15" hidden="1" customHeight="1">
      <c r="A73" s="1810">
        <v>40360</v>
      </c>
      <c r="B73" s="1811">
        <v>0</v>
      </c>
      <c r="C73" s="1812" t="s">
        <v>60</v>
      </c>
      <c r="D73" s="1813">
        <v>27</v>
      </c>
      <c r="E73" s="1814" t="s">
        <v>3224</v>
      </c>
      <c r="F73" s="1819">
        <v>4.7</v>
      </c>
      <c r="G73" s="1816" t="s">
        <v>3225</v>
      </c>
      <c r="H73" s="1816"/>
      <c r="I73" s="1816"/>
      <c r="J73" s="1817">
        <v>0</v>
      </c>
      <c r="K73" s="1818" t="s">
        <v>60</v>
      </c>
      <c r="L73" s="1817">
        <v>0</v>
      </c>
    </row>
    <row r="74" spans="1:12" ht="15" hidden="1" customHeight="1">
      <c r="A74" s="1810">
        <v>40391</v>
      </c>
      <c r="B74" s="1811">
        <v>0</v>
      </c>
      <c r="C74" s="1812" t="s">
        <v>60</v>
      </c>
      <c r="D74" s="1818">
        <v>8.15</v>
      </c>
      <c r="E74" s="1814" t="s">
        <v>3226</v>
      </c>
      <c r="F74" s="1819">
        <v>1.3</v>
      </c>
      <c r="G74" s="1816" t="s">
        <v>3227</v>
      </c>
      <c r="H74" s="1816"/>
      <c r="I74" s="1816"/>
      <c r="J74" s="1817">
        <v>0</v>
      </c>
      <c r="K74" s="1818" t="s">
        <v>60</v>
      </c>
      <c r="L74" s="1817">
        <v>0</v>
      </c>
    </row>
    <row r="75" spans="1:12" ht="15" hidden="1" customHeight="1">
      <c r="A75" s="1810">
        <v>40422</v>
      </c>
      <c r="B75" s="1811">
        <v>0</v>
      </c>
      <c r="C75" s="1812" t="s">
        <v>60</v>
      </c>
      <c r="D75" s="1818">
        <v>60.35</v>
      </c>
      <c r="E75" s="1814" t="s">
        <v>3228</v>
      </c>
      <c r="F75" s="1819">
        <v>7.55</v>
      </c>
      <c r="G75" s="1816" t="s">
        <v>3229</v>
      </c>
      <c r="H75" s="1816"/>
      <c r="I75" s="1816"/>
      <c r="J75" s="1817">
        <v>0</v>
      </c>
      <c r="K75" s="1818" t="s">
        <v>60</v>
      </c>
      <c r="L75" s="1817">
        <v>0</v>
      </c>
    </row>
    <row r="76" spans="1:12" ht="15" hidden="1" customHeight="1">
      <c r="A76" s="1810">
        <v>40452</v>
      </c>
      <c r="B76" s="1811">
        <v>0</v>
      </c>
      <c r="C76" s="1812" t="s">
        <v>60</v>
      </c>
      <c r="D76" s="1818">
        <v>103.69</v>
      </c>
      <c r="E76" s="1814" t="s">
        <v>3230</v>
      </c>
      <c r="F76" s="1819">
        <v>21.35</v>
      </c>
      <c r="G76" s="1816" t="s">
        <v>3231</v>
      </c>
      <c r="H76" s="1816"/>
      <c r="I76" s="1816"/>
      <c r="J76" s="1817">
        <v>0</v>
      </c>
      <c r="K76" s="1818" t="s">
        <v>60</v>
      </c>
      <c r="L76" s="1817">
        <v>0</v>
      </c>
    </row>
    <row r="77" spans="1:12" ht="15" hidden="1" customHeight="1">
      <c r="A77" s="1810">
        <v>40483</v>
      </c>
      <c r="B77" s="1811">
        <v>0</v>
      </c>
      <c r="C77" s="1812" t="s">
        <v>60</v>
      </c>
      <c r="D77" s="1818">
        <v>93.3</v>
      </c>
      <c r="E77" s="1814" t="s">
        <v>3232</v>
      </c>
      <c r="F77" s="1819">
        <v>2.5750000000000002</v>
      </c>
      <c r="G77" s="1816" t="s">
        <v>3233</v>
      </c>
      <c r="H77" s="1816"/>
      <c r="I77" s="1816"/>
      <c r="J77" s="1817">
        <v>0</v>
      </c>
      <c r="K77" s="1818" t="s">
        <v>60</v>
      </c>
      <c r="L77" s="1817">
        <v>0</v>
      </c>
    </row>
    <row r="78" spans="1:12" ht="15" hidden="1" customHeight="1">
      <c r="A78" s="1810">
        <v>40513</v>
      </c>
      <c r="B78" s="1811">
        <v>0</v>
      </c>
      <c r="C78" s="1812" t="s">
        <v>60</v>
      </c>
      <c r="D78" s="1820">
        <v>72.025000000000006</v>
      </c>
      <c r="E78" s="1814" t="s">
        <v>3234</v>
      </c>
      <c r="F78" s="1819">
        <v>15.337999999999999</v>
      </c>
      <c r="G78" s="1816" t="s">
        <v>3235</v>
      </c>
      <c r="H78" s="1816"/>
      <c r="I78" s="1816"/>
      <c r="J78" s="1817">
        <v>0</v>
      </c>
      <c r="K78" s="1818" t="s">
        <v>60</v>
      </c>
      <c r="L78" s="1817">
        <v>0</v>
      </c>
    </row>
    <row r="79" spans="1:12" ht="15" hidden="1" customHeight="1">
      <c r="A79" s="1810">
        <v>40544</v>
      </c>
      <c r="B79" s="1821">
        <v>0.11799999999999999</v>
      </c>
      <c r="C79" s="1812">
        <v>30.48</v>
      </c>
      <c r="D79" s="1820">
        <v>17.295999999999999</v>
      </c>
      <c r="E79" s="1814" t="s">
        <v>3236</v>
      </c>
      <c r="F79" s="1822">
        <v>15.381</v>
      </c>
      <c r="G79" s="1816" t="s">
        <v>3237</v>
      </c>
      <c r="H79" s="1816"/>
      <c r="I79" s="1816"/>
      <c r="J79" s="1817">
        <v>0</v>
      </c>
      <c r="K79" s="1818" t="s">
        <v>60</v>
      </c>
      <c r="L79" s="1817">
        <v>0</v>
      </c>
    </row>
    <row r="80" spans="1:12" ht="15" hidden="1" customHeight="1">
      <c r="A80" s="1810">
        <v>40575</v>
      </c>
      <c r="B80" s="1811">
        <v>0</v>
      </c>
      <c r="C80" s="1812" t="s">
        <v>60</v>
      </c>
      <c r="D80" s="1820">
        <v>22.375</v>
      </c>
      <c r="E80" s="1814" t="s">
        <v>3238</v>
      </c>
      <c r="F80" s="1819">
        <v>0.3</v>
      </c>
      <c r="G80" s="1816">
        <v>40.450000000000003</v>
      </c>
      <c r="H80" s="1816"/>
      <c r="I80" s="1816"/>
      <c r="J80" s="1817">
        <v>0</v>
      </c>
      <c r="K80" s="1818" t="s">
        <v>60</v>
      </c>
      <c r="L80" s="1817">
        <v>0</v>
      </c>
    </row>
    <row r="81" spans="1:12" ht="15" hidden="1" customHeight="1">
      <c r="A81" s="1810">
        <v>40603</v>
      </c>
      <c r="B81" s="1811">
        <v>0</v>
      </c>
      <c r="C81" s="1812" t="s">
        <v>60</v>
      </c>
      <c r="D81" s="1820">
        <v>37.875</v>
      </c>
      <c r="E81" s="1814" t="s">
        <v>3239</v>
      </c>
      <c r="F81" s="1819">
        <v>2.0499999999999998</v>
      </c>
      <c r="G81" s="1816" t="s">
        <v>3240</v>
      </c>
      <c r="H81" s="1816"/>
      <c r="I81" s="1816"/>
      <c r="J81" s="1817">
        <v>0</v>
      </c>
      <c r="K81" s="1818" t="s">
        <v>60</v>
      </c>
      <c r="L81" s="1817">
        <v>0</v>
      </c>
    </row>
    <row r="82" spans="1:12" ht="15" hidden="1" customHeight="1">
      <c r="A82" s="1810">
        <v>40634</v>
      </c>
      <c r="B82" s="1811">
        <v>0</v>
      </c>
      <c r="C82" s="1812" t="s">
        <v>60</v>
      </c>
      <c r="D82" s="1820">
        <v>73.394999999999996</v>
      </c>
      <c r="E82" s="1814" t="s">
        <v>3241</v>
      </c>
      <c r="F82" s="1819">
        <v>12</v>
      </c>
      <c r="G82" s="1816" t="s">
        <v>3242</v>
      </c>
      <c r="H82" s="1816"/>
      <c r="I82" s="1816"/>
      <c r="J82" s="1817">
        <v>0</v>
      </c>
      <c r="K82" s="1818" t="s">
        <v>60</v>
      </c>
      <c r="L82" s="1817">
        <v>0</v>
      </c>
    </row>
    <row r="83" spans="1:12" ht="15" hidden="1" customHeight="1">
      <c r="A83" s="1810">
        <v>40664</v>
      </c>
      <c r="B83" s="1823">
        <v>10.25</v>
      </c>
      <c r="C83" s="1812" t="s">
        <v>3243</v>
      </c>
      <c r="D83" s="1818">
        <v>20.67</v>
      </c>
      <c r="E83" s="1814" t="s">
        <v>3244</v>
      </c>
      <c r="F83" s="1819">
        <v>14.14</v>
      </c>
      <c r="G83" s="1816" t="s">
        <v>3245</v>
      </c>
      <c r="H83" s="1816"/>
      <c r="I83" s="1816"/>
      <c r="J83" s="1817">
        <v>0</v>
      </c>
      <c r="K83" s="1818" t="s">
        <v>60</v>
      </c>
      <c r="L83" s="1817">
        <v>0</v>
      </c>
    </row>
    <row r="84" spans="1:12" ht="15" hidden="1" customHeight="1">
      <c r="A84" s="1810">
        <v>40695</v>
      </c>
      <c r="B84" s="1823">
        <v>0.4</v>
      </c>
      <c r="C84" s="1812">
        <v>28</v>
      </c>
      <c r="D84" s="1818">
        <v>129.80000000000001</v>
      </c>
      <c r="E84" s="1814" t="s">
        <v>3246</v>
      </c>
      <c r="F84" s="1819">
        <v>9.6300000000000008</v>
      </c>
      <c r="G84" s="1816" t="s">
        <v>3247</v>
      </c>
      <c r="H84" s="1816"/>
      <c r="I84" s="1816"/>
      <c r="J84" s="1817">
        <v>1</v>
      </c>
      <c r="K84" s="1818">
        <v>46.38</v>
      </c>
      <c r="L84" s="1817">
        <v>0</v>
      </c>
    </row>
    <row r="85" spans="1:12" ht="15" hidden="1" customHeight="1">
      <c r="A85" s="1810">
        <v>40756</v>
      </c>
      <c r="B85" s="1823">
        <v>29.53</v>
      </c>
      <c r="C85" s="1812" t="s">
        <v>3248</v>
      </c>
      <c r="D85" s="1818">
        <v>0</v>
      </c>
      <c r="E85" s="1814" t="s">
        <v>60</v>
      </c>
      <c r="F85" s="1819">
        <v>0</v>
      </c>
      <c r="G85" s="1816" t="s">
        <v>60</v>
      </c>
      <c r="H85" s="1816"/>
      <c r="I85" s="1816"/>
      <c r="J85" s="1817">
        <v>0</v>
      </c>
      <c r="K85" s="1818" t="s">
        <v>60</v>
      </c>
      <c r="L85" s="1816">
        <v>0</v>
      </c>
    </row>
    <row r="86" spans="1:12" ht="15" hidden="1" customHeight="1">
      <c r="A86" s="1824">
        <v>40787</v>
      </c>
      <c r="B86" s="1823">
        <v>54.74</v>
      </c>
      <c r="C86" s="1812" t="s">
        <v>3249</v>
      </c>
      <c r="D86" s="1818">
        <v>1.9</v>
      </c>
      <c r="E86" s="1814" t="s">
        <v>3250</v>
      </c>
      <c r="F86" s="1819">
        <v>0.2</v>
      </c>
      <c r="G86" s="1825">
        <v>39.700000000000003</v>
      </c>
      <c r="H86" s="1825"/>
      <c r="I86" s="1825"/>
      <c r="J86" s="1817">
        <v>0</v>
      </c>
      <c r="K86" s="1818" t="s">
        <v>60</v>
      </c>
      <c r="L86" s="1816">
        <v>0</v>
      </c>
    </row>
    <row r="87" spans="1:12" ht="15" hidden="1" customHeight="1">
      <c r="A87" s="1824">
        <v>40817</v>
      </c>
      <c r="B87" s="1823">
        <v>35.97</v>
      </c>
      <c r="C87" s="1812" t="s">
        <v>3251</v>
      </c>
      <c r="D87" s="1818">
        <v>25.55</v>
      </c>
      <c r="E87" s="1814" t="s">
        <v>3252</v>
      </c>
      <c r="F87" s="1819">
        <v>0.8</v>
      </c>
      <c r="G87" s="1825" t="s">
        <v>3253</v>
      </c>
      <c r="H87" s="1825"/>
      <c r="I87" s="1825"/>
      <c r="J87" s="1817">
        <v>0</v>
      </c>
      <c r="K87" s="1818" t="s">
        <v>60</v>
      </c>
      <c r="L87" s="1816">
        <v>0</v>
      </c>
    </row>
    <row r="88" spans="1:12" ht="15" hidden="1" customHeight="1">
      <c r="A88" s="1824">
        <v>40848</v>
      </c>
      <c r="B88" s="1823">
        <v>40.47</v>
      </c>
      <c r="C88" s="1812" t="s">
        <v>3254</v>
      </c>
      <c r="D88" s="1818">
        <v>8.41</v>
      </c>
      <c r="E88" s="1814" t="s">
        <v>3255</v>
      </c>
      <c r="F88" s="1819">
        <v>17</v>
      </c>
      <c r="G88" s="1816">
        <v>38.549999999999997</v>
      </c>
      <c r="H88" s="1816"/>
      <c r="I88" s="1816"/>
      <c r="J88" s="1817">
        <v>0</v>
      </c>
      <c r="K88" s="1818" t="s">
        <v>60</v>
      </c>
      <c r="L88" s="1816">
        <v>0</v>
      </c>
    </row>
    <row r="89" spans="1:12" ht="15" hidden="1" customHeight="1">
      <c r="A89" s="1824">
        <v>40878</v>
      </c>
      <c r="B89" s="1823">
        <v>44.52</v>
      </c>
      <c r="C89" s="1812" t="s">
        <v>3256</v>
      </c>
      <c r="D89" s="1818">
        <v>28.65</v>
      </c>
      <c r="E89" s="1814" t="s">
        <v>3257</v>
      </c>
      <c r="F89" s="1819">
        <v>22.01</v>
      </c>
      <c r="G89" s="1816" t="s">
        <v>3258</v>
      </c>
      <c r="H89" s="1816"/>
      <c r="I89" s="1816"/>
      <c r="J89" s="1817">
        <v>0</v>
      </c>
      <c r="K89" s="1818" t="s">
        <v>60</v>
      </c>
      <c r="L89" s="1816">
        <v>0</v>
      </c>
    </row>
    <row r="90" spans="1:12" ht="15" hidden="1" customHeight="1">
      <c r="A90" s="1824">
        <v>40909</v>
      </c>
      <c r="B90" s="1823">
        <v>43.46</v>
      </c>
      <c r="C90" s="1812" t="s">
        <v>3259</v>
      </c>
      <c r="D90" s="1818">
        <v>16.2</v>
      </c>
      <c r="E90" s="1814" t="s">
        <v>3260</v>
      </c>
      <c r="F90" s="1819">
        <v>15.5</v>
      </c>
      <c r="G90" s="1816" t="s">
        <v>3261</v>
      </c>
      <c r="H90" s="1816"/>
      <c r="I90" s="1816"/>
      <c r="J90" s="1817">
        <v>0</v>
      </c>
      <c r="K90" s="1818" t="s">
        <v>60</v>
      </c>
      <c r="L90" s="1816">
        <v>0</v>
      </c>
    </row>
    <row r="91" spans="1:12" ht="15" hidden="1" customHeight="1">
      <c r="A91" s="1824">
        <v>40940</v>
      </c>
      <c r="B91" s="1823">
        <v>28.78</v>
      </c>
      <c r="C91" s="1812" t="s">
        <v>3262</v>
      </c>
      <c r="D91" s="1818">
        <v>59.4</v>
      </c>
      <c r="E91" s="1814" t="s">
        <v>3263</v>
      </c>
      <c r="F91" s="1819">
        <v>2.8</v>
      </c>
      <c r="G91" s="1816" t="s">
        <v>3264</v>
      </c>
      <c r="H91" s="1816"/>
      <c r="I91" s="1816"/>
      <c r="J91" s="1817">
        <v>0</v>
      </c>
      <c r="K91" s="1818" t="s">
        <v>60</v>
      </c>
      <c r="L91" s="1816">
        <v>0</v>
      </c>
    </row>
    <row r="92" spans="1:12" ht="15" hidden="1" customHeight="1">
      <c r="A92" s="1824">
        <v>40969</v>
      </c>
      <c r="B92" s="1823">
        <v>49.59</v>
      </c>
      <c r="C92" s="1812" t="s">
        <v>3265</v>
      </c>
      <c r="D92" s="1818">
        <v>32.979999999999997</v>
      </c>
      <c r="E92" s="1814" t="s">
        <v>3266</v>
      </c>
      <c r="F92" s="1819">
        <v>2.5499999999999998</v>
      </c>
      <c r="G92" s="1816" t="s">
        <v>3267</v>
      </c>
      <c r="H92" s="1816"/>
      <c r="I92" s="1816"/>
      <c r="J92" s="1817">
        <v>0</v>
      </c>
      <c r="K92" s="1818" t="s">
        <v>60</v>
      </c>
      <c r="L92" s="1816">
        <v>0</v>
      </c>
    </row>
    <row r="93" spans="1:12" ht="15" hidden="1" customHeight="1">
      <c r="A93" s="1824">
        <v>41000</v>
      </c>
      <c r="B93" s="1823">
        <v>40.65</v>
      </c>
      <c r="C93" s="1812" t="s">
        <v>3268</v>
      </c>
      <c r="D93" s="1820">
        <v>17.925000000000001</v>
      </c>
      <c r="E93" s="1814" t="s">
        <v>3269</v>
      </c>
      <c r="F93" s="1819">
        <v>1.6</v>
      </c>
      <c r="G93" s="1816" t="s">
        <v>3270</v>
      </c>
      <c r="H93" s="1816"/>
      <c r="I93" s="1816"/>
      <c r="J93" s="1817">
        <v>0</v>
      </c>
      <c r="K93" s="1818" t="s">
        <v>60</v>
      </c>
      <c r="L93" s="1816">
        <v>0</v>
      </c>
    </row>
    <row r="94" spans="1:12" ht="15" hidden="1" customHeight="1">
      <c r="A94" s="1824">
        <v>41030</v>
      </c>
      <c r="B94" s="1823">
        <v>34.39</v>
      </c>
      <c r="C94" s="1812" t="s">
        <v>3271</v>
      </c>
      <c r="D94" s="1820">
        <v>52.015000000000001</v>
      </c>
      <c r="E94" s="1814" t="s">
        <v>3272</v>
      </c>
      <c r="F94" s="1819">
        <v>0.85</v>
      </c>
      <c r="G94" s="1816" t="s">
        <v>3273</v>
      </c>
      <c r="H94" s="1816"/>
      <c r="I94" s="1816"/>
      <c r="J94" s="1817">
        <v>0</v>
      </c>
      <c r="K94" s="1818" t="s">
        <v>60</v>
      </c>
      <c r="L94" s="1816">
        <v>0</v>
      </c>
    </row>
    <row r="95" spans="1:12" ht="15" hidden="1" customHeight="1">
      <c r="A95" s="1824">
        <v>41061</v>
      </c>
      <c r="B95" s="1823">
        <v>53.49</v>
      </c>
      <c r="C95" s="1812" t="s">
        <v>3274</v>
      </c>
      <c r="D95" s="1820">
        <v>77.655000000000001</v>
      </c>
      <c r="E95" s="1814" t="s">
        <v>3275</v>
      </c>
      <c r="F95" s="1819">
        <v>11.2</v>
      </c>
      <c r="G95" s="1816" t="s">
        <v>3276</v>
      </c>
      <c r="H95" s="1816"/>
      <c r="I95" s="1816"/>
      <c r="J95" s="1817">
        <v>0</v>
      </c>
      <c r="K95" s="1818" t="s">
        <v>60</v>
      </c>
      <c r="L95" s="1816">
        <v>0</v>
      </c>
    </row>
    <row r="96" spans="1:12" ht="15" hidden="1" customHeight="1">
      <c r="A96" s="1824">
        <v>41091</v>
      </c>
      <c r="B96" s="1823">
        <v>32.29</v>
      </c>
      <c r="C96" s="1812" t="s">
        <v>3277</v>
      </c>
      <c r="D96" s="1820">
        <v>33.591999999999999</v>
      </c>
      <c r="E96" s="1814" t="s">
        <v>3278</v>
      </c>
      <c r="F96" s="1819">
        <v>6.4</v>
      </c>
      <c r="G96" s="1816" t="s">
        <v>3279</v>
      </c>
      <c r="H96" s="1816"/>
      <c r="I96" s="1816"/>
      <c r="J96" s="1816">
        <v>0.1</v>
      </c>
      <c r="K96" s="1818">
        <v>48.46</v>
      </c>
      <c r="L96" s="1816">
        <v>0</v>
      </c>
    </row>
    <row r="97" spans="1:12" ht="15" hidden="1" customHeight="1">
      <c r="A97" s="1824">
        <v>41122</v>
      </c>
      <c r="B97" s="1823">
        <v>49.46</v>
      </c>
      <c r="C97" s="1812" t="s">
        <v>3280</v>
      </c>
      <c r="D97" s="1826">
        <v>45.5</v>
      </c>
      <c r="E97" s="1812" t="s">
        <v>3281</v>
      </c>
      <c r="F97" s="1827">
        <v>20.425000000000001</v>
      </c>
      <c r="G97" s="1816" t="s">
        <v>3282</v>
      </c>
      <c r="H97" s="1816"/>
      <c r="I97" s="1816"/>
      <c r="J97" s="1816">
        <v>0</v>
      </c>
      <c r="K97" s="1818" t="s">
        <v>60</v>
      </c>
      <c r="L97" s="1816">
        <v>0</v>
      </c>
    </row>
    <row r="98" spans="1:12" ht="15" hidden="1" customHeight="1">
      <c r="A98" s="1824">
        <v>41153</v>
      </c>
      <c r="B98" s="1823">
        <v>32.53</v>
      </c>
      <c r="C98" s="1812" t="s">
        <v>3283</v>
      </c>
      <c r="D98" s="1820">
        <v>19.925000000000001</v>
      </c>
      <c r="E98" s="1812" t="s">
        <v>3284</v>
      </c>
      <c r="F98" s="1827">
        <v>29.55</v>
      </c>
      <c r="G98" s="1816" t="s">
        <v>3285</v>
      </c>
      <c r="H98" s="1816"/>
      <c r="I98" s="1816"/>
      <c r="J98" s="1816">
        <v>0</v>
      </c>
      <c r="K98" s="1818" t="s">
        <v>60</v>
      </c>
      <c r="L98" s="1816">
        <v>0</v>
      </c>
    </row>
    <row r="99" spans="1:12" ht="15.75" hidden="1" customHeight="1">
      <c r="A99" s="1824">
        <v>41183</v>
      </c>
      <c r="B99" s="1828">
        <v>41.664000000000001</v>
      </c>
      <c r="C99" s="1812" t="s">
        <v>3286</v>
      </c>
      <c r="D99" s="1820">
        <v>2.9</v>
      </c>
      <c r="E99" s="1812" t="s">
        <v>3287</v>
      </c>
      <c r="F99" s="1829">
        <v>4.05</v>
      </c>
      <c r="G99" s="1816" t="s">
        <v>3288</v>
      </c>
      <c r="H99" s="1816"/>
      <c r="I99" s="1816"/>
      <c r="J99" s="1816">
        <v>0</v>
      </c>
      <c r="K99" s="1818" t="s">
        <v>60</v>
      </c>
      <c r="L99" s="1816">
        <v>0</v>
      </c>
    </row>
    <row r="100" spans="1:12" ht="17.25" hidden="1" customHeight="1">
      <c r="A100" s="1824">
        <v>41214</v>
      </c>
      <c r="B100" s="1828">
        <v>54.957000000000001</v>
      </c>
      <c r="C100" s="1812" t="s">
        <v>3289</v>
      </c>
      <c r="D100" s="1820">
        <v>15.55</v>
      </c>
      <c r="E100" s="1812" t="s">
        <v>3290</v>
      </c>
      <c r="F100" s="1829">
        <v>5.05</v>
      </c>
      <c r="G100" s="1816" t="s">
        <v>3291</v>
      </c>
      <c r="H100" s="1816"/>
      <c r="I100" s="1816"/>
      <c r="J100" s="1816">
        <v>0</v>
      </c>
      <c r="K100" s="1818" t="s">
        <v>60</v>
      </c>
      <c r="L100" s="1816">
        <v>0</v>
      </c>
    </row>
    <row r="101" spans="1:12" ht="17.25" hidden="1" customHeight="1">
      <c r="A101" s="1824">
        <v>41244</v>
      </c>
      <c r="B101" s="1828">
        <v>39.192999999999998</v>
      </c>
      <c r="C101" s="1812" t="s">
        <v>3292</v>
      </c>
      <c r="D101" s="1820">
        <v>62.8</v>
      </c>
      <c r="E101" s="1812" t="s">
        <v>3293</v>
      </c>
      <c r="F101" s="1829">
        <v>65.075000000000003</v>
      </c>
      <c r="G101" s="1816" t="s">
        <v>3294</v>
      </c>
      <c r="H101" s="1816"/>
      <c r="I101" s="1816"/>
      <c r="J101" s="1816">
        <v>0</v>
      </c>
      <c r="K101" s="1818" t="s">
        <v>60</v>
      </c>
      <c r="L101" s="1816">
        <v>0</v>
      </c>
    </row>
    <row r="102" spans="1:12" ht="17.25" hidden="1" customHeight="1" thickTop="1">
      <c r="A102" s="1824">
        <v>41275</v>
      </c>
      <c r="B102" s="1828">
        <v>37.960999999999999</v>
      </c>
      <c r="C102" s="1812" t="s">
        <v>3295</v>
      </c>
      <c r="D102" s="1820">
        <v>77.14</v>
      </c>
      <c r="E102" s="1812" t="s">
        <v>3296</v>
      </c>
      <c r="F102" s="1829">
        <v>24.55</v>
      </c>
      <c r="G102" s="1816" t="s">
        <v>3297</v>
      </c>
      <c r="H102" s="1816"/>
      <c r="I102" s="1816"/>
      <c r="J102" s="1816">
        <v>0</v>
      </c>
      <c r="K102" s="1818" t="s">
        <v>60</v>
      </c>
      <c r="L102" s="1816">
        <v>0</v>
      </c>
    </row>
    <row r="103" spans="1:12" ht="18" hidden="1" customHeight="1" thickTop="1">
      <c r="A103" s="1824">
        <v>41306</v>
      </c>
      <c r="B103" s="1828">
        <v>34.963000000000001</v>
      </c>
      <c r="C103" s="1812" t="s">
        <v>3298</v>
      </c>
      <c r="D103" s="1820">
        <v>45.725000000000001</v>
      </c>
      <c r="E103" s="1812" t="s">
        <v>3299</v>
      </c>
      <c r="F103" s="1829">
        <v>23.02</v>
      </c>
      <c r="G103" s="1816" t="s">
        <v>3300</v>
      </c>
      <c r="H103" s="1816"/>
      <c r="I103" s="1816"/>
      <c r="J103" s="1816">
        <v>0</v>
      </c>
      <c r="K103" s="1818" t="s">
        <v>60</v>
      </c>
      <c r="L103" s="1816">
        <v>0</v>
      </c>
    </row>
    <row r="104" spans="1:12" ht="18" hidden="1" customHeight="1" thickTop="1">
      <c r="A104" s="1824">
        <v>41334</v>
      </c>
      <c r="B104" s="1828">
        <v>35.805</v>
      </c>
      <c r="C104" s="1812" t="s">
        <v>3301</v>
      </c>
      <c r="D104" s="1820">
        <v>15.3</v>
      </c>
      <c r="E104" s="1812" t="s">
        <v>3302</v>
      </c>
      <c r="F104" s="1829">
        <v>44.795000000000002</v>
      </c>
      <c r="G104" s="1816" t="s">
        <v>3303</v>
      </c>
      <c r="H104" s="1816"/>
      <c r="I104" s="1816"/>
      <c r="J104" s="1816">
        <v>0</v>
      </c>
      <c r="K104" s="1818" t="s">
        <v>60</v>
      </c>
      <c r="L104" s="1816">
        <v>0</v>
      </c>
    </row>
    <row r="105" spans="1:12" ht="18.95" hidden="1" customHeight="1" thickTop="1">
      <c r="A105" s="1830">
        <v>41365</v>
      </c>
      <c r="B105" s="1831">
        <v>50.453000000000003</v>
      </c>
      <c r="C105" s="1832" t="s">
        <v>3304</v>
      </c>
      <c r="D105" s="1833">
        <v>7.85</v>
      </c>
      <c r="E105" s="1832" t="s">
        <v>3305</v>
      </c>
      <c r="F105" s="1834">
        <v>39.6</v>
      </c>
      <c r="G105" s="1835" t="s">
        <v>3306</v>
      </c>
      <c r="H105" s="1835"/>
      <c r="I105" s="1835"/>
      <c r="J105" s="1835">
        <v>0</v>
      </c>
      <c r="K105" s="1836" t="s">
        <v>60</v>
      </c>
      <c r="L105" s="1835">
        <v>0</v>
      </c>
    </row>
    <row r="106" spans="1:12" ht="18.95" hidden="1" customHeight="1" thickTop="1">
      <c r="A106" s="1830">
        <v>41395</v>
      </c>
      <c r="B106" s="1831">
        <v>37.545000000000002</v>
      </c>
      <c r="C106" s="1832" t="s">
        <v>3307</v>
      </c>
      <c r="D106" s="1833">
        <v>14.95</v>
      </c>
      <c r="E106" s="1832" t="s">
        <v>3308</v>
      </c>
      <c r="F106" s="1834">
        <v>106.4</v>
      </c>
      <c r="G106" s="1835" t="s">
        <v>3309</v>
      </c>
      <c r="H106" s="1835"/>
      <c r="I106" s="1835"/>
      <c r="J106" s="1835">
        <v>0</v>
      </c>
      <c r="K106" s="1836" t="s">
        <v>60</v>
      </c>
      <c r="L106" s="1835">
        <v>0</v>
      </c>
    </row>
    <row r="107" spans="1:12" ht="18.95" hidden="1" customHeight="1" thickTop="1">
      <c r="A107" s="1830">
        <v>41426</v>
      </c>
      <c r="B107" s="1831">
        <v>29.905000000000001</v>
      </c>
      <c r="C107" s="1832" t="s">
        <v>3310</v>
      </c>
      <c r="D107" s="1833">
        <v>3.05</v>
      </c>
      <c r="E107" s="1832" t="s">
        <v>3311</v>
      </c>
      <c r="F107" s="1834">
        <v>31.715</v>
      </c>
      <c r="G107" s="1835" t="s">
        <v>3312</v>
      </c>
      <c r="H107" s="1835"/>
      <c r="I107" s="1835"/>
      <c r="J107" s="1835">
        <v>0</v>
      </c>
      <c r="K107" s="1836" t="s">
        <v>60</v>
      </c>
      <c r="L107" s="1835">
        <v>0</v>
      </c>
    </row>
    <row r="108" spans="1:12" ht="23.25" hidden="1" customHeight="1" thickTop="1">
      <c r="A108" s="1837">
        <v>41456</v>
      </c>
      <c r="B108" s="1838">
        <v>47.457000000000001</v>
      </c>
      <c r="C108" s="1839" t="s">
        <v>3313</v>
      </c>
      <c r="D108" s="1840">
        <v>26</v>
      </c>
      <c r="E108" s="1839" t="s">
        <v>3314</v>
      </c>
      <c r="F108" s="1841">
        <v>49.75</v>
      </c>
      <c r="G108" s="1278" t="s">
        <v>3315</v>
      </c>
      <c r="H108" s="1278"/>
      <c r="I108" s="1278"/>
      <c r="J108" s="1278">
        <v>0</v>
      </c>
      <c r="K108" s="1842" t="s">
        <v>60</v>
      </c>
      <c r="L108" s="1278">
        <v>0</v>
      </c>
    </row>
    <row r="109" spans="1:12" ht="18.95" hidden="1" customHeight="1" thickTop="1">
      <c r="A109" s="1837">
        <v>41518</v>
      </c>
      <c r="B109" s="1838">
        <v>37.621000000000002</v>
      </c>
      <c r="C109" s="1839" t="s">
        <v>3316</v>
      </c>
      <c r="D109" s="1842">
        <v>0.7</v>
      </c>
      <c r="E109" s="1839" t="s">
        <v>3317</v>
      </c>
      <c r="F109" s="1841">
        <v>3.2</v>
      </c>
      <c r="G109" s="1278" t="s">
        <v>3318</v>
      </c>
      <c r="H109" s="1278" t="s">
        <v>60</v>
      </c>
      <c r="I109" s="1278"/>
      <c r="J109" s="1278">
        <v>0</v>
      </c>
      <c r="K109" s="1842" t="s">
        <v>60</v>
      </c>
      <c r="L109" s="1278">
        <v>0</v>
      </c>
    </row>
    <row r="110" spans="1:12" ht="18.95" hidden="1" customHeight="1" thickTop="1">
      <c r="A110" s="1837">
        <v>41548</v>
      </c>
      <c r="B110" s="1838">
        <v>54.445</v>
      </c>
      <c r="C110" s="1839" t="s">
        <v>3319</v>
      </c>
      <c r="D110" s="1842">
        <v>52.9</v>
      </c>
      <c r="E110" s="1839" t="s">
        <v>3320</v>
      </c>
      <c r="F110" s="1841">
        <v>19.649999999999999</v>
      </c>
      <c r="G110" s="1278" t="s">
        <v>3321</v>
      </c>
      <c r="H110" s="1278" t="s">
        <v>60</v>
      </c>
      <c r="I110" s="1278"/>
      <c r="J110" s="1278">
        <v>0</v>
      </c>
      <c r="K110" s="1842" t="s">
        <v>60</v>
      </c>
      <c r="L110" s="1278">
        <v>0</v>
      </c>
    </row>
    <row r="111" spans="1:12" ht="18.95" hidden="1" customHeight="1" thickTop="1">
      <c r="A111" s="1837">
        <v>41579</v>
      </c>
      <c r="B111" s="1838">
        <v>36.277000000000001</v>
      </c>
      <c r="C111" s="1839" t="s">
        <v>3322</v>
      </c>
      <c r="D111" s="1842">
        <v>70</v>
      </c>
      <c r="E111" s="1839">
        <v>30.32</v>
      </c>
      <c r="F111" s="1841">
        <v>65.814999999999998</v>
      </c>
      <c r="G111" s="1278" t="s">
        <v>3323</v>
      </c>
      <c r="H111" s="1278" t="s">
        <v>60</v>
      </c>
      <c r="I111" s="1278"/>
      <c r="J111" s="1278">
        <v>0</v>
      </c>
      <c r="K111" s="1842" t="s">
        <v>60</v>
      </c>
      <c r="L111" s="1278">
        <v>0</v>
      </c>
    </row>
    <row r="112" spans="1:12" ht="18.95" hidden="1" customHeight="1" thickTop="1">
      <c r="A112" s="1837">
        <v>41609</v>
      </c>
      <c r="B112" s="1838">
        <v>34.878</v>
      </c>
      <c r="C112" s="1839" t="s">
        <v>3324</v>
      </c>
      <c r="D112" s="1842">
        <v>101.8</v>
      </c>
      <c r="E112" s="1839" t="s">
        <v>3325</v>
      </c>
      <c r="F112" s="1841">
        <v>70.150000000000006</v>
      </c>
      <c r="G112" s="1278" t="s">
        <v>3326</v>
      </c>
      <c r="H112" s="1278" t="s">
        <v>60</v>
      </c>
      <c r="I112" s="1278"/>
      <c r="J112" s="1278">
        <v>0</v>
      </c>
      <c r="K112" s="1842" t="s">
        <v>60</v>
      </c>
      <c r="L112" s="1278">
        <v>0</v>
      </c>
    </row>
    <row r="113" spans="1:16" ht="18.95" hidden="1" customHeight="1" thickTop="1">
      <c r="A113" s="1837">
        <v>41640</v>
      </c>
      <c r="B113" s="1838">
        <v>54.433999999999997</v>
      </c>
      <c r="C113" s="1839" t="s">
        <v>3327</v>
      </c>
      <c r="D113" s="1842">
        <v>31.75</v>
      </c>
      <c r="E113" s="1839" t="s">
        <v>3328</v>
      </c>
      <c r="F113" s="1841">
        <v>42.2</v>
      </c>
      <c r="G113" s="1278" t="s">
        <v>3329</v>
      </c>
      <c r="H113" s="1278" t="s">
        <v>60</v>
      </c>
      <c r="I113" s="1278"/>
      <c r="J113" s="1278">
        <v>0</v>
      </c>
      <c r="K113" s="1842" t="s">
        <v>60</v>
      </c>
      <c r="L113" s="1278">
        <v>0</v>
      </c>
    </row>
    <row r="114" spans="1:16" ht="18.95" hidden="1" customHeight="1" thickTop="1">
      <c r="A114" s="1837">
        <v>41671</v>
      </c>
      <c r="B114" s="1838">
        <v>32.033000000000001</v>
      </c>
      <c r="C114" s="1839" t="s">
        <v>3330</v>
      </c>
      <c r="D114" s="1842">
        <v>28.5</v>
      </c>
      <c r="E114" s="1839" t="s">
        <v>3331</v>
      </c>
      <c r="F114" s="1841">
        <v>61.56</v>
      </c>
      <c r="G114" s="1278" t="s">
        <v>3332</v>
      </c>
      <c r="H114" s="1278" t="s">
        <v>60</v>
      </c>
      <c r="I114" s="1278"/>
      <c r="J114" s="1278">
        <v>0</v>
      </c>
      <c r="K114" s="1842" t="s">
        <v>60</v>
      </c>
      <c r="L114" s="1278">
        <v>0</v>
      </c>
    </row>
    <row r="115" spans="1:16" ht="18.95" hidden="1" customHeight="1" thickTop="1">
      <c r="A115" s="1837">
        <v>41699</v>
      </c>
      <c r="B115" s="1838">
        <v>30.710999999999999</v>
      </c>
      <c r="C115" s="1839" t="s">
        <v>3333</v>
      </c>
      <c r="D115" s="1842">
        <v>38.1</v>
      </c>
      <c r="E115" s="1839" t="s">
        <v>3334</v>
      </c>
      <c r="F115" s="1841">
        <v>34.590000000000003</v>
      </c>
      <c r="G115" s="1278" t="s">
        <v>3335</v>
      </c>
      <c r="H115" s="1278" t="s">
        <v>60</v>
      </c>
      <c r="I115" s="1278"/>
      <c r="J115" s="1278">
        <v>0</v>
      </c>
      <c r="K115" s="1842" t="s">
        <v>60</v>
      </c>
      <c r="L115" s="1278">
        <v>0</v>
      </c>
    </row>
    <row r="116" spans="1:16" ht="18.95" hidden="1" customHeight="1" thickTop="1">
      <c r="A116" s="1837">
        <v>41730</v>
      </c>
      <c r="B116" s="1838">
        <v>47.854999999999997</v>
      </c>
      <c r="C116" s="1839" t="s">
        <v>3336</v>
      </c>
      <c r="D116" s="1842">
        <v>58.634999999999998</v>
      </c>
      <c r="E116" s="1839" t="s">
        <v>3337</v>
      </c>
      <c r="F116" s="1841">
        <v>50.81</v>
      </c>
      <c r="G116" s="1278" t="s">
        <v>3338</v>
      </c>
      <c r="H116" s="1278" t="s">
        <v>60</v>
      </c>
      <c r="I116" s="1278"/>
      <c r="J116" s="1278">
        <v>0</v>
      </c>
      <c r="K116" s="1842" t="s">
        <v>60</v>
      </c>
      <c r="L116" s="1278">
        <v>0</v>
      </c>
    </row>
    <row r="117" spans="1:16" ht="18.95" hidden="1" customHeight="1" thickTop="1">
      <c r="A117" s="1837">
        <v>41760</v>
      </c>
      <c r="B117" s="1838">
        <v>27.722999999999999</v>
      </c>
      <c r="C117" s="1839" t="s">
        <v>3339</v>
      </c>
      <c r="D117" s="1840">
        <f>36.925+0.799514</f>
        <v>37.724513999999999</v>
      </c>
      <c r="E117" s="1839" t="s">
        <v>3340</v>
      </c>
      <c r="F117" s="1841">
        <v>42.18</v>
      </c>
      <c r="G117" s="1278" t="s">
        <v>3341</v>
      </c>
      <c r="H117" s="1278" t="s">
        <v>60</v>
      </c>
      <c r="I117" s="1278"/>
      <c r="J117" s="1278">
        <v>0</v>
      </c>
      <c r="K117" s="1842" t="s">
        <v>60</v>
      </c>
      <c r="L117" s="1278">
        <v>0</v>
      </c>
    </row>
    <row r="118" spans="1:16" ht="18.95" hidden="1" customHeight="1" thickTop="1">
      <c r="A118" s="1837">
        <v>41791</v>
      </c>
      <c r="B118" s="1838">
        <v>49.457999999999998</v>
      </c>
      <c r="C118" s="1839" t="s">
        <v>3342</v>
      </c>
      <c r="D118" s="1840">
        <f>1.5+0.287308</f>
        <v>1.7873079999999999</v>
      </c>
      <c r="E118" s="1839" t="s">
        <v>3343</v>
      </c>
      <c r="F118" s="1841">
        <v>50.564999999999998</v>
      </c>
      <c r="G118" s="1278" t="s">
        <v>3344</v>
      </c>
      <c r="H118" s="1278" t="s">
        <v>60</v>
      </c>
      <c r="I118" s="1278"/>
      <c r="J118" s="1278">
        <v>0</v>
      </c>
      <c r="K118" s="1842" t="s">
        <v>60</v>
      </c>
      <c r="L118" s="1278">
        <v>0</v>
      </c>
    </row>
    <row r="119" spans="1:16" ht="18.95" customHeight="1" thickTop="1">
      <c r="A119" s="1837">
        <v>41821</v>
      </c>
      <c r="B119" s="1838">
        <v>30.538460000000001</v>
      </c>
      <c r="C119" s="1839" t="s">
        <v>3345</v>
      </c>
      <c r="D119" s="1840">
        <v>3.2986200000000001</v>
      </c>
      <c r="E119" s="1839" t="s">
        <v>3346</v>
      </c>
      <c r="F119" s="1841">
        <v>32.65</v>
      </c>
      <c r="G119" s="1278" t="s">
        <v>3347</v>
      </c>
      <c r="H119" s="1278" t="s">
        <v>60</v>
      </c>
      <c r="I119" s="1278"/>
      <c r="J119" s="1278">
        <v>0</v>
      </c>
      <c r="K119" s="1842" t="s">
        <v>60</v>
      </c>
      <c r="L119" s="1278">
        <v>0</v>
      </c>
    </row>
    <row r="120" spans="1:16" ht="18.95" customHeight="1">
      <c r="A120" s="1837">
        <v>41852</v>
      </c>
      <c r="B120" s="1838">
        <v>32.872</v>
      </c>
      <c r="C120" s="1839" t="s">
        <v>3348</v>
      </c>
      <c r="D120" s="1840">
        <v>3.1890000000000001</v>
      </c>
      <c r="E120" s="1839" t="s">
        <v>3349</v>
      </c>
      <c r="F120" s="1841">
        <v>28.885999999999999</v>
      </c>
      <c r="G120" s="1278">
        <v>40.5</v>
      </c>
      <c r="H120" s="1278" t="s">
        <v>60</v>
      </c>
      <c r="I120" s="1278"/>
      <c r="J120" s="1278">
        <v>0</v>
      </c>
      <c r="K120" s="1842" t="s">
        <v>60</v>
      </c>
      <c r="L120" s="1278">
        <v>0</v>
      </c>
    </row>
    <row r="121" spans="1:16" ht="18.95" customHeight="1">
      <c r="A121" s="1837">
        <v>41883</v>
      </c>
      <c r="B121" s="1838">
        <v>58.704000000000001</v>
      </c>
      <c r="C121" s="1839" t="s">
        <v>3350</v>
      </c>
      <c r="D121" s="1840">
        <v>90.1</v>
      </c>
      <c r="E121" s="1839" t="s">
        <v>3351</v>
      </c>
      <c r="F121" s="1841">
        <v>36.659999999999997</v>
      </c>
      <c r="G121" s="1278" t="s">
        <v>3352</v>
      </c>
      <c r="H121" s="1278">
        <v>6.6529999999999996</v>
      </c>
      <c r="I121" s="1278" t="s">
        <v>3353</v>
      </c>
      <c r="J121" s="1278">
        <v>0</v>
      </c>
      <c r="K121" s="1842" t="s">
        <v>60</v>
      </c>
      <c r="L121" s="1278">
        <v>0</v>
      </c>
    </row>
    <row r="122" spans="1:16" ht="18.95" customHeight="1">
      <c r="A122" s="1837">
        <v>41913</v>
      </c>
      <c r="B122" s="1838">
        <v>22.190999999999999</v>
      </c>
      <c r="C122" s="1839" t="s">
        <v>3354</v>
      </c>
      <c r="D122" s="1840">
        <f>21.4+0.096+16.652</f>
        <v>38.147999999999996</v>
      </c>
      <c r="E122" s="1839" t="s">
        <v>3355</v>
      </c>
      <c r="F122" s="1841">
        <v>19.384</v>
      </c>
      <c r="G122" s="1278" t="s">
        <v>3356</v>
      </c>
      <c r="H122" s="1278">
        <v>5.0060000000000002</v>
      </c>
      <c r="I122" s="1278" t="s">
        <v>3357</v>
      </c>
      <c r="J122" s="1278">
        <v>0</v>
      </c>
      <c r="K122" s="1842" t="s">
        <v>60</v>
      </c>
      <c r="L122" s="1278">
        <v>0</v>
      </c>
    </row>
    <row r="123" spans="1:16" ht="18.95" customHeight="1">
      <c r="A123" s="1837">
        <v>41944</v>
      </c>
      <c r="B123" s="1838">
        <v>39.206000000000003</v>
      </c>
      <c r="C123" s="1839" t="s">
        <v>3358</v>
      </c>
      <c r="D123" s="1840">
        <v>56.61</v>
      </c>
      <c r="E123" s="1839" t="s">
        <v>3359</v>
      </c>
      <c r="F123" s="1841">
        <v>0.90200000000000002</v>
      </c>
      <c r="G123" s="1278" t="s">
        <v>3360</v>
      </c>
      <c r="H123" s="1278">
        <v>2.41</v>
      </c>
      <c r="I123" s="1278" t="s">
        <v>3361</v>
      </c>
      <c r="J123" s="1278">
        <v>0</v>
      </c>
      <c r="K123" s="1842" t="s">
        <v>60</v>
      </c>
      <c r="L123" s="1278">
        <v>0</v>
      </c>
    </row>
    <row r="124" spans="1:16" ht="18.95" customHeight="1">
      <c r="A124" s="1837">
        <v>41974</v>
      </c>
      <c r="B124" s="1838">
        <v>40.155000000000001</v>
      </c>
      <c r="C124" s="1839" t="s">
        <v>3362</v>
      </c>
      <c r="D124" s="1840">
        <v>98.843000000000004</v>
      </c>
      <c r="E124" s="1839" t="s">
        <v>3363</v>
      </c>
      <c r="F124" s="1841">
        <v>48.652999999999999</v>
      </c>
      <c r="G124" s="1278" t="s">
        <v>3364</v>
      </c>
      <c r="H124" s="1278">
        <v>2.69</v>
      </c>
      <c r="I124" s="1278" t="s">
        <v>3365</v>
      </c>
      <c r="J124" s="1278">
        <v>0</v>
      </c>
      <c r="K124" s="1842" t="s">
        <v>60</v>
      </c>
      <c r="L124" s="1278">
        <v>0</v>
      </c>
      <c r="P124" s="1843"/>
    </row>
    <row r="125" spans="1:16" ht="18.95" customHeight="1">
      <c r="A125" s="1837">
        <v>42005</v>
      </c>
      <c r="B125" s="1838">
        <v>24.911999999999999</v>
      </c>
      <c r="C125" s="1839" t="s">
        <v>3366</v>
      </c>
      <c r="D125" s="1840">
        <v>17.61</v>
      </c>
      <c r="E125" s="1839" t="s">
        <v>3367</v>
      </c>
      <c r="F125" s="1841">
        <v>0.66400000000000003</v>
      </c>
      <c r="G125" s="1278" t="s">
        <v>3368</v>
      </c>
      <c r="H125" s="1278">
        <v>1.641</v>
      </c>
      <c r="I125" s="1278" t="s">
        <v>3369</v>
      </c>
      <c r="J125" s="1278">
        <v>0</v>
      </c>
      <c r="K125" s="1842" t="s">
        <v>60</v>
      </c>
      <c r="L125" s="1278">
        <v>0</v>
      </c>
    </row>
    <row r="126" spans="1:16" ht="18.95" customHeight="1">
      <c r="A126" s="1837">
        <v>42036</v>
      </c>
      <c r="B126" s="1838">
        <v>17.654</v>
      </c>
      <c r="C126" s="1839" t="s">
        <v>3370</v>
      </c>
      <c r="D126" s="1840">
        <f>77.35+0.182</f>
        <v>77.531999999999996</v>
      </c>
      <c r="E126" s="1839" t="s">
        <v>3371</v>
      </c>
      <c r="F126" s="1841">
        <v>24.553000000000001</v>
      </c>
      <c r="G126" s="1278" t="s">
        <v>3372</v>
      </c>
      <c r="H126" s="1844">
        <v>0.27500000000000002</v>
      </c>
      <c r="I126" s="1278" t="s">
        <v>3373</v>
      </c>
      <c r="J126" s="1278">
        <v>0</v>
      </c>
      <c r="K126" s="1842" t="s">
        <v>60</v>
      </c>
      <c r="L126" s="1278">
        <v>0</v>
      </c>
    </row>
    <row r="127" spans="1:16" ht="18.95" customHeight="1">
      <c r="A127" s="1837">
        <v>42064</v>
      </c>
      <c r="B127" s="1838">
        <v>7.85</v>
      </c>
      <c r="C127" s="1839" t="s">
        <v>3374</v>
      </c>
      <c r="D127" s="1840">
        <v>38.914999999999999</v>
      </c>
      <c r="E127" s="1839" t="s">
        <v>3375</v>
      </c>
      <c r="F127" s="1841">
        <v>1.74</v>
      </c>
      <c r="G127" s="1278" t="s">
        <v>3376</v>
      </c>
      <c r="H127" s="1844">
        <v>8.1189999999999998</v>
      </c>
      <c r="I127" s="1278" t="s">
        <v>3377</v>
      </c>
      <c r="J127" s="1278">
        <v>0</v>
      </c>
      <c r="K127" s="1842" t="s">
        <v>60</v>
      </c>
      <c r="L127" s="1278">
        <v>0</v>
      </c>
    </row>
    <row r="128" spans="1:16" ht="18.95" customHeight="1">
      <c r="A128" s="1837">
        <v>42095</v>
      </c>
      <c r="B128" s="1838">
        <v>8.9269999999999996</v>
      </c>
      <c r="C128" s="1839" t="s">
        <v>3378</v>
      </c>
      <c r="D128" s="1840">
        <v>0.36499999999999999</v>
      </c>
      <c r="E128" s="1839" t="s">
        <v>3379</v>
      </c>
      <c r="F128" s="1841">
        <v>0.60299999999999998</v>
      </c>
      <c r="G128" s="1278" t="s">
        <v>3380</v>
      </c>
      <c r="H128" s="1844">
        <v>0.19700000000000001</v>
      </c>
      <c r="I128" s="1278" t="s">
        <v>3381</v>
      </c>
      <c r="J128" s="1278">
        <v>0</v>
      </c>
      <c r="K128" s="1842" t="s">
        <v>60</v>
      </c>
      <c r="L128" s="1278">
        <v>0</v>
      </c>
    </row>
    <row r="129" spans="1:16" ht="18.95" customHeight="1">
      <c r="A129" s="1837">
        <v>42125</v>
      </c>
      <c r="B129" s="1838">
        <v>14.673</v>
      </c>
      <c r="C129" s="1839" t="s">
        <v>3382</v>
      </c>
      <c r="D129" s="1840">
        <v>76.95</v>
      </c>
      <c r="E129" s="1839" t="s">
        <v>3383</v>
      </c>
      <c r="F129" s="1841">
        <v>0.45500000000000002</v>
      </c>
      <c r="G129" s="1278" t="s">
        <v>3384</v>
      </c>
      <c r="H129" s="1844">
        <v>3.742</v>
      </c>
      <c r="I129" s="1278" t="s">
        <v>3385</v>
      </c>
      <c r="J129" s="1278">
        <v>0</v>
      </c>
      <c r="K129" s="1842" t="s">
        <v>60</v>
      </c>
      <c r="L129" s="1278">
        <v>0</v>
      </c>
    </row>
    <row r="130" spans="1:16" ht="18.95" customHeight="1">
      <c r="A130" s="1837">
        <v>42156</v>
      </c>
      <c r="B130" s="1838">
        <v>9.8000000000000007</v>
      </c>
      <c r="C130" s="1839">
        <v>35.25</v>
      </c>
      <c r="D130" s="1840">
        <v>52.927999999999997</v>
      </c>
      <c r="E130" s="1839" t="s">
        <v>3386</v>
      </c>
      <c r="F130" s="1841">
        <v>7.57</v>
      </c>
      <c r="G130" s="1278" t="s">
        <v>3387</v>
      </c>
      <c r="H130" s="1844">
        <v>2.9420000000000002</v>
      </c>
      <c r="I130" s="1278" t="s">
        <v>3388</v>
      </c>
      <c r="J130" s="1278">
        <v>0</v>
      </c>
      <c r="K130" s="1842" t="s">
        <v>60</v>
      </c>
      <c r="L130" s="1278">
        <v>0</v>
      </c>
    </row>
    <row r="131" spans="1:16" ht="18.95" customHeight="1">
      <c r="A131" s="1837">
        <v>42186</v>
      </c>
      <c r="B131" s="1838">
        <v>11.465999999999999</v>
      </c>
      <c r="C131" s="1839">
        <v>35.6</v>
      </c>
      <c r="D131" s="1840">
        <v>14.840999999999999</v>
      </c>
      <c r="E131" s="1839" t="s">
        <v>3389</v>
      </c>
      <c r="F131" s="1841">
        <v>35.325000000000003</v>
      </c>
      <c r="G131" s="1278" t="s">
        <v>3390</v>
      </c>
      <c r="H131" s="1844">
        <v>1.448</v>
      </c>
      <c r="I131" s="1278" t="s">
        <v>3391</v>
      </c>
      <c r="J131" s="1278">
        <v>0</v>
      </c>
      <c r="K131" s="1842" t="s">
        <v>60</v>
      </c>
      <c r="L131" s="1278">
        <v>0</v>
      </c>
    </row>
    <row r="132" spans="1:16" ht="11.25" customHeight="1" thickBot="1">
      <c r="A132" s="1845"/>
      <c r="B132" s="1846"/>
      <c r="C132" s="1847"/>
      <c r="D132" s="1848"/>
      <c r="E132" s="1847"/>
      <c r="F132" s="1849"/>
      <c r="G132" s="1850"/>
      <c r="H132" s="1850"/>
      <c r="I132" s="1850"/>
      <c r="J132" s="1851"/>
      <c r="K132" s="1848"/>
      <c r="L132" s="1852"/>
    </row>
    <row r="133" spans="1:16" s="1783" customFormat="1" ht="17.25" customHeight="1">
      <c r="A133" s="1853" t="s">
        <v>3392</v>
      </c>
      <c r="B133" s="1854"/>
      <c r="C133" s="1855"/>
      <c r="D133" s="1856"/>
    </row>
    <row r="134" spans="1:16" s="1783" customFormat="1" ht="17.25" customHeight="1">
      <c r="A134" s="1853" t="s">
        <v>2704</v>
      </c>
      <c r="B134" s="1854"/>
      <c r="C134" s="1855"/>
      <c r="D134" s="1856"/>
      <c r="P134" s="1857"/>
    </row>
    <row r="135" spans="1:16" s="1783" customFormat="1">
      <c r="A135" s="1853"/>
      <c r="B135" s="1854"/>
      <c r="C135" s="1855"/>
      <c r="D135" s="1856"/>
    </row>
    <row r="136" spans="1:16" ht="21.75">
      <c r="A136" s="1858" t="s">
        <v>3393</v>
      </c>
      <c r="B136" s="1859"/>
      <c r="C136" s="1859"/>
      <c r="D136" s="1859"/>
      <c r="E136" s="1859"/>
      <c r="F136" s="1860"/>
      <c r="G136" s="1861"/>
      <c r="H136" s="1861"/>
      <c r="I136" s="1861"/>
      <c r="J136" s="1861"/>
    </row>
    <row r="137" spans="1:16" ht="18.75">
      <c r="A137" s="1858" t="s">
        <v>3394</v>
      </c>
      <c r="B137" s="1859"/>
      <c r="C137" s="1859"/>
      <c r="D137" s="1859"/>
      <c r="E137" s="1859"/>
      <c r="F137" s="1860"/>
      <c r="G137" s="1861"/>
      <c r="H137" s="1861"/>
      <c r="I137" s="1861"/>
      <c r="J137" s="1861"/>
    </row>
    <row r="138" spans="1:16" ht="15.75" thickBot="1">
      <c r="A138" s="1862"/>
      <c r="B138" s="1862"/>
      <c r="C138" s="1862"/>
      <c r="D138" s="1862"/>
      <c r="E138" s="1862"/>
      <c r="F138" s="1862"/>
      <c r="G138" s="1861"/>
      <c r="H138" s="1861"/>
      <c r="I138" s="1861"/>
      <c r="J138" s="1861"/>
    </row>
    <row r="139" spans="1:16" ht="15.75" thickTop="1">
      <c r="A139" s="1863"/>
      <c r="B139" s="1864"/>
      <c r="C139" s="1865"/>
      <c r="D139" s="1865"/>
      <c r="E139" s="1866"/>
      <c r="F139" s="1867"/>
      <c r="G139" s="1868"/>
      <c r="H139" s="1869"/>
      <c r="I139" s="1869"/>
      <c r="J139" s="1861"/>
    </row>
    <row r="140" spans="1:16">
      <c r="A140" s="1870" t="s">
        <v>78</v>
      </c>
      <c r="B140" s="1871" t="s">
        <v>3395</v>
      </c>
      <c r="C140" s="1872" t="s">
        <v>3396</v>
      </c>
      <c r="D140" s="1873" t="s">
        <v>3397</v>
      </c>
      <c r="E140" s="1874" t="s">
        <v>3395</v>
      </c>
      <c r="F140" s="1872" t="s">
        <v>3396</v>
      </c>
      <c r="G140" s="1875" t="s">
        <v>3397</v>
      </c>
      <c r="H140" s="1869"/>
      <c r="I140" s="1869"/>
      <c r="J140" s="1876"/>
    </row>
    <row r="141" spans="1:16">
      <c r="A141" s="1877"/>
      <c r="B141" s="3400" t="s">
        <v>3398</v>
      </c>
      <c r="C141" s="3400"/>
      <c r="D141" s="3400"/>
      <c r="E141" s="3401" t="s">
        <v>3399</v>
      </c>
      <c r="F141" s="3400"/>
      <c r="G141" s="3402"/>
      <c r="H141" s="1869"/>
      <c r="I141" s="1869"/>
      <c r="J141" s="1876"/>
    </row>
    <row r="142" spans="1:16" hidden="1">
      <c r="A142" s="1878">
        <v>41275</v>
      </c>
      <c r="B142" s="1879">
        <v>30.430700000000002</v>
      </c>
      <c r="C142" s="1880">
        <v>41.271900000000002</v>
      </c>
      <c r="D142" s="1881">
        <v>48.303600000000003</v>
      </c>
      <c r="E142" s="1882">
        <v>30.603123809523812</v>
      </c>
      <c r="F142" s="1880">
        <v>40.656466666666653</v>
      </c>
      <c r="G142" s="1883">
        <v>48.939066666666662</v>
      </c>
      <c r="H142" s="1869"/>
      <c r="I142" s="1869"/>
      <c r="J142" s="1876"/>
    </row>
    <row r="143" spans="1:16" hidden="1">
      <c r="A143" s="1878">
        <v>41306</v>
      </c>
      <c r="B143" s="1879">
        <v>30.850300000000001</v>
      </c>
      <c r="C143" s="1880">
        <v>40.475099999999998</v>
      </c>
      <c r="D143" s="1881">
        <v>46.942799999999998</v>
      </c>
      <c r="E143" s="1882">
        <v>30.654636842105255</v>
      </c>
      <c r="F143" s="1880">
        <v>40.882905263157895</v>
      </c>
      <c r="G143" s="1883">
        <v>47.462326315789475</v>
      </c>
      <c r="H143" s="1869"/>
      <c r="I143" s="1869"/>
      <c r="J143" s="1876"/>
    </row>
    <row r="144" spans="1:16" hidden="1">
      <c r="A144" s="1878">
        <v>41334</v>
      </c>
      <c r="B144" s="1879">
        <v>31.3004</v>
      </c>
      <c r="C144" s="1880">
        <v>40.124299999999998</v>
      </c>
      <c r="D144" s="1881">
        <v>47.625500000000002</v>
      </c>
      <c r="E144" s="1882">
        <v>31.066909999999996</v>
      </c>
      <c r="F144" s="1880">
        <v>40.289155000000001</v>
      </c>
      <c r="G144" s="1883">
        <v>46.976050000000001</v>
      </c>
      <c r="H144" s="1869"/>
      <c r="I144" s="1869"/>
      <c r="J144" s="1876"/>
    </row>
    <row r="145" spans="1:10" hidden="1">
      <c r="A145" s="1878">
        <v>41365</v>
      </c>
      <c r="B145" s="1879">
        <v>31.0306</v>
      </c>
      <c r="C145" s="1880">
        <v>40.616300000000003</v>
      </c>
      <c r="D145" s="1881">
        <v>48.115400000000001</v>
      </c>
      <c r="E145" s="1882">
        <v>31.116445000000006</v>
      </c>
      <c r="F145" s="1880">
        <v>40.532910000000001</v>
      </c>
      <c r="G145" s="1883">
        <v>47.664449999999995</v>
      </c>
      <c r="H145" s="1869"/>
      <c r="I145" s="1869"/>
      <c r="J145" s="1876"/>
    </row>
    <row r="146" spans="1:10" hidden="1">
      <c r="A146" s="1878">
        <v>41395</v>
      </c>
      <c r="B146" s="1879">
        <v>31.124199999999998</v>
      </c>
      <c r="C146" s="1880">
        <v>40.674700000000001</v>
      </c>
      <c r="D146" s="1881">
        <v>47.593200000000003</v>
      </c>
      <c r="E146" s="1882">
        <v>31.167886363636363</v>
      </c>
      <c r="F146" s="1880">
        <v>40.473986363636371</v>
      </c>
      <c r="G146" s="1883">
        <v>47.741309090909091</v>
      </c>
      <c r="H146" s="1869"/>
      <c r="I146" s="1869"/>
      <c r="J146" s="1876"/>
    </row>
    <row r="147" spans="1:10" hidden="1">
      <c r="A147" s="1878">
        <v>41426</v>
      </c>
      <c r="B147" s="1879">
        <v>31.184000000000001</v>
      </c>
      <c r="C147" s="1880">
        <v>40.688499999999998</v>
      </c>
      <c r="D147" s="1881">
        <v>47.794499999999999</v>
      </c>
      <c r="E147" s="1882">
        <v>30.964214999999996</v>
      </c>
      <c r="F147" s="1880">
        <v>40.875264999999999</v>
      </c>
      <c r="G147" s="1883">
        <v>48.045384999999996</v>
      </c>
      <c r="H147" s="1869"/>
      <c r="I147" s="1869"/>
      <c r="J147" s="1876"/>
    </row>
    <row r="148" spans="1:10" hidden="1">
      <c r="A148" s="1878">
        <v>41456</v>
      </c>
      <c r="B148" s="1879">
        <v>30.9513</v>
      </c>
      <c r="C148" s="1880">
        <v>40.958199999999998</v>
      </c>
      <c r="D148" s="1881">
        <v>47.088099999999997</v>
      </c>
      <c r="E148" s="1882">
        <v>31.088491304347823</v>
      </c>
      <c r="F148" s="1880">
        <v>40.690691304347823</v>
      </c>
      <c r="G148" s="1883">
        <v>47.32544782608695</v>
      </c>
      <c r="H148" s="1869"/>
      <c r="I148" s="1869"/>
      <c r="J148" s="1876"/>
    </row>
    <row r="149" spans="1:10" hidden="1">
      <c r="A149" s="1878">
        <v>41487</v>
      </c>
      <c r="B149" s="1879">
        <v>30.9194</v>
      </c>
      <c r="C149" s="1880">
        <v>40.973500000000001</v>
      </c>
      <c r="D149" s="1881">
        <v>48.167000000000002</v>
      </c>
      <c r="E149" s="1882">
        <v>30.870180952380956</v>
      </c>
      <c r="F149" s="1880">
        <v>41.119528571428582</v>
      </c>
      <c r="G149" s="1883">
        <v>47.858095238095245</v>
      </c>
      <c r="H149" s="1869"/>
      <c r="I149" s="1869"/>
      <c r="J149" s="1876"/>
    </row>
    <row r="150" spans="1:10" hidden="1">
      <c r="A150" s="1878">
        <v>41518</v>
      </c>
      <c r="B150" s="1879">
        <v>30.5107</v>
      </c>
      <c r="C150" s="1880">
        <v>41.2699</v>
      </c>
      <c r="D150" s="1881">
        <v>49.3065</v>
      </c>
      <c r="E150" s="1882">
        <v>30.840750000000003</v>
      </c>
      <c r="F150" s="1880">
        <v>41.215094999999998</v>
      </c>
      <c r="G150" s="1883">
        <v>49.017115000000004</v>
      </c>
      <c r="H150" s="1869"/>
      <c r="I150" s="1869"/>
      <c r="J150" s="1876"/>
    </row>
    <row r="151" spans="1:10" hidden="1">
      <c r="A151" s="1878">
        <v>41548</v>
      </c>
      <c r="B151" s="1879">
        <v>30.186</v>
      </c>
      <c r="C151" s="1880">
        <v>41.391800000000003</v>
      </c>
      <c r="D151" s="1881">
        <v>48.579700000000003</v>
      </c>
      <c r="E151" s="1882">
        <v>30.381</v>
      </c>
      <c r="F151" s="1880">
        <v>41.430999999999997</v>
      </c>
      <c r="G151" s="1883">
        <v>48.997</v>
      </c>
      <c r="H151" s="1869"/>
      <c r="I151" s="1869"/>
      <c r="J151" s="1884"/>
    </row>
    <row r="152" spans="1:10" hidden="1">
      <c r="A152" s="1878">
        <v>41579</v>
      </c>
      <c r="B152" s="1879">
        <v>30.365400000000001</v>
      </c>
      <c r="C152" s="1880">
        <v>41.359900000000003</v>
      </c>
      <c r="D152" s="1881">
        <v>49.6</v>
      </c>
      <c r="E152" s="1882">
        <v>30.513550000000002</v>
      </c>
      <c r="F152" s="1880">
        <v>41.245615000000001</v>
      </c>
      <c r="G152" s="1883">
        <v>49.231155000000008</v>
      </c>
      <c r="H152" s="1869"/>
      <c r="I152" s="1869"/>
      <c r="J152" s="1884"/>
    </row>
    <row r="153" spans="1:10" hidden="1">
      <c r="A153" s="1878">
        <v>41609</v>
      </c>
      <c r="B153" s="1879">
        <v>30.261500000000002</v>
      </c>
      <c r="C153" s="1880">
        <v>41.633800000000001</v>
      </c>
      <c r="D153" s="1881">
        <v>49.841200000000001</v>
      </c>
      <c r="E153" s="1882">
        <v>30.280761904761896</v>
      </c>
      <c r="F153" s="1880">
        <v>41.475899999999996</v>
      </c>
      <c r="G153" s="1883">
        <v>49.642990476190462</v>
      </c>
      <c r="H153" s="1869"/>
      <c r="I153" s="1869"/>
      <c r="J153" s="1884"/>
    </row>
    <row r="154" spans="1:10" hidden="1">
      <c r="A154" s="1878">
        <v>41640</v>
      </c>
      <c r="B154" s="1879">
        <v>30.334599999999998</v>
      </c>
      <c r="C154" s="1880">
        <v>41.370199999999997</v>
      </c>
      <c r="D154" s="1881">
        <v>50.411900000000003</v>
      </c>
      <c r="E154" s="1882">
        <v>30.334347368421057</v>
      </c>
      <c r="F154" s="1880">
        <v>41.345510526315792</v>
      </c>
      <c r="G154" s="1883">
        <v>50.067547368421039</v>
      </c>
      <c r="H154" s="1869"/>
      <c r="I154" s="1869"/>
      <c r="J154" s="1876"/>
    </row>
    <row r="155" spans="1:10" hidden="1">
      <c r="A155" s="1878">
        <v>41671</v>
      </c>
      <c r="B155" s="1879">
        <v>30.182300000000001</v>
      </c>
      <c r="C155" s="1880">
        <v>41.464199999999998</v>
      </c>
      <c r="D155" s="1881">
        <v>50.6616</v>
      </c>
      <c r="E155" s="1882">
        <v>30.301788888888893</v>
      </c>
      <c r="F155" s="1880">
        <v>41.413055555555559</v>
      </c>
      <c r="G155" s="1883">
        <v>50.306766666666668</v>
      </c>
      <c r="H155" s="1869"/>
      <c r="I155" s="1869"/>
      <c r="J155" s="1876"/>
    </row>
    <row r="156" spans="1:10" hidden="1">
      <c r="A156" s="1878">
        <v>41699</v>
      </c>
      <c r="B156" s="1879">
        <v>30.196400000000001</v>
      </c>
      <c r="C156" s="1880">
        <v>41.5411</v>
      </c>
      <c r="D156" s="1881">
        <v>50.4268</v>
      </c>
      <c r="E156" s="1882">
        <v>30.107694736842106</v>
      </c>
      <c r="F156" s="1880">
        <v>41.639631578947366</v>
      </c>
      <c r="G156" s="1883">
        <v>50.17263157894736</v>
      </c>
      <c r="H156" s="1869"/>
      <c r="I156" s="1869"/>
      <c r="J156" s="1876"/>
    </row>
    <row r="157" spans="1:10" hidden="1">
      <c r="A157" s="1878">
        <v>41730</v>
      </c>
      <c r="B157" s="1879">
        <v>30.079899999999999</v>
      </c>
      <c r="C157" s="1880">
        <v>41.506999999999998</v>
      </c>
      <c r="D157" s="1881">
        <v>50.912799999999997</v>
      </c>
      <c r="E157" s="1882">
        <v>30.104427272727275</v>
      </c>
      <c r="F157" s="1880">
        <v>41.582795454545455</v>
      </c>
      <c r="G157" s="1883">
        <v>50.567418181818191</v>
      </c>
      <c r="H157" s="1869"/>
      <c r="I157" s="1869"/>
      <c r="J157" s="1876"/>
    </row>
    <row r="158" spans="1:10" hidden="1">
      <c r="A158" s="1878">
        <v>41760</v>
      </c>
      <c r="B158" s="1879">
        <v>30.342099999999999</v>
      </c>
      <c r="C158" s="1880">
        <v>41.297800000000002</v>
      </c>
      <c r="D158" s="1881">
        <v>50.977800000000002</v>
      </c>
      <c r="E158" s="1882">
        <v>30.180161904761899</v>
      </c>
      <c r="F158" s="1880">
        <v>41.459180952380954</v>
      </c>
      <c r="G158" s="1883">
        <v>51.058476190476192</v>
      </c>
      <c r="H158" s="1869"/>
      <c r="I158" s="1869"/>
      <c r="J158" s="1876"/>
    </row>
    <row r="159" spans="1:10" hidden="1">
      <c r="A159" s="1878">
        <v>41791</v>
      </c>
      <c r="B159" s="1879">
        <v>30.352499999999999</v>
      </c>
      <c r="C159" s="1880">
        <v>41.417000000000002</v>
      </c>
      <c r="D159" s="1881">
        <v>51.6494</v>
      </c>
      <c r="E159" s="1882">
        <v>30.390471428571427</v>
      </c>
      <c r="F159" s="1880">
        <v>41.325047619047623</v>
      </c>
      <c r="G159" s="1883">
        <v>51.443295238095246</v>
      </c>
      <c r="H159" s="1869"/>
      <c r="I159" s="1869"/>
      <c r="J159" s="1876"/>
    </row>
    <row r="160" spans="1:10">
      <c r="A160" s="1878">
        <v>41821</v>
      </c>
      <c r="B160" s="1879">
        <v>30.631799999999998</v>
      </c>
      <c r="C160" s="1880">
        <v>40.9527</v>
      </c>
      <c r="D160" s="1881">
        <v>51.8</v>
      </c>
      <c r="E160" s="1882">
        <v>30.387900000000002</v>
      </c>
      <c r="F160" s="1880">
        <v>41.174877272727265</v>
      </c>
      <c r="G160" s="1883">
        <v>52.062963636363634</v>
      </c>
      <c r="H160" s="1869"/>
      <c r="I160" s="1869"/>
      <c r="J160" s="1876"/>
    </row>
    <row r="161" spans="1:10">
      <c r="A161" s="1878">
        <v>41852</v>
      </c>
      <c r="B161" s="1879">
        <v>30.990300000000001</v>
      </c>
      <c r="C161" s="1880">
        <v>40.837899999999998</v>
      </c>
      <c r="D161" s="1881">
        <v>51.498899999999999</v>
      </c>
      <c r="E161" s="1882">
        <v>30.730385000000002</v>
      </c>
      <c r="F161" s="1880">
        <v>40.936310000000006</v>
      </c>
      <c r="G161" s="1883">
        <v>51.490829999999995</v>
      </c>
      <c r="H161" s="1869"/>
      <c r="I161" s="1869"/>
      <c r="J161" s="1876"/>
    </row>
    <row r="162" spans="1:10">
      <c r="A162" s="1878">
        <v>41883</v>
      </c>
      <c r="B162" s="1879">
        <v>31.4359</v>
      </c>
      <c r="C162" s="1880">
        <v>39.856200000000001</v>
      </c>
      <c r="D162" s="1881">
        <v>51.328800000000001</v>
      </c>
      <c r="E162" s="1882">
        <v>31.273809090909094</v>
      </c>
      <c r="F162" s="1880">
        <v>40.420631818181818</v>
      </c>
      <c r="G162" s="1883">
        <v>51.156013636363632</v>
      </c>
      <c r="H162" s="1869"/>
      <c r="I162" s="1869"/>
      <c r="J162" s="1876"/>
    </row>
    <row r="163" spans="1:10">
      <c r="A163" s="1878">
        <v>41913</v>
      </c>
      <c r="B163" s="1879">
        <v>31.444500000000001</v>
      </c>
      <c r="C163" s="1880">
        <v>39.494900000000001</v>
      </c>
      <c r="D163" s="1881">
        <v>50.3752</v>
      </c>
      <c r="E163" s="1882">
        <v>31.450813636363645</v>
      </c>
      <c r="F163" s="1880">
        <v>39.92524090909091</v>
      </c>
      <c r="G163" s="1883">
        <v>50.720499999999994</v>
      </c>
      <c r="H163" s="1869"/>
      <c r="I163" s="1869"/>
      <c r="J163" s="1876"/>
    </row>
    <row r="164" spans="1:10">
      <c r="A164" s="1878">
        <v>41944</v>
      </c>
      <c r="B164" s="1879">
        <v>31.5869</v>
      </c>
      <c r="C164" s="1880">
        <v>39.469000000000001</v>
      </c>
      <c r="D164" s="1881">
        <v>49.673000000000002</v>
      </c>
      <c r="E164" s="1882">
        <v>31.606960000000004</v>
      </c>
      <c r="F164" s="1880">
        <v>39.470185000000001</v>
      </c>
      <c r="G164" s="1883">
        <v>50.003565000000002</v>
      </c>
      <c r="H164" s="1869"/>
      <c r="I164" s="1869"/>
      <c r="J164" s="1876"/>
    </row>
    <row r="165" spans="1:10">
      <c r="A165" s="1878">
        <v>41974</v>
      </c>
      <c r="B165" s="1879">
        <v>31.883600000000001</v>
      </c>
      <c r="C165" s="1880">
        <v>38.831400000000002</v>
      </c>
      <c r="D165" s="1881">
        <v>49.82</v>
      </c>
      <c r="E165" s="1882">
        <v>31.681861904761906</v>
      </c>
      <c r="F165" s="1880">
        <v>39.086842857142855</v>
      </c>
      <c r="G165" s="1883">
        <v>49.587885714285711</v>
      </c>
      <c r="H165" s="1869"/>
      <c r="I165" s="1869"/>
      <c r="J165" s="1876"/>
    </row>
    <row r="166" spans="1:10">
      <c r="A166" s="1878">
        <v>42005</v>
      </c>
      <c r="B166" s="1879">
        <v>32.769100000000002</v>
      </c>
      <c r="C166" s="1880">
        <v>37.204700000000003</v>
      </c>
      <c r="D166" s="1881">
        <v>49.795200000000001</v>
      </c>
      <c r="E166" s="1882">
        <v>32.44679</v>
      </c>
      <c r="F166" s="1880">
        <v>37.734644999999986</v>
      </c>
      <c r="G166" s="1883">
        <v>49.31915</v>
      </c>
      <c r="H166" s="1869"/>
      <c r="I166" s="1869"/>
      <c r="J166" s="1876"/>
    </row>
    <row r="167" spans="1:10">
      <c r="A167" s="1878">
        <v>42036</v>
      </c>
      <c r="B167" s="1879">
        <v>33.496000000000002</v>
      </c>
      <c r="C167" s="1880">
        <v>37.521999999999998</v>
      </c>
      <c r="D167" s="1881">
        <v>51.804000000000002</v>
      </c>
      <c r="E167" s="1882">
        <v>33.163241176470585</v>
      </c>
      <c r="F167" s="1880">
        <v>37.696670588235293</v>
      </c>
      <c r="G167" s="1883">
        <v>50.946335294117652</v>
      </c>
      <c r="H167" s="1869"/>
      <c r="I167" s="1869"/>
      <c r="J167" s="1876"/>
    </row>
    <row r="168" spans="1:10">
      <c r="A168" s="1878">
        <v>42064</v>
      </c>
      <c r="B168" s="1879">
        <v>36.533700000000003</v>
      </c>
      <c r="C168" s="1880">
        <v>39.396999999999998</v>
      </c>
      <c r="D168" s="1881">
        <v>54.261800000000001</v>
      </c>
      <c r="E168" s="1882">
        <v>35.711238095238095</v>
      </c>
      <c r="F168" s="1880">
        <v>38.783804761904761</v>
      </c>
      <c r="G168" s="1883">
        <v>53.618961904761917</v>
      </c>
      <c r="H168" s="1869"/>
      <c r="I168" s="1869"/>
      <c r="J168" s="1876"/>
    </row>
    <row r="169" spans="1:10">
      <c r="A169" s="1878">
        <v>42095</v>
      </c>
      <c r="B169" s="1879">
        <v>35.067300000000003</v>
      </c>
      <c r="C169" s="1880">
        <v>39.120899999999999</v>
      </c>
      <c r="D169" s="1881">
        <v>55.087499999999999</v>
      </c>
      <c r="E169" s="1882">
        <v>36.152000000000001</v>
      </c>
      <c r="F169" s="1880">
        <v>39.0839</v>
      </c>
      <c r="G169" s="1883">
        <v>54.255818181818178</v>
      </c>
      <c r="H169" s="1869"/>
      <c r="I169" s="1869"/>
      <c r="J169" s="1876"/>
    </row>
    <row r="170" spans="1:10">
      <c r="A170" s="1878">
        <v>42125</v>
      </c>
      <c r="B170" s="1879">
        <v>35.526299999999999</v>
      </c>
      <c r="C170" s="1880">
        <v>39.037300000000002</v>
      </c>
      <c r="D170" s="1881">
        <v>54.902900000000002</v>
      </c>
      <c r="E170" s="1882">
        <v>35.10493000000001</v>
      </c>
      <c r="F170" s="1880">
        <v>39.225574999999992</v>
      </c>
      <c r="G170" s="1883">
        <v>54.551184999999997</v>
      </c>
      <c r="H170" s="1869"/>
      <c r="I170" s="1869"/>
      <c r="J170" s="1876"/>
    </row>
    <row r="171" spans="1:10">
      <c r="A171" s="1878">
        <v>42156</v>
      </c>
      <c r="B171" s="1879">
        <v>35.245600000000003</v>
      </c>
      <c r="C171" s="1880">
        <v>39.340800000000002</v>
      </c>
      <c r="D171" s="1881">
        <v>55.643099999999997</v>
      </c>
      <c r="E171" s="1882">
        <v>35.211413636363638</v>
      </c>
      <c r="F171" s="1880">
        <v>39.550413636363629</v>
      </c>
      <c r="G171" s="1883">
        <v>55.049790909090916</v>
      </c>
      <c r="H171" s="1869"/>
      <c r="I171" s="1869"/>
      <c r="J171" s="1876"/>
    </row>
    <row r="172" spans="1:10" ht="15.75" thickBot="1">
      <c r="A172" s="1885">
        <v>42186</v>
      </c>
      <c r="B172" s="1886">
        <v>35.602400000000003</v>
      </c>
      <c r="C172" s="1887">
        <v>38.931100000000001</v>
      </c>
      <c r="D172" s="1888">
        <v>55.432600000000001</v>
      </c>
      <c r="E172" s="1889">
        <v>35.541395652173911</v>
      </c>
      <c r="F172" s="1887">
        <v>39.164904347826088</v>
      </c>
      <c r="G172" s="1890">
        <v>55.623243478260868</v>
      </c>
      <c r="H172" s="1869"/>
      <c r="I172" s="1869"/>
      <c r="J172" s="1876"/>
    </row>
    <row r="173" spans="1:10" ht="18.75" thickTop="1">
      <c r="A173" s="1891" t="s">
        <v>3400</v>
      </c>
      <c r="B173" s="1892"/>
      <c r="C173" s="1892"/>
      <c r="D173" s="1892"/>
      <c r="E173" s="1893"/>
      <c r="F173" s="1894"/>
      <c r="G173" s="1894"/>
      <c r="H173" s="1894"/>
      <c r="I173" s="1894"/>
      <c r="J173" s="1861"/>
    </row>
    <row r="174" spans="1:10">
      <c r="A174" s="1895" t="s">
        <v>3401</v>
      </c>
      <c r="B174" s="1893"/>
      <c r="C174" s="1893"/>
      <c r="D174" s="1893"/>
      <c r="E174" s="1893"/>
      <c r="F174" s="1894"/>
      <c r="G174" s="1894"/>
      <c r="H174" s="1894"/>
      <c r="I174" s="1894"/>
      <c r="J174" s="1861"/>
    </row>
    <row r="175" spans="1:10">
      <c r="A175" s="1893" t="s">
        <v>2704</v>
      </c>
      <c r="B175" s="1894"/>
      <c r="C175" s="1894"/>
      <c r="D175" s="1894"/>
      <c r="E175" s="1894"/>
      <c r="F175" s="1894"/>
      <c r="G175" s="1894"/>
      <c r="H175" s="1894"/>
      <c r="I175" s="1894"/>
      <c r="J175" s="1861"/>
    </row>
  </sheetData>
  <mergeCells count="9">
    <mergeCell ref="L6:L7"/>
    <mergeCell ref="B141:D141"/>
    <mergeCell ref="E141:G141"/>
    <mergeCell ref="B6:B7"/>
    <mergeCell ref="C6:C7"/>
    <mergeCell ref="D6:D7"/>
    <mergeCell ref="E6:E7"/>
    <mergeCell ref="J6:J7"/>
    <mergeCell ref="K6:K7"/>
  </mergeCells>
  <pageMargins left="0.511811023622047" right="0.196850393700787" top="0.74803149606299202" bottom="0.74803149606299202" header="0.31496062992126" footer="0.31496062992126"/>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zoomScaleSheetLayoutView="90" workbookViewId="0">
      <selection activeCell="A194" sqref="A194"/>
    </sheetView>
  </sheetViews>
  <sheetFormatPr defaultRowHeight="12.75"/>
  <cols>
    <col min="1" max="1" width="99.7109375" style="475" customWidth="1"/>
    <col min="2" max="2" width="10.7109375" style="475" customWidth="1"/>
    <col min="3" max="3" width="10.42578125" style="475" customWidth="1"/>
    <col min="4" max="4" width="12.85546875" style="475" customWidth="1"/>
    <col min="5" max="5" width="14.28515625" style="475" bestFit="1" customWidth="1"/>
    <col min="6" max="6" width="10.28515625" style="475" bestFit="1" customWidth="1"/>
    <col min="7" max="7" width="9.7109375" style="475" bestFit="1" customWidth="1"/>
    <col min="8" max="256" width="9.140625" style="475"/>
    <col min="257" max="257" width="99.7109375" style="475" customWidth="1"/>
    <col min="258" max="258" width="10.7109375" style="475" customWidth="1"/>
    <col min="259" max="259" width="10.42578125" style="475" customWidth="1"/>
    <col min="260" max="260" width="12.85546875" style="475" customWidth="1"/>
    <col min="261" max="261" width="14.28515625" style="475" bestFit="1" customWidth="1"/>
    <col min="262" max="262" width="10.28515625" style="475" bestFit="1" customWidth="1"/>
    <col min="263" max="263" width="9.7109375" style="475" bestFit="1" customWidth="1"/>
    <col min="264" max="512" width="9.140625" style="475"/>
    <col min="513" max="513" width="99.7109375" style="475" customWidth="1"/>
    <col min="514" max="514" width="10.7109375" style="475" customWidth="1"/>
    <col min="515" max="515" width="10.42578125" style="475" customWidth="1"/>
    <col min="516" max="516" width="12.85546875" style="475" customWidth="1"/>
    <col min="517" max="517" width="14.28515625" style="475" bestFit="1" customWidth="1"/>
    <col min="518" max="518" width="10.28515625" style="475" bestFit="1" customWidth="1"/>
    <col min="519" max="519" width="9.7109375" style="475" bestFit="1" customWidth="1"/>
    <col min="520" max="768" width="9.140625" style="475"/>
    <col min="769" max="769" width="99.7109375" style="475" customWidth="1"/>
    <col min="770" max="770" width="10.7109375" style="475" customWidth="1"/>
    <col min="771" max="771" width="10.42578125" style="475" customWidth="1"/>
    <col min="772" max="772" width="12.85546875" style="475" customWidth="1"/>
    <col min="773" max="773" width="14.28515625" style="475" bestFit="1" customWidth="1"/>
    <col min="774" max="774" width="10.28515625" style="475" bestFit="1" customWidth="1"/>
    <col min="775" max="775" width="9.7109375" style="475" bestFit="1" customWidth="1"/>
    <col min="776" max="1024" width="9.140625" style="475"/>
    <col min="1025" max="1025" width="99.7109375" style="475" customWidth="1"/>
    <col min="1026" max="1026" width="10.7109375" style="475" customWidth="1"/>
    <col min="1027" max="1027" width="10.42578125" style="475" customWidth="1"/>
    <col min="1028" max="1028" width="12.85546875" style="475" customWidth="1"/>
    <col min="1029" max="1029" width="14.28515625" style="475" bestFit="1" customWidth="1"/>
    <col min="1030" max="1030" width="10.28515625" style="475" bestFit="1" customWidth="1"/>
    <col min="1031" max="1031" width="9.7109375" style="475" bestFit="1" customWidth="1"/>
    <col min="1032" max="1280" width="9.140625" style="475"/>
    <col min="1281" max="1281" width="99.7109375" style="475" customWidth="1"/>
    <col min="1282" max="1282" width="10.7109375" style="475" customWidth="1"/>
    <col min="1283" max="1283" width="10.42578125" style="475" customWidth="1"/>
    <col min="1284" max="1284" width="12.85546875" style="475" customWidth="1"/>
    <col min="1285" max="1285" width="14.28515625" style="475" bestFit="1" customWidth="1"/>
    <col min="1286" max="1286" width="10.28515625" style="475" bestFit="1" customWidth="1"/>
    <col min="1287" max="1287" width="9.7109375" style="475" bestFit="1" customWidth="1"/>
    <col min="1288" max="1536" width="9.140625" style="475"/>
    <col min="1537" max="1537" width="99.7109375" style="475" customWidth="1"/>
    <col min="1538" max="1538" width="10.7109375" style="475" customWidth="1"/>
    <col min="1539" max="1539" width="10.42578125" style="475" customWidth="1"/>
    <col min="1540" max="1540" width="12.85546875" style="475" customWidth="1"/>
    <col min="1541" max="1541" width="14.28515625" style="475" bestFit="1" customWidth="1"/>
    <col min="1542" max="1542" width="10.28515625" style="475" bestFit="1" customWidth="1"/>
    <col min="1543" max="1543" width="9.7109375" style="475" bestFit="1" customWidth="1"/>
    <col min="1544" max="1792" width="9.140625" style="475"/>
    <col min="1793" max="1793" width="99.7109375" style="475" customWidth="1"/>
    <col min="1794" max="1794" width="10.7109375" style="475" customWidth="1"/>
    <col min="1795" max="1795" width="10.42578125" style="475" customWidth="1"/>
    <col min="1796" max="1796" width="12.85546875" style="475" customWidth="1"/>
    <col min="1797" max="1797" width="14.28515625" style="475" bestFit="1" customWidth="1"/>
    <col min="1798" max="1798" width="10.28515625" style="475" bestFit="1" customWidth="1"/>
    <col min="1799" max="1799" width="9.7109375" style="475" bestFit="1" customWidth="1"/>
    <col min="1800" max="2048" width="9.140625" style="475"/>
    <col min="2049" max="2049" width="99.7109375" style="475" customWidth="1"/>
    <col min="2050" max="2050" width="10.7109375" style="475" customWidth="1"/>
    <col min="2051" max="2051" width="10.42578125" style="475" customWidth="1"/>
    <col min="2052" max="2052" width="12.85546875" style="475" customWidth="1"/>
    <col min="2053" max="2053" width="14.28515625" style="475" bestFit="1" customWidth="1"/>
    <col min="2054" max="2054" width="10.28515625" style="475" bestFit="1" customWidth="1"/>
    <col min="2055" max="2055" width="9.7109375" style="475" bestFit="1" customWidth="1"/>
    <col min="2056" max="2304" width="9.140625" style="475"/>
    <col min="2305" max="2305" width="99.7109375" style="475" customWidth="1"/>
    <col min="2306" max="2306" width="10.7109375" style="475" customWidth="1"/>
    <col min="2307" max="2307" width="10.42578125" style="475" customWidth="1"/>
    <col min="2308" max="2308" width="12.85546875" style="475" customWidth="1"/>
    <col min="2309" max="2309" width="14.28515625" style="475" bestFit="1" customWidth="1"/>
    <col min="2310" max="2310" width="10.28515625" style="475" bestFit="1" customWidth="1"/>
    <col min="2311" max="2311" width="9.7109375" style="475" bestFit="1" customWidth="1"/>
    <col min="2312" max="2560" width="9.140625" style="475"/>
    <col min="2561" max="2561" width="99.7109375" style="475" customWidth="1"/>
    <col min="2562" max="2562" width="10.7109375" style="475" customWidth="1"/>
    <col min="2563" max="2563" width="10.42578125" style="475" customWidth="1"/>
    <col min="2564" max="2564" width="12.85546875" style="475" customWidth="1"/>
    <col min="2565" max="2565" width="14.28515625" style="475" bestFit="1" customWidth="1"/>
    <col min="2566" max="2566" width="10.28515625" style="475" bestFit="1" customWidth="1"/>
    <col min="2567" max="2567" width="9.7109375" style="475" bestFit="1" customWidth="1"/>
    <col min="2568" max="2816" width="9.140625" style="475"/>
    <col min="2817" max="2817" width="99.7109375" style="475" customWidth="1"/>
    <col min="2818" max="2818" width="10.7109375" style="475" customWidth="1"/>
    <col min="2819" max="2819" width="10.42578125" style="475" customWidth="1"/>
    <col min="2820" max="2820" width="12.85546875" style="475" customWidth="1"/>
    <col min="2821" max="2821" width="14.28515625" style="475" bestFit="1" customWidth="1"/>
    <col min="2822" max="2822" width="10.28515625" style="475" bestFit="1" customWidth="1"/>
    <col min="2823" max="2823" width="9.7109375" style="475" bestFit="1" customWidth="1"/>
    <col min="2824" max="3072" width="9.140625" style="475"/>
    <col min="3073" max="3073" width="99.7109375" style="475" customWidth="1"/>
    <col min="3074" max="3074" width="10.7109375" style="475" customWidth="1"/>
    <col min="3075" max="3075" width="10.42578125" style="475" customWidth="1"/>
    <col min="3076" max="3076" width="12.85546875" style="475" customWidth="1"/>
    <col min="3077" max="3077" width="14.28515625" style="475" bestFit="1" customWidth="1"/>
    <col min="3078" max="3078" width="10.28515625" style="475" bestFit="1" customWidth="1"/>
    <col min="3079" max="3079" width="9.7109375" style="475" bestFit="1" customWidth="1"/>
    <col min="3080" max="3328" width="9.140625" style="475"/>
    <col min="3329" max="3329" width="99.7109375" style="475" customWidth="1"/>
    <col min="3330" max="3330" width="10.7109375" style="475" customWidth="1"/>
    <col min="3331" max="3331" width="10.42578125" style="475" customWidth="1"/>
    <col min="3332" max="3332" width="12.85546875" style="475" customWidth="1"/>
    <col min="3333" max="3333" width="14.28515625" style="475" bestFit="1" customWidth="1"/>
    <col min="3334" max="3334" width="10.28515625" style="475" bestFit="1" customWidth="1"/>
    <col min="3335" max="3335" width="9.7109375" style="475" bestFit="1" customWidth="1"/>
    <col min="3336" max="3584" width="9.140625" style="475"/>
    <col min="3585" max="3585" width="99.7109375" style="475" customWidth="1"/>
    <col min="3586" max="3586" width="10.7109375" style="475" customWidth="1"/>
    <col min="3587" max="3587" width="10.42578125" style="475" customWidth="1"/>
    <col min="3588" max="3588" width="12.85546875" style="475" customWidth="1"/>
    <col min="3589" max="3589" width="14.28515625" style="475" bestFit="1" customWidth="1"/>
    <col min="3590" max="3590" width="10.28515625" style="475" bestFit="1" customWidth="1"/>
    <col min="3591" max="3591" width="9.7109375" style="475" bestFit="1" customWidth="1"/>
    <col min="3592" max="3840" width="9.140625" style="475"/>
    <col min="3841" max="3841" width="99.7109375" style="475" customWidth="1"/>
    <col min="3842" max="3842" width="10.7109375" style="475" customWidth="1"/>
    <col min="3843" max="3843" width="10.42578125" style="475" customWidth="1"/>
    <col min="3844" max="3844" width="12.85546875" style="475" customWidth="1"/>
    <col min="3845" max="3845" width="14.28515625" style="475" bestFit="1" customWidth="1"/>
    <col min="3846" max="3846" width="10.28515625" style="475" bestFit="1" customWidth="1"/>
    <col min="3847" max="3847" width="9.7109375" style="475" bestFit="1" customWidth="1"/>
    <col min="3848" max="4096" width="9.140625" style="475"/>
    <col min="4097" max="4097" width="99.7109375" style="475" customWidth="1"/>
    <col min="4098" max="4098" width="10.7109375" style="475" customWidth="1"/>
    <col min="4099" max="4099" width="10.42578125" style="475" customWidth="1"/>
    <col min="4100" max="4100" width="12.85546875" style="475" customWidth="1"/>
    <col min="4101" max="4101" width="14.28515625" style="475" bestFit="1" customWidth="1"/>
    <col min="4102" max="4102" width="10.28515625" style="475" bestFit="1" customWidth="1"/>
    <col min="4103" max="4103" width="9.7109375" style="475" bestFit="1" customWidth="1"/>
    <col min="4104" max="4352" width="9.140625" style="475"/>
    <col min="4353" max="4353" width="99.7109375" style="475" customWidth="1"/>
    <col min="4354" max="4354" width="10.7109375" style="475" customWidth="1"/>
    <col min="4355" max="4355" width="10.42578125" style="475" customWidth="1"/>
    <col min="4356" max="4356" width="12.85546875" style="475" customWidth="1"/>
    <col min="4357" max="4357" width="14.28515625" style="475" bestFit="1" customWidth="1"/>
    <col min="4358" max="4358" width="10.28515625" style="475" bestFit="1" customWidth="1"/>
    <col min="4359" max="4359" width="9.7109375" style="475" bestFit="1" customWidth="1"/>
    <col min="4360" max="4608" width="9.140625" style="475"/>
    <col min="4609" max="4609" width="99.7109375" style="475" customWidth="1"/>
    <col min="4610" max="4610" width="10.7109375" style="475" customWidth="1"/>
    <col min="4611" max="4611" width="10.42578125" style="475" customWidth="1"/>
    <col min="4612" max="4612" width="12.85546875" style="475" customWidth="1"/>
    <col min="4613" max="4613" width="14.28515625" style="475" bestFit="1" customWidth="1"/>
    <col min="4614" max="4614" width="10.28515625" style="475" bestFit="1" customWidth="1"/>
    <col min="4615" max="4615" width="9.7109375" style="475" bestFit="1" customWidth="1"/>
    <col min="4616" max="4864" width="9.140625" style="475"/>
    <col min="4865" max="4865" width="99.7109375" style="475" customWidth="1"/>
    <col min="4866" max="4866" width="10.7109375" style="475" customWidth="1"/>
    <col min="4867" max="4867" width="10.42578125" style="475" customWidth="1"/>
    <col min="4868" max="4868" width="12.85546875" style="475" customWidth="1"/>
    <col min="4869" max="4869" width="14.28515625" style="475" bestFit="1" customWidth="1"/>
    <col min="4870" max="4870" width="10.28515625" style="475" bestFit="1" customWidth="1"/>
    <col min="4871" max="4871" width="9.7109375" style="475" bestFit="1" customWidth="1"/>
    <col min="4872" max="5120" width="9.140625" style="475"/>
    <col min="5121" max="5121" width="99.7109375" style="475" customWidth="1"/>
    <col min="5122" max="5122" width="10.7109375" style="475" customWidth="1"/>
    <col min="5123" max="5123" width="10.42578125" style="475" customWidth="1"/>
    <col min="5124" max="5124" width="12.85546875" style="475" customWidth="1"/>
    <col min="5125" max="5125" width="14.28515625" style="475" bestFit="1" customWidth="1"/>
    <col min="5126" max="5126" width="10.28515625" style="475" bestFit="1" customWidth="1"/>
    <col min="5127" max="5127" width="9.7109375" style="475" bestFit="1" customWidth="1"/>
    <col min="5128" max="5376" width="9.140625" style="475"/>
    <col min="5377" max="5377" width="99.7109375" style="475" customWidth="1"/>
    <col min="5378" max="5378" width="10.7109375" style="475" customWidth="1"/>
    <col min="5379" max="5379" width="10.42578125" style="475" customWidth="1"/>
    <col min="5380" max="5380" width="12.85546875" style="475" customWidth="1"/>
    <col min="5381" max="5381" width="14.28515625" style="475" bestFit="1" customWidth="1"/>
    <col min="5382" max="5382" width="10.28515625" style="475" bestFit="1" customWidth="1"/>
    <col min="5383" max="5383" width="9.7109375" style="475" bestFit="1" customWidth="1"/>
    <col min="5384" max="5632" width="9.140625" style="475"/>
    <col min="5633" max="5633" width="99.7109375" style="475" customWidth="1"/>
    <col min="5634" max="5634" width="10.7109375" style="475" customWidth="1"/>
    <col min="5635" max="5635" width="10.42578125" style="475" customWidth="1"/>
    <col min="5636" max="5636" width="12.85546875" style="475" customWidth="1"/>
    <col min="5637" max="5637" width="14.28515625" style="475" bestFit="1" customWidth="1"/>
    <col min="5638" max="5638" width="10.28515625" style="475" bestFit="1" customWidth="1"/>
    <col min="5639" max="5639" width="9.7109375" style="475" bestFit="1" customWidth="1"/>
    <col min="5640" max="5888" width="9.140625" style="475"/>
    <col min="5889" max="5889" width="99.7109375" style="475" customWidth="1"/>
    <col min="5890" max="5890" width="10.7109375" style="475" customWidth="1"/>
    <col min="5891" max="5891" width="10.42578125" style="475" customWidth="1"/>
    <col min="5892" max="5892" width="12.85546875" style="475" customWidth="1"/>
    <col min="5893" max="5893" width="14.28515625" style="475" bestFit="1" customWidth="1"/>
    <col min="5894" max="5894" width="10.28515625" style="475" bestFit="1" customWidth="1"/>
    <col min="5895" max="5895" width="9.7109375" style="475" bestFit="1" customWidth="1"/>
    <col min="5896" max="6144" width="9.140625" style="475"/>
    <col min="6145" max="6145" width="99.7109375" style="475" customWidth="1"/>
    <col min="6146" max="6146" width="10.7109375" style="475" customWidth="1"/>
    <col min="6147" max="6147" width="10.42578125" style="475" customWidth="1"/>
    <col min="6148" max="6148" width="12.85546875" style="475" customWidth="1"/>
    <col min="6149" max="6149" width="14.28515625" style="475" bestFit="1" customWidth="1"/>
    <col min="6150" max="6150" width="10.28515625" style="475" bestFit="1" customWidth="1"/>
    <col min="6151" max="6151" width="9.7109375" style="475" bestFit="1" customWidth="1"/>
    <col min="6152" max="6400" width="9.140625" style="475"/>
    <col min="6401" max="6401" width="99.7109375" style="475" customWidth="1"/>
    <col min="6402" max="6402" width="10.7109375" style="475" customWidth="1"/>
    <col min="6403" max="6403" width="10.42578125" style="475" customWidth="1"/>
    <col min="6404" max="6404" width="12.85546875" style="475" customWidth="1"/>
    <col min="6405" max="6405" width="14.28515625" style="475" bestFit="1" customWidth="1"/>
    <col min="6406" max="6406" width="10.28515625" style="475" bestFit="1" customWidth="1"/>
    <col min="6407" max="6407" width="9.7109375" style="475" bestFit="1" customWidth="1"/>
    <col min="6408" max="6656" width="9.140625" style="475"/>
    <col min="6657" max="6657" width="99.7109375" style="475" customWidth="1"/>
    <col min="6658" max="6658" width="10.7109375" style="475" customWidth="1"/>
    <col min="6659" max="6659" width="10.42578125" style="475" customWidth="1"/>
    <col min="6660" max="6660" width="12.85546875" style="475" customWidth="1"/>
    <col min="6661" max="6661" width="14.28515625" style="475" bestFit="1" customWidth="1"/>
    <col min="6662" max="6662" width="10.28515625" style="475" bestFit="1" customWidth="1"/>
    <col min="6663" max="6663" width="9.7109375" style="475" bestFit="1" customWidth="1"/>
    <col min="6664" max="6912" width="9.140625" style="475"/>
    <col min="6913" max="6913" width="99.7109375" style="475" customWidth="1"/>
    <col min="6914" max="6914" width="10.7109375" style="475" customWidth="1"/>
    <col min="6915" max="6915" width="10.42578125" style="475" customWidth="1"/>
    <col min="6916" max="6916" width="12.85546875" style="475" customWidth="1"/>
    <col min="6917" max="6917" width="14.28515625" style="475" bestFit="1" customWidth="1"/>
    <col min="6918" max="6918" width="10.28515625" style="475" bestFit="1" customWidth="1"/>
    <col min="6919" max="6919" width="9.7109375" style="475" bestFit="1" customWidth="1"/>
    <col min="6920" max="7168" width="9.140625" style="475"/>
    <col min="7169" max="7169" width="99.7109375" style="475" customWidth="1"/>
    <col min="7170" max="7170" width="10.7109375" style="475" customWidth="1"/>
    <col min="7171" max="7171" width="10.42578125" style="475" customWidth="1"/>
    <col min="7172" max="7172" width="12.85546875" style="475" customWidth="1"/>
    <col min="7173" max="7173" width="14.28515625" style="475" bestFit="1" customWidth="1"/>
    <col min="7174" max="7174" width="10.28515625" style="475" bestFit="1" customWidth="1"/>
    <col min="7175" max="7175" width="9.7109375" style="475" bestFit="1" customWidth="1"/>
    <col min="7176" max="7424" width="9.140625" style="475"/>
    <col min="7425" max="7425" width="99.7109375" style="475" customWidth="1"/>
    <col min="7426" max="7426" width="10.7109375" style="475" customWidth="1"/>
    <col min="7427" max="7427" width="10.42578125" style="475" customWidth="1"/>
    <col min="7428" max="7428" width="12.85546875" style="475" customWidth="1"/>
    <col min="7429" max="7429" width="14.28515625" style="475" bestFit="1" customWidth="1"/>
    <col min="7430" max="7430" width="10.28515625" style="475" bestFit="1" customWidth="1"/>
    <col min="7431" max="7431" width="9.7109375" style="475" bestFit="1" customWidth="1"/>
    <col min="7432" max="7680" width="9.140625" style="475"/>
    <col min="7681" max="7681" width="99.7109375" style="475" customWidth="1"/>
    <col min="7682" max="7682" width="10.7109375" style="475" customWidth="1"/>
    <col min="7683" max="7683" width="10.42578125" style="475" customWidth="1"/>
    <col min="7684" max="7684" width="12.85546875" style="475" customWidth="1"/>
    <col min="7685" max="7685" width="14.28515625" style="475" bestFit="1" customWidth="1"/>
    <col min="7686" max="7686" width="10.28515625" style="475" bestFit="1" customWidth="1"/>
    <col min="7687" max="7687" width="9.7109375" style="475" bestFit="1" customWidth="1"/>
    <col min="7688" max="7936" width="9.140625" style="475"/>
    <col min="7937" max="7937" width="99.7109375" style="475" customWidth="1"/>
    <col min="7938" max="7938" width="10.7109375" style="475" customWidth="1"/>
    <col min="7939" max="7939" width="10.42578125" style="475" customWidth="1"/>
    <col min="7940" max="7940" width="12.85546875" style="475" customWidth="1"/>
    <col min="7941" max="7941" width="14.28515625" style="475" bestFit="1" customWidth="1"/>
    <col min="7942" max="7942" width="10.28515625" style="475" bestFit="1" customWidth="1"/>
    <col min="7943" max="7943" width="9.7109375" style="475" bestFit="1" customWidth="1"/>
    <col min="7944" max="8192" width="9.140625" style="475"/>
    <col min="8193" max="8193" width="99.7109375" style="475" customWidth="1"/>
    <col min="8194" max="8194" width="10.7109375" style="475" customWidth="1"/>
    <col min="8195" max="8195" width="10.42578125" style="475" customWidth="1"/>
    <col min="8196" max="8196" width="12.85546875" style="475" customWidth="1"/>
    <col min="8197" max="8197" width="14.28515625" style="475" bestFit="1" customWidth="1"/>
    <col min="8198" max="8198" width="10.28515625" style="475" bestFit="1" customWidth="1"/>
    <col min="8199" max="8199" width="9.7109375" style="475" bestFit="1" customWidth="1"/>
    <col min="8200" max="8448" width="9.140625" style="475"/>
    <col min="8449" max="8449" width="99.7109375" style="475" customWidth="1"/>
    <col min="8450" max="8450" width="10.7109375" style="475" customWidth="1"/>
    <col min="8451" max="8451" width="10.42578125" style="475" customWidth="1"/>
    <col min="8452" max="8452" width="12.85546875" style="475" customWidth="1"/>
    <col min="8453" max="8453" width="14.28515625" style="475" bestFit="1" customWidth="1"/>
    <col min="8454" max="8454" width="10.28515625" style="475" bestFit="1" customWidth="1"/>
    <col min="8455" max="8455" width="9.7109375" style="475" bestFit="1" customWidth="1"/>
    <col min="8456" max="8704" width="9.140625" style="475"/>
    <col min="8705" max="8705" width="99.7109375" style="475" customWidth="1"/>
    <col min="8706" max="8706" width="10.7109375" style="475" customWidth="1"/>
    <col min="8707" max="8707" width="10.42578125" style="475" customWidth="1"/>
    <col min="8708" max="8708" width="12.85546875" style="475" customWidth="1"/>
    <col min="8709" max="8709" width="14.28515625" style="475" bestFit="1" customWidth="1"/>
    <col min="8710" max="8710" width="10.28515625" style="475" bestFit="1" customWidth="1"/>
    <col min="8711" max="8711" width="9.7109375" style="475" bestFit="1" customWidth="1"/>
    <col min="8712" max="8960" width="9.140625" style="475"/>
    <col min="8961" max="8961" width="99.7109375" style="475" customWidth="1"/>
    <col min="8962" max="8962" width="10.7109375" style="475" customWidth="1"/>
    <col min="8963" max="8963" width="10.42578125" style="475" customWidth="1"/>
    <col min="8964" max="8964" width="12.85546875" style="475" customWidth="1"/>
    <col min="8965" max="8965" width="14.28515625" style="475" bestFit="1" customWidth="1"/>
    <col min="8966" max="8966" width="10.28515625" style="475" bestFit="1" customWidth="1"/>
    <col min="8967" max="8967" width="9.7109375" style="475" bestFit="1" customWidth="1"/>
    <col min="8968" max="9216" width="9.140625" style="475"/>
    <col min="9217" max="9217" width="99.7109375" style="475" customWidth="1"/>
    <col min="9218" max="9218" width="10.7109375" style="475" customWidth="1"/>
    <col min="9219" max="9219" width="10.42578125" style="475" customWidth="1"/>
    <col min="9220" max="9220" width="12.85546875" style="475" customWidth="1"/>
    <col min="9221" max="9221" width="14.28515625" style="475" bestFit="1" customWidth="1"/>
    <col min="9222" max="9222" width="10.28515625" style="475" bestFit="1" customWidth="1"/>
    <col min="9223" max="9223" width="9.7109375" style="475" bestFit="1" customWidth="1"/>
    <col min="9224" max="9472" width="9.140625" style="475"/>
    <col min="9473" max="9473" width="99.7109375" style="475" customWidth="1"/>
    <col min="9474" max="9474" width="10.7109375" style="475" customWidth="1"/>
    <col min="9475" max="9475" width="10.42578125" style="475" customWidth="1"/>
    <col min="9476" max="9476" width="12.85546875" style="475" customWidth="1"/>
    <col min="9477" max="9477" width="14.28515625" style="475" bestFit="1" customWidth="1"/>
    <col min="9478" max="9478" width="10.28515625" style="475" bestFit="1" customWidth="1"/>
    <col min="9479" max="9479" width="9.7109375" style="475" bestFit="1" customWidth="1"/>
    <col min="9480" max="9728" width="9.140625" style="475"/>
    <col min="9729" max="9729" width="99.7109375" style="475" customWidth="1"/>
    <col min="9730" max="9730" width="10.7109375" style="475" customWidth="1"/>
    <col min="9731" max="9731" width="10.42578125" style="475" customWidth="1"/>
    <col min="9732" max="9732" width="12.85546875" style="475" customWidth="1"/>
    <col min="9733" max="9733" width="14.28515625" style="475" bestFit="1" customWidth="1"/>
    <col min="9734" max="9734" width="10.28515625" style="475" bestFit="1" customWidth="1"/>
    <col min="9735" max="9735" width="9.7109375" style="475" bestFit="1" customWidth="1"/>
    <col min="9736" max="9984" width="9.140625" style="475"/>
    <col min="9985" max="9985" width="99.7109375" style="475" customWidth="1"/>
    <col min="9986" max="9986" width="10.7109375" style="475" customWidth="1"/>
    <col min="9987" max="9987" width="10.42578125" style="475" customWidth="1"/>
    <col min="9988" max="9988" width="12.85546875" style="475" customWidth="1"/>
    <col min="9989" max="9989" width="14.28515625" style="475" bestFit="1" customWidth="1"/>
    <col min="9990" max="9990" width="10.28515625" style="475" bestFit="1" customWidth="1"/>
    <col min="9991" max="9991" width="9.7109375" style="475" bestFit="1" customWidth="1"/>
    <col min="9992" max="10240" width="9.140625" style="475"/>
    <col min="10241" max="10241" width="99.7109375" style="475" customWidth="1"/>
    <col min="10242" max="10242" width="10.7109375" style="475" customWidth="1"/>
    <col min="10243" max="10243" width="10.42578125" style="475" customWidth="1"/>
    <col min="10244" max="10244" width="12.85546875" style="475" customWidth="1"/>
    <col min="10245" max="10245" width="14.28515625" style="475" bestFit="1" customWidth="1"/>
    <col min="10246" max="10246" width="10.28515625" style="475" bestFit="1" customWidth="1"/>
    <col min="10247" max="10247" width="9.7109375" style="475" bestFit="1" customWidth="1"/>
    <col min="10248" max="10496" width="9.140625" style="475"/>
    <col min="10497" max="10497" width="99.7109375" style="475" customWidth="1"/>
    <col min="10498" max="10498" width="10.7109375" style="475" customWidth="1"/>
    <col min="10499" max="10499" width="10.42578125" style="475" customWidth="1"/>
    <col min="10500" max="10500" width="12.85546875" style="475" customWidth="1"/>
    <col min="10501" max="10501" width="14.28515625" style="475" bestFit="1" customWidth="1"/>
    <col min="10502" max="10502" width="10.28515625" style="475" bestFit="1" customWidth="1"/>
    <col min="10503" max="10503" width="9.7109375" style="475" bestFit="1" customWidth="1"/>
    <col min="10504" max="10752" width="9.140625" style="475"/>
    <col min="10753" max="10753" width="99.7109375" style="475" customWidth="1"/>
    <col min="10754" max="10754" width="10.7109375" style="475" customWidth="1"/>
    <col min="10755" max="10755" width="10.42578125" style="475" customWidth="1"/>
    <col min="10756" max="10756" width="12.85546875" style="475" customWidth="1"/>
    <col min="10757" max="10757" width="14.28515625" style="475" bestFit="1" customWidth="1"/>
    <col min="10758" max="10758" width="10.28515625" style="475" bestFit="1" customWidth="1"/>
    <col min="10759" max="10759" width="9.7109375" style="475" bestFit="1" customWidth="1"/>
    <col min="10760" max="11008" width="9.140625" style="475"/>
    <col min="11009" max="11009" width="99.7109375" style="475" customWidth="1"/>
    <col min="11010" max="11010" width="10.7109375" style="475" customWidth="1"/>
    <col min="11011" max="11011" width="10.42578125" style="475" customWidth="1"/>
    <col min="11012" max="11012" width="12.85546875" style="475" customWidth="1"/>
    <col min="11013" max="11013" width="14.28515625" style="475" bestFit="1" customWidth="1"/>
    <col min="11014" max="11014" width="10.28515625" style="475" bestFit="1" customWidth="1"/>
    <col min="11015" max="11015" width="9.7109375" style="475" bestFit="1" customWidth="1"/>
    <col min="11016" max="11264" width="9.140625" style="475"/>
    <col min="11265" max="11265" width="99.7109375" style="475" customWidth="1"/>
    <col min="11266" max="11266" width="10.7109375" style="475" customWidth="1"/>
    <col min="11267" max="11267" width="10.42578125" style="475" customWidth="1"/>
    <col min="11268" max="11268" width="12.85546875" style="475" customWidth="1"/>
    <col min="11269" max="11269" width="14.28515625" style="475" bestFit="1" customWidth="1"/>
    <col min="11270" max="11270" width="10.28515625" style="475" bestFit="1" customWidth="1"/>
    <col min="11271" max="11271" width="9.7109375" style="475" bestFit="1" customWidth="1"/>
    <col min="11272" max="11520" width="9.140625" style="475"/>
    <col min="11521" max="11521" width="99.7109375" style="475" customWidth="1"/>
    <col min="11522" max="11522" width="10.7109375" style="475" customWidth="1"/>
    <col min="11523" max="11523" width="10.42578125" style="475" customWidth="1"/>
    <col min="11524" max="11524" width="12.85546875" style="475" customWidth="1"/>
    <col min="11525" max="11525" width="14.28515625" style="475" bestFit="1" customWidth="1"/>
    <col min="11526" max="11526" width="10.28515625" style="475" bestFit="1" customWidth="1"/>
    <col min="11527" max="11527" width="9.7109375" style="475" bestFit="1" customWidth="1"/>
    <col min="11528" max="11776" width="9.140625" style="475"/>
    <col min="11777" max="11777" width="99.7109375" style="475" customWidth="1"/>
    <col min="11778" max="11778" width="10.7109375" style="475" customWidth="1"/>
    <col min="11779" max="11779" width="10.42578125" style="475" customWidth="1"/>
    <col min="11780" max="11780" width="12.85546875" style="475" customWidth="1"/>
    <col min="11781" max="11781" width="14.28515625" style="475" bestFit="1" customWidth="1"/>
    <col min="11782" max="11782" width="10.28515625" style="475" bestFit="1" customWidth="1"/>
    <col min="11783" max="11783" width="9.7109375" style="475" bestFit="1" customWidth="1"/>
    <col min="11784" max="12032" width="9.140625" style="475"/>
    <col min="12033" max="12033" width="99.7109375" style="475" customWidth="1"/>
    <col min="12034" max="12034" width="10.7109375" style="475" customWidth="1"/>
    <col min="12035" max="12035" width="10.42578125" style="475" customWidth="1"/>
    <col min="12036" max="12036" width="12.85546875" style="475" customWidth="1"/>
    <col min="12037" max="12037" width="14.28515625" style="475" bestFit="1" customWidth="1"/>
    <col min="12038" max="12038" width="10.28515625" style="475" bestFit="1" customWidth="1"/>
    <col min="12039" max="12039" width="9.7109375" style="475" bestFit="1" customWidth="1"/>
    <col min="12040" max="12288" width="9.140625" style="475"/>
    <col min="12289" max="12289" width="99.7109375" style="475" customWidth="1"/>
    <col min="12290" max="12290" width="10.7109375" style="475" customWidth="1"/>
    <col min="12291" max="12291" width="10.42578125" style="475" customWidth="1"/>
    <col min="12292" max="12292" width="12.85546875" style="475" customWidth="1"/>
    <col min="12293" max="12293" width="14.28515625" style="475" bestFit="1" customWidth="1"/>
    <col min="12294" max="12294" width="10.28515625" style="475" bestFit="1" customWidth="1"/>
    <col min="12295" max="12295" width="9.7109375" style="475" bestFit="1" customWidth="1"/>
    <col min="12296" max="12544" width="9.140625" style="475"/>
    <col min="12545" max="12545" width="99.7109375" style="475" customWidth="1"/>
    <col min="12546" max="12546" width="10.7109375" style="475" customWidth="1"/>
    <col min="12547" max="12547" width="10.42578125" style="475" customWidth="1"/>
    <col min="12548" max="12548" width="12.85546875" style="475" customWidth="1"/>
    <col min="12549" max="12549" width="14.28515625" style="475" bestFit="1" customWidth="1"/>
    <col min="12550" max="12550" width="10.28515625" style="475" bestFit="1" customWidth="1"/>
    <col min="12551" max="12551" width="9.7109375" style="475" bestFit="1" customWidth="1"/>
    <col min="12552" max="12800" width="9.140625" style="475"/>
    <col min="12801" max="12801" width="99.7109375" style="475" customWidth="1"/>
    <col min="12802" max="12802" width="10.7109375" style="475" customWidth="1"/>
    <col min="12803" max="12803" width="10.42578125" style="475" customWidth="1"/>
    <col min="12804" max="12804" width="12.85546875" style="475" customWidth="1"/>
    <col min="12805" max="12805" width="14.28515625" style="475" bestFit="1" customWidth="1"/>
    <col min="12806" max="12806" width="10.28515625" style="475" bestFit="1" customWidth="1"/>
    <col min="12807" max="12807" width="9.7109375" style="475" bestFit="1" customWidth="1"/>
    <col min="12808" max="13056" width="9.140625" style="475"/>
    <col min="13057" max="13057" width="99.7109375" style="475" customWidth="1"/>
    <col min="13058" max="13058" width="10.7109375" style="475" customWidth="1"/>
    <col min="13059" max="13059" width="10.42578125" style="475" customWidth="1"/>
    <col min="13060" max="13060" width="12.85546875" style="475" customWidth="1"/>
    <col min="13061" max="13061" width="14.28515625" style="475" bestFit="1" customWidth="1"/>
    <col min="13062" max="13062" width="10.28515625" style="475" bestFit="1" customWidth="1"/>
    <col min="13063" max="13063" width="9.7109375" style="475" bestFit="1" customWidth="1"/>
    <col min="13064" max="13312" width="9.140625" style="475"/>
    <col min="13313" max="13313" width="99.7109375" style="475" customWidth="1"/>
    <col min="13314" max="13314" width="10.7109375" style="475" customWidth="1"/>
    <col min="13315" max="13315" width="10.42578125" style="475" customWidth="1"/>
    <col min="13316" max="13316" width="12.85546875" style="475" customWidth="1"/>
    <col min="13317" max="13317" width="14.28515625" style="475" bestFit="1" customWidth="1"/>
    <col min="13318" max="13318" width="10.28515625" style="475" bestFit="1" customWidth="1"/>
    <col min="13319" max="13319" width="9.7109375" style="475" bestFit="1" customWidth="1"/>
    <col min="13320" max="13568" width="9.140625" style="475"/>
    <col min="13569" max="13569" width="99.7109375" style="475" customWidth="1"/>
    <col min="13570" max="13570" width="10.7109375" style="475" customWidth="1"/>
    <col min="13571" max="13571" width="10.42578125" style="475" customWidth="1"/>
    <col min="13572" max="13572" width="12.85546875" style="475" customWidth="1"/>
    <col min="13573" max="13573" width="14.28515625" style="475" bestFit="1" customWidth="1"/>
    <col min="13574" max="13574" width="10.28515625" style="475" bestFit="1" customWidth="1"/>
    <col min="13575" max="13575" width="9.7109375" style="475" bestFit="1" customWidth="1"/>
    <col min="13576" max="13824" width="9.140625" style="475"/>
    <col min="13825" max="13825" width="99.7109375" style="475" customWidth="1"/>
    <col min="13826" max="13826" width="10.7109375" style="475" customWidth="1"/>
    <col min="13827" max="13827" width="10.42578125" style="475" customWidth="1"/>
    <col min="13828" max="13828" width="12.85546875" style="475" customWidth="1"/>
    <col min="13829" max="13829" width="14.28515625" style="475" bestFit="1" customWidth="1"/>
    <col min="13830" max="13830" width="10.28515625" style="475" bestFit="1" customWidth="1"/>
    <col min="13831" max="13831" width="9.7109375" style="475" bestFit="1" customWidth="1"/>
    <col min="13832" max="14080" width="9.140625" style="475"/>
    <col min="14081" max="14081" width="99.7109375" style="475" customWidth="1"/>
    <col min="14082" max="14082" width="10.7109375" style="475" customWidth="1"/>
    <col min="14083" max="14083" width="10.42578125" style="475" customWidth="1"/>
    <col min="14084" max="14084" width="12.85546875" style="475" customWidth="1"/>
    <col min="14085" max="14085" width="14.28515625" style="475" bestFit="1" customWidth="1"/>
    <col min="14086" max="14086" width="10.28515625" style="475" bestFit="1" customWidth="1"/>
    <col min="14087" max="14087" width="9.7109375" style="475" bestFit="1" customWidth="1"/>
    <col min="14088" max="14336" width="9.140625" style="475"/>
    <col min="14337" max="14337" width="99.7109375" style="475" customWidth="1"/>
    <col min="14338" max="14338" width="10.7109375" style="475" customWidth="1"/>
    <col min="14339" max="14339" width="10.42578125" style="475" customWidth="1"/>
    <col min="14340" max="14340" width="12.85546875" style="475" customWidth="1"/>
    <col min="14341" max="14341" width="14.28515625" style="475" bestFit="1" customWidth="1"/>
    <col min="14342" max="14342" width="10.28515625" style="475" bestFit="1" customWidth="1"/>
    <col min="14343" max="14343" width="9.7109375" style="475" bestFit="1" customWidth="1"/>
    <col min="14344" max="14592" width="9.140625" style="475"/>
    <col min="14593" max="14593" width="99.7109375" style="475" customWidth="1"/>
    <col min="14594" max="14594" width="10.7109375" style="475" customWidth="1"/>
    <col min="14595" max="14595" width="10.42578125" style="475" customWidth="1"/>
    <col min="14596" max="14596" width="12.85546875" style="475" customWidth="1"/>
    <col min="14597" max="14597" width="14.28515625" style="475" bestFit="1" customWidth="1"/>
    <col min="14598" max="14598" width="10.28515625" style="475" bestFit="1" customWidth="1"/>
    <col min="14599" max="14599" width="9.7109375" style="475" bestFit="1" customWidth="1"/>
    <col min="14600" max="14848" width="9.140625" style="475"/>
    <col min="14849" max="14849" width="99.7109375" style="475" customWidth="1"/>
    <col min="14850" max="14850" width="10.7109375" style="475" customWidth="1"/>
    <col min="14851" max="14851" width="10.42578125" style="475" customWidth="1"/>
    <col min="14852" max="14852" width="12.85546875" style="475" customWidth="1"/>
    <col min="14853" max="14853" width="14.28515625" style="475" bestFit="1" customWidth="1"/>
    <col min="14854" max="14854" width="10.28515625" style="475" bestFit="1" customWidth="1"/>
    <col min="14855" max="14855" width="9.7109375" style="475" bestFit="1" customWidth="1"/>
    <col min="14856" max="15104" width="9.140625" style="475"/>
    <col min="15105" max="15105" width="99.7109375" style="475" customWidth="1"/>
    <col min="15106" max="15106" width="10.7109375" style="475" customWidth="1"/>
    <col min="15107" max="15107" width="10.42578125" style="475" customWidth="1"/>
    <col min="15108" max="15108" width="12.85546875" style="475" customWidth="1"/>
    <col min="15109" max="15109" width="14.28515625" style="475" bestFit="1" customWidth="1"/>
    <col min="15110" max="15110" width="10.28515625" style="475" bestFit="1" customWidth="1"/>
    <col min="15111" max="15111" width="9.7109375" style="475" bestFit="1" customWidth="1"/>
    <col min="15112" max="15360" width="9.140625" style="475"/>
    <col min="15361" max="15361" width="99.7109375" style="475" customWidth="1"/>
    <col min="15362" max="15362" width="10.7109375" style="475" customWidth="1"/>
    <col min="15363" max="15363" width="10.42578125" style="475" customWidth="1"/>
    <col min="15364" max="15364" width="12.85546875" style="475" customWidth="1"/>
    <col min="15365" max="15365" width="14.28515625" style="475" bestFit="1" customWidth="1"/>
    <col min="15366" max="15366" width="10.28515625" style="475" bestFit="1" customWidth="1"/>
    <col min="15367" max="15367" width="9.7109375" style="475" bestFit="1" customWidth="1"/>
    <col min="15368" max="15616" width="9.140625" style="475"/>
    <col min="15617" max="15617" width="99.7109375" style="475" customWidth="1"/>
    <col min="15618" max="15618" width="10.7109375" style="475" customWidth="1"/>
    <col min="15619" max="15619" width="10.42578125" style="475" customWidth="1"/>
    <col min="15620" max="15620" width="12.85546875" style="475" customWidth="1"/>
    <col min="15621" max="15621" width="14.28515625" style="475" bestFit="1" customWidth="1"/>
    <col min="15622" max="15622" width="10.28515625" style="475" bestFit="1" customWidth="1"/>
    <col min="15623" max="15623" width="9.7109375" style="475" bestFit="1" customWidth="1"/>
    <col min="15624" max="15872" width="9.140625" style="475"/>
    <col min="15873" max="15873" width="99.7109375" style="475" customWidth="1"/>
    <col min="15874" max="15874" width="10.7109375" style="475" customWidth="1"/>
    <col min="15875" max="15875" width="10.42578125" style="475" customWidth="1"/>
    <col min="15876" max="15876" width="12.85546875" style="475" customWidth="1"/>
    <col min="15877" max="15877" width="14.28515625" style="475" bestFit="1" customWidth="1"/>
    <col min="15878" max="15878" width="10.28515625" style="475" bestFit="1" customWidth="1"/>
    <col min="15879" max="15879" width="9.7109375" style="475" bestFit="1" customWidth="1"/>
    <col min="15880" max="16128" width="9.140625" style="475"/>
    <col min="16129" max="16129" width="99.7109375" style="475" customWidth="1"/>
    <col min="16130" max="16130" width="10.7109375" style="475" customWidth="1"/>
    <col min="16131" max="16131" width="10.42578125" style="475" customWidth="1"/>
    <col min="16132" max="16132" width="12.85546875" style="475" customWidth="1"/>
    <col min="16133" max="16133" width="14.28515625" style="475" bestFit="1" customWidth="1"/>
    <col min="16134" max="16134" width="10.28515625" style="475" bestFit="1" customWidth="1"/>
    <col min="16135" max="16135" width="9.7109375" style="475" bestFit="1" customWidth="1"/>
    <col min="16136" max="16384" width="9.140625" style="475"/>
  </cols>
  <sheetData>
    <row r="1" spans="1:6" ht="17.25">
      <c r="A1" s="472" t="s">
        <v>2189</v>
      </c>
      <c r="B1" s="473"/>
      <c r="C1" s="473"/>
      <c r="D1" s="474"/>
    </row>
    <row r="2" spans="1:6" ht="13.5" thickBot="1">
      <c r="A2" s="476"/>
      <c r="B2" s="477"/>
      <c r="C2" s="478"/>
      <c r="D2" s="479" t="s">
        <v>49</v>
      </c>
    </row>
    <row r="3" spans="1:6" ht="16.5" thickTop="1">
      <c r="A3" s="480" t="s">
        <v>0</v>
      </c>
      <c r="B3" s="481"/>
      <c r="C3" s="482"/>
      <c r="D3" s="483"/>
      <c r="E3" s="484"/>
      <c r="F3" s="484"/>
    </row>
    <row r="4" spans="1:6">
      <c r="A4" s="485"/>
      <c r="B4" s="486"/>
      <c r="C4" s="487"/>
      <c r="D4" s="488"/>
      <c r="E4" s="484"/>
      <c r="F4" s="484"/>
    </row>
    <row r="5" spans="1:6" ht="15.95" customHeight="1">
      <c r="A5" s="489" t="s">
        <v>2190</v>
      </c>
      <c r="B5" s="490"/>
      <c r="C5" s="491"/>
      <c r="D5" s="492">
        <v>58279.382799351755</v>
      </c>
      <c r="E5" s="493"/>
      <c r="F5" s="484"/>
    </row>
    <row r="6" spans="1:6" ht="15.95" customHeight="1">
      <c r="A6" s="489" t="s">
        <v>2191</v>
      </c>
      <c r="B6" s="490"/>
      <c r="C6" s="491"/>
      <c r="D6" s="492">
        <v>58047.395415158157</v>
      </c>
      <c r="E6" s="484"/>
      <c r="F6" s="494"/>
    </row>
    <row r="7" spans="1:6" ht="15.95" customHeight="1">
      <c r="A7" s="489" t="s">
        <v>2192</v>
      </c>
      <c r="B7" s="490"/>
      <c r="C7" s="491"/>
      <c r="D7" s="492">
        <v>7787.1940826135124</v>
      </c>
      <c r="E7" s="484"/>
      <c r="F7" s="484"/>
    </row>
    <row r="8" spans="1:6" ht="15.95" customHeight="1">
      <c r="A8" s="489" t="s">
        <v>2193</v>
      </c>
      <c r="B8" s="490"/>
      <c r="C8" s="491"/>
      <c r="D8" s="492">
        <v>0</v>
      </c>
      <c r="E8" s="493"/>
      <c r="F8" s="484"/>
    </row>
    <row r="9" spans="1:6" ht="15.95" customHeight="1">
      <c r="A9" s="489" t="s">
        <v>2194</v>
      </c>
      <c r="B9" s="490"/>
      <c r="C9" s="491"/>
      <c r="D9" s="492">
        <v>8869.8294781273507</v>
      </c>
      <c r="E9" s="484"/>
      <c r="F9" s="484"/>
    </row>
    <row r="10" spans="1:6" ht="15.95" customHeight="1">
      <c r="A10" s="489" t="s">
        <v>2195</v>
      </c>
      <c r="B10" s="490"/>
      <c r="C10" s="491"/>
      <c r="D10" s="492">
        <v>869461.13821257371</v>
      </c>
      <c r="E10" s="484"/>
      <c r="F10" s="484"/>
    </row>
    <row r="11" spans="1:6" ht="15.95" customHeight="1">
      <c r="A11" s="495" t="s">
        <v>2196</v>
      </c>
      <c r="B11" s="496"/>
      <c r="C11" s="497">
        <v>324180.65300664189</v>
      </c>
      <c r="D11" s="498"/>
      <c r="E11" s="484"/>
      <c r="F11" s="484"/>
    </row>
    <row r="12" spans="1:6" ht="15.95" customHeight="1">
      <c r="A12" s="495" t="s">
        <v>2197</v>
      </c>
      <c r="B12" s="499">
        <v>276099.46076464833</v>
      </c>
      <c r="C12" s="497"/>
      <c r="D12" s="498"/>
      <c r="E12" s="484"/>
      <c r="F12" s="484"/>
    </row>
    <row r="13" spans="1:6" ht="15.95" customHeight="1">
      <c r="A13" s="495" t="s">
        <v>2198</v>
      </c>
      <c r="B13" s="499">
        <v>44986.994872690091</v>
      </c>
      <c r="C13" s="500"/>
      <c r="D13" s="498"/>
      <c r="E13" s="484"/>
      <c r="F13" s="484"/>
    </row>
    <row r="14" spans="1:6" ht="15.95" customHeight="1">
      <c r="A14" s="495" t="s">
        <v>2199</v>
      </c>
      <c r="B14" s="499">
        <v>169229.58769336183</v>
      </c>
      <c r="C14" s="500"/>
      <c r="D14" s="498"/>
      <c r="E14" s="484"/>
      <c r="F14" s="484"/>
    </row>
    <row r="15" spans="1:6" ht="15.95" customHeight="1">
      <c r="A15" s="495" t="s">
        <v>2200</v>
      </c>
      <c r="B15" s="499">
        <v>61831.407720144016</v>
      </c>
      <c r="C15" s="500"/>
      <c r="D15" s="498"/>
      <c r="E15" s="484"/>
      <c r="F15" s="484"/>
    </row>
    <row r="16" spans="1:6" ht="15.95" customHeight="1">
      <c r="A16" s="495" t="s">
        <v>2201</v>
      </c>
      <c r="B16" s="499">
        <v>51.470478452423009</v>
      </c>
      <c r="C16" s="500"/>
      <c r="D16" s="498"/>
      <c r="E16" s="484"/>
      <c r="F16" s="484"/>
    </row>
    <row r="17" spans="1:6" ht="15.95" customHeight="1">
      <c r="A17" s="495" t="s">
        <v>2202</v>
      </c>
      <c r="B17" s="499">
        <v>48081.192241993595</v>
      </c>
      <c r="C17" s="500"/>
      <c r="D17" s="498"/>
      <c r="E17" s="484"/>
      <c r="F17" s="484"/>
    </row>
    <row r="18" spans="1:6" ht="15.95" customHeight="1">
      <c r="A18" s="495" t="s">
        <v>2198</v>
      </c>
      <c r="B18" s="499">
        <v>33920.129009710297</v>
      </c>
      <c r="C18" s="500"/>
      <c r="D18" s="498"/>
      <c r="E18" s="493"/>
      <c r="F18" s="484"/>
    </row>
    <row r="19" spans="1:6" ht="15.95" customHeight="1">
      <c r="A19" s="495" t="s">
        <v>2199</v>
      </c>
      <c r="B19" s="499">
        <v>2739.5015322021159</v>
      </c>
      <c r="C19" s="500"/>
      <c r="D19" s="498"/>
      <c r="E19" s="493"/>
      <c r="F19" s="484"/>
    </row>
    <row r="20" spans="1:6" ht="15.95" customHeight="1">
      <c r="A20" s="495" t="s">
        <v>2200</v>
      </c>
      <c r="B20" s="499">
        <v>11417.535082519929</v>
      </c>
      <c r="C20" s="500"/>
      <c r="D20" s="498"/>
      <c r="E20" s="493"/>
      <c r="F20" s="484"/>
    </row>
    <row r="21" spans="1:6" ht="15.95" customHeight="1">
      <c r="A21" s="495" t="s">
        <v>2201</v>
      </c>
      <c r="B21" s="499">
        <v>4.0266175612500001</v>
      </c>
      <c r="C21" s="500"/>
      <c r="D21" s="498"/>
      <c r="E21" s="493"/>
      <c r="F21" s="484"/>
    </row>
    <row r="22" spans="1:6" ht="15.95" customHeight="1">
      <c r="A22" s="495" t="s">
        <v>2203</v>
      </c>
      <c r="B22" s="499"/>
      <c r="C22" s="497">
        <v>32341.296459479432</v>
      </c>
      <c r="D22" s="498"/>
      <c r="E22" s="493"/>
      <c r="F22" s="484"/>
    </row>
    <row r="23" spans="1:6" ht="15.95" customHeight="1">
      <c r="A23" s="495" t="s">
        <v>2204</v>
      </c>
      <c r="B23" s="499">
        <v>18898.051161260195</v>
      </c>
      <c r="C23" s="500"/>
      <c r="D23" s="498"/>
      <c r="E23" s="493"/>
      <c r="F23" s="484"/>
    </row>
    <row r="24" spans="1:6" ht="15.95" customHeight="1">
      <c r="A24" s="495" t="s">
        <v>2205</v>
      </c>
      <c r="B24" s="499">
        <v>2981.6961421541423</v>
      </c>
      <c r="C24" s="500"/>
      <c r="D24" s="498"/>
      <c r="E24" s="493"/>
      <c r="F24" s="484"/>
    </row>
    <row r="25" spans="1:6" ht="15.95" customHeight="1">
      <c r="A25" s="495" t="s">
        <v>2206</v>
      </c>
      <c r="B25" s="499">
        <v>3720.6939333243454</v>
      </c>
      <c r="C25" s="500"/>
      <c r="D25" s="498"/>
      <c r="E25" s="493"/>
      <c r="F25" s="484"/>
    </row>
    <row r="26" spans="1:6" ht="15.95" customHeight="1">
      <c r="A26" s="495" t="s">
        <v>2207</v>
      </c>
      <c r="B26" s="499">
        <v>12195.661085781709</v>
      </c>
      <c r="C26" s="500"/>
      <c r="D26" s="498"/>
      <c r="E26" s="493"/>
      <c r="F26" s="484"/>
    </row>
    <row r="27" spans="1:6" ht="15.95" customHeight="1">
      <c r="A27" s="495" t="s">
        <v>2208</v>
      </c>
      <c r="B27" s="499">
        <v>0</v>
      </c>
      <c r="C27" s="500"/>
      <c r="D27" s="498"/>
      <c r="E27" s="493"/>
      <c r="F27" s="484"/>
    </row>
    <row r="28" spans="1:6" ht="15.95" customHeight="1">
      <c r="A28" s="495" t="s">
        <v>2209</v>
      </c>
      <c r="B28" s="499">
        <v>13443.245298219235</v>
      </c>
      <c r="C28" s="500"/>
      <c r="D28" s="498"/>
      <c r="E28" s="493"/>
      <c r="F28" s="484"/>
    </row>
    <row r="29" spans="1:6" ht="15.95" customHeight="1">
      <c r="A29" s="495" t="s">
        <v>2205</v>
      </c>
      <c r="B29" s="499">
        <v>7231.3039333918077</v>
      </c>
      <c r="C29" s="500"/>
      <c r="D29" s="498"/>
      <c r="E29" s="493"/>
      <c r="F29" s="484"/>
    </row>
    <row r="30" spans="1:6" ht="15.95" customHeight="1">
      <c r="A30" s="495" t="s">
        <v>2206</v>
      </c>
      <c r="B30" s="499">
        <v>19.412490747002774</v>
      </c>
      <c r="C30" s="500"/>
      <c r="D30" s="498"/>
      <c r="E30" s="493"/>
      <c r="F30" s="484"/>
    </row>
    <row r="31" spans="1:6" ht="15.95" customHeight="1">
      <c r="A31" s="495" t="s">
        <v>2207</v>
      </c>
      <c r="B31" s="499">
        <v>6192.5288740804244</v>
      </c>
      <c r="C31" s="500"/>
      <c r="D31" s="498"/>
      <c r="E31" s="493"/>
      <c r="F31" s="484"/>
    </row>
    <row r="32" spans="1:6" ht="15.95" customHeight="1">
      <c r="A32" s="495" t="s">
        <v>2208</v>
      </c>
      <c r="B32" s="499">
        <v>0</v>
      </c>
      <c r="C32" s="497"/>
      <c r="D32" s="498"/>
      <c r="E32" s="493"/>
      <c r="F32" s="484"/>
    </row>
    <row r="33" spans="1:6" ht="15.95" customHeight="1">
      <c r="A33" s="495" t="s">
        <v>2210</v>
      </c>
      <c r="B33" s="499"/>
      <c r="C33" s="497">
        <v>4959.2708700171343</v>
      </c>
      <c r="D33" s="498"/>
      <c r="E33" s="484"/>
      <c r="F33" s="484"/>
    </row>
    <row r="34" spans="1:6" ht="15.95" customHeight="1">
      <c r="A34" s="495" t="s">
        <v>2211</v>
      </c>
      <c r="B34" s="499">
        <v>2024.3524773250651</v>
      </c>
      <c r="C34" s="500"/>
      <c r="D34" s="498"/>
      <c r="E34" s="484"/>
      <c r="F34" s="484"/>
    </row>
    <row r="35" spans="1:6" ht="15.95" customHeight="1">
      <c r="A35" s="495" t="s">
        <v>2212</v>
      </c>
      <c r="B35" s="499">
        <v>2566.2903367836866</v>
      </c>
      <c r="C35" s="500"/>
      <c r="D35" s="498"/>
      <c r="E35" s="484"/>
      <c r="F35" s="484"/>
    </row>
    <row r="36" spans="1:6" ht="15.95" customHeight="1">
      <c r="A36" s="495" t="s">
        <v>2213</v>
      </c>
      <c r="B36" s="499">
        <v>368.62805590838371</v>
      </c>
      <c r="C36" s="500"/>
      <c r="D36" s="498"/>
      <c r="E36" s="484"/>
      <c r="F36" s="484"/>
    </row>
    <row r="37" spans="1:6" ht="15.95" customHeight="1">
      <c r="A37" s="495" t="s">
        <v>2214</v>
      </c>
      <c r="B37" s="499"/>
      <c r="C37" s="497">
        <v>2816.4611260930737</v>
      </c>
      <c r="D37" s="498"/>
      <c r="E37" s="493"/>
      <c r="F37" s="484"/>
    </row>
    <row r="38" spans="1:6" ht="15.95" customHeight="1">
      <c r="A38" s="495" t="s">
        <v>2197</v>
      </c>
      <c r="B38" s="499">
        <v>112.99061643999998</v>
      </c>
      <c r="C38" s="500"/>
      <c r="D38" s="498"/>
      <c r="E38" s="493"/>
      <c r="F38" s="484"/>
    </row>
    <row r="39" spans="1:6" ht="15.95" customHeight="1">
      <c r="A39" s="495" t="s">
        <v>2198</v>
      </c>
      <c r="B39" s="499">
        <v>94.241966709999986</v>
      </c>
      <c r="C39" s="500"/>
      <c r="D39" s="498"/>
      <c r="E39" s="493"/>
      <c r="F39" s="484"/>
    </row>
    <row r="40" spans="1:6" ht="15.95" customHeight="1">
      <c r="A40" s="495" t="s">
        <v>2199</v>
      </c>
      <c r="B40" s="499">
        <v>18.74864973</v>
      </c>
      <c r="C40" s="500"/>
      <c r="D40" s="498"/>
      <c r="E40" s="484"/>
      <c r="F40" s="484"/>
    </row>
    <row r="41" spans="1:6" ht="15.95" customHeight="1">
      <c r="A41" s="495" t="s">
        <v>2200</v>
      </c>
      <c r="B41" s="499">
        <v>0</v>
      </c>
      <c r="C41" s="500"/>
      <c r="D41" s="498"/>
      <c r="E41" s="484"/>
      <c r="F41" s="484"/>
    </row>
    <row r="42" spans="1:6" ht="15.95" customHeight="1">
      <c r="A42" s="495" t="s">
        <v>2202</v>
      </c>
      <c r="B42" s="499">
        <v>2703.4705096530738</v>
      </c>
      <c r="C42" s="500"/>
      <c r="D42" s="498"/>
      <c r="E42" s="484"/>
      <c r="F42" s="484"/>
    </row>
    <row r="43" spans="1:6" ht="15.95" customHeight="1">
      <c r="A43" s="495" t="s">
        <v>2198</v>
      </c>
      <c r="B43" s="499">
        <v>1118.1168927093615</v>
      </c>
      <c r="C43" s="500"/>
      <c r="D43" s="498"/>
      <c r="E43" s="484"/>
      <c r="F43" s="484"/>
    </row>
    <row r="44" spans="1:6" ht="15.95" customHeight="1">
      <c r="A44" s="495" t="s">
        <v>2199</v>
      </c>
      <c r="B44" s="499">
        <v>0</v>
      </c>
      <c r="C44" s="500"/>
      <c r="D44" s="498"/>
      <c r="E44" s="484"/>
      <c r="F44" s="484"/>
    </row>
    <row r="45" spans="1:6" ht="15.95" customHeight="1">
      <c r="A45" s="495" t="s">
        <v>2200</v>
      </c>
      <c r="B45" s="499">
        <v>1585.3536169437123</v>
      </c>
      <c r="C45" s="500"/>
      <c r="D45" s="498"/>
      <c r="E45" s="484"/>
      <c r="F45" s="484"/>
    </row>
    <row r="46" spans="1:6" ht="15.95" customHeight="1">
      <c r="A46" s="495" t="s">
        <v>2215</v>
      </c>
      <c r="B46" s="499"/>
      <c r="C46" s="497">
        <v>350918.75516035786</v>
      </c>
      <c r="D46" s="498"/>
      <c r="E46" s="484"/>
      <c r="F46" s="484"/>
    </row>
    <row r="47" spans="1:6" ht="15.95" customHeight="1">
      <c r="A47" s="495" t="s">
        <v>2204</v>
      </c>
      <c r="B47" s="499">
        <v>583.96191760499323</v>
      </c>
      <c r="C47" s="500"/>
      <c r="D47" s="498"/>
      <c r="E47" s="484"/>
      <c r="F47" s="484"/>
    </row>
    <row r="48" spans="1:6" ht="15.95" customHeight="1">
      <c r="A48" s="495" t="s">
        <v>2205</v>
      </c>
      <c r="B48" s="499">
        <v>402.60308879749857</v>
      </c>
      <c r="C48" s="500"/>
      <c r="D48" s="498"/>
      <c r="E48" s="484"/>
      <c r="F48" s="484"/>
    </row>
    <row r="49" spans="1:6" ht="15.95" customHeight="1">
      <c r="A49" s="495" t="s">
        <v>2206</v>
      </c>
      <c r="B49" s="499">
        <v>10.294887191138638</v>
      </c>
      <c r="C49" s="500"/>
      <c r="D49" s="498"/>
      <c r="E49" s="484"/>
      <c r="F49" s="484"/>
    </row>
    <row r="50" spans="1:6" ht="15.95" customHeight="1">
      <c r="A50" s="495" t="s">
        <v>2207</v>
      </c>
      <c r="B50" s="499">
        <v>171.06394161635598</v>
      </c>
      <c r="C50" s="500"/>
      <c r="D50" s="498"/>
      <c r="E50" s="484"/>
      <c r="F50" s="484"/>
    </row>
    <row r="51" spans="1:6" ht="15.95" customHeight="1">
      <c r="A51" s="495" t="s">
        <v>2208</v>
      </c>
      <c r="B51" s="499">
        <v>0</v>
      </c>
      <c r="C51" s="500"/>
      <c r="D51" s="498"/>
      <c r="E51" s="484"/>
      <c r="F51" s="484"/>
    </row>
    <row r="52" spans="1:6" ht="15.95" customHeight="1">
      <c r="A52" s="495" t="s">
        <v>2209</v>
      </c>
      <c r="B52" s="499">
        <v>350334.79324275284</v>
      </c>
      <c r="C52" s="500"/>
      <c r="D52" s="498"/>
      <c r="E52" s="484"/>
      <c r="F52" s="484"/>
    </row>
    <row r="53" spans="1:6" ht="15.95" customHeight="1">
      <c r="A53" s="495" t="s">
        <v>2205</v>
      </c>
      <c r="B53" s="499">
        <v>199645.5881937386</v>
      </c>
      <c r="C53" s="500"/>
      <c r="D53" s="498"/>
      <c r="E53" s="484"/>
      <c r="F53" s="484"/>
    </row>
    <row r="54" spans="1:6" ht="15.95" customHeight="1">
      <c r="A54" s="495" t="s">
        <v>2206</v>
      </c>
      <c r="B54" s="499">
        <v>1732.5670803187968</v>
      </c>
      <c r="C54" s="500"/>
      <c r="D54" s="498"/>
      <c r="E54" s="484"/>
      <c r="F54" s="484"/>
    </row>
    <row r="55" spans="1:6" ht="15.95" customHeight="1">
      <c r="A55" s="495" t="s">
        <v>2207</v>
      </c>
      <c r="B55" s="499">
        <v>148956.63796869549</v>
      </c>
      <c r="C55" s="500"/>
      <c r="D55" s="498"/>
      <c r="E55" s="484"/>
      <c r="F55" s="484"/>
    </row>
    <row r="56" spans="1:6" ht="15.95" customHeight="1">
      <c r="A56" s="495" t="s">
        <v>2208</v>
      </c>
      <c r="B56" s="499">
        <v>0</v>
      </c>
      <c r="C56" s="500"/>
      <c r="D56" s="498"/>
      <c r="E56" s="484"/>
      <c r="F56" s="484"/>
    </row>
    <row r="57" spans="1:6" ht="15.95" customHeight="1">
      <c r="A57" s="495" t="s">
        <v>2216</v>
      </c>
      <c r="B57" s="499"/>
      <c r="C57" s="497">
        <v>139967.90363891356</v>
      </c>
      <c r="D57" s="498"/>
      <c r="E57" s="484"/>
      <c r="F57" s="484"/>
    </row>
    <row r="58" spans="1:6" ht="15.95" customHeight="1">
      <c r="A58" s="495" t="s">
        <v>2204</v>
      </c>
      <c r="B58" s="499">
        <v>18391.18982520053</v>
      </c>
      <c r="C58" s="500"/>
      <c r="D58" s="498"/>
      <c r="E58" s="484"/>
      <c r="F58" s="484"/>
    </row>
    <row r="59" spans="1:6" ht="15.95" customHeight="1">
      <c r="A59" s="495" t="s">
        <v>2205</v>
      </c>
      <c r="B59" s="499">
        <v>1800.4441015043265</v>
      </c>
      <c r="C59" s="500"/>
      <c r="D59" s="498"/>
      <c r="E59" s="484"/>
      <c r="F59" s="484"/>
    </row>
    <row r="60" spans="1:6" ht="15.95" customHeight="1">
      <c r="A60" s="495" t="s">
        <v>2206</v>
      </c>
      <c r="B60" s="499">
        <v>11331.580977389232</v>
      </c>
      <c r="C60" s="500"/>
      <c r="D60" s="498"/>
      <c r="E60" s="484"/>
      <c r="F60" s="484"/>
    </row>
    <row r="61" spans="1:6" ht="15.95" customHeight="1">
      <c r="A61" s="495" t="s">
        <v>2207</v>
      </c>
      <c r="B61" s="499">
        <v>5259.0647463069745</v>
      </c>
      <c r="C61" s="500"/>
      <c r="D61" s="498"/>
      <c r="E61" s="484"/>
      <c r="F61" s="484"/>
    </row>
    <row r="62" spans="1:6" ht="15.95" customHeight="1">
      <c r="A62" s="495" t="s">
        <v>2208</v>
      </c>
      <c r="B62" s="499">
        <v>0.1</v>
      </c>
      <c r="C62" s="500"/>
      <c r="D62" s="498"/>
      <c r="E62" s="484"/>
      <c r="F62" s="484"/>
    </row>
    <row r="63" spans="1:6" ht="15.95" customHeight="1">
      <c r="A63" s="495" t="s">
        <v>2209</v>
      </c>
      <c r="B63" s="499">
        <v>121576.71381371301</v>
      </c>
      <c r="C63" s="500"/>
      <c r="D63" s="498"/>
      <c r="E63" s="484"/>
      <c r="F63" s="484"/>
    </row>
    <row r="64" spans="1:6" ht="15.95" customHeight="1">
      <c r="A64" s="495" t="s">
        <v>2205</v>
      </c>
      <c r="B64" s="499">
        <v>76627.428979794611</v>
      </c>
      <c r="C64" s="500"/>
      <c r="D64" s="498"/>
      <c r="E64" s="484"/>
      <c r="F64" s="484"/>
    </row>
    <row r="65" spans="1:6" ht="15.95" customHeight="1">
      <c r="A65" s="495" t="s">
        <v>2206</v>
      </c>
      <c r="B65" s="499">
        <v>1474.6677583678215</v>
      </c>
      <c r="C65" s="500"/>
      <c r="D65" s="498"/>
      <c r="E65" s="484"/>
      <c r="F65" s="484"/>
    </row>
    <row r="66" spans="1:6" ht="15.95" customHeight="1">
      <c r="A66" s="495" t="s">
        <v>2207</v>
      </c>
      <c r="B66" s="499">
        <v>43474.617075550566</v>
      </c>
      <c r="C66" s="500"/>
      <c r="D66" s="498"/>
      <c r="E66" s="484"/>
      <c r="F66" s="484"/>
    </row>
    <row r="67" spans="1:6" ht="15.95" customHeight="1">
      <c r="A67" s="495" t="s">
        <v>2208</v>
      </c>
      <c r="B67" s="499">
        <v>0</v>
      </c>
      <c r="C67" s="500"/>
      <c r="D67" s="498"/>
      <c r="E67" s="484"/>
      <c r="F67" s="484"/>
    </row>
    <row r="68" spans="1:6" ht="15.95" customHeight="1">
      <c r="A68" s="495" t="s">
        <v>2217</v>
      </c>
      <c r="B68" s="499"/>
      <c r="C68" s="497">
        <v>14276.797951070766</v>
      </c>
      <c r="D68" s="498"/>
      <c r="E68" s="484"/>
      <c r="F68" s="484"/>
    </row>
    <row r="69" spans="1:6" ht="15.95" customHeight="1">
      <c r="A69" s="495" t="s">
        <v>2204</v>
      </c>
      <c r="B69" s="499">
        <v>451.0080078776121</v>
      </c>
      <c r="C69" s="500"/>
      <c r="D69" s="498"/>
      <c r="E69" s="484"/>
      <c r="F69" s="484"/>
    </row>
    <row r="70" spans="1:6" ht="15.95" customHeight="1">
      <c r="A70" s="495" t="s">
        <v>2205</v>
      </c>
      <c r="B70" s="499">
        <v>451.0080078776121</v>
      </c>
      <c r="C70" s="500"/>
      <c r="D70" s="498"/>
      <c r="E70" s="484"/>
      <c r="F70" s="484"/>
    </row>
    <row r="71" spans="1:6" ht="15.95" customHeight="1">
      <c r="A71" s="495" t="s">
        <v>2206</v>
      </c>
      <c r="B71" s="499">
        <v>0</v>
      </c>
      <c r="C71" s="500"/>
      <c r="D71" s="498"/>
      <c r="E71" s="484"/>
      <c r="F71" s="484"/>
    </row>
    <row r="72" spans="1:6" ht="15.95" customHeight="1">
      <c r="A72" s="495" t="s">
        <v>2218</v>
      </c>
      <c r="B72" s="499">
        <v>0</v>
      </c>
      <c r="C72" s="500"/>
      <c r="D72" s="498"/>
      <c r="E72" s="484"/>
      <c r="F72" s="484"/>
    </row>
    <row r="73" spans="1:6" ht="15.95" customHeight="1">
      <c r="A73" s="495" t="s">
        <v>2209</v>
      </c>
      <c r="B73" s="499">
        <v>13825.789943193155</v>
      </c>
      <c r="C73" s="500"/>
      <c r="D73" s="498"/>
      <c r="E73" s="484"/>
      <c r="F73" s="484"/>
    </row>
    <row r="74" spans="1:6" ht="15.95" customHeight="1">
      <c r="A74" s="495" t="s">
        <v>2205</v>
      </c>
      <c r="B74" s="499">
        <v>3493.2368331336556</v>
      </c>
      <c r="C74" s="500"/>
      <c r="D74" s="498"/>
      <c r="E74" s="484"/>
      <c r="F74" s="484"/>
    </row>
    <row r="75" spans="1:6" ht="15.95" customHeight="1">
      <c r="A75" s="495" t="s">
        <v>2206</v>
      </c>
      <c r="B75" s="499">
        <v>0</v>
      </c>
      <c r="C75" s="500"/>
      <c r="D75" s="498"/>
      <c r="E75" s="484"/>
      <c r="F75" s="484"/>
    </row>
    <row r="76" spans="1:6" ht="15.95" customHeight="1">
      <c r="A76" s="495" t="s">
        <v>2207</v>
      </c>
      <c r="B76" s="499">
        <v>10332.5531100595</v>
      </c>
      <c r="C76" s="491"/>
      <c r="D76" s="492"/>
      <c r="E76" s="493"/>
      <c r="F76" s="484"/>
    </row>
    <row r="77" spans="1:6" ht="15.95" customHeight="1">
      <c r="A77" s="489" t="s">
        <v>2219</v>
      </c>
      <c r="B77" s="490"/>
      <c r="C77" s="497"/>
      <c r="D77" s="492">
        <v>200.00000000264563</v>
      </c>
      <c r="E77" s="493"/>
      <c r="F77" s="484"/>
    </row>
    <row r="78" spans="1:6" ht="15.95" customHeight="1">
      <c r="A78" s="495"/>
      <c r="B78" s="501"/>
      <c r="C78" s="497"/>
      <c r="D78" s="502"/>
      <c r="E78" s="493"/>
      <c r="F78" s="484"/>
    </row>
    <row r="79" spans="1:6" ht="15.95" customHeight="1">
      <c r="A79" s="495"/>
      <c r="B79" s="501"/>
      <c r="C79" s="497"/>
      <c r="D79" s="498"/>
      <c r="E79" s="493"/>
      <c r="F79" s="484"/>
    </row>
    <row r="80" spans="1:6" ht="15.95" customHeight="1">
      <c r="A80" s="489" t="s">
        <v>2220</v>
      </c>
      <c r="B80" s="501"/>
      <c r="C80" s="501"/>
      <c r="D80" s="492">
        <v>120633.51818665295</v>
      </c>
      <c r="E80" s="484"/>
      <c r="F80" s="484"/>
    </row>
    <row r="81" spans="1:6" ht="15.95" customHeight="1">
      <c r="A81" s="495" t="s">
        <v>2221</v>
      </c>
      <c r="B81" s="499"/>
      <c r="C81" s="497">
        <v>1858.6836049278797</v>
      </c>
      <c r="D81" s="498"/>
      <c r="E81" s="484"/>
      <c r="F81" s="484"/>
    </row>
    <row r="82" spans="1:6" ht="15.95" customHeight="1">
      <c r="A82" s="503" t="s">
        <v>2222</v>
      </c>
      <c r="B82" s="499">
        <v>712.19731223999997</v>
      </c>
      <c r="C82" s="491"/>
      <c r="D82" s="498"/>
      <c r="E82" s="484"/>
      <c r="F82" s="484"/>
    </row>
    <row r="83" spans="1:6" ht="15.95" customHeight="1">
      <c r="A83" s="503" t="s">
        <v>2223</v>
      </c>
      <c r="B83" s="499">
        <v>0</v>
      </c>
      <c r="C83" s="491"/>
      <c r="D83" s="498"/>
      <c r="E83" s="484"/>
      <c r="F83" s="484"/>
    </row>
    <row r="84" spans="1:6" ht="15.95" customHeight="1">
      <c r="A84" s="503" t="s">
        <v>2224</v>
      </c>
      <c r="B84" s="499">
        <v>0</v>
      </c>
      <c r="C84" s="491"/>
      <c r="D84" s="498"/>
      <c r="E84" s="484"/>
      <c r="F84" s="484"/>
    </row>
    <row r="85" spans="1:6" ht="15.95" customHeight="1">
      <c r="A85" s="503" t="s">
        <v>2225</v>
      </c>
      <c r="B85" s="499">
        <v>1146.4862926878798</v>
      </c>
      <c r="C85" s="491"/>
      <c r="D85" s="498"/>
      <c r="E85" s="484"/>
      <c r="F85" s="484"/>
    </row>
    <row r="86" spans="1:6" ht="15.95" customHeight="1">
      <c r="A86" s="495" t="s">
        <v>2226</v>
      </c>
      <c r="B86" s="499"/>
      <c r="C86" s="497">
        <v>4254.7743337978827</v>
      </c>
      <c r="D86" s="498"/>
      <c r="E86" s="484"/>
      <c r="F86" s="484"/>
    </row>
    <row r="87" spans="1:6" ht="15.95" customHeight="1">
      <c r="A87" s="495" t="s">
        <v>2227</v>
      </c>
      <c r="B87" s="499"/>
      <c r="C87" s="497">
        <v>27717.738382373613</v>
      </c>
      <c r="D87" s="498"/>
      <c r="E87" s="484"/>
      <c r="F87" s="484"/>
    </row>
    <row r="88" spans="1:6" ht="15.95" customHeight="1">
      <c r="A88" s="495" t="s">
        <v>2228</v>
      </c>
      <c r="B88" s="499"/>
      <c r="C88" s="497">
        <v>80600.257471513571</v>
      </c>
      <c r="D88" s="502"/>
      <c r="E88" s="484"/>
      <c r="F88" s="484"/>
    </row>
    <row r="89" spans="1:6" ht="15.95" customHeight="1">
      <c r="A89" s="495" t="s">
        <v>2229</v>
      </c>
      <c r="B89" s="499">
        <v>2591.8495737100002</v>
      </c>
      <c r="C89" s="500"/>
      <c r="D89" s="498"/>
      <c r="E89" s="484"/>
      <c r="F89" s="484"/>
    </row>
    <row r="90" spans="1:6" ht="15.95" customHeight="1">
      <c r="A90" s="495" t="s">
        <v>2230</v>
      </c>
      <c r="B90" s="499">
        <v>78008.407897803554</v>
      </c>
      <c r="C90" s="500"/>
      <c r="D90" s="498"/>
      <c r="E90" s="484"/>
      <c r="F90" s="494"/>
    </row>
    <row r="91" spans="1:6" ht="15.95" customHeight="1">
      <c r="A91" s="495" t="s">
        <v>2231</v>
      </c>
      <c r="B91" s="499"/>
      <c r="C91" s="497">
        <v>6202.0643940400005</v>
      </c>
      <c r="D91" s="498"/>
      <c r="E91" s="484"/>
      <c r="F91" s="484"/>
    </row>
    <row r="92" spans="1:6" ht="15.95" customHeight="1">
      <c r="A92" s="495" t="s">
        <v>2232</v>
      </c>
      <c r="B92" s="499">
        <v>48.85163215</v>
      </c>
      <c r="C92" s="500"/>
      <c r="D92" s="498"/>
      <c r="E92" s="493"/>
      <c r="F92" s="484"/>
    </row>
    <row r="93" spans="1:6" ht="15.95" customHeight="1">
      <c r="A93" s="495" t="s">
        <v>2233</v>
      </c>
      <c r="B93" s="499">
        <v>6153.2127618900013</v>
      </c>
      <c r="C93" s="500"/>
      <c r="D93" s="498"/>
      <c r="E93" s="504"/>
      <c r="F93" s="484"/>
    </row>
    <row r="94" spans="1:6" ht="15.95" customHeight="1">
      <c r="A94" s="489" t="s">
        <v>2234</v>
      </c>
      <c r="B94" s="499"/>
      <c r="C94" s="499"/>
      <c r="D94" s="492">
        <v>298.92897366307699</v>
      </c>
      <c r="E94" s="505"/>
      <c r="F94" s="484"/>
    </row>
    <row r="95" spans="1:6" ht="15.95" customHeight="1">
      <c r="A95" s="489" t="s">
        <v>2235</v>
      </c>
      <c r="B95" s="490"/>
      <c r="C95" s="491"/>
      <c r="D95" s="492">
        <v>0</v>
      </c>
      <c r="E95" s="484"/>
    </row>
    <row r="96" spans="1:6" ht="15.95" customHeight="1">
      <c r="A96" s="489" t="s">
        <v>2236</v>
      </c>
      <c r="B96" s="490"/>
      <c r="C96" s="490"/>
      <c r="D96" s="492">
        <v>59745.44748681505</v>
      </c>
      <c r="E96" s="506"/>
    </row>
    <row r="97" spans="1:6" ht="15.95" customHeight="1">
      <c r="A97" s="489"/>
      <c r="B97" s="507"/>
      <c r="C97" s="491"/>
      <c r="D97" s="502"/>
      <c r="E97" s="506"/>
      <c r="F97" s="506"/>
    </row>
    <row r="98" spans="1:6" ht="15.95" customHeight="1">
      <c r="A98" s="489" t="s">
        <v>2237</v>
      </c>
      <c r="B98" s="490"/>
      <c r="C98" s="490"/>
      <c r="D98" s="492">
        <v>1183322.8346349585</v>
      </c>
      <c r="E98" s="508"/>
      <c r="F98" s="508"/>
    </row>
    <row r="99" spans="1:6" ht="15.95" customHeight="1">
      <c r="A99" s="495"/>
      <c r="B99" s="501"/>
      <c r="C99" s="491"/>
      <c r="D99" s="498"/>
      <c r="E99" s="506"/>
      <c r="F99" s="506"/>
    </row>
    <row r="100" spans="1:6" ht="15.95" customHeight="1">
      <c r="A100" s="489" t="s">
        <v>2238</v>
      </c>
      <c r="B100" s="501"/>
      <c r="C100" s="491"/>
      <c r="D100" s="492">
        <v>79335.383138803241</v>
      </c>
      <c r="E100" s="509"/>
      <c r="F100" s="506"/>
    </row>
    <row r="101" spans="1:6" ht="15.95" customHeight="1">
      <c r="A101" s="489" t="s">
        <v>2239</v>
      </c>
      <c r="B101" s="501"/>
      <c r="C101" s="491"/>
      <c r="D101" s="492">
        <v>887.41050253614003</v>
      </c>
      <c r="E101" s="506"/>
      <c r="F101" s="506"/>
    </row>
    <row r="102" spans="1:6" ht="15.95" customHeight="1">
      <c r="A102" s="489" t="s">
        <v>2240</v>
      </c>
      <c r="B102" s="510"/>
      <c r="C102" s="511"/>
      <c r="D102" s="492">
        <v>23356.563910461125</v>
      </c>
      <c r="E102" s="506"/>
      <c r="F102" s="506"/>
    </row>
    <row r="103" spans="1:6" ht="15.95" customHeight="1" thickBot="1">
      <c r="A103" s="512"/>
      <c r="B103" s="513"/>
      <c r="C103" s="514"/>
      <c r="D103" s="515"/>
    </row>
    <row r="104" spans="1:6" ht="15.95" customHeight="1" thickTop="1">
      <c r="A104" s="501"/>
      <c r="B104" s="510"/>
      <c r="C104" s="511"/>
      <c r="D104" s="516"/>
    </row>
    <row r="105" spans="1:6" ht="15.95" customHeight="1">
      <c r="A105" s="517"/>
      <c r="B105" s="517"/>
      <c r="C105" s="507"/>
      <c r="D105" s="518"/>
    </row>
    <row r="106" spans="1:6" ht="15.95" customHeight="1" thickBot="1">
      <c r="A106" s="507"/>
      <c r="B106" s="517"/>
      <c r="C106" s="507"/>
      <c r="D106" s="479" t="s">
        <v>49</v>
      </c>
    </row>
    <row r="107" spans="1:6" ht="15.95" customHeight="1" thickTop="1">
      <c r="A107" s="519" t="s">
        <v>1</v>
      </c>
      <c r="B107" s="520"/>
      <c r="C107" s="521"/>
      <c r="D107" s="522"/>
    </row>
    <row r="108" spans="1:6" ht="15.95" customHeight="1">
      <c r="A108" s="495"/>
      <c r="B108" s="501"/>
      <c r="C108" s="491"/>
      <c r="D108" s="498"/>
    </row>
    <row r="109" spans="1:6" ht="15.95" customHeight="1">
      <c r="A109" s="489" t="s">
        <v>2241</v>
      </c>
      <c r="B109" s="490"/>
      <c r="C109" s="491"/>
      <c r="D109" s="492">
        <v>4382.5595780579861</v>
      </c>
    </row>
    <row r="110" spans="1:6" ht="15.95" customHeight="1">
      <c r="A110" s="489" t="s">
        <v>2242</v>
      </c>
      <c r="B110" s="490"/>
      <c r="C110" s="491"/>
      <c r="D110" s="492">
        <v>48452.474201602265</v>
      </c>
    </row>
    <row r="111" spans="1:6" ht="15.95" customHeight="1">
      <c r="A111" s="489" t="s">
        <v>2243</v>
      </c>
      <c r="B111" s="490"/>
      <c r="C111" s="491"/>
      <c r="D111" s="492">
        <v>0</v>
      </c>
    </row>
    <row r="112" spans="1:6" ht="15.95" customHeight="1">
      <c r="A112" s="489" t="s">
        <v>2244</v>
      </c>
      <c r="B112" s="490"/>
      <c r="C112" s="491"/>
      <c r="D112" s="492">
        <v>18882.365288663474</v>
      </c>
    </row>
    <row r="113" spans="1:4" ht="15.95" customHeight="1">
      <c r="A113" s="489" t="s">
        <v>2245</v>
      </c>
      <c r="B113" s="490"/>
      <c r="C113" s="491"/>
      <c r="D113" s="492">
        <v>75358.408171963616</v>
      </c>
    </row>
    <row r="114" spans="1:4" ht="15.95" customHeight="1">
      <c r="A114" s="495" t="s">
        <v>2246</v>
      </c>
      <c r="B114" s="501"/>
      <c r="C114" s="497">
        <v>24312.420672213637</v>
      </c>
      <c r="D114" s="498"/>
    </row>
    <row r="115" spans="1:4" ht="15.95" customHeight="1">
      <c r="A115" s="495" t="s">
        <v>2247</v>
      </c>
      <c r="B115" s="523"/>
      <c r="C115" s="524">
        <v>0</v>
      </c>
      <c r="D115" s="498"/>
    </row>
    <row r="116" spans="1:4" ht="15.95" customHeight="1">
      <c r="A116" s="503" t="s">
        <v>2248</v>
      </c>
      <c r="B116" s="499"/>
      <c r="C116" s="524">
        <v>0</v>
      </c>
      <c r="D116" s="498"/>
    </row>
    <row r="117" spans="1:4" ht="15.95" customHeight="1">
      <c r="A117" s="503" t="s">
        <v>2249</v>
      </c>
      <c r="B117" s="499"/>
      <c r="C117" s="524">
        <v>0</v>
      </c>
      <c r="D117" s="498"/>
    </row>
    <row r="118" spans="1:4" ht="15.95" customHeight="1">
      <c r="A118" s="495" t="s">
        <v>2250</v>
      </c>
      <c r="B118" s="496"/>
      <c r="C118" s="497">
        <v>51045.987499749979</v>
      </c>
      <c r="D118" s="498"/>
    </row>
    <row r="119" spans="1:4" ht="15.95" customHeight="1">
      <c r="A119" s="525" t="s">
        <v>2251</v>
      </c>
      <c r="B119" s="523"/>
      <c r="C119" s="497">
        <v>0</v>
      </c>
      <c r="D119" s="498"/>
    </row>
    <row r="120" spans="1:4" ht="15.95" customHeight="1">
      <c r="A120" s="525" t="s">
        <v>2252</v>
      </c>
      <c r="B120" s="496"/>
      <c r="C120" s="497">
        <v>0</v>
      </c>
      <c r="D120" s="498"/>
    </row>
    <row r="121" spans="1:4" ht="15.95" customHeight="1">
      <c r="A121" s="489" t="s">
        <v>2253</v>
      </c>
      <c r="B121" s="490"/>
      <c r="C121" s="491"/>
      <c r="D121" s="492">
        <v>200</v>
      </c>
    </row>
    <row r="122" spans="1:4" ht="15.95" customHeight="1">
      <c r="A122" s="495"/>
      <c r="B122" s="490"/>
      <c r="C122" s="497"/>
      <c r="D122" s="502"/>
    </row>
    <row r="123" spans="1:4" ht="15.95" customHeight="1">
      <c r="A123" s="495"/>
      <c r="B123" s="490"/>
      <c r="C123" s="497"/>
      <c r="D123" s="502"/>
    </row>
    <row r="124" spans="1:4" ht="15.95" customHeight="1">
      <c r="A124" s="489" t="s">
        <v>2254</v>
      </c>
      <c r="B124" s="490"/>
      <c r="C124" s="491"/>
      <c r="D124" s="492">
        <v>663775.27160976734</v>
      </c>
    </row>
    <row r="125" spans="1:4" ht="15.95" customHeight="1">
      <c r="A125" s="495" t="s">
        <v>2255</v>
      </c>
      <c r="B125" s="496"/>
      <c r="C125" s="497">
        <v>165867.45044734442</v>
      </c>
      <c r="D125" s="492"/>
    </row>
    <row r="126" spans="1:4" ht="15.95" customHeight="1">
      <c r="A126" s="495" t="s">
        <v>2256</v>
      </c>
      <c r="B126" s="496"/>
      <c r="C126" s="497">
        <v>111717.34078791853</v>
      </c>
      <c r="D126" s="492"/>
    </row>
    <row r="127" spans="1:4" ht="15.95" customHeight="1">
      <c r="A127" s="495" t="s">
        <v>2257</v>
      </c>
      <c r="B127" s="496"/>
      <c r="C127" s="497">
        <v>11677.135575557837</v>
      </c>
      <c r="D127" s="498"/>
    </row>
    <row r="128" spans="1:4" ht="15.95" customHeight="1">
      <c r="A128" s="495" t="s">
        <v>2258</v>
      </c>
      <c r="B128" s="499">
        <v>11561.374684177837</v>
      </c>
      <c r="C128" s="507"/>
      <c r="D128" s="498"/>
    </row>
    <row r="129" spans="1:5" ht="15.95" customHeight="1">
      <c r="A129" s="495" t="s">
        <v>2259</v>
      </c>
      <c r="B129" s="499">
        <v>376.51224697999999</v>
      </c>
      <c r="C129" s="500"/>
      <c r="D129" s="498"/>
    </row>
    <row r="130" spans="1:5" ht="15.95" customHeight="1">
      <c r="A130" s="495" t="s">
        <v>2260</v>
      </c>
      <c r="B130" s="499">
        <v>11184.862437197839</v>
      </c>
      <c r="C130" s="500"/>
      <c r="D130" s="498"/>
    </row>
    <row r="131" spans="1:5" ht="15.95" customHeight="1">
      <c r="A131" s="495" t="s">
        <v>2261</v>
      </c>
      <c r="B131" s="499">
        <v>115.76089138</v>
      </c>
      <c r="C131" s="500"/>
      <c r="D131" s="498"/>
    </row>
    <row r="132" spans="1:5" ht="15.95" customHeight="1">
      <c r="A132" s="495" t="s">
        <v>2259</v>
      </c>
      <c r="B132" s="499">
        <v>24.04987723</v>
      </c>
      <c r="C132" s="500"/>
      <c r="D132" s="498"/>
    </row>
    <row r="133" spans="1:5" ht="15.95" customHeight="1">
      <c r="A133" s="495" t="s">
        <v>2260</v>
      </c>
      <c r="B133" s="499">
        <v>91.711014150000011</v>
      </c>
      <c r="C133" s="500"/>
      <c r="D133" s="498"/>
    </row>
    <row r="134" spans="1:5" ht="15.95" customHeight="1">
      <c r="A134" s="495" t="s">
        <v>2262</v>
      </c>
      <c r="B134" s="496"/>
      <c r="C134" s="497">
        <v>85249.06320567544</v>
      </c>
      <c r="D134" s="498"/>
    </row>
    <row r="135" spans="1:5" ht="15.95" customHeight="1">
      <c r="A135" s="495" t="s">
        <v>2263</v>
      </c>
      <c r="B135" s="496"/>
      <c r="C135" s="497">
        <v>451.37073547571742</v>
      </c>
      <c r="D135" s="498"/>
    </row>
    <row r="136" spans="1:5" ht="15.95" customHeight="1">
      <c r="A136" s="495" t="s">
        <v>2264</v>
      </c>
      <c r="B136" s="496"/>
      <c r="C136" s="497">
        <v>287104.94991610548</v>
      </c>
      <c r="D136" s="498"/>
    </row>
    <row r="137" spans="1:5" ht="15.95" customHeight="1">
      <c r="A137" s="495" t="s">
        <v>2265</v>
      </c>
      <c r="B137" s="499">
        <v>189899.0083237144</v>
      </c>
      <c r="C137" s="500"/>
      <c r="D137" s="498"/>
    </row>
    <row r="138" spans="1:5" ht="15.95" customHeight="1">
      <c r="A138" s="495" t="s">
        <v>2266</v>
      </c>
      <c r="B138" s="499">
        <v>4275.0326818887661</v>
      </c>
      <c r="C138" s="500"/>
      <c r="D138" s="498"/>
    </row>
    <row r="139" spans="1:5" ht="15.95" customHeight="1">
      <c r="A139" s="495" t="s">
        <v>2267</v>
      </c>
      <c r="B139" s="499">
        <v>92930.908910502301</v>
      </c>
      <c r="C139" s="500"/>
      <c r="D139" s="498"/>
    </row>
    <row r="140" spans="1:5" ht="15.95" customHeight="1">
      <c r="A140" s="495" t="s">
        <v>2268</v>
      </c>
      <c r="B140" s="499"/>
      <c r="C140" s="497">
        <v>1707.96094169</v>
      </c>
      <c r="D140" s="498"/>
    </row>
    <row r="141" spans="1:5" ht="15.95" customHeight="1">
      <c r="A141" s="489" t="s">
        <v>2269</v>
      </c>
      <c r="B141" s="490"/>
      <c r="C141" s="526"/>
      <c r="D141" s="492">
        <v>271767.42050088313</v>
      </c>
      <c r="E141" s="527"/>
    </row>
    <row r="142" spans="1:5" ht="15.95" customHeight="1">
      <c r="A142" s="495" t="s">
        <v>2270</v>
      </c>
      <c r="B142" s="499"/>
      <c r="C142" s="497">
        <v>975.87733921000006</v>
      </c>
      <c r="D142" s="492"/>
    </row>
    <row r="143" spans="1:5" ht="15.95" customHeight="1">
      <c r="A143" s="495" t="s">
        <v>2258</v>
      </c>
      <c r="B143" s="499">
        <v>960.71658749999995</v>
      </c>
      <c r="C143" s="497"/>
      <c r="D143" s="492"/>
    </row>
    <row r="144" spans="1:5" ht="15.95" customHeight="1">
      <c r="A144" s="495" t="s">
        <v>2261</v>
      </c>
      <c r="B144" s="499">
        <v>15.160751710000001</v>
      </c>
      <c r="C144" s="526"/>
      <c r="D144" s="492"/>
    </row>
    <row r="145" spans="1:5" ht="15.95" customHeight="1">
      <c r="A145" s="495" t="s">
        <v>2271</v>
      </c>
      <c r="B145" s="499"/>
      <c r="C145" s="497">
        <v>3984.3610223699984</v>
      </c>
      <c r="D145" s="492"/>
    </row>
    <row r="146" spans="1:5" ht="15.95" customHeight="1">
      <c r="A146" s="495" t="s">
        <v>2272</v>
      </c>
      <c r="B146" s="490"/>
      <c r="C146" s="497">
        <v>0</v>
      </c>
      <c r="D146" s="528"/>
    </row>
    <row r="147" spans="1:5" ht="15.95" customHeight="1">
      <c r="A147" s="495" t="s">
        <v>2273</v>
      </c>
      <c r="B147" s="490"/>
      <c r="C147" s="497">
        <v>0</v>
      </c>
      <c r="D147" s="529"/>
      <c r="E147" s="527"/>
    </row>
    <row r="148" spans="1:5" ht="15.95" customHeight="1">
      <c r="A148" s="495" t="s">
        <v>2274</v>
      </c>
      <c r="B148" s="490"/>
      <c r="C148" s="497">
        <v>39403.375553657563</v>
      </c>
      <c r="D148" s="529"/>
    </row>
    <row r="149" spans="1:5" ht="15.95" customHeight="1">
      <c r="A149" s="495" t="s">
        <v>2275</v>
      </c>
      <c r="B149" s="490"/>
      <c r="C149" s="497">
        <v>178863.39714112662</v>
      </c>
      <c r="D149" s="529"/>
    </row>
    <row r="150" spans="1:5" ht="15.95" customHeight="1">
      <c r="A150" s="495" t="s">
        <v>2276</v>
      </c>
      <c r="B150" s="499"/>
      <c r="C150" s="497">
        <v>45520.5956404592</v>
      </c>
      <c r="D150" s="529"/>
    </row>
    <row r="151" spans="1:5" ht="15.95" customHeight="1">
      <c r="A151" s="495" t="s">
        <v>2265</v>
      </c>
      <c r="B151" s="499">
        <v>37233.308486448113</v>
      </c>
      <c r="C151" s="499"/>
      <c r="D151" s="529"/>
    </row>
    <row r="152" spans="1:5" ht="15.95" customHeight="1">
      <c r="A152" s="495" t="s">
        <v>2266</v>
      </c>
      <c r="B152" s="499">
        <v>7125.6160833206177</v>
      </c>
      <c r="C152" s="499"/>
      <c r="D152" s="529"/>
    </row>
    <row r="153" spans="1:5" ht="15.95" customHeight="1">
      <c r="A153" s="495" t="s">
        <v>2267</v>
      </c>
      <c r="B153" s="499">
        <v>1161.6710706904694</v>
      </c>
      <c r="C153" s="499"/>
      <c r="D153" s="529"/>
    </row>
    <row r="154" spans="1:5" ht="15.95" customHeight="1">
      <c r="A154" s="495" t="s">
        <v>2277</v>
      </c>
      <c r="B154" s="499"/>
      <c r="C154" s="497">
        <v>3019.8138040597364</v>
      </c>
      <c r="D154" s="529"/>
    </row>
    <row r="155" spans="1:5" ht="15.95" customHeight="1">
      <c r="A155" s="495" t="s">
        <v>2278</v>
      </c>
      <c r="B155" s="499">
        <v>1706.5542509897366</v>
      </c>
      <c r="C155" s="499"/>
      <c r="D155" s="529"/>
    </row>
    <row r="156" spans="1:5" ht="15.95" customHeight="1">
      <c r="A156" s="495" t="s">
        <v>2279</v>
      </c>
      <c r="B156" s="499">
        <v>1283.86916845</v>
      </c>
      <c r="C156" s="499"/>
      <c r="D156" s="529"/>
    </row>
    <row r="157" spans="1:5" ht="15.95" customHeight="1">
      <c r="A157" s="495" t="s">
        <v>2280</v>
      </c>
      <c r="B157" s="499">
        <v>29.390384620000003</v>
      </c>
      <c r="C157" s="490"/>
      <c r="D157" s="528"/>
    </row>
    <row r="158" spans="1:5" ht="15.95" customHeight="1">
      <c r="A158" s="489" t="s">
        <v>2281</v>
      </c>
      <c r="B158" s="507"/>
      <c r="C158" s="491"/>
      <c r="D158" s="492">
        <v>3498.6417945615035</v>
      </c>
    </row>
    <row r="159" spans="1:5" ht="15.95" customHeight="1">
      <c r="A159" s="489" t="s">
        <v>2282</v>
      </c>
      <c r="B159" s="490"/>
      <c r="C159" s="497"/>
      <c r="D159" s="502"/>
    </row>
    <row r="160" spans="1:5" ht="15.95" customHeight="1">
      <c r="A160" s="495" t="s">
        <v>2270</v>
      </c>
      <c r="B160" s="530"/>
      <c r="C160" s="530">
        <v>0</v>
      </c>
      <c r="D160" s="502"/>
    </row>
    <row r="161" spans="1:4" ht="15.95" customHeight="1">
      <c r="A161" s="495" t="s">
        <v>2258</v>
      </c>
      <c r="B161" s="531">
        <v>0</v>
      </c>
      <c r="C161" s="530"/>
      <c r="D161" s="502"/>
    </row>
    <row r="162" spans="1:4" ht="15.95" customHeight="1">
      <c r="A162" s="495" t="s">
        <v>2261</v>
      </c>
      <c r="B162" s="531">
        <v>0</v>
      </c>
      <c r="C162" s="530"/>
      <c r="D162" s="502"/>
    </row>
    <row r="163" spans="1:4" ht="15.95" customHeight="1">
      <c r="A163" s="495" t="s">
        <v>2271</v>
      </c>
      <c r="B163" s="530"/>
      <c r="C163" s="497">
        <v>0</v>
      </c>
      <c r="D163" s="502"/>
    </row>
    <row r="164" spans="1:4" ht="15.95" customHeight="1">
      <c r="A164" s="495" t="s">
        <v>2272</v>
      </c>
      <c r="B164" s="530"/>
      <c r="C164" s="497">
        <v>0</v>
      </c>
      <c r="D164" s="502"/>
    </row>
    <row r="165" spans="1:4" ht="15.95" customHeight="1">
      <c r="A165" s="495" t="s">
        <v>2273</v>
      </c>
      <c r="B165" s="530"/>
      <c r="C165" s="497">
        <v>0</v>
      </c>
      <c r="D165" s="502"/>
    </row>
    <row r="166" spans="1:4" ht="15.95" customHeight="1">
      <c r="A166" s="495" t="s">
        <v>2274</v>
      </c>
      <c r="B166" s="530"/>
      <c r="C166" s="497">
        <v>259.42843792000002</v>
      </c>
      <c r="D166" s="502"/>
    </row>
    <row r="167" spans="1:4" ht="15.95" customHeight="1">
      <c r="A167" s="495" t="s">
        <v>2275</v>
      </c>
      <c r="B167" s="530"/>
      <c r="C167" s="497">
        <v>1617.6632758712735</v>
      </c>
      <c r="D167" s="502"/>
    </row>
    <row r="168" spans="1:4" ht="15.95" customHeight="1">
      <c r="A168" s="495" t="s">
        <v>2276</v>
      </c>
      <c r="B168" s="530"/>
      <c r="C168" s="497">
        <v>1536.8264984252223</v>
      </c>
      <c r="D168" s="502"/>
    </row>
    <row r="169" spans="1:4" ht="15.95" customHeight="1">
      <c r="A169" s="495" t="s">
        <v>2265</v>
      </c>
      <c r="B169" s="499">
        <v>383.35550013</v>
      </c>
      <c r="C169" s="500"/>
      <c r="D169" s="502"/>
    </row>
    <row r="170" spans="1:4" ht="15.95" customHeight="1">
      <c r="A170" s="495" t="s">
        <v>2266</v>
      </c>
      <c r="B170" s="499">
        <v>993.6376091488579</v>
      </c>
      <c r="C170" s="500"/>
      <c r="D170" s="502"/>
    </row>
    <row r="171" spans="1:4" ht="15.95" customHeight="1">
      <c r="A171" s="495" t="s">
        <v>2267</v>
      </c>
      <c r="B171" s="499">
        <v>159.83338914636448</v>
      </c>
      <c r="C171" s="500"/>
      <c r="D171" s="502"/>
    </row>
    <row r="172" spans="1:4" ht="15.95" customHeight="1">
      <c r="A172" s="495" t="s">
        <v>2277</v>
      </c>
      <c r="B172" s="499"/>
      <c r="C172" s="497">
        <v>84.723582345007415</v>
      </c>
      <c r="D172" s="502"/>
    </row>
    <row r="173" spans="1:4" ht="15.95" customHeight="1">
      <c r="A173" s="495" t="s">
        <v>2278</v>
      </c>
      <c r="B173" s="499">
        <v>84.723582345007415</v>
      </c>
      <c r="C173" s="500"/>
      <c r="D173" s="502"/>
    </row>
    <row r="174" spans="1:4" ht="15.95" customHeight="1">
      <c r="A174" s="495" t="s">
        <v>2279</v>
      </c>
      <c r="B174" s="499">
        <v>0</v>
      </c>
      <c r="C174" s="500"/>
      <c r="D174" s="502"/>
    </row>
    <row r="175" spans="1:4" ht="15.95" customHeight="1">
      <c r="A175" s="495" t="s">
        <v>2280</v>
      </c>
      <c r="B175" s="499">
        <v>0</v>
      </c>
      <c r="C175" s="491"/>
      <c r="D175" s="498"/>
    </row>
    <row r="176" spans="1:4" ht="15.95" customHeight="1">
      <c r="A176" s="489" t="s">
        <v>2283</v>
      </c>
      <c r="B176" s="499"/>
      <c r="C176" s="500"/>
      <c r="D176" s="492">
        <v>41427.287141513545</v>
      </c>
    </row>
    <row r="177" spans="1:4" ht="15.95" customHeight="1">
      <c r="A177" s="495" t="s">
        <v>2270</v>
      </c>
      <c r="B177" s="531"/>
      <c r="C177" s="530">
        <v>0</v>
      </c>
      <c r="D177" s="492"/>
    </row>
    <row r="178" spans="1:4" ht="15.95" customHeight="1">
      <c r="A178" s="495" t="s">
        <v>2258</v>
      </c>
      <c r="B178" s="530">
        <v>0</v>
      </c>
      <c r="C178" s="530"/>
      <c r="D178" s="498"/>
    </row>
    <row r="179" spans="1:4" ht="15.95" customHeight="1">
      <c r="A179" s="495" t="s">
        <v>2261</v>
      </c>
      <c r="B179" s="530">
        <v>0</v>
      </c>
      <c r="C179" s="530"/>
      <c r="D179" s="498"/>
    </row>
    <row r="180" spans="1:4" ht="15.95" customHeight="1">
      <c r="A180" s="495" t="s">
        <v>2271</v>
      </c>
      <c r="B180" s="531"/>
      <c r="C180" s="497">
        <v>1049.3114856200002</v>
      </c>
      <c r="D180" s="498"/>
    </row>
    <row r="181" spans="1:4" ht="15.95" customHeight="1">
      <c r="A181" s="495" t="s">
        <v>2272</v>
      </c>
      <c r="B181" s="531"/>
      <c r="C181" s="530">
        <v>0</v>
      </c>
      <c r="D181" s="498"/>
    </row>
    <row r="182" spans="1:4" ht="15.95" customHeight="1">
      <c r="A182" s="495" t="s">
        <v>2273</v>
      </c>
      <c r="B182" s="531"/>
      <c r="C182" s="530">
        <v>0</v>
      </c>
      <c r="D182" s="498"/>
    </row>
    <row r="183" spans="1:4" ht="15.95" customHeight="1">
      <c r="A183" s="495" t="s">
        <v>2274</v>
      </c>
      <c r="B183" s="531"/>
      <c r="C183" s="497">
        <v>31.952192969999999</v>
      </c>
      <c r="D183" s="498"/>
    </row>
    <row r="184" spans="1:4" ht="15.95" customHeight="1">
      <c r="A184" s="495" t="s">
        <v>2275</v>
      </c>
      <c r="B184" s="499"/>
      <c r="C184" s="497">
        <v>107.68962581999999</v>
      </c>
      <c r="D184" s="498"/>
    </row>
    <row r="185" spans="1:4" ht="15.95" customHeight="1">
      <c r="A185" s="495" t="s">
        <v>2276</v>
      </c>
      <c r="B185" s="499"/>
      <c r="C185" s="497">
        <v>39899.688153453535</v>
      </c>
      <c r="D185" s="498"/>
    </row>
    <row r="186" spans="1:4" ht="15.95" customHeight="1">
      <c r="A186" s="495" t="s">
        <v>2265</v>
      </c>
      <c r="B186" s="499">
        <v>32616.585838547067</v>
      </c>
      <c r="C186" s="497"/>
      <c r="D186" s="498"/>
    </row>
    <row r="187" spans="1:4" ht="15.95" customHeight="1">
      <c r="A187" s="495" t="s">
        <v>2266</v>
      </c>
      <c r="B187" s="499">
        <v>5899.8731878739109</v>
      </c>
      <c r="C187" s="497"/>
      <c r="D187" s="498"/>
    </row>
    <row r="188" spans="1:4" ht="15.95" customHeight="1">
      <c r="A188" s="495" t="s">
        <v>2280</v>
      </c>
      <c r="B188" s="499">
        <v>1383.2291270325632</v>
      </c>
      <c r="C188" s="530"/>
      <c r="D188" s="498"/>
    </row>
    <row r="189" spans="1:4" ht="15.95" customHeight="1">
      <c r="A189" s="495" t="s">
        <v>2284</v>
      </c>
      <c r="B189" s="531"/>
      <c r="C189" s="497">
        <v>338.64568364999985</v>
      </c>
      <c r="D189" s="498"/>
    </row>
    <row r="190" spans="1:4" ht="15.95" customHeight="1">
      <c r="A190" s="495" t="s">
        <v>2278</v>
      </c>
      <c r="B190" s="499">
        <v>1.2045393899999999</v>
      </c>
      <c r="C190" s="530"/>
      <c r="D190" s="498"/>
    </row>
    <row r="191" spans="1:4" ht="15.95" customHeight="1">
      <c r="A191" s="495" t="s">
        <v>2279</v>
      </c>
      <c r="B191" s="531">
        <v>0</v>
      </c>
      <c r="C191" s="530"/>
      <c r="D191" s="498"/>
    </row>
    <row r="192" spans="1:4" ht="15.95" customHeight="1">
      <c r="A192" s="495" t="s">
        <v>2280</v>
      </c>
      <c r="B192" s="531">
        <v>337.44114425999987</v>
      </c>
      <c r="C192" s="530"/>
      <c r="D192" s="498"/>
    </row>
    <row r="193" spans="1:7" ht="15.95" customHeight="1">
      <c r="A193" s="489" t="s">
        <v>2285</v>
      </c>
      <c r="B193" s="490"/>
      <c r="C193" s="491"/>
      <c r="D193" s="492">
        <v>6454.6497816272986</v>
      </c>
    </row>
    <row r="194" spans="1:7" ht="15.95" customHeight="1">
      <c r="A194" s="495" t="s">
        <v>2286</v>
      </c>
      <c r="B194" s="501"/>
      <c r="C194" s="497">
        <v>1050.08353589442</v>
      </c>
      <c r="D194" s="502"/>
    </row>
    <row r="195" spans="1:7" ht="15.95" customHeight="1">
      <c r="A195" s="495" t="s">
        <v>2287</v>
      </c>
      <c r="B195" s="490"/>
      <c r="C195" s="497">
        <v>54.046951</v>
      </c>
      <c r="D195" s="502"/>
    </row>
    <row r="196" spans="1:7" ht="15.95" customHeight="1">
      <c r="A196" s="495" t="s">
        <v>2288</v>
      </c>
      <c r="B196" s="501"/>
      <c r="C196" s="497">
        <v>5350.5192947328787</v>
      </c>
      <c r="D196" s="502"/>
    </row>
    <row r="197" spans="1:7" ht="15.95" customHeight="1">
      <c r="A197" s="489" t="s">
        <v>2289</v>
      </c>
      <c r="B197" s="490"/>
      <c r="C197" s="491"/>
      <c r="D197" s="492">
        <v>25149.816566560286</v>
      </c>
    </row>
    <row r="198" spans="1:7" ht="15.95" customHeight="1">
      <c r="A198" s="489" t="s">
        <v>2290</v>
      </c>
      <c r="B198" s="490"/>
      <c r="C198" s="491"/>
      <c r="D198" s="492">
        <v>23973.93999975808</v>
      </c>
    </row>
    <row r="199" spans="1:7" ht="15.95" customHeight="1">
      <c r="A199" s="495"/>
      <c r="B199" s="501"/>
      <c r="C199" s="491"/>
      <c r="D199" s="498"/>
    </row>
    <row r="200" spans="1:7" ht="15.95" customHeight="1">
      <c r="A200" s="489" t="s">
        <v>2291</v>
      </c>
      <c r="B200" s="490"/>
      <c r="C200" s="491"/>
      <c r="D200" s="492">
        <v>1183322.8346349585</v>
      </c>
      <c r="F200" s="527"/>
      <c r="G200" s="527"/>
    </row>
    <row r="201" spans="1:7" ht="15.95" customHeight="1">
      <c r="A201" s="495"/>
      <c r="B201" s="501"/>
      <c r="C201" s="491"/>
      <c r="D201" s="532"/>
    </row>
    <row r="202" spans="1:7" ht="15.95" customHeight="1">
      <c r="A202" s="489" t="s">
        <v>2292</v>
      </c>
      <c r="B202" s="501"/>
      <c r="C202" s="507"/>
      <c r="D202" s="492">
        <v>79335.383138803241</v>
      </c>
    </row>
    <row r="203" spans="1:7" ht="15.95" customHeight="1">
      <c r="A203" s="489" t="s">
        <v>2293</v>
      </c>
      <c r="B203" s="501"/>
      <c r="C203" s="491"/>
      <c r="D203" s="492">
        <v>1778.6154550709925</v>
      </c>
    </row>
    <row r="204" spans="1:7" ht="15.95" customHeight="1">
      <c r="A204" s="489" t="s">
        <v>2294</v>
      </c>
      <c r="B204" s="501"/>
      <c r="C204" s="491"/>
      <c r="D204" s="492">
        <v>23450.824514833814</v>
      </c>
    </row>
    <row r="205" spans="1:7" ht="13.5" thickBot="1">
      <c r="A205" s="533"/>
      <c r="B205" s="534"/>
      <c r="C205" s="535"/>
      <c r="D205" s="536"/>
    </row>
    <row r="206" spans="1:7" ht="13.5" thickTop="1">
      <c r="A206" s="537" t="s">
        <v>2053</v>
      </c>
      <c r="B206" s="507"/>
      <c r="C206" s="507"/>
      <c r="D206" s="518"/>
    </row>
    <row r="207" spans="1:7" ht="13.5">
      <c r="A207" s="538" t="s">
        <v>2295</v>
      </c>
      <c r="D207" s="539"/>
    </row>
    <row r="208" spans="1:7" ht="13.5">
      <c r="A208" s="538" t="s">
        <v>2296</v>
      </c>
      <c r="D208" s="540"/>
    </row>
    <row r="209" spans="4:4">
      <c r="D209" s="540"/>
    </row>
    <row r="210" spans="4:4">
      <c r="D210" s="540"/>
    </row>
    <row r="211" spans="4:4">
      <c r="D211" s="540"/>
    </row>
    <row r="212" spans="4:4">
      <c r="D212" s="540"/>
    </row>
    <row r="213" spans="4:4">
      <c r="D213" s="540"/>
    </row>
    <row r="214" spans="4:4">
      <c r="D214" s="540"/>
    </row>
    <row r="215" spans="4:4">
      <c r="D215" s="540"/>
    </row>
    <row r="216" spans="4:4">
      <c r="D216" s="540"/>
    </row>
    <row r="217" spans="4:4">
      <c r="D217" s="540"/>
    </row>
    <row r="218" spans="4:4">
      <c r="D218" s="540"/>
    </row>
    <row r="219" spans="4:4">
      <c r="D219" s="540"/>
    </row>
    <row r="220" spans="4:4">
      <c r="D220" s="540"/>
    </row>
    <row r="221" spans="4:4">
      <c r="D221" s="540"/>
    </row>
    <row r="222" spans="4:4">
      <c r="D222" s="540"/>
    </row>
    <row r="223" spans="4:4">
      <c r="D223" s="540"/>
    </row>
    <row r="224" spans="4:4">
      <c r="D224" s="540"/>
    </row>
    <row r="225" spans="4:4">
      <c r="D225" s="540"/>
    </row>
    <row r="226" spans="4:4">
      <c r="D226" s="540"/>
    </row>
    <row r="227" spans="4:4">
      <c r="D227" s="540"/>
    </row>
    <row r="228" spans="4:4">
      <c r="D228" s="540"/>
    </row>
    <row r="229" spans="4:4">
      <c r="D229" s="540"/>
    </row>
    <row r="230" spans="4:4">
      <c r="D230" s="540"/>
    </row>
    <row r="231" spans="4:4">
      <c r="D231" s="540"/>
    </row>
    <row r="232" spans="4:4">
      <c r="D232" s="540"/>
    </row>
    <row r="233" spans="4:4">
      <c r="D233" s="540"/>
    </row>
    <row r="234" spans="4:4">
      <c r="D234" s="540"/>
    </row>
    <row r="235" spans="4:4">
      <c r="D235" s="540"/>
    </row>
    <row r="236" spans="4:4">
      <c r="D236" s="540"/>
    </row>
    <row r="237" spans="4:4">
      <c r="D237" s="540"/>
    </row>
    <row r="238" spans="4:4">
      <c r="D238" s="540"/>
    </row>
    <row r="239" spans="4:4">
      <c r="D239" s="540"/>
    </row>
    <row r="240" spans="4:4">
      <c r="D240" s="540"/>
    </row>
    <row r="241" spans="4:4">
      <c r="D241" s="540"/>
    </row>
    <row r="242" spans="4:4">
      <c r="D242" s="540"/>
    </row>
    <row r="243" spans="4:4">
      <c r="D243" s="540"/>
    </row>
    <row r="244" spans="4:4">
      <c r="D244" s="540"/>
    </row>
    <row r="245" spans="4:4">
      <c r="D245" s="540"/>
    </row>
    <row r="246" spans="4:4">
      <c r="D246" s="540"/>
    </row>
    <row r="247" spans="4:4">
      <c r="D247" s="540"/>
    </row>
    <row r="248" spans="4:4">
      <c r="D248" s="540"/>
    </row>
    <row r="249" spans="4:4">
      <c r="D249" s="540"/>
    </row>
    <row r="250" spans="4:4">
      <c r="D250" s="540"/>
    </row>
    <row r="251" spans="4:4">
      <c r="D251" s="540"/>
    </row>
    <row r="252" spans="4:4">
      <c r="D252" s="540"/>
    </row>
    <row r="253" spans="4:4">
      <c r="D253" s="540"/>
    </row>
    <row r="254" spans="4:4">
      <c r="D254" s="540"/>
    </row>
    <row r="255" spans="4:4">
      <c r="D255" s="540"/>
    </row>
    <row r="256" spans="4:4">
      <c r="D256" s="540"/>
    </row>
    <row r="257" spans="4:4">
      <c r="D257" s="540"/>
    </row>
    <row r="258" spans="4:4">
      <c r="D258" s="540"/>
    </row>
    <row r="259" spans="4:4">
      <c r="D259" s="540"/>
    </row>
    <row r="260" spans="4:4">
      <c r="D260" s="540"/>
    </row>
    <row r="261" spans="4:4">
      <c r="D261" s="540"/>
    </row>
    <row r="262" spans="4:4">
      <c r="D262" s="540"/>
    </row>
    <row r="263" spans="4:4">
      <c r="D263" s="540"/>
    </row>
    <row r="264" spans="4:4">
      <c r="D264" s="540"/>
    </row>
    <row r="265" spans="4:4">
      <c r="D265" s="540"/>
    </row>
    <row r="266" spans="4:4">
      <c r="D266" s="540"/>
    </row>
    <row r="267" spans="4:4">
      <c r="D267" s="540"/>
    </row>
    <row r="268" spans="4:4">
      <c r="D268" s="540"/>
    </row>
    <row r="269" spans="4:4">
      <c r="D269" s="540"/>
    </row>
    <row r="270" spans="4:4">
      <c r="D270" s="540"/>
    </row>
    <row r="271" spans="4:4">
      <c r="D271" s="540"/>
    </row>
    <row r="272" spans="4:4">
      <c r="D272" s="540"/>
    </row>
    <row r="273" spans="4:4">
      <c r="D273" s="540"/>
    </row>
    <row r="274" spans="4:4">
      <c r="D274" s="540"/>
    </row>
    <row r="275" spans="4:4">
      <c r="D275" s="540"/>
    </row>
    <row r="276" spans="4:4">
      <c r="D276" s="540"/>
    </row>
    <row r="277" spans="4:4">
      <c r="D277" s="540"/>
    </row>
    <row r="278" spans="4:4">
      <c r="D278" s="540"/>
    </row>
    <row r="279" spans="4:4">
      <c r="D279" s="540"/>
    </row>
    <row r="280" spans="4:4">
      <c r="D280" s="540"/>
    </row>
    <row r="281" spans="4:4">
      <c r="D281" s="540"/>
    </row>
    <row r="282" spans="4:4">
      <c r="D282" s="540"/>
    </row>
    <row r="283" spans="4:4">
      <c r="D283" s="540"/>
    </row>
    <row r="284" spans="4:4">
      <c r="D284" s="540"/>
    </row>
    <row r="285" spans="4:4">
      <c r="D285" s="540"/>
    </row>
    <row r="286" spans="4:4">
      <c r="D286" s="540"/>
    </row>
    <row r="287" spans="4:4">
      <c r="D287" s="540"/>
    </row>
    <row r="288" spans="4:4">
      <c r="D288" s="540"/>
    </row>
    <row r="289" spans="4:4">
      <c r="D289" s="540"/>
    </row>
    <row r="290" spans="4:4">
      <c r="D290" s="540"/>
    </row>
    <row r="291" spans="4:4">
      <c r="D291" s="540"/>
    </row>
    <row r="292" spans="4:4">
      <c r="D292" s="540"/>
    </row>
    <row r="293" spans="4:4">
      <c r="D293" s="540"/>
    </row>
    <row r="294" spans="4:4">
      <c r="D294" s="540"/>
    </row>
    <row r="295" spans="4:4">
      <c r="D295" s="540"/>
    </row>
    <row r="296" spans="4:4">
      <c r="D296" s="540"/>
    </row>
    <row r="297" spans="4:4">
      <c r="D297" s="540"/>
    </row>
    <row r="298" spans="4:4">
      <c r="D298" s="540"/>
    </row>
    <row r="299" spans="4:4">
      <c r="D299" s="540"/>
    </row>
    <row r="300" spans="4:4">
      <c r="D300" s="540"/>
    </row>
    <row r="301" spans="4:4">
      <c r="D301" s="540"/>
    </row>
    <row r="302" spans="4:4">
      <c r="D302" s="540"/>
    </row>
    <row r="303" spans="4:4">
      <c r="D303" s="540"/>
    </row>
    <row r="304" spans="4:4">
      <c r="D304" s="540"/>
    </row>
    <row r="305" spans="4:4">
      <c r="D305" s="540"/>
    </row>
    <row r="306" spans="4:4">
      <c r="D306" s="540"/>
    </row>
    <row r="307" spans="4:4">
      <c r="D307" s="540"/>
    </row>
    <row r="308" spans="4:4">
      <c r="D308" s="540"/>
    </row>
    <row r="309" spans="4:4">
      <c r="D309" s="540"/>
    </row>
    <row r="310" spans="4:4">
      <c r="D310" s="540"/>
    </row>
    <row r="311" spans="4:4">
      <c r="D311" s="540"/>
    </row>
    <row r="312" spans="4:4">
      <c r="D312" s="540"/>
    </row>
    <row r="313" spans="4:4">
      <c r="D313" s="540"/>
    </row>
    <row r="314" spans="4:4">
      <c r="D314" s="540"/>
    </row>
    <row r="315" spans="4:4">
      <c r="D315" s="540"/>
    </row>
    <row r="316" spans="4:4">
      <c r="D316" s="540"/>
    </row>
    <row r="317" spans="4:4">
      <c r="D317" s="540"/>
    </row>
    <row r="318" spans="4:4">
      <c r="D318" s="540"/>
    </row>
    <row r="319" spans="4:4">
      <c r="D319" s="540"/>
    </row>
    <row r="320" spans="4:4">
      <c r="D320" s="540"/>
    </row>
    <row r="321" spans="4:4">
      <c r="D321" s="540"/>
    </row>
    <row r="322" spans="4:4">
      <c r="D322" s="540"/>
    </row>
    <row r="323" spans="4:4">
      <c r="D323" s="540"/>
    </row>
    <row r="324" spans="4:4">
      <c r="D324" s="540"/>
    </row>
    <row r="325" spans="4:4">
      <c r="D325" s="540"/>
    </row>
    <row r="326" spans="4:4">
      <c r="D326" s="540"/>
    </row>
    <row r="327" spans="4:4">
      <c r="D327" s="540"/>
    </row>
    <row r="328" spans="4:4">
      <c r="D328" s="540"/>
    </row>
    <row r="329" spans="4:4">
      <c r="D329" s="540"/>
    </row>
    <row r="330" spans="4:4">
      <c r="D330" s="540"/>
    </row>
    <row r="331" spans="4:4">
      <c r="D331" s="540"/>
    </row>
    <row r="332" spans="4:4">
      <c r="D332" s="540"/>
    </row>
    <row r="333" spans="4:4">
      <c r="D333" s="540"/>
    </row>
    <row r="334" spans="4:4">
      <c r="D334" s="540"/>
    </row>
    <row r="335" spans="4:4">
      <c r="D335" s="540"/>
    </row>
    <row r="336" spans="4:4">
      <c r="D336" s="540"/>
    </row>
    <row r="337" spans="4:4">
      <c r="D337" s="540"/>
    </row>
    <row r="338" spans="4:4">
      <c r="D338" s="540"/>
    </row>
    <row r="339" spans="4:4">
      <c r="D339" s="540"/>
    </row>
    <row r="340" spans="4:4">
      <c r="D340" s="540"/>
    </row>
    <row r="341" spans="4:4">
      <c r="D341" s="540"/>
    </row>
    <row r="342" spans="4:4">
      <c r="D342" s="540"/>
    </row>
    <row r="343" spans="4:4">
      <c r="D343" s="540"/>
    </row>
    <row r="344" spans="4:4">
      <c r="D344" s="540"/>
    </row>
    <row r="345" spans="4:4">
      <c r="D345" s="540"/>
    </row>
    <row r="346" spans="4:4">
      <c r="D346" s="540"/>
    </row>
    <row r="347" spans="4:4">
      <c r="D347" s="540"/>
    </row>
    <row r="348" spans="4:4">
      <c r="D348" s="540"/>
    </row>
    <row r="349" spans="4:4">
      <c r="D349" s="540"/>
    </row>
    <row r="350" spans="4:4">
      <c r="D350" s="540"/>
    </row>
    <row r="351" spans="4:4">
      <c r="D351" s="540"/>
    </row>
    <row r="352" spans="4:4">
      <c r="D352" s="540"/>
    </row>
    <row r="353" spans="4:4">
      <c r="D353" s="540"/>
    </row>
    <row r="354" spans="4:4">
      <c r="D354" s="540"/>
    </row>
    <row r="355" spans="4:4">
      <c r="D355" s="540"/>
    </row>
    <row r="356" spans="4:4">
      <c r="D356" s="540"/>
    </row>
    <row r="357" spans="4:4">
      <c r="D357" s="540"/>
    </row>
    <row r="358" spans="4:4">
      <c r="D358" s="540"/>
    </row>
    <row r="359" spans="4:4">
      <c r="D359" s="540"/>
    </row>
    <row r="360" spans="4:4">
      <c r="D360" s="540"/>
    </row>
    <row r="361" spans="4:4">
      <c r="D361" s="540"/>
    </row>
    <row r="362" spans="4:4">
      <c r="D362" s="540"/>
    </row>
    <row r="363" spans="4:4">
      <c r="D363" s="540"/>
    </row>
    <row r="364" spans="4:4">
      <c r="D364" s="540"/>
    </row>
    <row r="365" spans="4:4">
      <c r="D365" s="540"/>
    </row>
    <row r="366" spans="4:4">
      <c r="D366" s="540"/>
    </row>
    <row r="367" spans="4:4">
      <c r="D367" s="540"/>
    </row>
    <row r="368" spans="4:4">
      <c r="D368" s="540"/>
    </row>
    <row r="369" spans="4:4">
      <c r="D369" s="540"/>
    </row>
    <row r="370" spans="4:4">
      <c r="D370" s="540"/>
    </row>
    <row r="371" spans="4:4">
      <c r="D371" s="540"/>
    </row>
    <row r="372" spans="4:4">
      <c r="D372" s="540"/>
    </row>
    <row r="373" spans="4:4">
      <c r="D373" s="540"/>
    </row>
    <row r="374" spans="4:4">
      <c r="D374" s="540"/>
    </row>
    <row r="375" spans="4:4">
      <c r="D375" s="540"/>
    </row>
    <row r="376" spans="4:4">
      <c r="D376" s="540"/>
    </row>
    <row r="377" spans="4:4">
      <c r="D377" s="540"/>
    </row>
    <row r="378" spans="4:4">
      <c r="D378" s="540"/>
    </row>
    <row r="379" spans="4:4">
      <c r="D379" s="540"/>
    </row>
    <row r="380" spans="4:4">
      <c r="D380" s="540"/>
    </row>
    <row r="381" spans="4:4">
      <c r="D381" s="540"/>
    </row>
    <row r="382" spans="4:4">
      <c r="D382" s="540"/>
    </row>
    <row r="383" spans="4:4">
      <c r="D383" s="540"/>
    </row>
    <row r="384" spans="4:4">
      <c r="D384" s="540"/>
    </row>
    <row r="385" spans="4:4">
      <c r="D385" s="540"/>
    </row>
    <row r="386" spans="4:4">
      <c r="D386" s="540"/>
    </row>
    <row r="387" spans="4:4">
      <c r="D387" s="540"/>
    </row>
    <row r="388" spans="4:4">
      <c r="D388" s="540"/>
    </row>
    <row r="389" spans="4:4">
      <c r="D389" s="540"/>
    </row>
    <row r="390" spans="4:4">
      <c r="D390" s="540"/>
    </row>
    <row r="391" spans="4:4">
      <c r="D391" s="540"/>
    </row>
    <row r="392" spans="4:4">
      <c r="D392" s="540"/>
    </row>
    <row r="393" spans="4:4">
      <c r="D393" s="540"/>
    </row>
    <row r="394" spans="4:4">
      <c r="D394" s="540"/>
    </row>
    <row r="395" spans="4:4">
      <c r="D395" s="540"/>
    </row>
    <row r="396" spans="4:4">
      <c r="D396" s="540"/>
    </row>
    <row r="397" spans="4:4">
      <c r="D397" s="540"/>
    </row>
    <row r="398" spans="4:4">
      <c r="D398" s="540"/>
    </row>
    <row r="399" spans="4:4">
      <c r="D399" s="540"/>
    </row>
    <row r="400" spans="4:4">
      <c r="D400" s="540"/>
    </row>
    <row r="401" spans="4:4">
      <c r="D401" s="540"/>
    </row>
    <row r="402" spans="4:4">
      <c r="D402" s="540"/>
    </row>
    <row r="403" spans="4:4">
      <c r="D403" s="540"/>
    </row>
    <row r="404" spans="4:4">
      <c r="D404" s="540"/>
    </row>
    <row r="405" spans="4:4">
      <c r="D405" s="540"/>
    </row>
    <row r="406" spans="4:4">
      <c r="D406" s="540"/>
    </row>
    <row r="407" spans="4:4">
      <c r="D407" s="540"/>
    </row>
    <row r="408" spans="4:4">
      <c r="D408" s="540"/>
    </row>
    <row r="409" spans="4:4">
      <c r="D409" s="540"/>
    </row>
    <row r="410" spans="4:4">
      <c r="D410" s="540"/>
    </row>
    <row r="411" spans="4:4">
      <c r="D411" s="540"/>
    </row>
    <row r="412" spans="4:4">
      <c r="D412" s="540"/>
    </row>
    <row r="413" spans="4:4">
      <c r="D413" s="540"/>
    </row>
    <row r="414" spans="4:4">
      <c r="D414" s="540"/>
    </row>
    <row r="415" spans="4:4">
      <c r="D415" s="540"/>
    </row>
    <row r="416" spans="4:4">
      <c r="D416" s="540"/>
    </row>
    <row r="417" spans="4:4">
      <c r="D417" s="540"/>
    </row>
    <row r="418" spans="4:4">
      <c r="D418" s="540"/>
    </row>
    <row r="419" spans="4:4">
      <c r="D419" s="540"/>
    </row>
    <row r="420" spans="4:4">
      <c r="D420" s="540"/>
    </row>
    <row r="421" spans="4:4">
      <c r="D421" s="540"/>
    </row>
    <row r="422" spans="4:4">
      <c r="D422" s="540"/>
    </row>
    <row r="423" spans="4:4">
      <c r="D423" s="540"/>
    </row>
    <row r="424" spans="4:4">
      <c r="D424" s="540"/>
    </row>
    <row r="425" spans="4:4">
      <c r="D425" s="540"/>
    </row>
    <row r="426" spans="4:4">
      <c r="D426" s="540"/>
    </row>
    <row r="427" spans="4:4">
      <c r="D427" s="540"/>
    </row>
    <row r="428" spans="4:4">
      <c r="D428" s="540"/>
    </row>
    <row r="429" spans="4:4">
      <c r="D429" s="540"/>
    </row>
    <row r="430" spans="4:4">
      <c r="D430" s="540"/>
    </row>
    <row r="431" spans="4:4">
      <c r="D431" s="540"/>
    </row>
    <row r="432" spans="4:4">
      <c r="D432" s="540"/>
    </row>
    <row r="433" spans="4:4">
      <c r="D433" s="540"/>
    </row>
    <row r="434" spans="4:4">
      <c r="D434" s="540"/>
    </row>
    <row r="435" spans="4:4">
      <c r="D435" s="540"/>
    </row>
    <row r="436" spans="4:4">
      <c r="D436" s="540"/>
    </row>
    <row r="437" spans="4:4">
      <c r="D437" s="540"/>
    </row>
    <row r="438" spans="4:4">
      <c r="D438" s="540"/>
    </row>
    <row r="439" spans="4:4">
      <c r="D439" s="540"/>
    </row>
    <row r="440" spans="4:4">
      <c r="D440" s="540"/>
    </row>
    <row r="441" spans="4:4">
      <c r="D441" s="540"/>
    </row>
    <row r="442" spans="4:4">
      <c r="D442" s="540"/>
    </row>
    <row r="443" spans="4:4">
      <c r="D443" s="540"/>
    </row>
    <row r="444" spans="4:4">
      <c r="D444" s="540"/>
    </row>
    <row r="445" spans="4:4">
      <c r="D445" s="540"/>
    </row>
    <row r="446" spans="4:4">
      <c r="D446" s="540"/>
    </row>
    <row r="447" spans="4:4">
      <c r="D447" s="540"/>
    </row>
    <row r="448" spans="4:4">
      <c r="D448" s="540"/>
    </row>
    <row r="449" spans="4:4">
      <c r="D449" s="540"/>
    </row>
    <row r="450" spans="4:4">
      <c r="D450" s="540"/>
    </row>
    <row r="451" spans="4:4">
      <c r="D451" s="540"/>
    </row>
    <row r="452" spans="4:4">
      <c r="D452" s="540"/>
    </row>
    <row r="453" spans="4:4">
      <c r="D453" s="540"/>
    </row>
    <row r="454" spans="4:4">
      <c r="D454" s="540"/>
    </row>
    <row r="455" spans="4:4">
      <c r="D455" s="540"/>
    </row>
    <row r="456" spans="4:4">
      <c r="D456" s="540"/>
    </row>
    <row r="457" spans="4:4">
      <c r="D457" s="540"/>
    </row>
    <row r="458" spans="4:4">
      <c r="D458" s="540"/>
    </row>
    <row r="459" spans="4:4">
      <c r="D459" s="540"/>
    </row>
    <row r="460" spans="4:4">
      <c r="D460" s="540"/>
    </row>
    <row r="461" spans="4:4">
      <c r="D461" s="540"/>
    </row>
    <row r="462" spans="4:4">
      <c r="D462" s="540"/>
    </row>
    <row r="463" spans="4:4">
      <c r="D463" s="540"/>
    </row>
    <row r="464" spans="4:4">
      <c r="D464" s="540"/>
    </row>
    <row r="465" spans="4:4">
      <c r="D465" s="540"/>
    </row>
    <row r="466" spans="4:4">
      <c r="D466" s="540"/>
    </row>
    <row r="467" spans="4:4">
      <c r="D467" s="540"/>
    </row>
    <row r="468" spans="4:4">
      <c r="D468" s="540"/>
    </row>
    <row r="469" spans="4:4">
      <c r="D469" s="540"/>
    </row>
    <row r="470" spans="4:4">
      <c r="D470" s="540"/>
    </row>
    <row r="471" spans="4:4">
      <c r="D471" s="540"/>
    </row>
    <row r="472" spans="4:4">
      <c r="D472" s="540"/>
    </row>
    <row r="473" spans="4:4">
      <c r="D473" s="540"/>
    </row>
    <row r="474" spans="4:4">
      <c r="D474" s="540"/>
    </row>
    <row r="475" spans="4:4">
      <c r="D475" s="540"/>
    </row>
    <row r="476" spans="4:4">
      <c r="D476" s="540"/>
    </row>
    <row r="477" spans="4:4">
      <c r="D477" s="540"/>
    </row>
    <row r="478" spans="4:4">
      <c r="D478" s="540"/>
    </row>
    <row r="479" spans="4:4">
      <c r="D479" s="540"/>
    </row>
    <row r="480" spans="4:4">
      <c r="D480" s="540"/>
    </row>
    <row r="481" spans="4:4">
      <c r="D481" s="540"/>
    </row>
    <row r="482" spans="4:4">
      <c r="D482" s="540"/>
    </row>
    <row r="483" spans="4:4">
      <c r="D483" s="540"/>
    </row>
    <row r="484" spans="4:4">
      <c r="D484" s="540"/>
    </row>
    <row r="485" spans="4:4">
      <c r="D485" s="540"/>
    </row>
    <row r="486" spans="4:4">
      <c r="D486" s="540"/>
    </row>
    <row r="487" spans="4:4">
      <c r="D487" s="540"/>
    </row>
    <row r="488" spans="4:4">
      <c r="D488" s="540"/>
    </row>
    <row r="489" spans="4:4">
      <c r="D489" s="540"/>
    </row>
    <row r="490" spans="4:4">
      <c r="D490" s="540"/>
    </row>
    <row r="491" spans="4:4">
      <c r="D491" s="540"/>
    </row>
    <row r="492" spans="4:4">
      <c r="D492" s="540"/>
    </row>
    <row r="493" spans="4:4">
      <c r="D493" s="540"/>
    </row>
    <row r="494" spans="4:4">
      <c r="D494" s="540"/>
    </row>
    <row r="495" spans="4:4">
      <c r="D495" s="540"/>
    </row>
    <row r="496" spans="4:4">
      <c r="D496" s="540"/>
    </row>
    <row r="497" spans="4:4">
      <c r="D497" s="540"/>
    </row>
    <row r="498" spans="4:4">
      <c r="D498" s="540"/>
    </row>
    <row r="499" spans="4:4">
      <c r="D499" s="540"/>
    </row>
    <row r="500" spans="4:4">
      <c r="D500" s="540"/>
    </row>
    <row r="501" spans="4:4">
      <c r="D501" s="540"/>
    </row>
    <row r="502" spans="4:4">
      <c r="D502" s="540"/>
    </row>
    <row r="503" spans="4:4">
      <c r="D503" s="540"/>
    </row>
    <row r="504" spans="4:4">
      <c r="D504" s="540"/>
    </row>
    <row r="505" spans="4:4">
      <c r="D505" s="540"/>
    </row>
    <row r="506" spans="4:4">
      <c r="D506" s="540"/>
    </row>
    <row r="507" spans="4:4">
      <c r="D507" s="540"/>
    </row>
    <row r="508" spans="4:4">
      <c r="D508" s="540"/>
    </row>
    <row r="509" spans="4:4">
      <c r="D509" s="540"/>
    </row>
    <row r="510" spans="4:4">
      <c r="D510" s="540"/>
    </row>
    <row r="511" spans="4:4">
      <c r="D511" s="540"/>
    </row>
    <row r="512" spans="4:4">
      <c r="D512" s="540"/>
    </row>
    <row r="513" spans="4:4">
      <c r="D513" s="540"/>
    </row>
    <row r="514" spans="4:4">
      <c r="D514" s="540"/>
    </row>
    <row r="515" spans="4:4">
      <c r="D515" s="540"/>
    </row>
    <row r="516" spans="4:4">
      <c r="D516" s="540"/>
    </row>
    <row r="517" spans="4:4">
      <c r="D517" s="540"/>
    </row>
    <row r="518" spans="4:4">
      <c r="D518" s="540"/>
    </row>
    <row r="519" spans="4:4">
      <c r="D519" s="540"/>
    </row>
    <row r="520" spans="4:4">
      <c r="D520" s="540"/>
    </row>
    <row r="521" spans="4:4">
      <c r="D521" s="540"/>
    </row>
    <row r="522" spans="4:4">
      <c r="D522" s="540"/>
    </row>
    <row r="523" spans="4:4">
      <c r="D523" s="540"/>
    </row>
    <row r="524" spans="4:4">
      <c r="D524" s="540"/>
    </row>
    <row r="525" spans="4:4">
      <c r="D525" s="540"/>
    </row>
    <row r="526" spans="4:4">
      <c r="D526" s="540"/>
    </row>
    <row r="527" spans="4:4">
      <c r="D527" s="540"/>
    </row>
    <row r="528" spans="4:4">
      <c r="D528" s="540"/>
    </row>
    <row r="529" spans="4:4">
      <c r="D529" s="540"/>
    </row>
    <row r="530" spans="4:4">
      <c r="D530" s="540"/>
    </row>
    <row r="531" spans="4:4">
      <c r="D531" s="540"/>
    </row>
    <row r="532" spans="4:4">
      <c r="D532" s="540"/>
    </row>
    <row r="533" spans="4:4">
      <c r="D533" s="540"/>
    </row>
    <row r="534" spans="4:4">
      <c r="D534" s="540"/>
    </row>
    <row r="535" spans="4:4">
      <c r="D535" s="540"/>
    </row>
    <row r="536" spans="4:4">
      <c r="D536" s="540"/>
    </row>
    <row r="537" spans="4:4">
      <c r="D537" s="540"/>
    </row>
    <row r="538" spans="4:4">
      <c r="D538" s="540"/>
    </row>
    <row r="539" spans="4:4">
      <c r="D539" s="540"/>
    </row>
    <row r="540" spans="4:4">
      <c r="D540" s="540"/>
    </row>
    <row r="541" spans="4:4">
      <c r="D541" s="540"/>
    </row>
    <row r="542" spans="4:4">
      <c r="D542" s="540"/>
    </row>
    <row r="543" spans="4:4">
      <c r="D543" s="540"/>
    </row>
    <row r="544" spans="4:4">
      <c r="D544" s="540"/>
    </row>
    <row r="545" spans="4:4">
      <c r="D545" s="540"/>
    </row>
    <row r="546" spans="4:4">
      <c r="D546" s="540"/>
    </row>
    <row r="547" spans="4:4">
      <c r="D547" s="540"/>
    </row>
    <row r="548" spans="4:4">
      <c r="D548" s="540"/>
    </row>
    <row r="549" spans="4:4">
      <c r="D549" s="540"/>
    </row>
    <row r="550" spans="4:4">
      <c r="D550" s="540"/>
    </row>
    <row r="551" spans="4:4">
      <c r="D551" s="540"/>
    </row>
    <row r="552" spans="4:4">
      <c r="D552" s="540"/>
    </row>
    <row r="553" spans="4:4">
      <c r="D553" s="540"/>
    </row>
    <row r="554" spans="4:4">
      <c r="D554" s="540"/>
    </row>
    <row r="555" spans="4:4">
      <c r="D555" s="540"/>
    </row>
    <row r="556" spans="4:4">
      <c r="D556" s="540"/>
    </row>
    <row r="557" spans="4:4">
      <c r="D557" s="540"/>
    </row>
    <row r="558" spans="4:4">
      <c r="D558" s="540"/>
    </row>
    <row r="559" spans="4:4">
      <c r="D559" s="540"/>
    </row>
    <row r="560" spans="4:4">
      <c r="D560" s="540"/>
    </row>
    <row r="561" spans="4:4">
      <c r="D561" s="540"/>
    </row>
    <row r="562" spans="4:4">
      <c r="D562" s="540"/>
    </row>
    <row r="563" spans="4:4">
      <c r="D563" s="540"/>
    </row>
    <row r="564" spans="4:4">
      <c r="D564" s="540"/>
    </row>
    <row r="565" spans="4:4">
      <c r="D565" s="540"/>
    </row>
    <row r="566" spans="4:4">
      <c r="D566" s="540"/>
    </row>
    <row r="567" spans="4:4">
      <c r="D567" s="540"/>
    </row>
    <row r="568" spans="4:4">
      <c r="D568" s="540"/>
    </row>
    <row r="569" spans="4:4">
      <c r="D569" s="540"/>
    </row>
    <row r="570" spans="4:4">
      <c r="D570" s="540"/>
    </row>
    <row r="571" spans="4:4">
      <c r="D571" s="540"/>
    </row>
    <row r="572" spans="4:4">
      <c r="D572" s="540"/>
    </row>
    <row r="573" spans="4:4">
      <c r="D573" s="540"/>
    </row>
    <row r="574" spans="4:4">
      <c r="D574" s="540"/>
    </row>
    <row r="575" spans="4:4">
      <c r="D575" s="540"/>
    </row>
    <row r="576" spans="4:4">
      <c r="D576" s="540"/>
    </row>
    <row r="577" spans="4:4">
      <c r="D577" s="540"/>
    </row>
    <row r="578" spans="4:4">
      <c r="D578" s="540"/>
    </row>
    <row r="579" spans="4:4">
      <c r="D579" s="540"/>
    </row>
    <row r="580" spans="4:4">
      <c r="D580" s="540"/>
    </row>
    <row r="581" spans="4:4">
      <c r="D581" s="540"/>
    </row>
    <row r="582" spans="4:4">
      <c r="D582" s="540"/>
    </row>
    <row r="583" spans="4:4">
      <c r="D583" s="540"/>
    </row>
    <row r="584" spans="4:4">
      <c r="D584" s="540"/>
    </row>
    <row r="585" spans="4:4">
      <c r="D585" s="540"/>
    </row>
    <row r="586" spans="4:4">
      <c r="D586" s="540"/>
    </row>
    <row r="587" spans="4:4">
      <c r="D587" s="540"/>
    </row>
    <row r="588" spans="4:4">
      <c r="D588" s="540"/>
    </row>
    <row r="589" spans="4:4">
      <c r="D589" s="540"/>
    </row>
    <row r="590" spans="4:4">
      <c r="D590" s="540"/>
    </row>
    <row r="591" spans="4:4">
      <c r="D591" s="540"/>
    </row>
    <row r="592" spans="4:4">
      <c r="D592" s="540"/>
    </row>
    <row r="593" spans="4:4">
      <c r="D593" s="540"/>
    </row>
    <row r="594" spans="4:4">
      <c r="D594" s="540"/>
    </row>
    <row r="595" spans="4:4">
      <c r="D595" s="540"/>
    </row>
    <row r="596" spans="4:4">
      <c r="D596" s="540"/>
    </row>
    <row r="597" spans="4:4">
      <c r="D597" s="540"/>
    </row>
    <row r="598" spans="4:4">
      <c r="D598" s="540"/>
    </row>
    <row r="599" spans="4:4">
      <c r="D599" s="540"/>
    </row>
    <row r="600" spans="4:4">
      <c r="D600" s="540"/>
    </row>
    <row r="601" spans="4:4">
      <c r="D601" s="540"/>
    </row>
    <row r="602" spans="4:4">
      <c r="D602" s="540"/>
    </row>
    <row r="603" spans="4:4">
      <c r="D603" s="540"/>
    </row>
    <row r="604" spans="4:4">
      <c r="D604" s="540"/>
    </row>
    <row r="605" spans="4:4">
      <c r="D605" s="540"/>
    </row>
    <row r="606" spans="4:4">
      <c r="D606" s="540"/>
    </row>
    <row r="607" spans="4:4">
      <c r="D607" s="540"/>
    </row>
    <row r="608" spans="4:4">
      <c r="D608" s="540"/>
    </row>
    <row r="609" spans="4:4">
      <c r="D609" s="540"/>
    </row>
    <row r="610" spans="4:4">
      <c r="D610" s="540"/>
    </row>
    <row r="611" spans="4:4">
      <c r="D611" s="540"/>
    </row>
    <row r="612" spans="4:4">
      <c r="D612" s="540"/>
    </row>
    <row r="613" spans="4:4">
      <c r="D613" s="540"/>
    </row>
    <row r="614" spans="4:4">
      <c r="D614" s="540"/>
    </row>
    <row r="615" spans="4:4">
      <c r="D615" s="540"/>
    </row>
    <row r="616" spans="4:4">
      <c r="D616" s="540"/>
    </row>
    <row r="617" spans="4:4">
      <c r="D617" s="540"/>
    </row>
    <row r="618" spans="4:4">
      <c r="D618" s="540"/>
    </row>
    <row r="619" spans="4:4">
      <c r="D619" s="540"/>
    </row>
    <row r="620" spans="4:4">
      <c r="D620" s="540"/>
    </row>
    <row r="621" spans="4:4">
      <c r="D621" s="540"/>
    </row>
    <row r="622" spans="4:4">
      <c r="D622" s="540"/>
    </row>
    <row r="623" spans="4:4">
      <c r="D623" s="540"/>
    </row>
    <row r="624" spans="4:4">
      <c r="D624" s="540"/>
    </row>
    <row r="625" spans="4:4">
      <c r="D625" s="540"/>
    </row>
    <row r="626" spans="4:4">
      <c r="D626" s="540"/>
    </row>
    <row r="627" spans="4:4">
      <c r="D627" s="540"/>
    </row>
    <row r="628" spans="4:4">
      <c r="D628" s="540"/>
    </row>
    <row r="629" spans="4:4">
      <c r="D629" s="540"/>
    </row>
    <row r="630" spans="4:4">
      <c r="D630" s="540"/>
    </row>
    <row r="631" spans="4:4">
      <c r="D631" s="540"/>
    </row>
    <row r="632" spans="4:4">
      <c r="D632" s="540"/>
    </row>
    <row r="633" spans="4:4">
      <c r="D633" s="540"/>
    </row>
    <row r="634" spans="4:4">
      <c r="D634" s="540"/>
    </row>
    <row r="635" spans="4:4">
      <c r="D635" s="540"/>
    </row>
    <row r="636" spans="4:4">
      <c r="D636" s="540"/>
    </row>
    <row r="637" spans="4:4">
      <c r="D637" s="540"/>
    </row>
    <row r="638" spans="4:4">
      <c r="D638" s="540"/>
    </row>
    <row r="639" spans="4:4">
      <c r="D639" s="540"/>
    </row>
    <row r="640" spans="4:4">
      <c r="D640" s="540"/>
    </row>
    <row r="641" spans="4:4">
      <c r="D641" s="540"/>
    </row>
    <row r="642" spans="4:4">
      <c r="D642" s="540"/>
    </row>
    <row r="643" spans="4:4">
      <c r="D643" s="540"/>
    </row>
    <row r="644" spans="4:4">
      <c r="D644" s="540"/>
    </row>
    <row r="645" spans="4:4">
      <c r="D645" s="540"/>
    </row>
    <row r="646" spans="4:4">
      <c r="D646" s="540"/>
    </row>
    <row r="647" spans="4:4">
      <c r="D647" s="540"/>
    </row>
    <row r="648" spans="4:4">
      <c r="D648" s="540"/>
    </row>
    <row r="649" spans="4:4">
      <c r="D649" s="540"/>
    </row>
    <row r="650" spans="4:4">
      <c r="D650" s="540"/>
    </row>
    <row r="651" spans="4:4">
      <c r="D651" s="540"/>
    </row>
    <row r="652" spans="4:4">
      <c r="D652" s="540"/>
    </row>
    <row r="653" spans="4:4">
      <c r="D653" s="540"/>
    </row>
    <row r="654" spans="4:4">
      <c r="D654" s="540"/>
    </row>
    <row r="655" spans="4:4">
      <c r="D655" s="540"/>
    </row>
    <row r="656" spans="4:4">
      <c r="D656" s="540"/>
    </row>
    <row r="657" spans="4:4">
      <c r="D657" s="540"/>
    </row>
    <row r="658" spans="4:4">
      <c r="D658" s="540"/>
    </row>
    <row r="659" spans="4:4">
      <c r="D659" s="540"/>
    </row>
    <row r="660" spans="4:4">
      <c r="D660" s="540"/>
    </row>
    <row r="661" spans="4:4">
      <c r="D661" s="540"/>
    </row>
    <row r="662" spans="4:4">
      <c r="D662" s="540"/>
    </row>
    <row r="663" spans="4:4">
      <c r="D663" s="540"/>
    </row>
    <row r="664" spans="4:4">
      <c r="D664" s="540"/>
    </row>
    <row r="665" spans="4:4">
      <c r="D665" s="540"/>
    </row>
    <row r="666" spans="4:4">
      <c r="D666" s="540"/>
    </row>
    <row r="667" spans="4:4">
      <c r="D667" s="540"/>
    </row>
    <row r="668" spans="4:4">
      <c r="D668" s="540"/>
    </row>
    <row r="669" spans="4:4">
      <c r="D669" s="540"/>
    </row>
    <row r="670" spans="4:4">
      <c r="D670" s="540"/>
    </row>
    <row r="671" spans="4:4">
      <c r="D671" s="540"/>
    </row>
    <row r="672" spans="4:4">
      <c r="D672" s="540"/>
    </row>
    <row r="673" spans="4:4">
      <c r="D673" s="540"/>
    </row>
    <row r="674" spans="4:4">
      <c r="D674" s="540"/>
    </row>
    <row r="675" spans="4:4">
      <c r="D675" s="540"/>
    </row>
    <row r="676" spans="4:4">
      <c r="D676" s="540"/>
    </row>
    <row r="677" spans="4:4">
      <c r="D677" s="540"/>
    </row>
    <row r="678" spans="4:4">
      <c r="D678" s="540"/>
    </row>
    <row r="679" spans="4:4">
      <c r="D679" s="540"/>
    </row>
    <row r="680" spans="4:4">
      <c r="D680" s="540"/>
    </row>
    <row r="681" spans="4:4">
      <c r="D681" s="540"/>
    </row>
    <row r="682" spans="4:4">
      <c r="D682" s="540"/>
    </row>
    <row r="683" spans="4:4">
      <c r="D683" s="540"/>
    </row>
    <row r="684" spans="4:4">
      <c r="D684" s="540"/>
    </row>
    <row r="685" spans="4:4">
      <c r="D685" s="540"/>
    </row>
    <row r="686" spans="4:4">
      <c r="D686" s="540"/>
    </row>
    <row r="687" spans="4:4">
      <c r="D687" s="540"/>
    </row>
    <row r="688" spans="4:4">
      <c r="D688" s="540"/>
    </row>
    <row r="689" spans="4:4">
      <c r="D689" s="540"/>
    </row>
    <row r="690" spans="4:4">
      <c r="D690" s="540"/>
    </row>
    <row r="691" spans="4:4">
      <c r="D691" s="540"/>
    </row>
    <row r="692" spans="4:4">
      <c r="D692" s="540"/>
    </row>
    <row r="693" spans="4:4">
      <c r="D693" s="540"/>
    </row>
    <row r="694" spans="4:4">
      <c r="D694" s="540"/>
    </row>
    <row r="695" spans="4:4">
      <c r="D695" s="540"/>
    </row>
    <row r="696" spans="4:4">
      <c r="D696" s="540"/>
    </row>
    <row r="697" spans="4:4">
      <c r="D697" s="540"/>
    </row>
    <row r="698" spans="4:4">
      <c r="D698" s="540"/>
    </row>
    <row r="699" spans="4:4">
      <c r="D699" s="540"/>
    </row>
    <row r="700" spans="4:4">
      <c r="D700" s="540"/>
    </row>
    <row r="701" spans="4:4">
      <c r="D701" s="540"/>
    </row>
    <row r="702" spans="4:4">
      <c r="D702" s="540"/>
    </row>
    <row r="703" spans="4:4">
      <c r="D703" s="540"/>
    </row>
    <row r="704" spans="4:4">
      <c r="D704" s="540"/>
    </row>
    <row r="705" spans="4:4">
      <c r="D705" s="540"/>
    </row>
    <row r="706" spans="4:4">
      <c r="D706" s="540"/>
    </row>
    <row r="707" spans="4:4">
      <c r="D707" s="540"/>
    </row>
    <row r="708" spans="4:4">
      <c r="D708" s="540"/>
    </row>
    <row r="709" spans="4:4">
      <c r="D709" s="540"/>
    </row>
    <row r="710" spans="4:4">
      <c r="D710" s="540"/>
    </row>
    <row r="711" spans="4:4">
      <c r="D711" s="540"/>
    </row>
    <row r="712" spans="4:4">
      <c r="D712" s="540"/>
    </row>
    <row r="713" spans="4:4">
      <c r="D713" s="540"/>
    </row>
    <row r="714" spans="4:4">
      <c r="D714" s="540"/>
    </row>
    <row r="715" spans="4:4">
      <c r="D715" s="540"/>
    </row>
    <row r="716" spans="4:4">
      <c r="D716" s="540"/>
    </row>
    <row r="717" spans="4:4">
      <c r="D717" s="540"/>
    </row>
    <row r="718" spans="4:4">
      <c r="D718" s="540"/>
    </row>
    <row r="719" spans="4:4">
      <c r="D719" s="540"/>
    </row>
    <row r="720" spans="4:4">
      <c r="D720" s="540"/>
    </row>
    <row r="721" spans="4:4">
      <c r="D721" s="540"/>
    </row>
    <row r="722" spans="4:4">
      <c r="D722" s="540"/>
    </row>
    <row r="723" spans="4:4">
      <c r="D723" s="540"/>
    </row>
    <row r="724" spans="4:4">
      <c r="D724" s="540"/>
    </row>
    <row r="725" spans="4:4">
      <c r="D725" s="540"/>
    </row>
    <row r="726" spans="4:4">
      <c r="D726" s="540"/>
    </row>
    <row r="727" spans="4:4">
      <c r="D727" s="540"/>
    </row>
    <row r="728" spans="4:4">
      <c r="D728" s="540"/>
    </row>
    <row r="729" spans="4:4">
      <c r="D729" s="540"/>
    </row>
    <row r="730" spans="4:4">
      <c r="D730" s="540"/>
    </row>
    <row r="731" spans="4:4">
      <c r="D731" s="540"/>
    </row>
    <row r="732" spans="4:4">
      <c r="D732" s="540"/>
    </row>
    <row r="733" spans="4:4">
      <c r="D733" s="540"/>
    </row>
    <row r="734" spans="4:4">
      <c r="D734" s="540"/>
    </row>
    <row r="735" spans="4:4">
      <c r="D735" s="540"/>
    </row>
    <row r="736" spans="4:4">
      <c r="D736" s="540"/>
    </row>
    <row r="737" spans="4:4">
      <c r="D737" s="540"/>
    </row>
    <row r="738" spans="4:4">
      <c r="D738" s="540"/>
    </row>
    <row r="739" spans="4:4">
      <c r="D739" s="540"/>
    </row>
    <row r="740" spans="4:4">
      <c r="D740" s="540"/>
    </row>
    <row r="741" spans="4:4">
      <c r="D741" s="540"/>
    </row>
    <row r="742" spans="4:4">
      <c r="D742" s="540"/>
    </row>
    <row r="743" spans="4:4">
      <c r="D743" s="540"/>
    </row>
    <row r="744" spans="4:4">
      <c r="D744" s="540"/>
    </row>
    <row r="745" spans="4:4">
      <c r="D745" s="540"/>
    </row>
    <row r="746" spans="4:4">
      <c r="D746" s="540"/>
    </row>
    <row r="747" spans="4:4">
      <c r="D747" s="540"/>
    </row>
    <row r="748" spans="4:4">
      <c r="D748" s="540"/>
    </row>
    <row r="749" spans="4:4">
      <c r="D749" s="540"/>
    </row>
    <row r="750" spans="4:4">
      <c r="D750" s="540"/>
    </row>
    <row r="751" spans="4:4">
      <c r="D751" s="540"/>
    </row>
    <row r="752" spans="4:4">
      <c r="D752" s="540"/>
    </row>
    <row r="753" spans="4:4">
      <c r="D753" s="540"/>
    </row>
    <row r="754" spans="4:4">
      <c r="D754" s="540"/>
    </row>
    <row r="755" spans="4:4">
      <c r="D755" s="540"/>
    </row>
    <row r="756" spans="4:4">
      <c r="D756" s="540"/>
    </row>
    <row r="757" spans="4:4">
      <c r="D757" s="540"/>
    </row>
    <row r="758" spans="4:4">
      <c r="D758" s="540"/>
    </row>
    <row r="759" spans="4:4">
      <c r="D759" s="540"/>
    </row>
    <row r="760" spans="4:4">
      <c r="D760" s="540"/>
    </row>
    <row r="761" spans="4:4">
      <c r="D761" s="540"/>
    </row>
    <row r="762" spans="4:4">
      <c r="D762" s="540"/>
    </row>
    <row r="763" spans="4:4">
      <c r="D763" s="540"/>
    </row>
    <row r="764" spans="4:4">
      <c r="D764" s="540"/>
    </row>
    <row r="765" spans="4:4">
      <c r="D765" s="540"/>
    </row>
    <row r="766" spans="4:4">
      <c r="D766" s="540"/>
    </row>
    <row r="767" spans="4:4">
      <c r="D767" s="540"/>
    </row>
    <row r="768" spans="4:4">
      <c r="D768" s="540"/>
    </row>
    <row r="769" spans="4:4">
      <c r="D769" s="540"/>
    </row>
    <row r="770" spans="4:4">
      <c r="D770" s="540"/>
    </row>
    <row r="771" spans="4:4">
      <c r="D771" s="540"/>
    </row>
    <row r="772" spans="4:4">
      <c r="D772" s="540"/>
    </row>
    <row r="773" spans="4:4">
      <c r="D773" s="540"/>
    </row>
    <row r="774" spans="4:4">
      <c r="D774" s="540"/>
    </row>
    <row r="775" spans="4:4">
      <c r="D775" s="540"/>
    </row>
    <row r="776" spans="4:4">
      <c r="D776" s="540"/>
    </row>
    <row r="777" spans="4:4">
      <c r="D777" s="540"/>
    </row>
    <row r="778" spans="4:4">
      <c r="D778" s="540"/>
    </row>
  </sheetData>
  <printOptions horizontalCentered="1" verticalCentered="1"/>
  <pageMargins left="0" right="0" top="0" bottom="0" header="0" footer="0"/>
  <pageSetup paperSize="9" scale="47"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290"/>
  <sheetViews>
    <sheetView showGridLines="0" zoomScaleNormal="100" workbookViewId="0">
      <selection activeCell="FG13" sqref="FG13"/>
    </sheetView>
  </sheetViews>
  <sheetFormatPr defaultRowHeight="15"/>
  <cols>
    <col min="1" max="1" width="18.42578125" style="1898" customWidth="1"/>
    <col min="2" max="2" width="9.5703125" style="1953" hidden="1" customWidth="1"/>
    <col min="3" max="37" width="9.140625" style="1898" hidden="1" customWidth="1"/>
    <col min="38" max="38" width="9.7109375" style="1898" hidden="1" customWidth="1"/>
    <col min="39" max="39" width="10.140625" style="1898" hidden="1" customWidth="1"/>
    <col min="40" max="41" width="9.28515625" style="1898" hidden="1" customWidth="1"/>
    <col min="42" max="42" width="9.85546875" style="1898" hidden="1" customWidth="1"/>
    <col min="43" max="43" width="9.140625" style="1898" hidden="1" customWidth="1"/>
    <col min="44" max="44" width="7.7109375" style="1898" hidden="1" customWidth="1"/>
    <col min="45" max="45" width="9.85546875" style="1898" hidden="1" customWidth="1"/>
    <col min="46" max="46" width="9.7109375" style="1898" hidden="1" customWidth="1"/>
    <col min="47" max="47" width="9.42578125" style="1898" hidden="1" customWidth="1"/>
    <col min="48" max="48" width="10" style="1898" hidden="1" customWidth="1"/>
    <col min="49" max="49" width="10.28515625" style="1898" hidden="1" customWidth="1"/>
    <col min="50" max="50" width="10" style="1898" hidden="1" customWidth="1"/>
    <col min="51" max="51" width="10.5703125" style="1898" hidden="1" customWidth="1"/>
    <col min="52" max="52" width="9.5703125" style="1898" hidden="1" customWidth="1"/>
    <col min="53" max="53" width="9.42578125" style="1898" hidden="1" customWidth="1"/>
    <col min="54" max="54" width="10.140625" style="1898" hidden="1" customWidth="1"/>
    <col min="55" max="55" width="10" style="1898" hidden="1" customWidth="1"/>
    <col min="56" max="56" width="9.85546875" style="1898" hidden="1" customWidth="1"/>
    <col min="57" max="57" width="10.28515625" style="1898" hidden="1" customWidth="1"/>
    <col min="58" max="58" width="10" style="1898" hidden="1" customWidth="1"/>
    <col min="59" max="59" width="9.42578125" style="1898" hidden="1" customWidth="1"/>
    <col min="60" max="60" width="10" style="1898" hidden="1" customWidth="1"/>
    <col min="61" max="61" width="10.140625" style="1898" hidden="1" customWidth="1"/>
    <col min="62" max="62" width="9.85546875" style="1898" hidden="1" customWidth="1"/>
    <col min="63" max="63" width="10.28515625" style="1898" hidden="1" customWidth="1"/>
    <col min="64" max="65" width="9.42578125" style="1898" hidden="1" customWidth="1"/>
    <col min="66" max="66" width="10" style="1898" hidden="1" customWidth="1"/>
    <col min="67" max="67" width="9.85546875" style="1898" hidden="1" customWidth="1"/>
    <col min="68" max="68" width="9.5703125" style="1898" hidden="1" customWidth="1"/>
    <col min="69" max="69" width="9.85546875" style="1898" hidden="1" customWidth="1"/>
    <col min="70" max="70" width="9.7109375" style="1898" hidden="1" customWidth="1"/>
    <col min="71" max="94" width="9.140625" style="1898" hidden="1" customWidth="1"/>
    <col min="95" max="95" width="6.5703125" style="1898" hidden="1" customWidth="1"/>
    <col min="96" max="106" width="7.42578125" style="1898" hidden="1" customWidth="1"/>
    <col min="107" max="114" width="9.140625" style="1898" hidden="1" customWidth="1"/>
    <col min="115" max="142" width="0" style="1898" hidden="1" customWidth="1"/>
    <col min="143" max="148" width="9.140625" style="1898"/>
    <col min="149" max="149" width="7.28515625" style="1898" bestFit="1" customWidth="1"/>
    <col min="150" max="263" width="9.140625" style="1898"/>
    <col min="264" max="264" width="18.42578125" style="1898" customWidth="1"/>
    <col min="265" max="388" width="0" style="1898" hidden="1" customWidth="1"/>
    <col min="389" max="519" width="9.140625" style="1898"/>
    <col min="520" max="520" width="18.42578125" style="1898" customWidth="1"/>
    <col min="521" max="644" width="0" style="1898" hidden="1" customWidth="1"/>
    <col min="645" max="775" width="9.140625" style="1898"/>
    <col min="776" max="776" width="18.42578125" style="1898" customWidth="1"/>
    <col min="777" max="900" width="0" style="1898" hidden="1" customWidth="1"/>
    <col min="901" max="1031" width="9.140625" style="1898"/>
    <col min="1032" max="1032" width="18.42578125" style="1898" customWidth="1"/>
    <col min="1033" max="1156" width="0" style="1898" hidden="1" customWidth="1"/>
    <col min="1157" max="1287" width="9.140625" style="1898"/>
    <col min="1288" max="1288" width="18.42578125" style="1898" customWidth="1"/>
    <col min="1289" max="1412" width="0" style="1898" hidden="1" customWidth="1"/>
    <col min="1413" max="1543" width="9.140625" style="1898"/>
    <col min="1544" max="1544" width="18.42578125" style="1898" customWidth="1"/>
    <col min="1545" max="1668" width="0" style="1898" hidden="1" customWidth="1"/>
    <col min="1669" max="1799" width="9.140625" style="1898"/>
    <col min="1800" max="1800" width="18.42578125" style="1898" customWidth="1"/>
    <col min="1801" max="1924" width="0" style="1898" hidden="1" customWidth="1"/>
    <col min="1925" max="2055" width="9.140625" style="1898"/>
    <col min="2056" max="2056" width="18.42578125" style="1898" customWidth="1"/>
    <col min="2057" max="2180" width="0" style="1898" hidden="1" customWidth="1"/>
    <col min="2181" max="2311" width="9.140625" style="1898"/>
    <col min="2312" max="2312" width="18.42578125" style="1898" customWidth="1"/>
    <col min="2313" max="2436" width="0" style="1898" hidden="1" customWidth="1"/>
    <col min="2437" max="2567" width="9.140625" style="1898"/>
    <col min="2568" max="2568" width="18.42578125" style="1898" customWidth="1"/>
    <col min="2569" max="2692" width="0" style="1898" hidden="1" customWidth="1"/>
    <col min="2693" max="2823" width="9.140625" style="1898"/>
    <col min="2824" max="2824" width="18.42578125" style="1898" customWidth="1"/>
    <col min="2825" max="2948" width="0" style="1898" hidden="1" customWidth="1"/>
    <col min="2949" max="3079" width="9.140625" style="1898"/>
    <col min="3080" max="3080" width="18.42578125" style="1898" customWidth="1"/>
    <col min="3081" max="3204" width="0" style="1898" hidden="1" customWidth="1"/>
    <col min="3205" max="3335" width="9.140625" style="1898"/>
    <col min="3336" max="3336" width="18.42578125" style="1898" customWidth="1"/>
    <col min="3337" max="3460" width="0" style="1898" hidden="1" customWidth="1"/>
    <col min="3461" max="3591" width="9.140625" style="1898"/>
    <col min="3592" max="3592" width="18.42578125" style="1898" customWidth="1"/>
    <col min="3593" max="3716" width="0" style="1898" hidden="1" customWidth="1"/>
    <col min="3717" max="3847" width="9.140625" style="1898"/>
    <col min="3848" max="3848" width="18.42578125" style="1898" customWidth="1"/>
    <col min="3849" max="3972" width="0" style="1898" hidden="1" customWidth="1"/>
    <col min="3973" max="4103" width="9.140625" style="1898"/>
    <col min="4104" max="4104" width="18.42578125" style="1898" customWidth="1"/>
    <col min="4105" max="4228" width="0" style="1898" hidden="1" customWidth="1"/>
    <col min="4229" max="4359" width="9.140625" style="1898"/>
    <col min="4360" max="4360" width="18.42578125" style="1898" customWidth="1"/>
    <col min="4361" max="4484" width="0" style="1898" hidden="1" customWidth="1"/>
    <col min="4485" max="4615" width="9.140625" style="1898"/>
    <col min="4616" max="4616" width="18.42578125" style="1898" customWidth="1"/>
    <col min="4617" max="4740" width="0" style="1898" hidden="1" customWidth="1"/>
    <col min="4741" max="4871" width="9.140625" style="1898"/>
    <col min="4872" max="4872" width="18.42578125" style="1898" customWidth="1"/>
    <col min="4873" max="4996" width="0" style="1898" hidden="1" customWidth="1"/>
    <col min="4997" max="5127" width="9.140625" style="1898"/>
    <col min="5128" max="5128" width="18.42578125" style="1898" customWidth="1"/>
    <col min="5129" max="5252" width="0" style="1898" hidden="1" customWidth="1"/>
    <col min="5253" max="5383" width="9.140625" style="1898"/>
    <col min="5384" max="5384" width="18.42578125" style="1898" customWidth="1"/>
    <col min="5385" max="5508" width="0" style="1898" hidden="1" customWidth="1"/>
    <col min="5509" max="5639" width="9.140625" style="1898"/>
    <col min="5640" max="5640" width="18.42578125" style="1898" customWidth="1"/>
    <col min="5641" max="5764" width="0" style="1898" hidden="1" customWidth="1"/>
    <col min="5765" max="5895" width="9.140625" style="1898"/>
    <col min="5896" max="5896" width="18.42578125" style="1898" customWidth="1"/>
    <col min="5897" max="6020" width="0" style="1898" hidden="1" customWidth="1"/>
    <col min="6021" max="6151" width="9.140625" style="1898"/>
    <col min="6152" max="6152" width="18.42578125" style="1898" customWidth="1"/>
    <col min="6153" max="6276" width="0" style="1898" hidden="1" customWidth="1"/>
    <col min="6277" max="6407" width="9.140625" style="1898"/>
    <col min="6408" max="6408" width="18.42578125" style="1898" customWidth="1"/>
    <col min="6409" max="6532" width="0" style="1898" hidden="1" customWidth="1"/>
    <col min="6533" max="6663" width="9.140625" style="1898"/>
    <col min="6664" max="6664" width="18.42578125" style="1898" customWidth="1"/>
    <col min="6665" max="6788" width="0" style="1898" hidden="1" customWidth="1"/>
    <col min="6789" max="6919" width="9.140625" style="1898"/>
    <col min="6920" max="6920" width="18.42578125" style="1898" customWidth="1"/>
    <col min="6921" max="7044" width="0" style="1898" hidden="1" customWidth="1"/>
    <col min="7045" max="7175" width="9.140625" style="1898"/>
    <col min="7176" max="7176" width="18.42578125" style="1898" customWidth="1"/>
    <col min="7177" max="7300" width="0" style="1898" hidden="1" customWidth="1"/>
    <col min="7301" max="7431" width="9.140625" style="1898"/>
    <col min="7432" max="7432" width="18.42578125" style="1898" customWidth="1"/>
    <col min="7433" max="7556" width="0" style="1898" hidden="1" customWidth="1"/>
    <col min="7557" max="7687" width="9.140625" style="1898"/>
    <col min="7688" max="7688" width="18.42578125" style="1898" customWidth="1"/>
    <col min="7689" max="7812" width="0" style="1898" hidden="1" customWidth="1"/>
    <col min="7813" max="7943" width="9.140625" style="1898"/>
    <col min="7944" max="7944" width="18.42578125" style="1898" customWidth="1"/>
    <col min="7945" max="8068" width="0" style="1898" hidden="1" customWidth="1"/>
    <col min="8069" max="8199" width="9.140625" style="1898"/>
    <col min="8200" max="8200" width="18.42578125" style="1898" customWidth="1"/>
    <col min="8201" max="8324" width="0" style="1898" hidden="1" customWidth="1"/>
    <col min="8325" max="8455" width="9.140625" style="1898"/>
    <col min="8456" max="8456" width="18.42578125" style="1898" customWidth="1"/>
    <col min="8457" max="8580" width="0" style="1898" hidden="1" customWidth="1"/>
    <col min="8581" max="8711" width="9.140625" style="1898"/>
    <col min="8712" max="8712" width="18.42578125" style="1898" customWidth="1"/>
    <col min="8713" max="8836" width="0" style="1898" hidden="1" customWidth="1"/>
    <col min="8837" max="8967" width="9.140625" style="1898"/>
    <col min="8968" max="8968" width="18.42578125" style="1898" customWidth="1"/>
    <col min="8969" max="9092" width="0" style="1898" hidden="1" customWidth="1"/>
    <col min="9093" max="9223" width="9.140625" style="1898"/>
    <col min="9224" max="9224" width="18.42578125" style="1898" customWidth="1"/>
    <col min="9225" max="9348" width="0" style="1898" hidden="1" customWidth="1"/>
    <col min="9349" max="9479" width="9.140625" style="1898"/>
    <col min="9480" max="9480" width="18.42578125" style="1898" customWidth="1"/>
    <col min="9481" max="9604" width="0" style="1898" hidden="1" customWidth="1"/>
    <col min="9605" max="9735" width="9.140625" style="1898"/>
    <col min="9736" max="9736" width="18.42578125" style="1898" customWidth="1"/>
    <col min="9737" max="9860" width="0" style="1898" hidden="1" customWidth="1"/>
    <col min="9861" max="9991" width="9.140625" style="1898"/>
    <col min="9992" max="9992" width="18.42578125" style="1898" customWidth="1"/>
    <col min="9993" max="10116" width="0" style="1898" hidden="1" customWidth="1"/>
    <col min="10117" max="10247" width="9.140625" style="1898"/>
    <col min="10248" max="10248" width="18.42578125" style="1898" customWidth="1"/>
    <col min="10249" max="10372" width="0" style="1898" hidden="1" customWidth="1"/>
    <col min="10373" max="10503" width="9.140625" style="1898"/>
    <col min="10504" max="10504" width="18.42578125" style="1898" customWidth="1"/>
    <col min="10505" max="10628" width="0" style="1898" hidden="1" customWidth="1"/>
    <col min="10629" max="10759" width="9.140625" style="1898"/>
    <col min="10760" max="10760" width="18.42578125" style="1898" customWidth="1"/>
    <col min="10761" max="10884" width="0" style="1898" hidden="1" customWidth="1"/>
    <col min="10885" max="11015" width="9.140625" style="1898"/>
    <col min="11016" max="11016" width="18.42578125" style="1898" customWidth="1"/>
    <col min="11017" max="11140" width="0" style="1898" hidden="1" customWidth="1"/>
    <col min="11141" max="11271" width="9.140625" style="1898"/>
    <col min="11272" max="11272" width="18.42578125" style="1898" customWidth="1"/>
    <col min="11273" max="11396" width="0" style="1898" hidden="1" customWidth="1"/>
    <col min="11397" max="11527" width="9.140625" style="1898"/>
    <col min="11528" max="11528" width="18.42578125" style="1898" customWidth="1"/>
    <col min="11529" max="11652" width="0" style="1898" hidden="1" customWidth="1"/>
    <col min="11653" max="11783" width="9.140625" style="1898"/>
    <col min="11784" max="11784" width="18.42578125" style="1898" customWidth="1"/>
    <col min="11785" max="11908" width="0" style="1898" hidden="1" customWidth="1"/>
    <col min="11909" max="12039" width="9.140625" style="1898"/>
    <col min="12040" max="12040" width="18.42578125" style="1898" customWidth="1"/>
    <col min="12041" max="12164" width="0" style="1898" hidden="1" customWidth="1"/>
    <col min="12165" max="12295" width="9.140625" style="1898"/>
    <col min="12296" max="12296" width="18.42578125" style="1898" customWidth="1"/>
    <col min="12297" max="12420" width="0" style="1898" hidden="1" customWidth="1"/>
    <col min="12421" max="12551" width="9.140625" style="1898"/>
    <col min="12552" max="12552" width="18.42578125" style="1898" customWidth="1"/>
    <col min="12553" max="12676" width="0" style="1898" hidden="1" customWidth="1"/>
    <col min="12677" max="12807" width="9.140625" style="1898"/>
    <col min="12808" max="12808" width="18.42578125" style="1898" customWidth="1"/>
    <col min="12809" max="12932" width="0" style="1898" hidden="1" customWidth="1"/>
    <col min="12933" max="13063" width="9.140625" style="1898"/>
    <col min="13064" max="13064" width="18.42578125" style="1898" customWidth="1"/>
    <col min="13065" max="13188" width="0" style="1898" hidden="1" customWidth="1"/>
    <col min="13189" max="13319" width="9.140625" style="1898"/>
    <col min="13320" max="13320" width="18.42578125" style="1898" customWidth="1"/>
    <col min="13321" max="13444" width="0" style="1898" hidden="1" customWidth="1"/>
    <col min="13445" max="13575" width="9.140625" style="1898"/>
    <col min="13576" max="13576" width="18.42578125" style="1898" customWidth="1"/>
    <col min="13577" max="13700" width="0" style="1898" hidden="1" customWidth="1"/>
    <col min="13701" max="13831" width="9.140625" style="1898"/>
    <col min="13832" max="13832" width="18.42578125" style="1898" customWidth="1"/>
    <col min="13833" max="13956" width="0" style="1898" hidden="1" customWidth="1"/>
    <col min="13957" max="14087" width="9.140625" style="1898"/>
    <col min="14088" max="14088" width="18.42578125" style="1898" customWidth="1"/>
    <col min="14089" max="14212" width="0" style="1898" hidden="1" customWidth="1"/>
    <col min="14213" max="14343" width="9.140625" style="1898"/>
    <col min="14344" max="14344" width="18.42578125" style="1898" customWidth="1"/>
    <col min="14345" max="14468" width="0" style="1898" hidden="1" customWidth="1"/>
    <col min="14469" max="14599" width="9.140625" style="1898"/>
    <col min="14600" max="14600" width="18.42578125" style="1898" customWidth="1"/>
    <col min="14601" max="14724" width="0" style="1898" hidden="1" customWidth="1"/>
    <col min="14725" max="14855" width="9.140625" style="1898"/>
    <col min="14856" max="14856" width="18.42578125" style="1898" customWidth="1"/>
    <col min="14857" max="14980" width="0" style="1898" hidden="1" customWidth="1"/>
    <col min="14981" max="15111" width="9.140625" style="1898"/>
    <col min="15112" max="15112" width="18.42578125" style="1898" customWidth="1"/>
    <col min="15113" max="15236" width="0" style="1898" hidden="1" customWidth="1"/>
    <col min="15237" max="15367" width="9.140625" style="1898"/>
    <col min="15368" max="15368" width="18.42578125" style="1898" customWidth="1"/>
    <col min="15369" max="15492" width="0" style="1898" hidden="1" customWidth="1"/>
    <col min="15493" max="15623" width="9.140625" style="1898"/>
    <col min="15624" max="15624" width="18.42578125" style="1898" customWidth="1"/>
    <col min="15625" max="15748" width="0" style="1898" hidden="1" customWidth="1"/>
    <col min="15749" max="15879" width="9.140625" style="1898"/>
    <col min="15880" max="15880" width="18.42578125" style="1898" customWidth="1"/>
    <col min="15881" max="16004" width="0" style="1898" hidden="1" customWidth="1"/>
    <col min="16005" max="16135" width="9.140625" style="1898"/>
    <col min="16136" max="16136" width="18.42578125" style="1898" customWidth="1"/>
    <col min="16137" max="16260" width="0" style="1898" hidden="1" customWidth="1"/>
    <col min="16261" max="16384" width="9.140625" style="1898"/>
  </cols>
  <sheetData>
    <row r="1" spans="1:155" ht="19.899999999999999" customHeight="1">
      <c r="A1" s="1896" t="s">
        <v>3402</v>
      </c>
      <c r="B1" s="1897"/>
    </row>
    <row r="2" spans="1:155" ht="12.75" customHeight="1" thickBot="1">
      <c r="B2" s="1899"/>
    </row>
    <row r="3" spans="1:155" ht="12.75" customHeight="1" thickTop="1" thickBot="1">
      <c r="B3" s="1897"/>
    </row>
    <row r="4" spans="1:155">
      <c r="A4" s="1900" t="s">
        <v>3403</v>
      </c>
      <c r="B4" s="1901">
        <v>37258</v>
      </c>
      <c r="C4" s="1902">
        <v>37348</v>
      </c>
      <c r="D4" s="1902">
        <v>37378</v>
      </c>
      <c r="E4" s="1902">
        <v>37409</v>
      </c>
      <c r="F4" s="1902">
        <v>37439</v>
      </c>
      <c r="G4" s="1902">
        <v>37470</v>
      </c>
      <c r="H4" s="1902">
        <v>37501</v>
      </c>
      <c r="I4" s="1902">
        <v>37531</v>
      </c>
      <c r="J4" s="1902">
        <v>37562</v>
      </c>
      <c r="K4" s="1902">
        <v>37592</v>
      </c>
      <c r="L4" s="1902">
        <v>37623</v>
      </c>
      <c r="M4" s="1902">
        <v>37654</v>
      </c>
      <c r="N4" s="1902">
        <v>37682</v>
      </c>
      <c r="O4" s="1902">
        <v>37713</v>
      </c>
      <c r="P4" s="1902">
        <v>37743</v>
      </c>
      <c r="Q4" s="1902">
        <v>37774</v>
      </c>
      <c r="R4" s="1902">
        <v>37804</v>
      </c>
      <c r="S4" s="1902">
        <v>37835</v>
      </c>
      <c r="T4" s="1902">
        <v>37866</v>
      </c>
      <c r="U4" s="1902">
        <v>37896</v>
      </c>
      <c r="V4" s="1902">
        <v>37927</v>
      </c>
      <c r="W4" s="1902">
        <v>37957</v>
      </c>
      <c r="X4" s="1903">
        <v>37988</v>
      </c>
      <c r="Y4" s="1903">
        <v>38019</v>
      </c>
      <c r="Z4" s="1903">
        <v>38048</v>
      </c>
      <c r="AA4" s="1903">
        <v>38079</v>
      </c>
      <c r="AB4" s="1903">
        <v>38109</v>
      </c>
      <c r="AC4" s="1904">
        <v>38140</v>
      </c>
      <c r="AD4" s="1905">
        <v>38170</v>
      </c>
      <c r="AE4" s="1905">
        <v>38201</v>
      </c>
      <c r="AF4" s="1905">
        <v>38232</v>
      </c>
      <c r="AG4" s="1905">
        <v>38262</v>
      </c>
      <c r="AH4" s="1905">
        <v>38293</v>
      </c>
      <c r="AI4" s="1905">
        <v>38323</v>
      </c>
      <c r="AJ4" s="1905">
        <v>38354</v>
      </c>
      <c r="AK4" s="1905">
        <v>38413</v>
      </c>
      <c r="AL4" s="1906">
        <v>38444</v>
      </c>
      <c r="AM4" s="1905">
        <v>38474</v>
      </c>
      <c r="AN4" s="1905">
        <v>38505</v>
      </c>
      <c r="AO4" s="1905">
        <v>38535</v>
      </c>
      <c r="AP4" s="1905">
        <v>38565</v>
      </c>
      <c r="AQ4" s="1907">
        <v>38596</v>
      </c>
      <c r="AR4" s="1905">
        <v>38626</v>
      </c>
      <c r="AS4" s="1907">
        <v>38657</v>
      </c>
      <c r="AT4" s="1906">
        <v>38687</v>
      </c>
      <c r="AU4" s="1906">
        <v>38718</v>
      </c>
      <c r="AV4" s="1905">
        <v>38749</v>
      </c>
      <c r="AW4" s="1908">
        <v>38777</v>
      </c>
      <c r="AX4" s="1907">
        <v>38808</v>
      </c>
      <c r="AY4" s="1906">
        <v>38838</v>
      </c>
      <c r="AZ4" s="1905">
        <v>38869</v>
      </c>
      <c r="BA4" s="1907">
        <v>38899</v>
      </c>
      <c r="BB4" s="1906">
        <v>38930</v>
      </c>
      <c r="BC4" s="1905">
        <v>38961</v>
      </c>
      <c r="BD4" s="1907">
        <v>38991</v>
      </c>
      <c r="BE4" s="1906">
        <v>39022</v>
      </c>
      <c r="BF4" s="1906">
        <v>39052</v>
      </c>
      <c r="BG4" s="1906">
        <v>39083</v>
      </c>
      <c r="BH4" s="1906">
        <v>39114</v>
      </c>
      <c r="BI4" s="1906">
        <v>39142</v>
      </c>
      <c r="BJ4" s="1906">
        <v>39173</v>
      </c>
      <c r="BK4" s="1906">
        <v>39203</v>
      </c>
      <c r="BL4" s="1906">
        <v>39234</v>
      </c>
      <c r="BM4" s="1906">
        <v>39264</v>
      </c>
      <c r="BN4" s="1905">
        <v>39295</v>
      </c>
      <c r="BO4" s="1905">
        <v>39326</v>
      </c>
      <c r="BP4" s="1905">
        <v>39356</v>
      </c>
      <c r="BQ4" s="1905">
        <v>39387</v>
      </c>
      <c r="BR4" s="1905">
        <v>39417</v>
      </c>
      <c r="BS4" s="1905">
        <v>39448</v>
      </c>
      <c r="BT4" s="1905">
        <v>39479</v>
      </c>
      <c r="BU4" s="1906">
        <v>39508</v>
      </c>
      <c r="BV4" s="1906">
        <v>39539</v>
      </c>
      <c r="BW4" s="1906">
        <v>39569</v>
      </c>
      <c r="BX4" s="1906">
        <v>39600</v>
      </c>
      <c r="BY4" s="1906">
        <v>39630</v>
      </c>
      <c r="BZ4" s="1905">
        <v>39661</v>
      </c>
      <c r="CA4" s="1905">
        <v>39692</v>
      </c>
      <c r="CB4" s="1905">
        <v>39722</v>
      </c>
      <c r="CC4" s="1905">
        <v>39753</v>
      </c>
      <c r="CD4" s="1905">
        <v>39783</v>
      </c>
      <c r="CE4" s="1905">
        <v>39814</v>
      </c>
      <c r="CF4" s="1905">
        <v>39845</v>
      </c>
      <c r="CG4" s="1905">
        <v>39873</v>
      </c>
      <c r="CH4" s="1905">
        <v>39904</v>
      </c>
      <c r="CI4" s="1909">
        <v>39934</v>
      </c>
      <c r="CJ4" s="1909">
        <v>39965</v>
      </c>
      <c r="CK4" s="1909">
        <v>39995</v>
      </c>
      <c r="CL4" s="1903">
        <v>40026</v>
      </c>
      <c r="CM4" s="1903">
        <v>40057</v>
      </c>
      <c r="CN4" s="1903">
        <v>40087</v>
      </c>
      <c r="CO4" s="1903">
        <v>40118</v>
      </c>
      <c r="CP4" s="1903">
        <v>40299</v>
      </c>
      <c r="CQ4" s="1903">
        <v>40360</v>
      </c>
      <c r="CR4" s="1903">
        <v>40391</v>
      </c>
      <c r="CS4" s="1903">
        <v>40422</v>
      </c>
      <c r="CT4" s="1903">
        <v>40452</v>
      </c>
      <c r="CU4" s="1903">
        <v>40483</v>
      </c>
      <c r="CV4" s="1903">
        <v>40513</v>
      </c>
      <c r="CW4" s="1903">
        <v>40544</v>
      </c>
      <c r="CX4" s="1903">
        <v>40575</v>
      </c>
      <c r="CY4" s="1903">
        <v>40603</v>
      </c>
      <c r="CZ4" s="1903">
        <v>40634</v>
      </c>
      <c r="DA4" s="1903">
        <v>40664</v>
      </c>
      <c r="DB4" s="1903">
        <v>40695</v>
      </c>
      <c r="DC4" s="1903">
        <v>40725</v>
      </c>
      <c r="DD4" s="1903">
        <v>40756</v>
      </c>
      <c r="DE4" s="1903">
        <v>40787</v>
      </c>
      <c r="DF4" s="1903">
        <v>40817</v>
      </c>
      <c r="DG4" s="1903">
        <v>40848</v>
      </c>
      <c r="DH4" s="1903">
        <v>40878</v>
      </c>
      <c r="DI4" s="1903">
        <v>40909</v>
      </c>
      <c r="DJ4" s="1903">
        <v>40940</v>
      </c>
      <c r="DK4" s="1903">
        <v>40969</v>
      </c>
      <c r="DL4" s="1903">
        <v>41000</v>
      </c>
      <c r="DM4" s="1903">
        <v>41030</v>
      </c>
      <c r="DN4" s="1903">
        <v>41061</v>
      </c>
      <c r="DO4" s="1903">
        <v>41091</v>
      </c>
      <c r="DP4" s="1903">
        <v>41122</v>
      </c>
      <c r="DQ4" s="1903">
        <v>41153</v>
      </c>
      <c r="DR4" s="1910">
        <v>41183</v>
      </c>
      <c r="DS4" s="1905">
        <f t="shared" ref="DS4:EY4" si="0">DR4+31</f>
        <v>41214</v>
      </c>
      <c r="DT4" s="1905">
        <f t="shared" si="0"/>
        <v>41245</v>
      </c>
      <c r="DU4" s="1905">
        <f t="shared" si="0"/>
        <v>41276</v>
      </c>
      <c r="DV4" s="1905">
        <f t="shared" si="0"/>
        <v>41307</v>
      </c>
      <c r="DW4" s="1905">
        <f t="shared" si="0"/>
        <v>41338</v>
      </c>
      <c r="DX4" s="1905">
        <f t="shared" si="0"/>
        <v>41369</v>
      </c>
      <c r="DY4" s="1905">
        <f t="shared" si="0"/>
        <v>41400</v>
      </c>
      <c r="DZ4" s="1905">
        <f t="shared" si="0"/>
        <v>41431</v>
      </c>
      <c r="EA4" s="1905">
        <f t="shared" si="0"/>
        <v>41462</v>
      </c>
      <c r="EB4" s="1905">
        <f t="shared" si="0"/>
        <v>41493</v>
      </c>
      <c r="EC4" s="1911">
        <f t="shared" si="0"/>
        <v>41524</v>
      </c>
      <c r="ED4" s="1911">
        <f t="shared" si="0"/>
        <v>41555</v>
      </c>
      <c r="EE4" s="1911">
        <f t="shared" si="0"/>
        <v>41586</v>
      </c>
      <c r="EF4" s="1911">
        <f t="shared" si="0"/>
        <v>41617</v>
      </c>
      <c r="EG4" s="1911">
        <f t="shared" si="0"/>
        <v>41648</v>
      </c>
      <c r="EH4" s="1911">
        <f t="shared" si="0"/>
        <v>41679</v>
      </c>
      <c r="EI4" s="1911">
        <f t="shared" si="0"/>
        <v>41710</v>
      </c>
      <c r="EJ4" s="1911">
        <f t="shared" si="0"/>
        <v>41741</v>
      </c>
      <c r="EK4" s="1911">
        <f t="shared" si="0"/>
        <v>41772</v>
      </c>
      <c r="EL4" s="1911">
        <f t="shared" si="0"/>
        <v>41803</v>
      </c>
      <c r="EM4" s="1911">
        <f t="shared" si="0"/>
        <v>41834</v>
      </c>
      <c r="EN4" s="1911">
        <f t="shared" si="0"/>
        <v>41865</v>
      </c>
      <c r="EO4" s="1911">
        <f t="shared" si="0"/>
        <v>41896</v>
      </c>
      <c r="EP4" s="1911">
        <f t="shared" si="0"/>
        <v>41927</v>
      </c>
      <c r="EQ4" s="1911">
        <f t="shared" si="0"/>
        <v>41958</v>
      </c>
      <c r="ER4" s="1911">
        <f t="shared" si="0"/>
        <v>41989</v>
      </c>
      <c r="ES4" s="1911">
        <f t="shared" si="0"/>
        <v>42020</v>
      </c>
      <c r="ET4" s="1911">
        <f t="shared" si="0"/>
        <v>42051</v>
      </c>
      <c r="EU4" s="1911">
        <f t="shared" si="0"/>
        <v>42082</v>
      </c>
      <c r="EV4" s="1911">
        <f t="shared" si="0"/>
        <v>42113</v>
      </c>
      <c r="EW4" s="1911">
        <f t="shared" si="0"/>
        <v>42144</v>
      </c>
      <c r="EX4" s="1911">
        <f t="shared" si="0"/>
        <v>42175</v>
      </c>
      <c r="EY4" s="1912">
        <f t="shared" si="0"/>
        <v>42206</v>
      </c>
    </row>
    <row r="5" spans="1:155" ht="13.5" customHeight="1" thickBot="1">
      <c r="A5" s="1913" t="s">
        <v>3404</v>
      </c>
      <c r="B5" s="1914"/>
      <c r="C5" s="1915"/>
      <c r="D5" s="1915"/>
      <c r="E5" s="1915"/>
      <c r="F5" s="1915"/>
      <c r="G5" s="1915"/>
      <c r="H5" s="1915"/>
      <c r="I5" s="1915"/>
      <c r="J5" s="1915"/>
      <c r="K5" s="1915"/>
      <c r="L5" s="1915"/>
      <c r="M5" s="1915"/>
      <c r="N5" s="1915"/>
      <c r="O5" s="1915"/>
      <c r="P5" s="1915"/>
      <c r="Q5" s="1915"/>
      <c r="R5" s="1915"/>
      <c r="S5" s="1915"/>
      <c r="T5" s="1915"/>
      <c r="U5" s="1915"/>
      <c r="V5" s="1915"/>
      <c r="W5" s="1915"/>
      <c r="X5" s="1916"/>
      <c r="Y5" s="1916"/>
      <c r="Z5" s="1916"/>
      <c r="AA5" s="1916"/>
      <c r="AB5" s="1916"/>
      <c r="AC5" s="1917"/>
      <c r="AD5" s="1918"/>
      <c r="AE5" s="1918"/>
      <c r="AF5" s="1918"/>
      <c r="AG5" s="1918"/>
      <c r="AH5" s="1918"/>
      <c r="AI5" s="1918"/>
      <c r="AJ5" s="1918"/>
      <c r="AK5" s="1918"/>
      <c r="AL5" s="1919"/>
      <c r="AM5" s="1918"/>
      <c r="AN5" s="1918"/>
      <c r="AO5" s="1918"/>
      <c r="AP5" s="1918"/>
      <c r="AQ5" s="1920"/>
      <c r="AR5" s="1918"/>
      <c r="AS5" s="1920"/>
      <c r="AT5" s="1919"/>
      <c r="AU5" s="1919"/>
      <c r="AV5" s="1918"/>
      <c r="AW5" s="1921"/>
      <c r="AX5" s="1920"/>
      <c r="AY5" s="1919"/>
      <c r="AZ5" s="1918"/>
      <c r="BA5" s="1920"/>
      <c r="BB5" s="1919"/>
      <c r="BC5" s="1918"/>
      <c r="BD5" s="1918"/>
      <c r="BE5" s="1920"/>
      <c r="BF5" s="1919"/>
      <c r="BG5" s="1919"/>
      <c r="BH5" s="1919"/>
      <c r="BI5" s="1919"/>
      <c r="BJ5" s="1919"/>
      <c r="BK5" s="1919"/>
      <c r="BL5" s="1919"/>
      <c r="BM5" s="1919"/>
      <c r="BN5" s="1918"/>
      <c r="BO5" s="1918"/>
      <c r="BP5" s="1918"/>
      <c r="BQ5" s="1918"/>
      <c r="BR5" s="1918"/>
      <c r="BS5" s="1918"/>
      <c r="BT5" s="1918"/>
      <c r="BU5" s="1919"/>
      <c r="BV5" s="1919"/>
      <c r="BW5" s="1919"/>
      <c r="BX5" s="1919"/>
      <c r="BY5" s="1919"/>
      <c r="BZ5" s="1918"/>
      <c r="CA5" s="1918"/>
      <c r="CB5" s="1918"/>
      <c r="CC5" s="1918"/>
      <c r="CD5" s="1918"/>
      <c r="CE5" s="1918"/>
      <c r="CF5" s="1918"/>
      <c r="CG5" s="1918"/>
      <c r="CH5" s="1918"/>
      <c r="CI5" s="1922"/>
      <c r="CJ5" s="1922"/>
      <c r="CK5" s="1922"/>
      <c r="CL5" s="1916"/>
      <c r="CM5" s="1916"/>
      <c r="CN5" s="1916"/>
      <c r="CO5" s="1916"/>
      <c r="CP5" s="1916"/>
      <c r="CQ5" s="1916"/>
      <c r="CR5" s="1916"/>
      <c r="CS5" s="1916"/>
      <c r="CT5" s="1916"/>
      <c r="CU5" s="1916"/>
      <c r="CV5" s="1916"/>
      <c r="CW5" s="1916"/>
      <c r="CX5" s="1916"/>
      <c r="CY5" s="1916"/>
      <c r="CZ5" s="1916"/>
      <c r="DA5" s="1916"/>
      <c r="DB5" s="1916"/>
      <c r="DC5" s="1916"/>
      <c r="DD5" s="1916"/>
      <c r="DE5" s="1916"/>
      <c r="DF5" s="1916"/>
      <c r="DG5" s="1916"/>
      <c r="DH5" s="1916"/>
      <c r="DI5" s="1916"/>
      <c r="DJ5" s="1916"/>
      <c r="DK5" s="1916"/>
      <c r="DL5" s="1916"/>
      <c r="DM5" s="1916"/>
      <c r="DN5" s="1916"/>
      <c r="DO5" s="1916"/>
      <c r="DP5" s="1916"/>
      <c r="DQ5" s="1916"/>
      <c r="DR5" s="1923"/>
      <c r="DS5" s="1918"/>
      <c r="DT5" s="1918"/>
      <c r="DU5" s="1918"/>
      <c r="DV5" s="1918"/>
      <c r="DW5" s="1918"/>
      <c r="DX5" s="1918"/>
      <c r="DY5" s="1918"/>
      <c r="DZ5" s="1918"/>
      <c r="EA5" s="1918"/>
      <c r="EB5" s="1918"/>
      <c r="EC5" s="1918"/>
      <c r="ED5" s="1918"/>
      <c r="EE5" s="1918"/>
      <c r="EF5" s="1918"/>
      <c r="EG5" s="1918"/>
      <c r="EH5" s="1918"/>
      <c r="EI5" s="1918"/>
      <c r="EJ5" s="1918"/>
      <c r="EK5" s="1918"/>
      <c r="EL5" s="1918"/>
      <c r="EM5" s="1918"/>
      <c r="EN5" s="1918"/>
      <c r="EO5" s="1918"/>
      <c r="EP5" s="1918"/>
      <c r="EQ5" s="1918"/>
      <c r="ER5" s="1918"/>
      <c r="ES5" s="1918"/>
      <c r="ET5" s="1918"/>
      <c r="EU5" s="1918"/>
      <c r="EV5" s="1918"/>
      <c r="EW5" s="1918"/>
      <c r="EX5" s="1918"/>
      <c r="EY5" s="1924"/>
    </row>
    <row r="6" spans="1:155" ht="21.75" customHeight="1">
      <c r="A6" s="1925" t="s">
        <v>3405</v>
      </c>
      <c r="B6" s="1926">
        <v>15.56</v>
      </c>
      <c r="C6" s="1927">
        <v>16.52</v>
      </c>
      <c r="D6" s="1927">
        <v>17.329999999999998</v>
      </c>
      <c r="E6" s="1927">
        <v>17.13</v>
      </c>
      <c r="F6" s="1927">
        <v>16.48</v>
      </c>
      <c r="G6" s="1927">
        <v>16.59</v>
      </c>
      <c r="H6" s="1927">
        <v>16.309999999999999</v>
      </c>
      <c r="I6" s="1927">
        <v>16.600000000000001</v>
      </c>
      <c r="J6" s="1927">
        <v>16.739999999999998</v>
      </c>
      <c r="K6" s="1927">
        <v>16.73</v>
      </c>
      <c r="L6" s="1927">
        <v>16.89</v>
      </c>
      <c r="M6" s="1927">
        <v>17.05</v>
      </c>
      <c r="N6" s="1927">
        <v>16.79</v>
      </c>
      <c r="O6" s="1927">
        <v>17.3</v>
      </c>
      <c r="P6" s="1927">
        <v>18.260000000000002</v>
      </c>
      <c r="Q6" s="1927">
        <v>19.75</v>
      </c>
      <c r="R6" s="1927">
        <v>19.510000000000002</v>
      </c>
      <c r="S6" s="1927">
        <v>18.89</v>
      </c>
      <c r="T6" s="1927">
        <v>19.77</v>
      </c>
      <c r="U6" s="1927">
        <v>20.38</v>
      </c>
      <c r="V6" s="1927">
        <v>20.54</v>
      </c>
      <c r="W6" s="1927">
        <v>20.149999999999999</v>
      </c>
      <c r="X6" s="1927">
        <v>20.03</v>
      </c>
      <c r="Y6" s="1927">
        <v>20.13</v>
      </c>
      <c r="Z6" s="1927">
        <v>20.420000000000002</v>
      </c>
      <c r="AA6" s="1927">
        <v>20.190000000000001</v>
      </c>
      <c r="AB6" s="1927">
        <v>20.37</v>
      </c>
      <c r="AC6" s="1928">
        <v>19.649999999999999</v>
      </c>
      <c r="AD6" s="1929">
        <v>20.03</v>
      </c>
      <c r="AE6" s="1929">
        <v>20.239999999999998</v>
      </c>
      <c r="AF6" s="1929">
        <v>20.7</v>
      </c>
      <c r="AG6" s="1929">
        <v>21.53</v>
      </c>
      <c r="AH6" s="1929">
        <v>22.38</v>
      </c>
      <c r="AI6" s="1929">
        <v>22.26</v>
      </c>
      <c r="AJ6" s="1929">
        <v>22.38</v>
      </c>
      <c r="AK6" s="1929">
        <v>22.68</v>
      </c>
      <c r="AL6" s="1930">
        <v>22.9</v>
      </c>
      <c r="AM6" s="1931">
        <v>22.36</v>
      </c>
      <c r="AN6" s="1929">
        <v>22.69</v>
      </c>
      <c r="AO6" s="1929">
        <v>22.76</v>
      </c>
      <c r="AP6" s="1929">
        <v>22.49</v>
      </c>
      <c r="AQ6" s="1932">
        <v>23.29</v>
      </c>
      <c r="AR6" s="1931">
        <v>22.97</v>
      </c>
      <c r="AS6" s="1932">
        <v>22.82</v>
      </c>
      <c r="AT6" s="1933">
        <v>22.69</v>
      </c>
      <c r="AU6" s="1933">
        <v>23.25</v>
      </c>
      <c r="AV6" s="1929">
        <v>22.91</v>
      </c>
      <c r="AW6" s="1934">
        <v>22.29</v>
      </c>
      <c r="AX6" s="1932">
        <v>23.52</v>
      </c>
      <c r="AY6" s="1933">
        <v>23.79</v>
      </c>
      <c r="AZ6" s="1929">
        <v>23.13</v>
      </c>
      <c r="BA6" s="1932">
        <v>24.28</v>
      </c>
      <c r="BB6" s="1933">
        <v>25.02</v>
      </c>
      <c r="BC6" s="1929">
        <v>24.76</v>
      </c>
      <c r="BD6" s="1929">
        <v>25.8</v>
      </c>
      <c r="BE6" s="1932">
        <v>26.61</v>
      </c>
      <c r="BF6" s="1933">
        <v>26.95</v>
      </c>
      <c r="BG6" s="1933">
        <v>26.36</v>
      </c>
      <c r="BH6" s="1933">
        <v>26.64</v>
      </c>
      <c r="BI6" s="1933">
        <v>26.78</v>
      </c>
      <c r="BJ6" s="1933">
        <v>26.87</v>
      </c>
      <c r="BK6" s="1933">
        <v>26.29</v>
      </c>
      <c r="BL6" s="1933">
        <v>27.22</v>
      </c>
      <c r="BM6" s="1933">
        <v>27.39</v>
      </c>
      <c r="BN6" s="1929">
        <v>26.0532</v>
      </c>
      <c r="BO6" s="1929">
        <v>27.4922</v>
      </c>
      <c r="BP6" s="1929">
        <v>28.593599999999999</v>
      </c>
      <c r="BQ6" s="1929">
        <v>27.143999999999998</v>
      </c>
      <c r="BR6" s="1929">
        <v>25.668299999999999</v>
      </c>
      <c r="BS6" s="1929">
        <v>26.1235</v>
      </c>
      <c r="BT6" s="1929">
        <v>26.605399999999999</v>
      </c>
      <c r="BU6" s="1933">
        <v>24.6096</v>
      </c>
      <c r="BV6" s="1933">
        <v>24.8872</v>
      </c>
      <c r="BW6" s="1933">
        <v>27.118300000000001</v>
      </c>
      <c r="BX6" s="1933">
        <v>26.8184</v>
      </c>
      <c r="BY6" s="1933">
        <v>25.786799999999999</v>
      </c>
      <c r="BZ6" s="1929">
        <v>24.9757</v>
      </c>
      <c r="CA6" s="1929">
        <v>23.229199999999999</v>
      </c>
      <c r="CB6" s="1929">
        <v>22.044899999999998</v>
      </c>
      <c r="CC6" s="1929">
        <v>21.433499999999999</v>
      </c>
      <c r="CD6" s="1929">
        <v>22.654699999999998</v>
      </c>
      <c r="CE6" s="1929">
        <v>21.716699999999999</v>
      </c>
      <c r="CF6" s="1929">
        <v>22.553599999999999</v>
      </c>
      <c r="CG6" s="1929">
        <v>23.6126</v>
      </c>
      <c r="CH6" s="1929">
        <v>25.0962</v>
      </c>
      <c r="CI6" s="1929">
        <v>26.360900000000001</v>
      </c>
      <c r="CJ6" s="1929">
        <v>26.9573</v>
      </c>
      <c r="CK6" s="1929">
        <v>27.3185</v>
      </c>
      <c r="CL6" s="1935">
        <v>27.529699999999998</v>
      </c>
      <c r="CM6" s="1935">
        <v>27.882899999999999</v>
      </c>
      <c r="CN6" s="1935">
        <v>28.681100000000001</v>
      </c>
      <c r="CO6" s="1935">
        <v>28.164999999999999</v>
      </c>
      <c r="CP6" s="1935">
        <v>29.251000000000001</v>
      </c>
      <c r="CQ6" s="1935">
        <v>28.16612344759616</v>
      </c>
      <c r="CR6" s="1935">
        <v>28.499452496458929</v>
      </c>
      <c r="CS6" s="1935">
        <v>30.072427729575537</v>
      </c>
      <c r="CT6" s="1935">
        <v>29.940966177511076</v>
      </c>
      <c r="CU6" s="1935">
        <v>30.225972652943568</v>
      </c>
      <c r="CV6" s="1935">
        <v>31.850720017085713</v>
      </c>
      <c r="CW6" s="1935">
        <v>30.407761025539997</v>
      </c>
      <c r="CX6" s="1935">
        <v>30.856948067410002</v>
      </c>
      <c r="CY6" s="1935">
        <v>30.524032067954291</v>
      </c>
      <c r="CZ6" s="1935">
        <v>31.015875573434645</v>
      </c>
      <c r="DA6" s="1935">
        <v>30.808352357991776</v>
      </c>
      <c r="DB6" s="1935">
        <v>31.199055418040707</v>
      </c>
      <c r="DC6" s="1935">
        <v>31.640197820362499</v>
      </c>
      <c r="DD6" s="1935">
        <v>30.636825936685359</v>
      </c>
      <c r="DE6" s="1935">
        <v>29.047015291165362</v>
      </c>
      <c r="DF6" s="1935">
        <v>31.14696479228607</v>
      </c>
      <c r="DG6" s="1935">
        <v>30.016604410962859</v>
      </c>
      <c r="DH6" s="1935">
        <v>30.653454635537496</v>
      </c>
      <c r="DI6" s="1935">
        <v>31.78951233469142</v>
      </c>
      <c r="DJ6" s="1935">
        <v>32.031724399628217</v>
      </c>
      <c r="DK6" s="1935">
        <v>30.898686488191782</v>
      </c>
      <c r="DL6" s="1935">
        <v>31.132376976534285</v>
      </c>
      <c r="DM6" s="1935">
        <v>29.776268937628931</v>
      </c>
      <c r="DN6" s="1935">
        <v>32.116625134594635</v>
      </c>
      <c r="DO6" s="1935">
        <v>33.371623722129996</v>
      </c>
      <c r="DP6" s="1935">
        <v>32.202497256828565</v>
      </c>
      <c r="DQ6" s="1935">
        <v>32.544694504626854</v>
      </c>
      <c r="DR6" s="1935">
        <v>32.824064693024859</v>
      </c>
      <c r="DS6" s="1935">
        <v>32.862170824724437</v>
      </c>
      <c r="DT6" s="1935">
        <v>32.391319341800006</v>
      </c>
      <c r="DU6" s="1935">
        <v>32.120387970051432</v>
      </c>
      <c r="DV6" s="1935">
        <v>32.161973845968575</v>
      </c>
      <c r="DW6" s="1935">
        <v>33.017899227804911</v>
      </c>
      <c r="DX6" s="1935">
        <v>32.650179029661359</v>
      </c>
      <c r="DY6" s="1935">
        <v>30.508328271160714</v>
      </c>
      <c r="DZ6" s="1935">
        <v>29.219234642313637</v>
      </c>
      <c r="EA6" s="1935">
        <v>28.402400038163925</v>
      </c>
      <c r="EB6" s="1935">
        <v>28.121851271808289</v>
      </c>
      <c r="EC6" s="1935">
        <v>29.030171696165354</v>
      </c>
      <c r="ED6" s="1935">
        <v>29.197605977405573</v>
      </c>
      <c r="EE6" s="1935">
        <v>28.093810899874203</v>
      </c>
      <c r="EF6" s="1935">
        <v>27.423530487067431</v>
      </c>
      <c r="EG6" s="1935">
        <v>26.868356833097202</v>
      </c>
      <c r="EH6" s="1935">
        <v>27.51289510131857</v>
      </c>
      <c r="EI6" s="1935">
        <v>28.447808963130882</v>
      </c>
      <c r="EJ6" s="1935">
        <v>28.441322898389053</v>
      </c>
      <c r="EK6" s="1935">
        <v>28.738349329908999</v>
      </c>
      <c r="EL6" s="1935">
        <v>29.040735419048563</v>
      </c>
      <c r="EM6" s="1935">
        <v>28.91185272831196</v>
      </c>
      <c r="EN6" s="1935">
        <v>29.269448482517515</v>
      </c>
      <c r="EO6" s="1935">
        <v>27.939253139383428</v>
      </c>
      <c r="EP6" s="1935">
        <v>28.124029890492597</v>
      </c>
      <c r="EQ6" s="1935">
        <v>27.226541314789852</v>
      </c>
      <c r="ER6" s="1935">
        <v>26.439216729061425</v>
      </c>
      <c r="ES6" s="1935">
        <v>25.899436039495431</v>
      </c>
      <c r="ET6" s="1935">
        <v>26.375192937004499</v>
      </c>
      <c r="EU6" s="1935">
        <v>28.266616249922805</v>
      </c>
      <c r="EV6" s="1935">
        <v>28.6661</v>
      </c>
      <c r="EW6" s="1935">
        <v>27.625614285714281</v>
      </c>
      <c r="EX6" s="1935">
        <v>27.537492857142901</v>
      </c>
      <c r="EY6" s="1936">
        <v>26.409199999999998</v>
      </c>
    </row>
    <row r="7" spans="1:155" ht="21" customHeight="1">
      <c r="A7" s="1925" t="s">
        <v>3406</v>
      </c>
      <c r="B7" s="1926">
        <v>3.95</v>
      </c>
      <c r="C7" s="1927">
        <v>3.94</v>
      </c>
      <c r="D7" s="1937">
        <v>3.93</v>
      </c>
      <c r="E7" s="1937">
        <v>3.9</v>
      </c>
      <c r="F7" s="1938">
        <v>3.88</v>
      </c>
      <c r="G7" s="1938">
        <v>3.87</v>
      </c>
      <c r="H7" s="1937">
        <v>3.87</v>
      </c>
      <c r="I7" s="1937">
        <v>3.87</v>
      </c>
      <c r="J7" s="1937">
        <v>3.85</v>
      </c>
      <c r="K7" s="1937">
        <v>3.81</v>
      </c>
      <c r="L7" s="1937">
        <v>3.7</v>
      </c>
      <c r="M7" s="1937">
        <v>3.63</v>
      </c>
      <c r="N7" s="1937">
        <v>3.59</v>
      </c>
      <c r="O7" s="1937">
        <v>3.58</v>
      </c>
      <c r="P7" s="1937">
        <v>3.61</v>
      </c>
      <c r="Q7" s="1937">
        <v>3.82</v>
      </c>
      <c r="R7" s="1937">
        <v>3.85</v>
      </c>
      <c r="S7" s="1937">
        <v>3.81</v>
      </c>
      <c r="T7" s="1937">
        <v>3.78</v>
      </c>
      <c r="U7" s="1937">
        <v>3.75</v>
      </c>
      <c r="V7" s="1937">
        <v>3.69</v>
      </c>
      <c r="W7" s="1937">
        <v>3.5</v>
      </c>
      <c r="X7" s="1937">
        <v>3.41</v>
      </c>
      <c r="Y7" s="1937">
        <v>3.39</v>
      </c>
      <c r="Z7" s="1937">
        <v>3.48</v>
      </c>
      <c r="AA7" s="1937">
        <v>3.62</v>
      </c>
      <c r="AB7" s="1937">
        <v>3.69</v>
      </c>
      <c r="AC7" s="1939">
        <v>3.68</v>
      </c>
      <c r="AD7" s="1940">
        <v>3.7</v>
      </c>
      <c r="AE7" s="1940">
        <v>3.72</v>
      </c>
      <c r="AF7" s="1940">
        <v>3.73</v>
      </c>
      <c r="AG7" s="1940">
        <v>3.74</v>
      </c>
      <c r="AH7" s="1940">
        <v>3.73</v>
      </c>
      <c r="AI7" s="1940">
        <v>3.7</v>
      </c>
      <c r="AJ7" s="1940">
        <v>3.73</v>
      </c>
      <c r="AK7" s="1940">
        <v>3.79</v>
      </c>
      <c r="AL7" s="1941">
        <v>3.8</v>
      </c>
      <c r="AM7" s="1940">
        <v>3.82</v>
      </c>
      <c r="AN7" s="1940">
        <v>3.85</v>
      </c>
      <c r="AO7" s="1940">
        <v>3.88</v>
      </c>
      <c r="AP7" s="1940">
        <v>3.9</v>
      </c>
      <c r="AQ7" s="1942">
        <v>3.96</v>
      </c>
      <c r="AR7" s="1940">
        <v>3.99</v>
      </c>
      <c r="AS7" s="1942">
        <v>4.0199999999999996</v>
      </c>
      <c r="AT7" s="1941">
        <v>4.03</v>
      </c>
      <c r="AU7" s="1941">
        <v>4.03</v>
      </c>
      <c r="AV7" s="1940">
        <v>4.04</v>
      </c>
      <c r="AW7" s="1943">
        <v>4.05</v>
      </c>
      <c r="AX7" s="1942">
        <v>4.0599999999999996</v>
      </c>
      <c r="AY7" s="1941">
        <v>4.05</v>
      </c>
      <c r="AZ7" s="1940">
        <v>4.0599999999999996</v>
      </c>
      <c r="BA7" s="1942">
        <v>4.1100000000000003</v>
      </c>
      <c r="BB7" s="1941">
        <v>4.25</v>
      </c>
      <c r="BC7" s="1940">
        <v>4.26</v>
      </c>
      <c r="BD7" s="1940">
        <v>4.3099999999999996</v>
      </c>
      <c r="BE7" s="1942">
        <v>4.34</v>
      </c>
      <c r="BF7" s="1941">
        <v>4.37</v>
      </c>
      <c r="BG7" s="1941">
        <v>4.3499999999999996</v>
      </c>
      <c r="BH7" s="1941">
        <v>4.3099999999999996</v>
      </c>
      <c r="BI7" s="1941">
        <v>4.2699999999999996</v>
      </c>
      <c r="BJ7" s="1941">
        <v>4.18</v>
      </c>
      <c r="BK7" s="1941">
        <v>4.12</v>
      </c>
      <c r="BL7" s="1941">
        <v>4.13</v>
      </c>
      <c r="BM7" s="1941">
        <v>4.09</v>
      </c>
      <c r="BN7" s="1940">
        <v>4.0932000000000004</v>
      </c>
      <c r="BO7" s="1940">
        <v>4.0366999999999997</v>
      </c>
      <c r="BP7" s="1940">
        <v>4.0175999999999998</v>
      </c>
      <c r="BQ7" s="1940">
        <v>3.948</v>
      </c>
      <c r="BR7" s="1940">
        <v>3.7471999999999999</v>
      </c>
      <c r="BS7" s="1940">
        <v>3.7690999999999999</v>
      </c>
      <c r="BT7" s="1940">
        <v>3.6236000000000002</v>
      </c>
      <c r="BU7" s="1941">
        <v>3.4592000000000001</v>
      </c>
      <c r="BV7" s="1941">
        <v>3.4264999999999999</v>
      </c>
      <c r="BW7" s="1941">
        <v>3.6351</v>
      </c>
      <c r="BX7" s="1941">
        <v>3.5863999999999998</v>
      </c>
      <c r="BY7" s="1941">
        <v>3.5167000000000002</v>
      </c>
      <c r="BZ7" s="1940">
        <v>3.7092000000000001</v>
      </c>
      <c r="CA7" s="1940">
        <v>3.7442000000000002</v>
      </c>
      <c r="CB7" s="1940">
        <v>4.2183999999999999</v>
      </c>
      <c r="CC7" s="1940">
        <v>4.2065000000000001</v>
      </c>
      <c r="CD7" s="1940">
        <v>4.2130000000000001</v>
      </c>
      <c r="CE7" s="1940">
        <v>4.3268000000000004</v>
      </c>
      <c r="CF7" s="1940">
        <v>4.5053999999999998</v>
      </c>
      <c r="CG7" s="1940">
        <v>4.4272</v>
      </c>
      <c r="CH7" s="1940">
        <v>4.4598000000000004</v>
      </c>
      <c r="CI7" s="1940">
        <v>4.3163</v>
      </c>
      <c r="CJ7" s="1940">
        <v>4.2948000000000004</v>
      </c>
      <c r="CK7" s="1940">
        <v>4.2535999999999996</v>
      </c>
      <c r="CL7" s="1944">
        <v>4.2291999999999996</v>
      </c>
      <c r="CM7" s="1944">
        <v>4.0975999999999999</v>
      </c>
      <c r="CN7" s="1944">
        <v>4.0427</v>
      </c>
      <c r="CO7" s="1944">
        <v>3.9632999999999998</v>
      </c>
      <c r="CP7" s="1944">
        <v>4.4180000000000001</v>
      </c>
      <c r="CQ7" s="1944">
        <v>4.032487560373756</v>
      </c>
      <c r="CR7" s="1944">
        <v>4.0969714264583965</v>
      </c>
      <c r="CS7" s="1944">
        <v>4.0047722008282394</v>
      </c>
      <c r="CT7" s="1944">
        <v>3.9543564370945878</v>
      </c>
      <c r="CU7" s="1944">
        <v>4.0426005138951515</v>
      </c>
      <c r="CV7" s="1944">
        <v>4.0278040434054869</v>
      </c>
      <c r="CW7" s="1944">
        <v>3.9279889267950394</v>
      </c>
      <c r="CX7" s="1944">
        <v>3.8959044275968897</v>
      </c>
      <c r="CY7" s="1944">
        <v>3.7942924247204624</v>
      </c>
      <c r="CZ7" s="1944">
        <v>3.6576214562405553</v>
      </c>
      <c r="DA7" s="1944">
        <v>3.6971726456905682</v>
      </c>
      <c r="DB7" s="1944">
        <v>3.7294413698932494</v>
      </c>
      <c r="DC7" s="1944">
        <v>3.6934897257530364</v>
      </c>
      <c r="DD7" s="1944">
        <v>3.6818912762427973</v>
      </c>
      <c r="DE7" s="1944">
        <v>3.8179949005074763</v>
      </c>
      <c r="DF7" s="1944">
        <v>3.8047301396428601</v>
      </c>
      <c r="DG7" s="1944">
        <v>3.8422869353282501</v>
      </c>
      <c r="DH7" s="1944">
        <v>3.8844088727125103</v>
      </c>
      <c r="DI7" s="1944">
        <v>3.8513244997920633</v>
      </c>
      <c r="DJ7" s="1944">
        <v>3.8175666094278706</v>
      </c>
      <c r="DK7" s="1944">
        <v>3.8251777537822003</v>
      </c>
      <c r="DL7" s="1944">
        <v>3.8342347896408513</v>
      </c>
      <c r="DM7" s="1944">
        <v>3.9417741110028013</v>
      </c>
      <c r="DN7" s="1944">
        <v>4.0708354957761896</v>
      </c>
      <c r="DO7" s="1944">
        <v>4.0905709470138962</v>
      </c>
      <c r="DP7" s="1944">
        <v>4.030456479785907</v>
      </c>
      <c r="DQ7" s="1944">
        <v>4.0078231107034785</v>
      </c>
      <c r="DR7" s="1944">
        <v>4.0806980113313447</v>
      </c>
      <c r="DS7" s="1944">
        <v>4.0671373455316617</v>
      </c>
      <c r="DT7" s="1944">
        <v>4.0231595015807393</v>
      </c>
      <c r="DU7" s="1944">
        <v>3.9837583570262205</v>
      </c>
      <c r="DV7" s="1944">
        <v>4.028247168938881</v>
      </c>
      <c r="DW7" s="1944">
        <v>4.0768341388566833</v>
      </c>
      <c r="DX7" s="1944">
        <v>4.0628685596363976</v>
      </c>
      <c r="DY7" s="1944">
        <v>4.0762222476361059</v>
      </c>
      <c r="DZ7" s="1944">
        <v>4.0615859662385274</v>
      </c>
      <c r="EA7" s="1944">
        <v>4.0526861410180075</v>
      </c>
      <c r="EB7" s="1944">
        <v>4.0540417623135312</v>
      </c>
      <c r="EC7" s="1944">
        <v>4.0257424481660626</v>
      </c>
      <c r="ED7" s="1944">
        <v>3.9721481226092061</v>
      </c>
      <c r="EE7" s="1944">
        <v>3.9915340622676623</v>
      </c>
      <c r="EF7" s="1944">
        <v>3.961008416987966</v>
      </c>
      <c r="EG7" s="1944">
        <v>3.96232685422873</v>
      </c>
      <c r="EH7" s="1944">
        <v>3.9605346166013895</v>
      </c>
      <c r="EI7" s="1944">
        <v>3.9588024734141762</v>
      </c>
      <c r="EJ7" s="1944">
        <v>3.9540965649064481</v>
      </c>
      <c r="EK7" s="1944">
        <v>3.9757805111719478</v>
      </c>
      <c r="EL7" s="1944">
        <v>3.9760763116678146</v>
      </c>
      <c r="EM7" s="1944">
        <v>4.0028902580014192</v>
      </c>
      <c r="EN7" s="1944">
        <v>4.0383165436656885</v>
      </c>
      <c r="EO7" s="1944">
        <v>4.1052129778189883</v>
      </c>
      <c r="EP7" s="1944">
        <v>4.1152610216866359</v>
      </c>
      <c r="EQ7" s="1944">
        <v>4.1406034676737535</v>
      </c>
      <c r="ER7" s="1944">
        <v>4.1598926892904453</v>
      </c>
      <c r="ES7" s="1944">
        <v>4.296523799351375</v>
      </c>
      <c r="ET7" s="1944">
        <v>4.3693169590461753</v>
      </c>
      <c r="EU7" s="1944">
        <v>4.7795437239206731</v>
      </c>
      <c r="EV7" s="1944">
        <v>4.6391923076923076</v>
      </c>
      <c r="EW7" s="1944">
        <v>4.6524538461538461</v>
      </c>
      <c r="EX7" s="1944">
        <v>4.6358846153846196</v>
      </c>
      <c r="EY7" s="1945">
        <v>4.6719999999999997</v>
      </c>
    </row>
    <row r="8" spans="1:155" ht="21" customHeight="1">
      <c r="A8" s="1925" t="s">
        <v>3407</v>
      </c>
      <c r="B8" s="1926">
        <v>64</v>
      </c>
      <c r="C8" s="1937">
        <v>64</v>
      </c>
      <c r="D8" s="1937">
        <v>63</v>
      </c>
      <c r="E8" s="1937">
        <v>63</v>
      </c>
      <c r="F8" s="1938">
        <v>63</v>
      </c>
      <c r="G8" s="1937">
        <v>63</v>
      </c>
      <c r="H8" s="1937">
        <v>63</v>
      </c>
      <c r="I8" s="1937">
        <v>63</v>
      </c>
      <c r="J8" s="1937">
        <v>63</v>
      </c>
      <c r="K8" s="1937">
        <v>63</v>
      </c>
      <c r="L8" s="1937">
        <v>61</v>
      </c>
      <c r="M8" s="1937">
        <v>60</v>
      </c>
      <c r="N8" s="1937">
        <v>60</v>
      </c>
      <c r="O8" s="1937">
        <v>60</v>
      </c>
      <c r="P8" s="1937">
        <v>60</v>
      </c>
      <c r="Q8" s="1937">
        <v>65</v>
      </c>
      <c r="R8" s="1937">
        <v>66</v>
      </c>
      <c r="S8" s="1937">
        <v>65</v>
      </c>
      <c r="T8" s="1937">
        <v>64</v>
      </c>
      <c r="U8" s="1937">
        <v>65</v>
      </c>
      <c r="V8" s="1937">
        <v>63</v>
      </c>
      <c r="W8" s="1937">
        <v>60</v>
      </c>
      <c r="X8" s="1937">
        <v>59</v>
      </c>
      <c r="Y8" s="1937">
        <v>59</v>
      </c>
      <c r="Z8" s="1937">
        <v>62</v>
      </c>
      <c r="AA8" s="1937">
        <v>64</v>
      </c>
      <c r="AB8" s="1937">
        <v>64</v>
      </c>
      <c r="AC8" s="1939">
        <v>63</v>
      </c>
      <c r="AD8" s="1940">
        <v>63</v>
      </c>
      <c r="AE8" s="1940">
        <v>63</v>
      </c>
      <c r="AF8" s="1940">
        <v>64</v>
      </c>
      <c r="AG8" s="1940">
        <v>64</v>
      </c>
      <c r="AH8" s="1940">
        <v>65</v>
      </c>
      <c r="AI8" s="1940">
        <v>67</v>
      </c>
      <c r="AJ8" s="1940">
        <v>67</v>
      </c>
      <c r="AK8" s="1940">
        <v>68</v>
      </c>
      <c r="AL8" s="1941">
        <v>68</v>
      </c>
      <c r="AM8" s="1940">
        <v>69</v>
      </c>
      <c r="AN8" s="1940">
        <v>69</v>
      </c>
      <c r="AO8" s="1940">
        <v>70</v>
      </c>
      <c r="AP8" s="1940">
        <v>69</v>
      </c>
      <c r="AQ8" s="1942">
        <v>71</v>
      </c>
      <c r="AR8" s="1940">
        <v>69</v>
      </c>
      <c r="AS8" s="1942">
        <v>68</v>
      </c>
      <c r="AT8" s="1941">
        <v>69</v>
      </c>
      <c r="AU8" s="1941">
        <v>71</v>
      </c>
      <c r="AV8" s="1940">
        <v>71</v>
      </c>
      <c r="AW8" s="1943">
        <v>71</v>
      </c>
      <c r="AX8" s="1942">
        <v>70</v>
      </c>
      <c r="AY8" s="1941">
        <v>68</v>
      </c>
      <c r="AZ8" s="1940">
        <v>68</v>
      </c>
      <c r="BA8" s="1942">
        <v>69</v>
      </c>
      <c r="BB8" s="1941">
        <v>71</v>
      </c>
      <c r="BC8" s="1940">
        <v>72</v>
      </c>
      <c r="BD8" s="1940">
        <v>74</v>
      </c>
      <c r="BE8" s="1942">
        <v>76</v>
      </c>
      <c r="BF8" s="1941">
        <v>77</v>
      </c>
      <c r="BG8" s="1941">
        <v>77</v>
      </c>
      <c r="BH8" s="1941">
        <v>76</v>
      </c>
      <c r="BI8" s="1941">
        <v>77</v>
      </c>
      <c r="BJ8" s="1941">
        <v>79</v>
      </c>
      <c r="BK8" s="1941">
        <v>79</v>
      </c>
      <c r="BL8" s="1941">
        <v>79</v>
      </c>
      <c r="BM8" s="1941">
        <v>79</v>
      </c>
      <c r="BN8" s="1940">
        <v>78.05</v>
      </c>
      <c r="BO8" s="1940">
        <v>78.83</v>
      </c>
      <c r="BP8" s="1940">
        <v>79.45</v>
      </c>
      <c r="BQ8" s="1940">
        <v>77.67</v>
      </c>
      <c r="BR8" s="1940">
        <v>74.400000000000006</v>
      </c>
      <c r="BS8" s="1940">
        <v>74.81</v>
      </c>
      <c r="BT8" s="1940">
        <v>70.86</v>
      </c>
      <c r="BU8" s="1941">
        <v>67.650000000000006</v>
      </c>
      <c r="BV8" s="1941">
        <v>66.27</v>
      </c>
      <c r="BW8" s="1941">
        <v>66.94</v>
      </c>
      <c r="BX8" s="1941">
        <v>65.48</v>
      </c>
      <c r="BY8" s="1941">
        <v>64.739999999999995</v>
      </c>
      <c r="BZ8" s="1940">
        <v>66.5</v>
      </c>
      <c r="CA8" s="1940">
        <v>62.61</v>
      </c>
      <c r="CB8" s="1940">
        <v>66.86</v>
      </c>
      <c r="CC8" s="1940">
        <v>66.55</v>
      </c>
      <c r="CD8" s="1940">
        <v>68.040000000000006</v>
      </c>
      <c r="CE8" s="1940">
        <v>69.03</v>
      </c>
      <c r="CF8" s="1940">
        <v>69.55</v>
      </c>
      <c r="CG8" s="1940">
        <v>67.95</v>
      </c>
      <c r="CH8" s="1940">
        <v>69.77</v>
      </c>
      <c r="CI8" s="1940">
        <v>70.95</v>
      </c>
      <c r="CJ8" s="1940">
        <v>70.099999999999994</v>
      </c>
      <c r="CK8" s="1940">
        <v>68.75</v>
      </c>
      <c r="CL8" s="1944">
        <v>67.5</v>
      </c>
      <c r="CM8" s="1944">
        <v>66.58</v>
      </c>
      <c r="CN8" s="1944">
        <v>67.03</v>
      </c>
      <c r="CO8" s="1944">
        <v>66.52</v>
      </c>
      <c r="CP8" s="1944">
        <v>74.162000000000006</v>
      </c>
      <c r="CQ8" s="1944">
        <v>67.621465930757452</v>
      </c>
      <c r="CR8" s="1944">
        <v>68.015153579793093</v>
      </c>
      <c r="CS8" s="1944">
        <v>69.901770337746854</v>
      </c>
      <c r="CT8" s="1944">
        <v>69.083785246121522</v>
      </c>
      <c r="CU8" s="1944">
        <v>68.509426016998361</v>
      </c>
      <c r="CV8" s="1944">
        <v>69.996160890346346</v>
      </c>
      <c r="CW8" s="1944">
        <v>66.909526631273181</v>
      </c>
      <c r="CX8" s="1944">
        <v>67.264028800817499</v>
      </c>
      <c r="CY8" s="1944">
        <v>66.332525645814272</v>
      </c>
      <c r="CZ8" s="1944">
        <v>64.215241661898332</v>
      </c>
      <c r="DA8" s="1944">
        <v>64.096356697877539</v>
      </c>
      <c r="DB8" s="1944">
        <v>65.064923392718725</v>
      </c>
      <c r="DC8" s="1944">
        <v>65.514984532269622</v>
      </c>
      <c r="DD8" s="1944">
        <v>62.609482794946224</v>
      </c>
      <c r="DE8" s="1944">
        <v>60.925183705943788</v>
      </c>
      <c r="DF8" s="1944">
        <v>60.805336797674201</v>
      </c>
      <c r="DG8" s="1944">
        <v>57.766111715162715</v>
      </c>
      <c r="DH8" s="1944">
        <v>56.978143790512256</v>
      </c>
      <c r="DI8" s="1944">
        <v>60.469953757124337</v>
      </c>
      <c r="DJ8" s="1944">
        <v>60.776811663977739</v>
      </c>
      <c r="DK8" s="1944">
        <v>58.417736942427155</v>
      </c>
      <c r="DL8" s="1944">
        <v>56.970322258528853</v>
      </c>
      <c r="DM8" s="1944">
        <v>54.647744322051103</v>
      </c>
      <c r="DN8" s="1944">
        <v>56.436876067778485</v>
      </c>
      <c r="DO8" s="1944">
        <v>57.51169353670614</v>
      </c>
      <c r="DP8" s="1944">
        <v>56.436974802987415</v>
      </c>
      <c r="DQ8" s="1944">
        <v>59.337635921788724</v>
      </c>
      <c r="DR8" s="1944">
        <v>58.708532587011099</v>
      </c>
      <c r="DS8" s="1944">
        <v>57.981841042910823</v>
      </c>
      <c r="DT8" s="1944">
        <v>57.267521762874281</v>
      </c>
      <c r="DU8" s="1944">
        <v>58.453915276575344</v>
      </c>
      <c r="DV8" s="1944">
        <v>58.559244870373362</v>
      </c>
      <c r="DW8" s="1944">
        <v>58.55820232609873</v>
      </c>
      <c r="DX8" s="1944">
        <v>58.431138629502399</v>
      </c>
      <c r="DY8" s="1944">
        <v>56.22528491220492</v>
      </c>
      <c r="DZ8" s="1944">
        <v>52.989112348896327</v>
      </c>
      <c r="EA8" s="1944">
        <v>51.85604770778842</v>
      </c>
      <c r="EB8" s="1944">
        <v>47.221571906416195</v>
      </c>
      <c r="EC8" s="1944">
        <v>50.014158464413903</v>
      </c>
      <c r="ED8" s="1944">
        <v>50.409903941346613</v>
      </c>
      <c r="EE8" s="1944">
        <v>49.914315470957582</v>
      </c>
      <c r="EF8" s="1944">
        <v>49.837389293521611</v>
      </c>
      <c r="EG8" s="1944">
        <v>49.299081949840065</v>
      </c>
      <c r="EH8" s="1944">
        <v>49.786150536251107</v>
      </c>
      <c r="EI8" s="1944">
        <v>51.347800238420724</v>
      </c>
      <c r="EJ8" s="1944">
        <v>51.08716923012463</v>
      </c>
      <c r="EK8" s="1944">
        <v>52.503314757371811</v>
      </c>
      <c r="EL8" s="1944">
        <v>51.54664824967994</v>
      </c>
      <c r="EM8" s="1944">
        <v>51.75824170232719</v>
      </c>
      <c r="EN8" s="1944">
        <v>51.987331807788294</v>
      </c>
      <c r="EO8" s="1944">
        <v>52.084141875639226</v>
      </c>
      <c r="EP8" s="1944">
        <v>52.278968496050794</v>
      </c>
      <c r="EQ8" s="1944">
        <v>52.124514593445383</v>
      </c>
      <c r="ER8" s="1944">
        <v>51.169495620222129</v>
      </c>
      <c r="ES8" s="1944">
        <v>54.180032315431234</v>
      </c>
      <c r="ET8" s="1944">
        <v>55.02539100202879</v>
      </c>
      <c r="EU8" s="1944">
        <v>59.454253902015317</v>
      </c>
      <c r="EV8" s="1944">
        <v>56.837500000000006</v>
      </c>
      <c r="EW8" s="1944">
        <v>56.959230769230771</v>
      </c>
      <c r="EX8" s="1944">
        <v>56.67</v>
      </c>
      <c r="EY8" s="1945">
        <v>56.9130769230769</v>
      </c>
    </row>
    <row r="9" spans="1:155" ht="21" customHeight="1">
      <c r="A9" s="1925" t="s">
        <v>3408</v>
      </c>
      <c r="B9" s="1926">
        <v>23.05</v>
      </c>
      <c r="C9" s="1927">
        <v>23.86</v>
      </c>
      <c r="D9" s="1927">
        <v>24.71</v>
      </c>
      <c r="E9" s="1927">
        <v>25.31</v>
      </c>
      <c r="F9" s="1927">
        <v>25.07</v>
      </c>
      <c r="G9" s="1927">
        <v>25.44</v>
      </c>
      <c r="H9" s="1946">
        <v>24.65</v>
      </c>
      <c r="I9" s="1946">
        <v>24.4</v>
      </c>
      <c r="J9" s="1946">
        <v>24.37</v>
      </c>
      <c r="K9" s="1946">
        <v>24.87</v>
      </c>
      <c r="L9" s="1946">
        <v>24.09</v>
      </c>
      <c r="M9" s="1946">
        <v>23.88</v>
      </c>
      <c r="N9" s="1946">
        <v>23.26</v>
      </c>
      <c r="O9" s="1946">
        <v>23.22</v>
      </c>
      <c r="P9" s="1946">
        <v>23.6</v>
      </c>
      <c r="Q9" s="1946">
        <v>24.66</v>
      </c>
      <c r="R9" s="1946">
        <v>24.82</v>
      </c>
      <c r="S9" s="1946">
        <v>25.17</v>
      </c>
      <c r="T9" s="1946">
        <v>26.15</v>
      </c>
      <c r="U9" s="1946">
        <v>26.51</v>
      </c>
      <c r="V9" s="1946">
        <v>25.98</v>
      </c>
      <c r="W9" s="1946">
        <v>25.21</v>
      </c>
      <c r="X9" s="1946">
        <v>24.75</v>
      </c>
      <c r="Y9" s="1946">
        <v>23.83</v>
      </c>
      <c r="Z9" s="1946">
        <v>25.83</v>
      </c>
      <c r="AA9" s="1946">
        <v>25.41</v>
      </c>
      <c r="AB9" s="1946">
        <v>25.96</v>
      </c>
      <c r="AC9" s="1947">
        <v>26.24</v>
      </c>
      <c r="AD9" s="1944">
        <v>25.55</v>
      </c>
      <c r="AE9" s="1944">
        <v>26.25</v>
      </c>
      <c r="AF9" s="1944">
        <v>26.03</v>
      </c>
      <c r="AG9" s="1944">
        <v>27.15</v>
      </c>
      <c r="AH9" s="1944">
        <v>27.88</v>
      </c>
      <c r="AI9" s="1944">
        <v>27.79</v>
      </c>
      <c r="AJ9" s="1944">
        <v>27.89</v>
      </c>
      <c r="AK9" s="1944">
        <v>27.36</v>
      </c>
      <c r="AL9" s="1948">
        <v>27.78</v>
      </c>
      <c r="AM9" s="1944">
        <v>27.29</v>
      </c>
      <c r="AN9" s="1944">
        <v>26.92</v>
      </c>
      <c r="AO9" s="1944">
        <v>26.67</v>
      </c>
      <c r="AP9" s="1944">
        <v>27.01</v>
      </c>
      <c r="AQ9" s="1949">
        <v>27.02</v>
      </c>
      <c r="AR9" s="1944">
        <v>26.48</v>
      </c>
      <c r="AS9" s="1949">
        <v>25.83</v>
      </c>
      <c r="AT9" s="1948">
        <v>26.37</v>
      </c>
      <c r="AU9" s="1948">
        <v>26.32</v>
      </c>
      <c r="AV9" s="1944">
        <v>26.66</v>
      </c>
      <c r="AW9" s="1950">
        <v>26.52</v>
      </c>
      <c r="AX9" s="1949">
        <v>27.26</v>
      </c>
      <c r="AY9" s="1948">
        <v>27.8</v>
      </c>
      <c r="AZ9" s="1944">
        <v>27.19</v>
      </c>
      <c r="BA9" s="1949">
        <v>27.76</v>
      </c>
      <c r="BB9" s="1948">
        <v>28.02</v>
      </c>
      <c r="BC9" s="1944">
        <v>28.11</v>
      </c>
      <c r="BD9" s="1944">
        <v>28.6</v>
      </c>
      <c r="BE9" s="1949">
        <v>29.37</v>
      </c>
      <c r="BF9" s="1948">
        <v>28.84</v>
      </c>
      <c r="BG9" s="1948">
        <v>28.25</v>
      </c>
      <c r="BH9" s="1948">
        <v>28.58</v>
      </c>
      <c r="BI9" s="1948">
        <v>28.46</v>
      </c>
      <c r="BJ9" s="1948">
        <v>27.4</v>
      </c>
      <c r="BK9" s="1948">
        <v>26.4</v>
      </c>
      <c r="BL9" s="1948">
        <v>26.07</v>
      </c>
      <c r="BM9" s="1948">
        <v>26.84</v>
      </c>
      <c r="BN9" s="1944">
        <v>27.363700000000001</v>
      </c>
      <c r="BO9" s="1944">
        <v>27.070799999999998</v>
      </c>
      <c r="BP9" s="1944">
        <v>27.028600000000001</v>
      </c>
      <c r="BQ9" s="1944">
        <v>27.75</v>
      </c>
      <c r="BR9" s="1944">
        <v>26.030200000000001</v>
      </c>
      <c r="BS9" s="1944">
        <v>27.543900000000001</v>
      </c>
      <c r="BT9" s="1944">
        <v>26.832599999999999</v>
      </c>
      <c r="BU9" s="1948">
        <v>26.9102</v>
      </c>
      <c r="BV9" s="1948">
        <v>25.618500000000001</v>
      </c>
      <c r="BW9" s="1948">
        <v>26.8565</v>
      </c>
      <c r="BX9" s="1948">
        <v>26.243600000000001</v>
      </c>
      <c r="BY9" s="1948">
        <v>25.290500000000002</v>
      </c>
      <c r="BZ9" s="1944">
        <v>26.493600000000001</v>
      </c>
      <c r="CA9" s="1944">
        <v>27.8292</v>
      </c>
      <c r="CB9" s="1944">
        <v>33.240400000000001</v>
      </c>
      <c r="CC9" s="1944">
        <v>34.240400000000001</v>
      </c>
      <c r="CD9" s="1944">
        <v>36.168199999999999</v>
      </c>
      <c r="CE9" s="1944">
        <v>37.496499999999997</v>
      </c>
      <c r="CF9" s="1944">
        <v>35.847799999999999</v>
      </c>
      <c r="CG9" s="1944">
        <v>34.9191</v>
      </c>
      <c r="CH9" s="1944">
        <v>35.516800000000003</v>
      </c>
      <c r="CI9" s="1944">
        <v>34.719099999999997</v>
      </c>
      <c r="CJ9" s="1944">
        <v>34.7348</v>
      </c>
      <c r="CK9" s="1944">
        <v>34.563699999999997</v>
      </c>
      <c r="CL9" s="1944">
        <v>35.354500000000002</v>
      </c>
      <c r="CM9" s="1944">
        <v>35.363900000000001</v>
      </c>
      <c r="CN9" s="1944">
        <v>34.321399999999997</v>
      </c>
      <c r="CO9" s="1944">
        <v>35.4818</v>
      </c>
      <c r="CP9" s="1944">
        <v>37.631</v>
      </c>
      <c r="CQ9" s="1944">
        <v>36.192216935872509</v>
      </c>
      <c r="CR9" s="1944">
        <v>37.821877308377502</v>
      </c>
      <c r="CS9" s="1944">
        <v>37.219917508368873</v>
      </c>
      <c r="CT9" s="1944">
        <v>38.030318317742591</v>
      </c>
      <c r="CU9" s="1944">
        <v>37.397090542433666</v>
      </c>
      <c r="CV9" s="1944">
        <v>38.398233090495204</v>
      </c>
      <c r="CW9" s="1944">
        <v>37.330712340682318</v>
      </c>
      <c r="CX9" s="1944">
        <v>37.162393104391363</v>
      </c>
      <c r="CY9" s="1944">
        <v>35.747713129363255</v>
      </c>
      <c r="CZ9" s="1944">
        <v>34.869090701984298</v>
      </c>
      <c r="DA9" s="1944">
        <v>35.450514349747344</v>
      </c>
      <c r="DB9" s="1944">
        <v>36.120491087199873</v>
      </c>
      <c r="DC9" s="1944">
        <v>37.154141270855305</v>
      </c>
      <c r="DD9" s="1944">
        <v>37.349127179501671</v>
      </c>
      <c r="DE9" s="1944">
        <v>38.851794048499187</v>
      </c>
      <c r="DF9" s="1944">
        <v>37.451097051576163</v>
      </c>
      <c r="DG9" s="1944">
        <v>38.436976986220429</v>
      </c>
      <c r="DH9" s="1944">
        <v>38.923089766284477</v>
      </c>
      <c r="DI9" s="1944">
        <v>39.202769408927452</v>
      </c>
      <c r="DJ9" s="1944">
        <v>36.854965424509523</v>
      </c>
      <c r="DK9" s="1944">
        <v>36.236119514273106</v>
      </c>
      <c r="DL9" s="1944">
        <v>37.138350371748196</v>
      </c>
      <c r="DM9" s="1944">
        <v>38.936352352371884</v>
      </c>
      <c r="DN9" s="1944">
        <v>39.920747363666543</v>
      </c>
      <c r="DO9" s="1944">
        <v>40.605514524767266</v>
      </c>
      <c r="DP9" s="1944">
        <v>39.877171772575444</v>
      </c>
      <c r="DQ9" s="1944">
        <v>40.135376081692662</v>
      </c>
      <c r="DR9" s="1944">
        <v>39.767120968869634</v>
      </c>
      <c r="DS9" s="1944">
        <v>38.236477661312456</v>
      </c>
      <c r="DT9" s="1944">
        <v>36.266761483454907</v>
      </c>
      <c r="DU9" s="1944">
        <v>34.07411397709302</v>
      </c>
      <c r="DV9" s="1944">
        <v>33.970538491751711</v>
      </c>
      <c r="DW9" s="1944">
        <v>33.697482595387164</v>
      </c>
      <c r="DX9" s="1944">
        <v>32.230965810489437</v>
      </c>
      <c r="DY9" s="1944">
        <v>31.388335783391476</v>
      </c>
      <c r="DZ9" s="1944">
        <v>31.92442258285098</v>
      </c>
      <c r="EA9" s="1944">
        <v>32.110977551623179</v>
      </c>
      <c r="EB9" s="1944">
        <v>32.027660234362443</v>
      </c>
      <c r="EC9" s="1944">
        <v>31.884550718549914</v>
      </c>
      <c r="ED9" s="1944">
        <v>31.347868020467789</v>
      </c>
      <c r="EE9" s="1944">
        <v>30.27992693005519</v>
      </c>
      <c r="EF9" s="1944">
        <v>29.302344743655862</v>
      </c>
      <c r="EG9" s="1944">
        <v>30.1024054923767</v>
      </c>
      <c r="EH9" s="1944">
        <v>30.254649525692013</v>
      </c>
      <c r="EI9" s="1944">
        <v>30.114528189356157</v>
      </c>
      <c r="EJ9" s="1944">
        <v>29.979010822972629</v>
      </c>
      <c r="EK9" s="1944">
        <v>30.401556704455686</v>
      </c>
      <c r="EL9" s="1944">
        <v>30.473484408435827</v>
      </c>
      <c r="EM9" s="1944">
        <v>30.239180374258986</v>
      </c>
      <c r="EN9" s="1944">
        <v>30.220516284028687</v>
      </c>
      <c r="EO9" s="1944">
        <v>29.244391751543585</v>
      </c>
      <c r="EP9" s="1944">
        <v>29.131282976020845</v>
      </c>
      <c r="EQ9" s="1944">
        <v>27.189367636533095</v>
      </c>
      <c r="ER9" s="1944">
        <v>27.052096734483751</v>
      </c>
      <c r="ES9" s="1944">
        <v>28.263223244574245</v>
      </c>
      <c r="ET9" s="1944">
        <v>28.452828945854574</v>
      </c>
      <c r="EU9" s="1944">
        <v>30.898646839001891</v>
      </c>
      <c r="EV9" s="1944">
        <v>30.2958</v>
      </c>
      <c r="EW9" s="1944">
        <v>29.172507142857143</v>
      </c>
      <c r="EX9" s="1944">
        <v>29.384114285714301</v>
      </c>
      <c r="EY9" s="1945">
        <v>29.230035714285702</v>
      </c>
    </row>
    <row r="10" spans="1:155" ht="21" customHeight="1">
      <c r="A10" s="1925" t="s">
        <v>3409</v>
      </c>
      <c r="B10" s="1926">
        <v>39.5</v>
      </c>
      <c r="C10" s="1927">
        <v>39.53</v>
      </c>
      <c r="D10" s="1927">
        <v>39.369999999999997</v>
      </c>
      <c r="E10" s="1927">
        <v>38.880000000000003</v>
      </c>
      <c r="F10" s="1927">
        <v>38.69</v>
      </c>
      <c r="G10" s="1946">
        <v>38.61</v>
      </c>
      <c r="H10" s="1951">
        <v>38.42</v>
      </c>
      <c r="I10" s="1951">
        <v>38.11</v>
      </c>
      <c r="J10" s="1951">
        <v>37.68</v>
      </c>
      <c r="K10" s="1951">
        <v>38.72</v>
      </c>
      <c r="L10" s="1951">
        <v>37.39</v>
      </c>
      <c r="M10" s="1951">
        <v>37.200000000000003</v>
      </c>
      <c r="N10" s="1951">
        <v>36.71</v>
      </c>
      <c r="O10" s="1951">
        <v>37.770000000000003</v>
      </c>
      <c r="P10" s="1951">
        <v>39.159999999999997</v>
      </c>
      <c r="Q10" s="1951">
        <v>40.520000000000003</v>
      </c>
      <c r="R10" s="1951">
        <v>40.22</v>
      </c>
      <c r="S10" s="1951">
        <v>39.08</v>
      </c>
      <c r="T10" s="1951">
        <v>37.67</v>
      </c>
      <c r="U10" s="1951">
        <v>37.450000000000003</v>
      </c>
      <c r="V10" s="1951">
        <v>37.92</v>
      </c>
      <c r="W10" s="1951">
        <v>35.92</v>
      </c>
      <c r="X10" s="1951">
        <v>35.01</v>
      </c>
      <c r="Y10" s="1951">
        <v>34.89</v>
      </c>
      <c r="Z10" s="1951">
        <v>35.369999999999997</v>
      </c>
      <c r="AA10" s="1951">
        <v>36.479999999999997</v>
      </c>
      <c r="AB10" s="1951">
        <v>36.630000000000003</v>
      </c>
      <c r="AC10" s="1947">
        <v>36.6</v>
      </c>
      <c r="AD10" s="1944">
        <v>36.32</v>
      </c>
      <c r="AE10" s="1944">
        <v>36.69</v>
      </c>
      <c r="AF10" s="1944">
        <v>36.270000000000003</v>
      </c>
      <c r="AG10" s="1944">
        <v>36.159999999999997</v>
      </c>
      <c r="AH10" s="1944">
        <v>36.06</v>
      </c>
      <c r="AI10" s="1944">
        <v>37.68</v>
      </c>
      <c r="AJ10" s="1944">
        <v>38.229999999999997</v>
      </c>
      <c r="AK10" s="1944">
        <v>39.9</v>
      </c>
      <c r="AL10" s="1948">
        <v>39.07</v>
      </c>
      <c r="AM10" s="1944">
        <v>39.06</v>
      </c>
      <c r="AN10" s="1944">
        <v>39.67</v>
      </c>
      <c r="AO10" s="1944">
        <v>40.1</v>
      </c>
      <c r="AP10" s="1944">
        <v>40.44</v>
      </c>
      <c r="AQ10" s="1949">
        <v>41.97</v>
      </c>
      <c r="AR10" s="1944">
        <v>42.34</v>
      </c>
      <c r="AS10" s="1949">
        <v>42.2</v>
      </c>
      <c r="AT10" s="1948">
        <v>43.46</v>
      </c>
      <c r="AU10" s="1948">
        <v>43.72</v>
      </c>
      <c r="AV10" s="1944">
        <v>43.05</v>
      </c>
      <c r="AW10" s="1950">
        <v>44.19</v>
      </c>
      <c r="AX10" s="1949">
        <v>44.69</v>
      </c>
      <c r="AY10" s="1948">
        <v>43.96</v>
      </c>
      <c r="AZ10" s="1944">
        <v>43.06</v>
      </c>
      <c r="BA10" s="1949">
        <v>43.77</v>
      </c>
      <c r="BB10" s="1948">
        <v>46.09</v>
      </c>
      <c r="BC10" s="1944">
        <v>46.26</v>
      </c>
      <c r="BD10" s="1944">
        <v>46.86</v>
      </c>
      <c r="BE10" s="1949">
        <v>48.75</v>
      </c>
      <c r="BF10" s="1948">
        <v>49.24</v>
      </c>
      <c r="BG10" s="1948">
        <v>48.73</v>
      </c>
      <c r="BH10" s="1948">
        <v>48.8</v>
      </c>
      <c r="BI10" s="1948">
        <v>48.86</v>
      </c>
      <c r="BJ10" s="1948">
        <v>48.2</v>
      </c>
      <c r="BK10" s="1948">
        <v>48.52</v>
      </c>
      <c r="BL10" s="1948">
        <v>49.31</v>
      </c>
      <c r="BM10" s="1948">
        <v>47.73</v>
      </c>
      <c r="BN10" s="1944">
        <v>48.086100000000002</v>
      </c>
      <c r="BO10" s="1944">
        <v>46.983499999999999</v>
      </c>
      <c r="BP10" s="1944">
        <v>46.712400000000002</v>
      </c>
      <c r="BQ10" s="1944">
        <v>48.061999999999998</v>
      </c>
      <c r="BR10" s="1944">
        <v>46.351199999999999</v>
      </c>
      <c r="BS10" s="1944">
        <v>42.833500000000001</v>
      </c>
      <c r="BT10" s="1944">
        <v>41.456099999999999</v>
      </c>
      <c r="BU10" s="1948">
        <v>43.562100000000001</v>
      </c>
      <c r="BV10" s="1948">
        <v>43.444899999999997</v>
      </c>
      <c r="BW10" s="1948">
        <v>46.621499999999997</v>
      </c>
      <c r="BX10" s="1948">
        <v>43.881500000000003</v>
      </c>
      <c r="BY10" s="1948">
        <v>41.286200000000001</v>
      </c>
      <c r="BZ10" s="1944">
        <v>42.832299999999996</v>
      </c>
      <c r="CA10" s="1944">
        <v>40.188099999999999</v>
      </c>
      <c r="CB10" s="1944">
        <v>41.925800000000002</v>
      </c>
      <c r="CC10" s="1944">
        <v>42.5319</v>
      </c>
      <c r="CD10" s="1944">
        <v>42.685299999999998</v>
      </c>
      <c r="CE10" s="1944">
        <v>42.953899999999997</v>
      </c>
      <c r="CF10" s="1944">
        <v>44.591799999999999</v>
      </c>
      <c r="CG10" s="1944">
        <v>43.173200000000001</v>
      </c>
      <c r="CH10" s="1944">
        <v>44.6023</v>
      </c>
      <c r="CI10" s="1944">
        <v>43.169600000000003</v>
      </c>
      <c r="CJ10" s="1944">
        <v>43.700699999999998</v>
      </c>
      <c r="CK10" s="1944">
        <v>43.552500000000002</v>
      </c>
      <c r="CL10" s="1944">
        <v>43.598599999999998</v>
      </c>
      <c r="CM10" s="1944">
        <v>42.632599999999996</v>
      </c>
      <c r="CN10" s="1944">
        <v>42.175199999999997</v>
      </c>
      <c r="CO10" s="1944">
        <v>41.384399999999999</v>
      </c>
      <c r="CP10" s="1944">
        <v>43.67</v>
      </c>
      <c r="CQ10" s="1944">
        <v>39.448201547168935</v>
      </c>
      <c r="CR10" s="1944">
        <v>39.807171491282311</v>
      </c>
      <c r="CS10" s="1944">
        <v>38.940702517048976</v>
      </c>
      <c r="CT10" s="1944">
        <v>38.357676988847587</v>
      </c>
      <c r="CU10" s="1944">
        <v>39.309670401978977</v>
      </c>
      <c r="CV10" s="1944">
        <v>39.246129680337006</v>
      </c>
      <c r="CW10" s="1944">
        <v>38.149468486249788</v>
      </c>
      <c r="CX10" s="1944">
        <v>37.183644760024301</v>
      </c>
      <c r="CY10" s="1944">
        <v>35.816256987951803</v>
      </c>
      <c r="CZ10" s="1944">
        <v>34.477882160048139</v>
      </c>
      <c r="DA10" s="1944">
        <v>33.865590774155997</v>
      </c>
      <c r="DB10" s="1944">
        <v>32.66852165460282</v>
      </c>
      <c r="DC10" s="1944">
        <v>31.954230491382464</v>
      </c>
      <c r="DD10" s="1944">
        <v>30.867356745335403</v>
      </c>
      <c r="DE10" s="1944">
        <v>30.221697560238344</v>
      </c>
      <c r="DF10" s="1944">
        <v>30.178709401172526</v>
      </c>
      <c r="DG10" s="1944">
        <v>33.62739457612939</v>
      </c>
      <c r="DH10" s="1944">
        <v>35.734081954259914</v>
      </c>
      <c r="DI10" s="1944">
        <v>35.48793805414352</v>
      </c>
      <c r="DJ10" s="1944">
        <v>36.013985038337374</v>
      </c>
      <c r="DK10" s="1944">
        <v>36.115987691686847</v>
      </c>
      <c r="DL10" s="1944">
        <v>36.033456365461852</v>
      </c>
      <c r="DM10" s="1944">
        <v>35.55844419374759</v>
      </c>
      <c r="DN10" s="1944">
        <v>37.986345356006368</v>
      </c>
      <c r="DO10" s="1944">
        <v>37.886444081551858</v>
      </c>
      <c r="DP10" s="1944">
        <v>37.308728804994054</v>
      </c>
      <c r="DQ10" s="1944">
        <v>36.717520231807505</v>
      </c>
      <c r="DR10" s="1944">
        <v>37.432022630238933</v>
      </c>
      <c r="DS10" s="1944">
        <v>36.767619413407822</v>
      </c>
      <c r="DT10" s="1944">
        <v>36.517736578751105</v>
      </c>
      <c r="DU10" s="1944">
        <v>35.514635228848817</v>
      </c>
      <c r="DV10" s="1944">
        <v>36.574475718197725</v>
      </c>
      <c r="DW10" s="1944">
        <v>37.291945083088955</v>
      </c>
      <c r="DX10" s="1944">
        <v>37.914640898203594</v>
      </c>
      <c r="DY10" s="1944">
        <v>37.485402302991581</v>
      </c>
      <c r="DZ10" s="1944">
        <v>36.943646837407833</v>
      </c>
      <c r="EA10" s="1944">
        <v>36.229906972916744</v>
      </c>
      <c r="EB10" s="1944">
        <v>36.115347599771439</v>
      </c>
      <c r="EC10" s="1944">
        <v>36.265731638744462</v>
      </c>
      <c r="ED10" s="1944">
        <v>36.433260847058826</v>
      </c>
      <c r="EE10" s="1944">
        <v>35.79830679178211</v>
      </c>
      <c r="EF10" s="1944">
        <v>35.808276566125294</v>
      </c>
      <c r="EG10" s="1944">
        <v>36.065237773776971</v>
      </c>
      <c r="EH10" s="1944">
        <v>35.872774966760751</v>
      </c>
      <c r="EI10" s="1944">
        <v>35.728443351112084</v>
      </c>
      <c r="EJ10" s="1944">
        <v>35.500689623456935</v>
      </c>
      <c r="EK10" s="1944">
        <v>35.38919677655678</v>
      </c>
      <c r="EL10" s="1944">
        <v>35.485694226741309</v>
      </c>
      <c r="EM10" s="1944">
        <v>35.611374769673148</v>
      </c>
      <c r="EN10" s="1944">
        <v>35.700639656787608</v>
      </c>
      <c r="EO10" s="1944">
        <v>35.993321870406305</v>
      </c>
      <c r="EP10" s="1944">
        <v>36.000137087200514</v>
      </c>
      <c r="EQ10" s="1944">
        <v>35.810162066397275</v>
      </c>
      <c r="ER10" s="1944">
        <v>35.841276067364639</v>
      </c>
      <c r="ES10" s="1944">
        <v>36.522306029154798</v>
      </c>
      <c r="ET10" s="1944">
        <v>37.280387021659237</v>
      </c>
      <c r="EU10" s="1944">
        <v>40.419455994428112</v>
      </c>
      <c r="EV10" s="1944">
        <v>37.976633333333332</v>
      </c>
      <c r="EW10" s="1944">
        <v>36.994566666666664</v>
      </c>
      <c r="EX10" s="1944">
        <v>36.639416666666698</v>
      </c>
      <c r="EY10" s="1945">
        <v>35.592550000000003</v>
      </c>
    </row>
    <row r="11" spans="1:155" ht="21" customHeight="1">
      <c r="A11" s="1925" t="s">
        <v>3410</v>
      </c>
      <c r="B11" s="1926">
        <v>12.75</v>
      </c>
      <c r="C11" s="1927">
        <v>13.77</v>
      </c>
      <c r="D11" s="1927">
        <v>14.71</v>
      </c>
      <c r="E11" s="1927">
        <v>14.88</v>
      </c>
      <c r="F11" s="1946">
        <v>14.22</v>
      </c>
      <c r="G11" s="1951">
        <v>14.18</v>
      </c>
      <c r="H11" s="1951">
        <v>14.15</v>
      </c>
      <c r="I11" s="1951">
        <v>14.55</v>
      </c>
      <c r="J11" s="1951">
        <v>14.9</v>
      </c>
      <c r="K11" s="1951">
        <v>15.62</v>
      </c>
      <c r="L11" s="1951">
        <v>15.77</v>
      </c>
      <c r="M11" s="1951">
        <v>15.92</v>
      </c>
      <c r="N11" s="1951">
        <v>15.48</v>
      </c>
      <c r="O11" s="1951">
        <v>15.59</v>
      </c>
      <c r="P11" s="1951">
        <v>16.22</v>
      </c>
      <c r="Q11" s="1951">
        <v>17.29</v>
      </c>
      <c r="R11" s="1951">
        <v>17.46</v>
      </c>
      <c r="S11" s="1951">
        <v>16.96</v>
      </c>
      <c r="T11" s="1951">
        <v>17.38</v>
      </c>
      <c r="U11" s="1951">
        <v>17.75</v>
      </c>
      <c r="V11" s="1951">
        <v>18.29</v>
      </c>
      <c r="W11" s="1951">
        <v>17.739999999999998</v>
      </c>
      <c r="X11" s="1951">
        <v>17.7</v>
      </c>
      <c r="Y11" s="1951">
        <v>18.079999999999998</v>
      </c>
      <c r="Z11" s="1951">
        <v>17.95</v>
      </c>
      <c r="AA11" s="1951">
        <v>17.57</v>
      </c>
      <c r="AB11" s="1951">
        <v>18.11</v>
      </c>
      <c r="AC11" s="1947">
        <v>18.02</v>
      </c>
      <c r="AD11" s="1944">
        <v>18.239999999999998</v>
      </c>
      <c r="AE11" s="1944">
        <v>18.899999999999999</v>
      </c>
      <c r="AF11" s="1944">
        <v>19.440000000000001</v>
      </c>
      <c r="AG11" s="1944">
        <v>19.8</v>
      </c>
      <c r="AH11" s="1944">
        <v>20.64</v>
      </c>
      <c r="AI11" s="1944">
        <v>20.65</v>
      </c>
      <c r="AJ11" s="1944">
        <v>20.65</v>
      </c>
      <c r="AK11" s="1944">
        <v>20.91</v>
      </c>
      <c r="AL11" s="1948">
        <v>21.53</v>
      </c>
      <c r="AM11" s="1944">
        <v>21.03</v>
      </c>
      <c r="AN11" s="1944">
        <v>20.93</v>
      </c>
      <c r="AO11" s="1944">
        <v>20.56</v>
      </c>
      <c r="AP11" s="1944">
        <v>20.84</v>
      </c>
      <c r="AQ11" s="1949">
        <v>21.28</v>
      </c>
      <c r="AR11" s="1944">
        <v>21.66</v>
      </c>
      <c r="AS11" s="1949">
        <v>21.78</v>
      </c>
      <c r="AT11" s="1948">
        <v>21.26</v>
      </c>
      <c r="AU11" s="1948">
        <v>21.21</v>
      </c>
      <c r="AV11" s="1944">
        <v>20.61</v>
      </c>
      <c r="AW11" s="1950">
        <v>19.170000000000002</v>
      </c>
      <c r="AX11" s="1949">
        <v>19.87</v>
      </c>
      <c r="AY11" s="1948">
        <v>20.12</v>
      </c>
      <c r="AZ11" s="1944">
        <v>19.09</v>
      </c>
      <c r="BA11" s="1949">
        <v>19.739999999999998</v>
      </c>
      <c r="BB11" s="1948">
        <v>21.42</v>
      </c>
      <c r="BC11" s="1944">
        <v>21.56</v>
      </c>
      <c r="BD11" s="1944">
        <v>22.13</v>
      </c>
      <c r="BE11" s="1949">
        <v>22.78</v>
      </c>
      <c r="BF11" s="1948">
        <v>23.78</v>
      </c>
      <c r="BG11" s="1948">
        <v>23.25</v>
      </c>
      <c r="BH11" s="1948">
        <v>23.43</v>
      </c>
      <c r="BI11" s="1948">
        <v>23.61</v>
      </c>
      <c r="BJ11" s="1948">
        <v>23.96</v>
      </c>
      <c r="BK11" s="1948">
        <v>23.37</v>
      </c>
      <c r="BL11" s="1948">
        <v>24.71</v>
      </c>
      <c r="BM11" s="1948">
        <v>24.59</v>
      </c>
      <c r="BN11" s="1944">
        <v>22.378499999999999</v>
      </c>
      <c r="BO11" s="1944">
        <v>23.5595</v>
      </c>
      <c r="BP11" s="1944">
        <v>23.744900000000001</v>
      </c>
      <c r="BQ11" s="1944">
        <v>23.664000000000001</v>
      </c>
      <c r="BR11" s="1944">
        <v>22.620100000000001</v>
      </c>
      <c r="BS11" s="1944">
        <v>22.884499999999999</v>
      </c>
      <c r="BT11" s="1944">
        <v>22.8843</v>
      </c>
      <c r="BU11" s="1948">
        <v>21.301300000000001</v>
      </c>
      <c r="BV11" s="1948">
        <v>20.659300000000002</v>
      </c>
      <c r="BW11" s="1948">
        <v>22.065799999999999</v>
      </c>
      <c r="BX11" s="1948">
        <v>21.183299999999999</v>
      </c>
      <c r="BY11" s="1948">
        <v>19.969200000000001</v>
      </c>
      <c r="BZ11" s="1944">
        <v>20.2379</v>
      </c>
      <c r="CA11" s="1944">
        <v>19.410599999999999</v>
      </c>
      <c r="CB11" s="1944">
        <v>19.113299999999999</v>
      </c>
      <c r="CC11" s="1944">
        <v>17.889099999999999</v>
      </c>
      <c r="CD11" s="1944">
        <v>18.799499999999998</v>
      </c>
      <c r="CE11" s="1944">
        <v>17.034300000000002</v>
      </c>
      <c r="CF11" s="1944">
        <v>17.554300000000001</v>
      </c>
      <c r="CG11" s="1944">
        <v>19.397200000000002</v>
      </c>
      <c r="CH11" s="1944">
        <v>19.4407</v>
      </c>
      <c r="CI11" s="1944">
        <v>20.904</v>
      </c>
      <c r="CJ11" s="1944">
        <v>21.625800000000002</v>
      </c>
      <c r="CK11" s="1944">
        <v>21.570499999999999</v>
      </c>
      <c r="CL11" s="1944">
        <v>22.291499999999999</v>
      </c>
      <c r="CM11" s="1944">
        <v>22.784600000000001</v>
      </c>
      <c r="CN11" s="1944">
        <v>22.831800000000001</v>
      </c>
      <c r="CO11" s="1944">
        <v>22.0383</v>
      </c>
      <c r="CP11" s="1944">
        <v>23.433</v>
      </c>
      <c r="CQ11" s="1944">
        <v>22.51049273070306</v>
      </c>
      <c r="CR11" s="1944">
        <v>22.336767871231114</v>
      </c>
      <c r="CS11" s="1944">
        <v>22.793092906244446</v>
      </c>
      <c r="CT11" s="1944">
        <v>23.060329477308553</v>
      </c>
      <c r="CU11" s="1944">
        <v>23.337104069673778</v>
      </c>
      <c r="CV11" s="1944">
        <v>24.118294648096278</v>
      </c>
      <c r="CW11" s="1944">
        <v>23.589894136371111</v>
      </c>
      <c r="CX11" s="1944">
        <v>22.795094819590112</v>
      </c>
      <c r="CY11" s="1944">
        <v>22.416091104349775</v>
      </c>
      <c r="CZ11" s="1944">
        <v>22.725342012365555</v>
      </c>
      <c r="DA11" s="1944">
        <v>23.661131014326443</v>
      </c>
      <c r="DB11" s="1944">
        <v>24.056207648872835</v>
      </c>
      <c r="DC11" s="1944">
        <v>24.924314847970226</v>
      </c>
      <c r="DD11" s="1944">
        <v>24.388963015491996</v>
      </c>
      <c r="DE11" s="1944">
        <v>22.70873714052378</v>
      </c>
      <c r="DF11" s="1944">
        <v>23.871387011537891</v>
      </c>
      <c r="DG11" s="1944">
        <v>22.792030638855557</v>
      </c>
      <c r="DH11" s="1944">
        <v>23.24533933484139</v>
      </c>
      <c r="DI11" s="1944">
        <v>24.529134306086224</v>
      </c>
      <c r="DJ11" s="1944">
        <v>24.848610985568889</v>
      </c>
      <c r="DK11" s="1944">
        <v>24.240495011753776</v>
      </c>
      <c r="DL11" s="1944">
        <v>24.386561242900221</v>
      </c>
      <c r="DM11" s="1944">
        <v>22.994650279172497</v>
      </c>
      <c r="DN11" s="1944">
        <v>25.090290364783996</v>
      </c>
      <c r="DO11" s="1944">
        <v>25.666515317183556</v>
      </c>
      <c r="DP11" s="1944">
        <v>24.988856378657555</v>
      </c>
      <c r="DQ11" s="1944">
        <v>25.917974672244668</v>
      </c>
      <c r="DR11" s="1944">
        <v>25.930719278911337</v>
      </c>
      <c r="DS11" s="1944">
        <v>25.869438811000002</v>
      </c>
      <c r="DT11" s="1944">
        <v>25.712930900833335</v>
      </c>
      <c r="DU11" s="1944">
        <v>25.786687684722221</v>
      </c>
      <c r="DV11" s="1944">
        <v>25.993485631277778</v>
      </c>
      <c r="DW11" s="1944">
        <v>26.439144016611113</v>
      </c>
      <c r="DX11" s="1944">
        <v>26.966896213611111</v>
      </c>
      <c r="DY11" s="1944">
        <v>25.538747780277777</v>
      </c>
      <c r="DZ11" s="1944">
        <v>24.589657090833335</v>
      </c>
      <c r="EA11" s="1944">
        <v>25.075136399722222</v>
      </c>
      <c r="EB11" s="1944">
        <v>24.438111794388888</v>
      </c>
      <c r="EC11" s="1944">
        <v>25.846341576055554</v>
      </c>
      <c r="ED11" s="1944">
        <v>25.441311304833334</v>
      </c>
      <c r="EE11" s="1944">
        <v>25.097562516388887</v>
      </c>
      <c r="EF11" s="1944">
        <v>25.265607173611116</v>
      </c>
      <c r="EG11" s="1944">
        <v>25.208304772833337</v>
      </c>
      <c r="EH11" s="1944">
        <v>25.829731957499998</v>
      </c>
      <c r="EI11" s="1944">
        <v>26.674977349277782</v>
      </c>
      <c r="EJ11" s="1944">
        <v>26.255111351833335</v>
      </c>
      <c r="EK11" s="1944">
        <v>26.230697952915552</v>
      </c>
      <c r="EL11" s="1944">
        <v>27.007198896257776</v>
      </c>
      <c r="EM11" s="1944">
        <v>26.397489492166667</v>
      </c>
      <c r="EN11" s="1944">
        <v>26.24299726927778</v>
      </c>
      <c r="EO11" s="1944">
        <v>24.955523281944444</v>
      </c>
      <c r="EP11" s="1944">
        <v>25.060287828</v>
      </c>
      <c r="EQ11" s="1944">
        <v>25.157002229314816</v>
      </c>
      <c r="ER11" s="1944">
        <v>25.316669506111111</v>
      </c>
      <c r="ES11" s="1944">
        <v>24.275116100962965</v>
      </c>
      <c r="ET11" s="1944">
        <v>25.584405469518515</v>
      </c>
      <c r="EU11" s="1944">
        <v>27.762022222222225</v>
      </c>
      <c r="EV11" s="1944">
        <v>27.3523</v>
      </c>
      <c r="EW11" s="1944">
        <v>25.777077777777784</v>
      </c>
      <c r="EX11" s="1944">
        <v>24.469088888888901</v>
      </c>
      <c r="EY11" s="1945">
        <v>23.854211111111098</v>
      </c>
    </row>
    <row r="12" spans="1:155" ht="21" customHeight="1">
      <c r="A12" s="1925" t="s">
        <v>3411</v>
      </c>
      <c r="B12" s="1926">
        <v>16.850000000000001</v>
      </c>
      <c r="C12" s="1927">
        <v>17.010000000000002</v>
      </c>
      <c r="D12" s="1927">
        <v>17.2</v>
      </c>
      <c r="E12" s="1946">
        <v>17.27</v>
      </c>
      <c r="F12" s="1951">
        <v>17.170000000000002</v>
      </c>
      <c r="G12" s="1951">
        <v>17.29</v>
      </c>
      <c r="H12" s="1951">
        <v>16.989999999999998</v>
      </c>
      <c r="I12" s="1951">
        <v>17.09</v>
      </c>
      <c r="J12" s="1951">
        <v>17.05</v>
      </c>
      <c r="K12" s="1951">
        <v>17.14</v>
      </c>
      <c r="L12" s="1951">
        <v>16.64</v>
      </c>
      <c r="M12" s="1951">
        <v>16.309999999999999</v>
      </c>
      <c r="N12" s="1951">
        <v>15.88</v>
      </c>
      <c r="O12" s="1951">
        <v>15.78</v>
      </c>
      <c r="P12" s="1951">
        <v>16.29</v>
      </c>
      <c r="Q12" s="1951">
        <v>16.98</v>
      </c>
      <c r="R12" s="1951">
        <v>17.11</v>
      </c>
      <c r="S12" s="1951">
        <v>16.95</v>
      </c>
      <c r="T12" s="1951">
        <v>16.96</v>
      </c>
      <c r="U12" s="1951">
        <v>16.8</v>
      </c>
      <c r="V12" s="1951">
        <v>16.64</v>
      </c>
      <c r="W12" s="1951">
        <v>16.010000000000002</v>
      </c>
      <c r="X12" s="1951">
        <v>15.57</v>
      </c>
      <c r="Y12" s="1951">
        <v>15.47</v>
      </c>
      <c r="Z12" s="1951">
        <v>16.2</v>
      </c>
      <c r="AA12" s="1951">
        <v>16.579999999999998</v>
      </c>
      <c r="AB12" s="1951">
        <v>16.940000000000001</v>
      </c>
      <c r="AC12" s="1947">
        <v>16.760000000000002</v>
      </c>
      <c r="AD12" s="1944">
        <v>16.75</v>
      </c>
      <c r="AE12" s="1944">
        <v>16.95</v>
      </c>
      <c r="AF12" s="1944">
        <v>17.22</v>
      </c>
      <c r="AG12" s="1944">
        <v>17.48</v>
      </c>
      <c r="AH12" s="1944">
        <v>17.66</v>
      </c>
      <c r="AI12" s="1944">
        <v>17.62</v>
      </c>
      <c r="AJ12" s="1944">
        <v>17.760000000000002</v>
      </c>
      <c r="AK12" s="1944">
        <v>17.940000000000001</v>
      </c>
      <c r="AL12" s="1948">
        <v>18</v>
      </c>
      <c r="AM12" s="1944">
        <v>17.89</v>
      </c>
      <c r="AN12" s="1944">
        <v>17.77</v>
      </c>
      <c r="AO12" s="1944">
        <v>18.16</v>
      </c>
      <c r="AP12" s="1944">
        <v>17.98</v>
      </c>
      <c r="AQ12" s="1949">
        <v>18.22</v>
      </c>
      <c r="AR12" s="1944">
        <v>18.25</v>
      </c>
      <c r="AS12" s="1949">
        <v>18.37</v>
      </c>
      <c r="AT12" s="1948">
        <v>18.72</v>
      </c>
      <c r="AU12" s="1948">
        <v>19.16</v>
      </c>
      <c r="AV12" s="1944">
        <v>19.239999999999998</v>
      </c>
      <c r="AW12" s="1950">
        <v>19.36</v>
      </c>
      <c r="AX12" s="1949">
        <v>19.82</v>
      </c>
      <c r="AY12" s="1948">
        <v>19.899999999999999</v>
      </c>
      <c r="AZ12" s="1944">
        <v>19.75</v>
      </c>
      <c r="BA12" s="1949">
        <v>20.18</v>
      </c>
      <c r="BB12" s="1948">
        <v>20.92</v>
      </c>
      <c r="BC12" s="1944">
        <v>20.84</v>
      </c>
      <c r="BD12" s="1944">
        <v>21.32</v>
      </c>
      <c r="BE12" s="1949">
        <v>21.82</v>
      </c>
      <c r="BF12" s="1948">
        <v>22.09</v>
      </c>
      <c r="BG12" s="1948">
        <v>22.16</v>
      </c>
      <c r="BH12" s="1948">
        <v>22.06</v>
      </c>
      <c r="BI12" s="1948">
        <v>22.04</v>
      </c>
      <c r="BJ12" s="1948">
        <v>21.58</v>
      </c>
      <c r="BK12" s="1948">
        <v>21.06</v>
      </c>
      <c r="BL12" s="1948">
        <v>21.09</v>
      </c>
      <c r="BM12" s="1948">
        <v>21.22</v>
      </c>
      <c r="BN12" s="1944">
        <v>20.9954</v>
      </c>
      <c r="BO12" s="1944">
        <v>21.017099999999999</v>
      </c>
      <c r="BP12" s="1944">
        <v>21.5122</v>
      </c>
      <c r="BQ12" s="1944">
        <v>21.28</v>
      </c>
      <c r="BR12" s="1944">
        <v>20.305299999999999</v>
      </c>
      <c r="BS12" s="1944">
        <v>20.776700000000002</v>
      </c>
      <c r="BT12" s="1944">
        <v>20.2807</v>
      </c>
      <c r="BU12" s="1948">
        <v>19.541499999999999</v>
      </c>
      <c r="BV12" s="1948">
        <v>19.653500000000001</v>
      </c>
      <c r="BW12" s="1948">
        <v>20.8475</v>
      </c>
      <c r="BX12" s="1948">
        <v>20.518699999999999</v>
      </c>
      <c r="BY12" s="1948">
        <v>20.022099999999998</v>
      </c>
      <c r="BZ12" s="1944">
        <v>20.439599999999999</v>
      </c>
      <c r="CA12" s="1944">
        <v>20.322500000000002</v>
      </c>
      <c r="CB12" s="1944">
        <v>22.139800000000001</v>
      </c>
      <c r="CC12" s="1944">
        <v>21.678899999999999</v>
      </c>
      <c r="CD12" s="1944">
        <v>22.704000000000001</v>
      </c>
      <c r="CE12" s="1944">
        <v>22.2697</v>
      </c>
      <c r="CF12" s="1944">
        <v>22.7026</v>
      </c>
      <c r="CG12" s="1944">
        <v>22.583300000000001</v>
      </c>
      <c r="CH12" s="1944">
        <v>23.343699999999998</v>
      </c>
      <c r="CI12" s="1944">
        <v>23.0563</v>
      </c>
      <c r="CJ12" s="1944">
        <v>22.9482</v>
      </c>
      <c r="CK12" s="1944">
        <v>22.869599999999998</v>
      </c>
      <c r="CL12" s="1944">
        <v>22.714200000000002</v>
      </c>
      <c r="CM12" s="1944">
        <v>22.4344</v>
      </c>
      <c r="CN12" s="1944">
        <v>22.424900000000001</v>
      </c>
      <c r="CO12" s="1944">
        <v>22.178899999999999</v>
      </c>
      <c r="CP12" s="1944">
        <v>24.553999999999998</v>
      </c>
      <c r="CQ12" s="1944">
        <v>22.979750736309903</v>
      </c>
      <c r="CR12" s="1944">
        <v>23.495568976502462</v>
      </c>
      <c r="CS12" s="1944">
        <v>23.604589318060253</v>
      </c>
      <c r="CT12" s="1944">
        <v>23.620461858123285</v>
      </c>
      <c r="CU12" s="1944">
        <v>23.824710124065025</v>
      </c>
      <c r="CV12" s="1944">
        <v>24.344978340879724</v>
      </c>
      <c r="CW12" s="1944">
        <v>23.827363422350967</v>
      </c>
      <c r="CX12" s="1944">
        <v>23.861557086273912</v>
      </c>
      <c r="CY12" s="1944">
        <v>23.450030409655408</v>
      </c>
      <c r="CZ12" s="1944">
        <v>23.184874091554882</v>
      </c>
      <c r="DA12" s="1944">
        <v>23.349825866339689</v>
      </c>
      <c r="DB12" s="1944">
        <v>23.635256762272142</v>
      </c>
      <c r="DC12" s="1944">
        <v>23.940245247973078</v>
      </c>
      <c r="DD12" s="1944">
        <v>23.82665098114591</v>
      </c>
      <c r="DE12" s="1944">
        <v>22.950400022204978</v>
      </c>
      <c r="DF12" s="1944">
        <v>23.632280686171832</v>
      </c>
      <c r="DG12" s="1944">
        <v>23.13748750823979</v>
      </c>
      <c r="DH12" s="1944">
        <v>23.213978027797367</v>
      </c>
      <c r="DI12" s="1944">
        <v>23.817876536408367</v>
      </c>
      <c r="DJ12" s="1944">
        <v>23.753362621030423</v>
      </c>
      <c r="DK12" s="1944">
        <v>23.642961968781471</v>
      </c>
      <c r="DL12" s="1944">
        <v>24.061781927536874</v>
      </c>
      <c r="DM12" s="1944">
        <v>23.806851042410237</v>
      </c>
      <c r="DN12" s="1944">
        <v>24.851950656125886</v>
      </c>
      <c r="DO12" s="1944">
        <v>25.472975659131631</v>
      </c>
      <c r="DP12" s="1944">
        <v>24.990812427548175</v>
      </c>
      <c r="DQ12" s="1944">
        <v>25.397186926426055</v>
      </c>
      <c r="DR12" s="1944">
        <v>25.915181864363976</v>
      </c>
      <c r="DS12" s="1944">
        <v>25.816646508587684</v>
      </c>
      <c r="DT12" s="1944">
        <v>25.538142405657677</v>
      </c>
      <c r="DU12" s="1944">
        <v>24.982501117539673</v>
      </c>
      <c r="DV12" s="1944">
        <v>25.290554705950132</v>
      </c>
      <c r="DW12" s="1944">
        <v>25.58136703605134</v>
      </c>
      <c r="DX12" s="1944">
        <v>25.598557554753821</v>
      </c>
      <c r="DY12" s="1944">
        <v>25.1295938683676</v>
      </c>
      <c r="DZ12" s="1944">
        <v>24.989095079094763</v>
      </c>
      <c r="EA12" s="1944">
        <v>24.77068293294829</v>
      </c>
      <c r="EB12" s="1944">
        <v>24.706018811918657</v>
      </c>
      <c r="EC12" s="1944">
        <v>24.888127646674622</v>
      </c>
      <c r="ED12" s="1944">
        <v>24.91482989172415</v>
      </c>
      <c r="EE12" s="1944">
        <v>24.70227848317171</v>
      </c>
      <c r="EF12" s="1944">
        <v>24.312816946908935</v>
      </c>
      <c r="EG12" s="1944">
        <v>24.179187798932041</v>
      </c>
      <c r="EH12" s="1944">
        <v>24.302293572645016</v>
      </c>
      <c r="EI12" s="1944">
        <v>24.406026689994746</v>
      </c>
      <c r="EJ12" s="1944">
        <v>24.457851961206529</v>
      </c>
      <c r="EK12" s="1944">
        <v>24.635790605659434</v>
      </c>
      <c r="EL12" s="1944">
        <v>24.749635173370081</v>
      </c>
      <c r="EM12" s="1944">
        <v>24.966644486821696</v>
      </c>
      <c r="EN12" s="1944">
        <v>25.140169893714752</v>
      </c>
      <c r="EO12" s="1944">
        <v>25.119507805074029</v>
      </c>
      <c r="EP12" s="1944">
        <v>25.024942088192258</v>
      </c>
      <c r="EQ12" s="1944">
        <v>24.666615786501861</v>
      </c>
      <c r="ER12" s="1944">
        <v>24.469160197967962</v>
      </c>
      <c r="ES12" s="1944">
        <v>24.69420624172421</v>
      </c>
      <c r="ET12" s="1944">
        <v>25.025246252105951</v>
      </c>
      <c r="EU12" s="1944">
        <v>27.000790426380341</v>
      </c>
      <c r="EV12" s="1944">
        <v>27.2225</v>
      </c>
      <c r="EW12" s="1944">
        <v>26.839264285714282</v>
      </c>
      <c r="EX12" s="1944">
        <v>26.736764285714301</v>
      </c>
      <c r="EY12" s="1945">
        <v>26.4370642857143</v>
      </c>
    </row>
    <row r="13" spans="1:155" ht="21" customHeight="1">
      <c r="A13" s="1925" t="s">
        <v>3412</v>
      </c>
      <c r="B13" s="1926">
        <v>2.71</v>
      </c>
      <c r="C13" s="1927">
        <v>2.92</v>
      </c>
      <c r="D13" s="1927">
        <v>3.18</v>
      </c>
      <c r="E13" s="1946">
        <v>2.95</v>
      </c>
      <c r="F13" s="1951">
        <v>3</v>
      </c>
      <c r="G13" s="1951">
        <v>2.85</v>
      </c>
      <c r="H13" s="1951">
        <v>2.87</v>
      </c>
      <c r="I13" s="1951">
        <v>3</v>
      </c>
      <c r="J13" s="1951">
        <v>3.25</v>
      </c>
      <c r="K13" s="1951">
        <v>3.46</v>
      </c>
      <c r="L13" s="1951">
        <v>3.38</v>
      </c>
      <c r="M13" s="1951">
        <v>3.55</v>
      </c>
      <c r="N13" s="1951">
        <v>3.52</v>
      </c>
      <c r="O13" s="1951">
        <v>3.96</v>
      </c>
      <c r="P13" s="1951">
        <v>3.57</v>
      </c>
      <c r="Q13" s="1951">
        <v>4</v>
      </c>
      <c r="R13" s="1951">
        <v>4.0999999999999996</v>
      </c>
      <c r="S13" s="1951">
        <v>4.0599999999999996</v>
      </c>
      <c r="T13" s="1951">
        <v>4.13</v>
      </c>
      <c r="U13" s="1951">
        <v>4.2300000000000004</v>
      </c>
      <c r="V13" s="1951">
        <v>4.5</v>
      </c>
      <c r="W13" s="1951">
        <v>4.12</v>
      </c>
      <c r="X13" s="1951">
        <v>3.79</v>
      </c>
      <c r="Y13" s="1951">
        <v>3.99</v>
      </c>
      <c r="Z13" s="1951">
        <v>4.33</v>
      </c>
      <c r="AA13" s="1951">
        <v>4.13</v>
      </c>
      <c r="AB13" s="1951">
        <v>4.47</v>
      </c>
      <c r="AC13" s="1947">
        <v>4.63</v>
      </c>
      <c r="AD13" s="1944">
        <v>4.66</v>
      </c>
      <c r="AE13" s="1944">
        <v>4.37</v>
      </c>
      <c r="AF13" s="1944">
        <v>4.5599999999999996</v>
      </c>
      <c r="AG13" s="1944">
        <v>4.8099999999999996</v>
      </c>
      <c r="AH13" s="1944">
        <v>5.04</v>
      </c>
      <c r="AI13" s="1944">
        <v>5.15</v>
      </c>
      <c r="AJ13" s="1944">
        <v>4.95</v>
      </c>
      <c r="AK13" s="1944">
        <v>4.75</v>
      </c>
      <c r="AL13" s="1948">
        <v>4.87</v>
      </c>
      <c r="AM13" s="1944">
        <v>4.49</v>
      </c>
      <c r="AN13" s="1944">
        <v>4.5199999999999996</v>
      </c>
      <c r="AO13" s="1944">
        <v>4.59</v>
      </c>
      <c r="AP13" s="1944">
        <v>4.67</v>
      </c>
      <c r="AQ13" s="1949">
        <v>4.88</v>
      </c>
      <c r="AR13" s="1944">
        <v>4.6500000000000004</v>
      </c>
      <c r="AS13" s="1949">
        <v>4.83</v>
      </c>
      <c r="AT13" s="1948">
        <v>4.9800000000000004</v>
      </c>
      <c r="AU13" s="1948">
        <v>5.15</v>
      </c>
      <c r="AV13" s="1944">
        <v>5.12</v>
      </c>
      <c r="AW13" s="1950">
        <v>5.13</v>
      </c>
      <c r="AX13" s="1949">
        <v>5.14</v>
      </c>
      <c r="AY13" s="1948">
        <v>4.74</v>
      </c>
      <c r="AZ13" s="1944">
        <v>4.4800000000000004</v>
      </c>
      <c r="BA13" s="1949">
        <v>4.7</v>
      </c>
      <c r="BB13" s="1948">
        <v>4.72</v>
      </c>
      <c r="BC13" s="1944">
        <v>4.41</v>
      </c>
      <c r="BD13" s="1944">
        <v>4.54</v>
      </c>
      <c r="BE13" s="1949">
        <v>4.83</v>
      </c>
      <c r="BF13" s="1948">
        <v>4.97</v>
      </c>
      <c r="BG13" s="1948">
        <v>4.7699999999999996</v>
      </c>
      <c r="BH13" s="1948">
        <v>4.75</v>
      </c>
      <c r="BI13" s="1948">
        <v>4.6399999999999997</v>
      </c>
      <c r="BJ13" s="1948">
        <v>4.6399999999999997</v>
      </c>
      <c r="BK13" s="1948">
        <v>4.5599999999999996</v>
      </c>
      <c r="BL13" s="1948">
        <v>4.6100000000000003</v>
      </c>
      <c r="BM13" s="1948">
        <v>4.5599999999999996</v>
      </c>
      <c r="BN13" s="1944">
        <v>4.5206999999999997</v>
      </c>
      <c r="BO13" s="1944">
        <v>4.5956000000000001</v>
      </c>
      <c r="BP13" s="1944">
        <v>4.8032000000000004</v>
      </c>
      <c r="BQ13" s="1944">
        <v>4.5529999999999999</v>
      </c>
      <c r="BR13" s="1944">
        <v>4.3357000000000001</v>
      </c>
      <c r="BS13" s="1944">
        <v>4.0781999999999998</v>
      </c>
      <c r="BT13" s="1944">
        <v>3.7519</v>
      </c>
      <c r="BU13" s="1948">
        <v>3.3517999999999999</v>
      </c>
      <c r="BV13" s="1948">
        <v>3.5573999999999999</v>
      </c>
      <c r="BW13" s="1948">
        <v>3.7837999999999998</v>
      </c>
      <c r="BX13" s="1948">
        <v>3.5583</v>
      </c>
      <c r="BY13" s="1948">
        <v>3.7401</v>
      </c>
      <c r="BZ13" s="1944">
        <v>3.7854000000000001</v>
      </c>
      <c r="CA13" s="1944">
        <v>3.5169000000000001</v>
      </c>
      <c r="CB13" s="1944">
        <v>3.3273000000000001</v>
      </c>
      <c r="CC13" s="1944">
        <v>3.3462999999999998</v>
      </c>
      <c r="CD13" s="1944">
        <v>3.5257999999999998</v>
      </c>
      <c r="CE13" s="1944">
        <v>3.3893</v>
      </c>
      <c r="CF13" s="1944">
        <v>3.5701000000000001</v>
      </c>
      <c r="CG13" s="1944">
        <v>3.6092</v>
      </c>
      <c r="CH13" s="1944">
        <v>4.0724</v>
      </c>
      <c r="CI13" s="1944">
        <v>4.1806000000000001</v>
      </c>
      <c r="CJ13" s="1944">
        <v>4.2778</v>
      </c>
      <c r="CK13" s="1944">
        <v>4.2488999999999999</v>
      </c>
      <c r="CL13" s="1944">
        <v>4.2328000000000001</v>
      </c>
      <c r="CM13" s="1944">
        <v>4.3078000000000003</v>
      </c>
      <c r="CN13" s="1944">
        <v>4.08</v>
      </c>
      <c r="CO13" s="1944">
        <v>4.1981000000000002</v>
      </c>
      <c r="CP13" s="1944">
        <v>4.5529999999999999</v>
      </c>
      <c r="CQ13" s="1944">
        <v>4.2662881482292896</v>
      </c>
      <c r="CR13" s="1944">
        <v>4.3535725233239067</v>
      </c>
      <c r="CS13" s="1944">
        <v>4.4865622356295907</v>
      </c>
      <c r="CT13" s="1944">
        <v>4.3900698063661805</v>
      </c>
      <c r="CU13" s="1944">
        <v>4.4187592485586178</v>
      </c>
      <c r="CV13" s="1944">
        <v>4.7503250125142289</v>
      </c>
      <c r="CW13" s="1944">
        <v>4.2975873036653569</v>
      </c>
      <c r="CX13" s="1944">
        <v>4.3563444364321553</v>
      </c>
      <c r="CY13" s="1944">
        <v>4.3519041504246037</v>
      </c>
      <c r="CZ13" s="1944">
        <v>4.3385934646244273</v>
      </c>
      <c r="DA13" s="1944">
        <v>4.1803338495633389</v>
      </c>
      <c r="DB13" s="1944">
        <v>4.3043798954782542</v>
      </c>
      <c r="DC13" s="1944">
        <v>4.3045015357541692</v>
      </c>
      <c r="DD13" s="1944">
        <v>4.0919531515976555</v>
      </c>
      <c r="DE13" s="1944">
        <v>3.7402603868307662</v>
      </c>
      <c r="DF13" s="1944">
        <v>3.8001448787588425</v>
      </c>
      <c r="DG13" s="1944">
        <v>3.620326359587414</v>
      </c>
      <c r="DH13" s="1944">
        <v>3.7169001136883479</v>
      </c>
      <c r="DI13" s="1944">
        <v>3.8416332838487675</v>
      </c>
      <c r="DJ13" s="1944">
        <v>3.9856940794946629</v>
      </c>
      <c r="DK13" s="1944">
        <v>3.8804111840386954</v>
      </c>
      <c r="DL13" s="1944">
        <v>3.8606235174531576</v>
      </c>
      <c r="DM13" s="1944">
        <v>3.6140125567878885</v>
      </c>
      <c r="DN13" s="1944">
        <v>3.8222119233774383</v>
      </c>
      <c r="DO13" s="1944">
        <v>3.8982737788837141</v>
      </c>
      <c r="DP13" s="1944">
        <v>3.7075567501245077</v>
      </c>
      <c r="DQ13" s="1944">
        <v>3.8035214549025018</v>
      </c>
      <c r="DR13" s="1944">
        <v>3.6821802638359498</v>
      </c>
      <c r="DS13" s="1944">
        <v>3.6104313236909489</v>
      </c>
      <c r="DT13" s="1944">
        <v>3.7007841237688299</v>
      </c>
      <c r="DU13" s="1944">
        <v>3.4514575122022371</v>
      </c>
      <c r="DV13" s="1944">
        <v>3.5684358295906375</v>
      </c>
      <c r="DW13" s="1944">
        <v>3.4586282264401969</v>
      </c>
      <c r="DX13" s="1944">
        <v>3.5433765177716734</v>
      </c>
      <c r="DY13" s="1944">
        <v>3.1577101274674666</v>
      </c>
      <c r="DZ13" s="1944">
        <v>3.1948623579755697</v>
      </c>
      <c r="EA13" s="1944">
        <v>3.2216301226697301</v>
      </c>
      <c r="EB13" s="1944">
        <v>3.0618062191133828</v>
      </c>
      <c r="EC13" s="1944">
        <v>3.1069691383618969</v>
      </c>
      <c r="ED13" s="1944">
        <v>3.1246810292932805</v>
      </c>
      <c r="EE13" s="1944">
        <v>3.0611223955103966</v>
      </c>
      <c r="EF13" s="1944">
        <v>2.9708024823330113</v>
      </c>
      <c r="EG13" s="1944">
        <v>2.7589730951480038</v>
      </c>
      <c r="EH13" s="1944">
        <v>2.8939377336566787</v>
      </c>
      <c r="EI13" s="1944">
        <v>2.9199374237218771</v>
      </c>
      <c r="EJ13" s="1944">
        <v>2.9219567255974672</v>
      </c>
      <c r="EK13" s="1944">
        <v>2.9761863492894265</v>
      </c>
      <c r="EL13" s="1944">
        <v>2.9283808905926496</v>
      </c>
      <c r="EM13" s="1944">
        <v>2.9214277143540328</v>
      </c>
      <c r="EN13" s="1944">
        <v>2.9595329964046955</v>
      </c>
      <c r="EO13" s="1944">
        <v>2.8501250640782794</v>
      </c>
      <c r="EP13" s="1944">
        <v>2.9477639444256361</v>
      </c>
      <c r="EQ13" s="1944">
        <v>2.9278357367228431</v>
      </c>
      <c r="ER13" s="1944">
        <v>2.8050403330500502</v>
      </c>
      <c r="ES13" s="1944">
        <v>2.8945578415356863</v>
      </c>
      <c r="ET13" s="1944">
        <v>2.9460658295365638</v>
      </c>
      <c r="EU13" s="1944">
        <v>3.0635138642632573</v>
      </c>
      <c r="EV13" s="1944">
        <v>3.0590000000000002</v>
      </c>
      <c r="EW13" s="1944">
        <v>2.9862785714285707</v>
      </c>
      <c r="EX13" s="1944">
        <v>2.9436285714285702</v>
      </c>
      <c r="EY13" s="1945">
        <v>2.86625714285714</v>
      </c>
    </row>
    <row r="14" spans="1:155" ht="21" customHeight="1">
      <c r="A14" s="1925" t="s">
        <v>3413</v>
      </c>
      <c r="B14" s="1926">
        <v>17.87</v>
      </c>
      <c r="C14" s="1927">
        <v>18.78</v>
      </c>
      <c r="D14" s="1946">
        <v>19.48</v>
      </c>
      <c r="E14" s="1951">
        <v>20.260000000000002</v>
      </c>
      <c r="F14" s="1951">
        <v>20.239999999999998</v>
      </c>
      <c r="G14" s="1951">
        <v>20.03</v>
      </c>
      <c r="H14" s="1951">
        <v>20.07</v>
      </c>
      <c r="I14" s="1951">
        <v>20.16</v>
      </c>
      <c r="J14" s="1951">
        <v>20.02</v>
      </c>
      <c r="K14" s="1951">
        <v>21.23</v>
      </c>
      <c r="L14" s="1951">
        <v>21.08</v>
      </c>
      <c r="M14" s="1951">
        <v>20.61</v>
      </c>
      <c r="N14" s="1951">
        <v>20.32</v>
      </c>
      <c r="O14" s="1951">
        <v>20.34</v>
      </c>
      <c r="P14" s="1951">
        <v>21.62</v>
      </c>
      <c r="Q14" s="1951">
        <v>21.81</v>
      </c>
      <c r="R14" s="1951">
        <v>21.77</v>
      </c>
      <c r="S14" s="1951">
        <v>20.79</v>
      </c>
      <c r="T14" s="1951">
        <v>21.87</v>
      </c>
      <c r="U14" s="1951">
        <v>21.61</v>
      </c>
      <c r="V14" s="1951">
        <v>21.84</v>
      </c>
      <c r="W14" s="1951">
        <v>21.6</v>
      </c>
      <c r="X14" s="1951">
        <v>20.73</v>
      </c>
      <c r="Y14" s="1951">
        <v>20.5</v>
      </c>
      <c r="Z14" s="1951">
        <v>21.07</v>
      </c>
      <c r="AA14" s="1951">
        <v>21.66</v>
      </c>
      <c r="AB14" s="1951">
        <v>22.72</v>
      </c>
      <c r="AC14" s="1947">
        <v>22.5</v>
      </c>
      <c r="AD14" s="1944">
        <v>22.32</v>
      </c>
      <c r="AE14" s="1944">
        <v>22.56</v>
      </c>
      <c r="AF14" s="1944">
        <v>22.87</v>
      </c>
      <c r="AG14" s="1944">
        <v>23.97</v>
      </c>
      <c r="AH14" s="1944">
        <v>25.13</v>
      </c>
      <c r="AI14" s="1944">
        <v>25.15</v>
      </c>
      <c r="AJ14" s="1944">
        <v>24.23</v>
      </c>
      <c r="AK14" s="1944">
        <v>24.43</v>
      </c>
      <c r="AL14" s="1948">
        <v>24.63</v>
      </c>
      <c r="AM14" s="1944">
        <v>23.67</v>
      </c>
      <c r="AN14" s="1944">
        <v>23.14</v>
      </c>
      <c r="AO14" s="1944">
        <v>23.22</v>
      </c>
      <c r="AP14" s="1944">
        <v>23.64</v>
      </c>
      <c r="AQ14" s="1949">
        <v>23.58</v>
      </c>
      <c r="AR14" s="1944">
        <v>23.85</v>
      </c>
      <c r="AS14" s="1949">
        <v>23.42</v>
      </c>
      <c r="AT14" s="1948">
        <v>23.52</v>
      </c>
      <c r="AU14" s="1948">
        <v>24.02</v>
      </c>
      <c r="AV14" s="1944">
        <v>23.42</v>
      </c>
      <c r="AW14" s="1950">
        <v>23.9</v>
      </c>
      <c r="AX14" s="1949">
        <v>24.65</v>
      </c>
      <c r="AY14" s="1948">
        <v>25.64</v>
      </c>
      <c r="AZ14" s="1944">
        <v>25.23</v>
      </c>
      <c r="BA14" s="1949">
        <v>25.63</v>
      </c>
      <c r="BB14" s="1948">
        <v>26.68</v>
      </c>
      <c r="BC14" s="1944">
        <v>26.42</v>
      </c>
      <c r="BD14" s="1944">
        <v>26.56</v>
      </c>
      <c r="BE14" s="1949">
        <v>27.71</v>
      </c>
      <c r="BF14" s="1948">
        <v>27.56</v>
      </c>
      <c r="BG14" s="1948">
        <v>26.95</v>
      </c>
      <c r="BH14" s="1948">
        <v>27.48</v>
      </c>
      <c r="BI14" s="1948">
        <v>27.2</v>
      </c>
      <c r="BJ14" s="1948">
        <v>26.9</v>
      </c>
      <c r="BK14" s="1948">
        <v>26.01</v>
      </c>
      <c r="BL14" s="1948">
        <v>26.04</v>
      </c>
      <c r="BM14" s="1948">
        <v>26.46</v>
      </c>
      <c r="BN14" s="1944">
        <v>26.400200000000002</v>
      </c>
      <c r="BO14" s="1944">
        <v>26.584900000000001</v>
      </c>
      <c r="BP14" s="1944">
        <v>26.7209</v>
      </c>
      <c r="BQ14" s="1944">
        <v>27.303999999999998</v>
      </c>
      <c r="BR14" s="1944">
        <v>25.878499999999999</v>
      </c>
      <c r="BS14" s="1944">
        <v>27.0215</v>
      </c>
      <c r="BT14" s="1944">
        <v>26.695599999999999</v>
      </c>
      <c r="BU14" s="1948">
        <v>26.8569</v>
      </c>
      <c r="BV14" s="1948">
        <v>25.628499999999999</v>
      </c>
      <c r="BW14" s="1948">
        <v>26.9651</v>
      </c>
      <c r="BX14" s="1948">
        <v>27.309100000000001</v>
      </c>
      <c r="BY14" s="1948">
        <v>26.000499999999999</v>
      </c>
      <c r="BZ14" s="1944">
        <v>26.302299999999999</v>
      </c>
      <c r="CA14" s="1944">
        <v>26.456700000000001</v>
      </c>
      <c r="CB14" s="1944">
        <v>28.609500000000001</v>
      </c>
      <c r="CC14" s="1944">
        <v>27.107099999999999</v>
      </c>
      <c r="CD14" s="1944">
        <v>30.787600000000001</v>
      </c>
      <c r="CE14" s="1944">
        <v>29.009</v>
      </c>
      <c r="CF14" s="1944">
        <v>29.9011</v>
      </c>
      <c r="CG14" s="1944">
        <v>29.859300000000001</v>
      </c>
      <c r="CH14" s="1944">
        <v>30.399699999999999</v>
      </c>
      <c r="CI14" s="1944">
        <v>30.834900000000001</v>
      </c>
      <c r="CJ14" s="1944">
        <v>30.603999999999999</v>
      </c>
      <c r="CK14" s="1944">
        <v>30.225899999999999</v>
      </c>
      <c r="CL14" s="1944">
        <v>30.743400000000001</v>
      </c>
      <c r="CM14" s="1944">
        <v>30.523499999999999</v>
      </c>
      <c r="CN14" s="1944">
        <v>29.996300000000002</v>
      </c>
      <c r="CO14" s="1944">
        <v>30.463799999999999</v>
      </c>
      <c r="CP14" s="1944">
        <v>29.658999999999999</v>
      </c>
      <c r="CQ14" s="1944">
        <v>29.932387020470024</v>
      </c>
      <c r="CR14" s="1944">
        <v>31.006065967336447</v>
      </c>
      <c r="CS14" s="1944">
        <v>31.667320192111127</v>
      </c>
      <c r="CT14" s="1944">
        <v>31.002429732801833</v>
      </c>
      <c r="CU14" s="1944">
        <v>31.312560317647158</v>
      </c>
      <c r="CV14" s="1944">
        <v>33.26648573910277</v>
      </c>
      <c r="CW14" s="1944">
        <v>32.417885079418781</v>
      </c>
      <c r="CX14" s="1944">
        <v>32.648237071259658</v>
      </c>
      <c r="CY14" s="1944">
        <v>32.119593530142126</v>
      </c>
      <c r="CZ14" s="1944">
        <v>32.453339202412096</v>
      </c>
      <c r="DA14" s="1944">
        <v>33.7003869210346</v>
      </c>
      <c r="DB14" s="1944">
        <v>34.802824043659051</v>
      </c>
      <c r="DC14" s="1944">
        <v>35.848340580052046</v>
      </c>
      <c r="DD14" s="1944">
        <v>34.942476068757806</v>
      </c>
      <c r="DE14" s="1944">
        <v>32.858827248066497</v>
      </c>
      <c r="DF14" s="1944">
        <v>33.739890855462278</v>
      </c>
      <c r="DG14" s="1944">
        <v>32.419063314337926</v>
      </c>
      <c r="DH14" s="1944">
        <v>31.944445927649429</v>
      </c>
      <c r="DI14" s="1944">
        <v>32.549865851118632</v>
      </c>
      <c r="DJ14" s="1944">
        <v>32.988249011225641</v>
      </c>
      <c r="DK14" s="1944">
        <v>32.769669209929454</v>
      </c>
      <c r="DL14" s="1944">
        <v>32.673095466142037</v>
      </c>
      <c r="DM14" s="1944">
        <v>31.46935338162195</v>
      </c>
      <c r="DN14" s="1944">
        <v>32.985705936886248</v>
      </c>
      <c r="DO14" s="1944">
        <v>32.286280264023411</v>
      </c>
      <c r="DP14" s="1944">
        <v>32.461569632904229</v>
      </c>
      <c r="DQ14" s="1944">
        <v>33.12353255262245</v>
      </c>
      <c r="DR14" s="1944">
        <v>33.804537399921053</v>
      </c>
      <c r="DS14" s="1944">
        <v>33.900937943332458</v>
      </c>
      <c r="DT14" s="1944">
        <v>34.000860569091984</v>
      </c>
      <c r="DU14" s="1944">
        <v>33.880883901578464</v>
      </c>
      <c r="DV14" s="1944">
        <v>33.598031437847332</v>
      </c>
      <c r="DW14" s="1944">
        <v>33.295861056000511</v>
      </c>
      <c r="DX14" s="1944">
        <v>33.545808047010063</v>
      </c>
      <c r="DY14" s="1944">
        <v>33.049334960454381</v>
      </c>
      <c r="DZ14" s="1944">
        <v>33.338557746409883</v>
      </c>
      <c r="EA14" s="1944">
        <v>33.741992337888043</v>
      </c>
      <c r="EB14" s="1944">
        <v>33.692889019657507</v>
      </c>
      <c r="EC14" s="1944">
        <v>34.366963186970331</v>
      </c>
      <c r="ED14" s="1944">
        <v>34.099848636950199</v>
      </c>
      <c r="EE14" s="1944">
        <v>34.089317010338014</v>
      </c>
      <c r="EF14" s="1944">
        <v>34.493984546866109</v>
      </c>
      <c r="EG14" s="1944">
        <v>34.265764580679743</v>
      </c>
      <c r="EH14" s="1944">
        <v>34.519829125290215</v>
      </c>
      <c r="EI14" s="1944">
        <v>34.543414154852449</v>
      </c>
      <c r="EJ14" s="1944">
        <v>34.616587209475725</v>
      </c>
      <c r="EK14" s="1944">
        <v>34.275326012044609</v>
      </c>
      <c r="EL14" s="1944">
        <v>34.512134630468196</v>
      </c>
      <c r="EM14" s="1944">
        <v>34.071467668531454</v>
      </c>
      <c r="EN14" s="1944">
        <v>34.108328458431558</v>
      </c>
      <c r="EO14" s="1944">
        <v>33.506337416692084</v>
      </c>
      <c r="EP14" s="1944">
        <v>33.280490755568088</v>
      </c>
      <c r="EQ14" s="1944">
        <v>33.150796174633285</v>
      </c>
      <c r="ER14" s="1944">
        <v>32.553019100693419</v>
      </c>
      <c r="ES14" s="1944">
        <v>36.063031378199504</v>
      </c>
      <c r="ET14" s="1944">
        <v>35.536138469291238</v>
      </c>
      <c r="EU14" s="1944">
        <v>38.169667996803135</v>
      </c>
      <c r="EV14" s="1944">
        <v>38.182985714285714</v>
      </c>
      <c r="EW14" s="1944">
        <v>38.26246428571428</v>
      </c>
      <c r="EX14" s="1944">
        <v>38.563585714285701</v>
      </c>
      <c r="EY14" s="1945">
        <v>37.409700000000001</v>
      </c>
    </row>
    <row r="15" spans="1:155" ht="21" customHeight="1">
      <c r="A15" s="1925" t="s">
        <v>3414</v>
      </c>
      <c r="B15" s="1926">
        <v>30.524999999999999</v>
      </c>
      <c r="C15" s="1927">
        <v>30.447800000000001</v>
      </c>
      <c r="D15" s="1946">
        <v>30.369299999999999</v>
      </c>
      <c r="E15" s="1951">
        <v>30.158100000000001</v>
      </c>
      <c r="F15" s="1951">
        <v>29.989899999999999</v>
      </c>
      <c r="G15" s="1951">
        <v>29.904</v>
      </c>
      <c r="H15" s="1951">
        <v>29.880700000000001</v>
      </c>
      <c r="I15" s="1951">
        <v>29.8596</v>
      </c>
      <c r="J15" s="1951">
        <v>29.727</v>
      </c>
      <c r="K15" s="1951">
        <v>29.448899999999998</v>
      </c>
      <c r="L15" s="1951">
        <v>28.6342</v>
      </c>
      <c r="M15" s="1951">
        <v>28.0688</v>
      </c>
      <c r="N15" s="1951">
        <v>27.745000000000001</v>
      </c>
      <c r="O15" s="1951">
        <v>27.694099999999999</v>
      </c>
      <c r="P15" s="1951">
        <v>27.87</v>
      </c>
      <c r="Q15" s="1951">
        <v>29.495999999999999</v>
      </c>
      <c r="R15" s="1951">
        <v>29.777999999999999</v>
      </c>
      <c r="S15" s="1951">
        <v>29.445</v>
      </c>
      <c r="T15" s="1951">
        <v>28.992000000000001</v>
      </c>
      <c r="U15" s="1951">
        <v>28.841999999999999</v>
      </c>
      <c r="V15" s="1951">
        <v>28.405000000000001</v>
      </c>
      <c r="W15" s="1951">
        <v>26.8216</v>
      </c>
      <c r="X15" s="1951">
        <v>26.234999999999999</v>
      </c>
      <c r="Y15" s="1951">
        <v>26.097000000000001</v>
      </c>
      <c r="Z15" s="1951">
        <v>26.909300000000002</v>
      </c>
      <c r="AA15" s="1951">
        <v>27.959599999999998</v>
      </c>
      <c r="AB15" s="1951">
        <v>28.475999999999999</v>
      </c>
      <c r="AC15" s="1947">
        <v>28.454999999999998</v>
      </c>
      <c r="AD15" s="1944">
        <v>28.556000000000001</v>
      </c>
      <c r="AE15" s="1944">
        <v>28.727</v>
      </c>
      <c r="AF15" s="1944">
        <v>28.8154</v>
      </c>
      <c r="AG15" s="1944">
        <v>28.775500000000001</v>
      </c>
      <c r="AH15" s="1944">
        <v>28.696999999999999</v>
      </c>
      <c r="AI15" s="1944">
        <v>28.486999999999998</v>
      </c>
      <c r="AJ15" s="1944">
        <v>28.808</v>
      </c>
      <c r="AK15" s="1944">
        <v>29.294</v>
      </c>
      <c r="AL15" s="1948">
        <v>29.3139</v>
      </c>
      <c r="AM15" s="1944">
        <v>29.457999999999998</v>
      </c>
      <c r="AN15" s="1944">
        <v>29.6083</v>
      </c>
      <c r="AO15" s="1944">
        <v>29.8581</v>
      </c>
      <c r="AP15" s="1944">
        <v>29.977499999999999</v>
      </c>
      <c r="AQ15" s="1949">
        <v>30.4557</v>
      </c>
      <c r="AR15" s="1944">
        <v>30.542400000000001</v>
      </c>
      <c r="AS15" s="1949">
        <v>30.7453</v>
      </c>
      <c r="AT15" s="1948">
        <v>30.7883</v>
      </c>
      <c r="AU15" s="1948">
        <v>30.813199999999998</v>
      </c>
      <c r="AV15" s="1944">
        <v>30.8841</v>
      </c>
      <c r="AW15" s="1950">
        <v>30.957999999999998</v>
      </c>
      <c r="AX15" s="1949">
        <v>30.9801</v>
      </c>
      <c r="AY15" s="1948">
        <v>30.9785</v>
      </c>
      <c r="AZ15" s="1944">
        <v>31.011800000000001</v>
      </c>
      <c r="BA15" s="1949">
        <v>31.5261</v>
      </c>
      <c r="BB15" s="1948">
        <v>32.523099999999999</v>
      </c>
      <c r="BC15" s="1944">
        <v>32.689799999999998</v>
      </c>
      <c r="BD15" s="1944">
        <v>32.935400000000001</v>
      </c>
      <c r="BE15" s="1949">
        <v>33.223300000000002</v>
      </c>
      <c r="BF15" s="1948">
        <v>33.424599999999998</v>
      </c>
      <c r="BG15" s="1948">
        <v>33.630299999999998</v>
      </c>
      <c r="BH15" s="1948">
        <v>33.241900000000001</v>
      </c>
      <c r="BI15" s="1948">
        <v>32.928400000000003</v>
      </c>
      <c r="BJ15" s="1948">
        <v>32.288200000000003</v>
      </c>
      <c r="BK15" s="1948">
        <v>31.929099999999998</v>
      </c>
      <c r="BL15" s="1948">
        <v>32.023899999999998</v>
      </c>
      <c r="BM15" s="1948">
        <v>31.774100000000001</v>
      </c>
      <c r="BN15" s="1944">
        <v>31.686900000000001</v>
      </c>
      <c r="BO15" s="1944">
        <v>31.081499999999998</v>
      </c>
      <c r="BP15" s="1944">
        <v>30.901299999999999</v>
      </c>
      <c r="BQ15" s="1944">
        <v>30.527000000000001</v>
      </c>
      <c r="BR15" s="1944">
        <v>29.049900000000001</v>
      </c>
      <c r="BS15" s="1944">
        <v>29.220500000000001</v>
      </c>
      <c r="BT15" s="1944">
        <v>28.053999999999998</v>
      </c>
      <c r="BU15" s="1948">
        <v>26.780799999999999</v>
      </c>
      <c r="BV15" s="1948">
        <v>26.6051</v>
      </c>
      <c r="BW15" s="1948">
        <v>28.183700000000002</v>
      </c>
      <c r="BX15" s="1948">
        <v>27.7088</v>
      </c>
      <c r="BY15" s="1948">
        <v>27.177299999999999</v>
      </c>
      <c r="BZ15" s="1944">
        <v>28.766400000000001</v>
      </c>
      <c r="CA15" s="1944">
        <v>28.901900000000001</v>
      </c>
      <c r="CB15" s="1944">
        <v>32.505499999999998</v>
      </c>
      <c r="CC15" s="1944">
        <v>32.383499999999998</v>
      </c>
      <c r="CD15" s="1944">
        <v>32.446300000000001</v>
      </c>
      <c r="CE15" s="1944">
        <v>33.317</v>
      </c>
      <c r="CF15" s="1944">
        <v>34.681100000000001</v>
      </c>
      <c r="CG15" s="1944">
        <v>34.050600000000003</v>
      </c>
      <c r="CH15" s="1944">
        <v>34.295999999999999</v>
      </c>
      <c r="CI15" s="1944">
        <v>33.1843</v>
      </c>
      <c r="CJ15" s="1944">
        <v>33.032400000000003</v>
      </c>
      <c r="CK15" s="1944">
        <v>32.719000000000001</v>
      </c>
      <c r="CL15" s="1944">
        <v>32.546700000000001</v>
      </c>
      <c r="CM15" s="1944">
        <v>31.5246</v>
      </c>
      <c r="CN15" s="1944">
        <v>31.084399999999999</v>
      </c>
      <c r="CO15" s="1944">
        <v>30.486699999999999</v>
      </c>
      <c r="CP15" s="1944">
        <v>34.206000000000003</v>
      </c>
      <c r="CQ15" s="1944">
        <v>31.098413933076927</v>
      </c>
      <c r="CR15" s="1944">
        <v>31.691057399999998</v>
      </c>
      <c r="CS15" s="1944">
        <v>30.924607939999998</v>
      </c>
      <c r="CT15" s="1944">
        <v>30.510382406428576</v>
      </c>
      <c r="CU15" s="1944">
        <v>31.298728171071428</v>
      </c>
      <c r="CV15" s="1944">
        <v>31.171405866428568</v>
      </c>
      <c r="CW15" s="1944">
        <v>30.495615851785715</v>
      </c>
      <c r="CX15" s="1944">
        <v>30.221834158571429</v>
      </c>
      <c r="CY15" s="1944">
        <v>29.437642964285711</v>
      </c>
      <c r="CZ15" s="1944">
        <v>28.309520411071425</v>
      </c>
      <c r="DA15" s="1944">
        <v>28.633557865714288</v>
      </c>
      <c r="DB15" s="1944">
        <v>28.897772164999999</v>
      </c>
      <c r="DC15" s="1944">
        <v>28.670885417857143</v>
      </c>
      <c r="DD15" s="1944">
        <v>28.550806060714283</v>
      </c>
      <c r="DE15" s="1944">
        <v>29.588867412142861</v>
      </c>
      <c r="DF15" s="1944">
        <v>29.426150412142853</v>
      </c>
      <c r="DG15" s="1944">
        <v>29.811181982142852</v>
      </c>
      <c r="DH15" s="1944">
        <v>30.044272552857141</v>
      </c>
      <c r="DI15" s="1944">
        <v>29.734324928571425</v>
      </c>
      <c r="DJ15" s="1944">
        <v>29.492417607142862</v>
      </c>
      <c r="DK15" s="1944">
        <v>29.576342892857145</v>
      </c>
      <c r="DL15" s="1944">
        <v>29.638123822857136</v>
      </c>
      <c r="DM15" s="1944">
        <v>30.495616589285721</v>
      </c>
      <c r="DN15" s="1944">
        <v>31.517259767857144</v>
      </c>
      <c r="DO15" s="1944">
        <v>31.602478607142853</v>
      </c>
      <c r="DP15" s="1944">
        <v>31.095365642857143</v>
      </c>
      <c r="DQ15" s="1944">
        <v>30.958002892857138</v>
      </c>
      <c r="DR15" s="1944">
        <v>31.488185839285709</v>
      </c>
      <c r="DS15" s="1944">
        <v>31.369702410714286</v>
      </c>
      <c r="DT15" s="1944">
        <v>31.019555</v>
      </c>
      <c r="DU15" s="1944">
        <v>30.764621428571427</v>
      </c>
      <c r="DV15" s="1944">
        <v>31.144433571428571</v>
      </c>
      <c r="DW15" s="1944">
        <v>31.512893214285715</v>
      </c>
      <c r="DX15" s="1944">
        <v>31.359302499999995</v>
      </c>
      <c r="DY15" s="1944">
        <v>31.460323214285715</v>
      </c>
      <c r="DZ15" s="1944">
        <v>31.397255714285713</v>
      </c>
      <c r="EA15" s="1944">
        <v>31.29974285714286</v>
      </c>
      <c r="EB15" s="1944">
        <v>31.289606785714287</v>
      </c>
      <c r="EC15" s="1944">
        <v>31.063426428571436</v>
      </c>
      <c r="ED15" s="1944">
        <v>30.695694000000003</v>
      </c>
      <c r="EE15" s="1944">
        <v>30.848288999999998</v>
      </c>
      <c r="EF15" s="1944">
        <v>30.594651428571431</v>
      </c>
      <c r="EG15" s="1944">
        <v>30.699379642857146</v>
      </c>
      <c r="EH15" s="1944">
        <v>30.636903571428572</v>
      </c>
      <c r="EI15" s="1944">
        <v>30.61483464285714</v>
      </c>
      <c r="EJ15" s="1944">
        <v>30.532384714285719</v>
      </c>
      <c r="EK15" s="1944">
        <v>30.724977142857146</v>
      </c>
      <c r="EL15" s="1944">
        <v>30.710060499999994</v>
      </c>
      <c r="EM15" s="1944">
        <v>30.907627796571425</v>
      </c>
      <c r="EN15" s="1944">
        <v>31.164286348999998</v>
      </c>
      <c r="EO15" s="1944">
        <v>31.730047428571428</v>
      </c>
      <c r="EP15" s="1944">
        <v>31.747250407142854</v>
      </c>
      <c r="EQ15" s="1944">
        <v>31.903080589285715</v>
      </c>
      <c r="ER15" s="1944">
        <v>32.097679571428571</v>
      </c>
      <c r="ES15" s="1944">
        <v>33.123232842857142</v>
      </c>
      <c r="ET15" s="1944">
        <v>33.661349539285716</v>
      </c>
      <c r="EU15" s="1944">
        <v>36.814109928571433</v>
      </c>
      <c r="EV15" s="1944">
        <v>35.702300000000001</v>
      </c>
      <c r="EW15" s="1944">
        <v>35.877392857142858</v>
      </c>
      <c r="EX15" s="1944">
        <v>35.744807142857098</v>
      </c>
      <c r="EY15" s="1945">
        <v>36.0229</v>
      </c>
    </row>
    <row r="16" spans="1:155" ht="21" customHeight="1">
      <c r="A16" s="1925" t="s">
        <v>3415</v>
      </c>
      <c r="B16" s="1926">
        <v>43.18</v>
      </c>
      <c r="C16" s="1952">
        <v>44.386000000000003</v>
      </c>
      <c r="D16" s="1953">
        <v>44.524999999999999</v>
      </c>
      <c r="E16" s="1953">
        <v>46.073999999999998</v>
      </c>
      <c r="F16" s="1953">
        <v>47.101999999999997</v>
      </c>
      <c r="G16" s="1953">
        <v>46.304000000000002</v>
      </c>
      <c r="H16" s="1953">
        <v>46.771000000000001</v>
      </c>
      <c r="I16" s="1951">
        <v>46.61</v>
      </c>
      <c r="J16" s="1951">
        <v>46.116999999999997</v>
      </c>
      <c r="K16" s="1951">
        <v>47.216000000000001</v>
      </c>
      <c r="L16" s="1951">
        <v>47.295000000000002</v>
      </c>
      <c r="M16" s="1951">
        <v>44.259</v>
      </c>
      <c r="N16" s="1951">
        <v>43.691000000000003</v>
      </c>
      <c r="O16" s="1951">
        <v>44.118000000000002</v>
      </c>
      <c r="P16" s="1951">
        <v>45.951000000000001</v>
      </c>
      <c r="Q16" s="1951">
        <v>48.694000000000003</v>
      </c>
      <c r="R16" s="1951">
        <v>48.04</v>
      </c>
      <c r="S16" s="1951">
        <v>46.353999999999999</v>
      </c>
      <c r="T16" s="1951">
        <v>48.322000000000003</v>
      </c>
      <c r="U16" s="1951">
        <v>48.853000000000002</v>
      </c>
      <c r="V16" s="1951">
        <v>48.627000000000002</v>
      </c>
      <c r="W16" s="1951">
        <v>47.731999999999999</v>
      </c>
      <c r="X16" s="1951">
        <v>47.548000000000002</v>
      </c>
      <c r="Y16" s="1951">
        <v>48.542000000000002</v>
      </c>
      <c r="Z16" s="1951">
        <v>49.323999999999998</v>
      </c>
      <c r="AA16" s="1951">
        <v>49.692</v>
      </c>
      <c r="AB16" s="1951">
        <v>52.329000000000001</v>
      </c>
      <c r="AC16" s="1947">
        <v>51.55</v>
      </c>
      <c r="AD16" s="1944">
        <v>52.045000000000002</v>
      </c>
      <c r="AE16" s="1944">
        <v>51.734000000000002</v>
      </c>
      <c r="AF16" s="1944">
        <v>51.884</v>
      </c>
      <c r="AG16" s="1944">
        <v>52.762</v>
      </c>
      <c r="AH16" s="1944">
        <v>54.296999999999997</v>
      </c>
      <c r="AI16" s="1944">
        <v>54.890999999999998</v>
      </c>
      <c r="AJ16" s="1944">
        <v>54.314999999999998</v>
      </c>
      <c r="AK16" s="1944">
        <v>55.073</v>
      </c>
      <c r="AL16" s="1948">
        <v>55.978999999999999</v>
      </c>
      <c r="AM16" s="1944">
        <v>53.478000000000002</v>
      </c>
      <c r="AN16" s="1944">
        <v>53.539000000000001</v>
      </c>
      <c r="AO16" s="1944">
        <v>52.404000000000003</v>
      </c>
      <c r="AP16" s="1944">
        <v>53.588000000000001</v>
      </c>
      <c r="AQ16" s="1949">
        <v>53.716000000000001</v>
      </c>
      <c r="AR16" s="1944">
        <v>54.262999999999998</v>
      </c>
      <c r="AS16" s="1949">
        <v>52.902000000000001</v>
      </c>
      <c r="AT16" s="1948">
        <v>53.271999999999998</v>
      </c>
      <c r="AU16" s="1948">
        <v>54.683</v>
      </c>
      <c r="AV16" s="1944">
        <v>53.929000000000002</v>
      </c>
      <c r="AW16" s="1950">
        <v>54.22</v>
      </c>
      <c r="AX16" s="1949">
        <v>56.003</v>
      </c>
      <c r="AY16" s="1948">
        <v>58.566000000000003</v>
      </c>
      <c r="AZ16" s="1944">
        <v>57.018999999999998</v>
      </c>
      <c r="BA16" s="1949">
        <v>59.027999999999999</v>
      </c>
      <c r="BB16" s="1948">
        <v>62.463000000000001</v>
      </c>
      <c r="BC16" s="1944">
        <v>62.011000000000003</v>
      </c>
      <c r="BD16" s="1944">
        <v>63.615000000000002</v>
      </c>
      <c r="BE16" s="1949">
        <v>66.048000000000002</v>
      </c>
      <c r="BF16" s="1948">
        <v>66.947999999999993</v>
      </c>
      <c r="BG16" s="1948">
        <v>66.697999999999993</v>
      </c>
      <c r="BH16" s="1948">
        <v>65.614000000000004</v>
      </c>
      <c r="BI16" s="1948">
        <v>64.734999999999999</v>
      </c>
      <c r="BJ16" s="1948">
        <v>64.495999999999995</v>
      </c>
      <c r="BK16" s="1948">
        <v>62.920999999999999</v>
      </c>
      <c r="BL16" s="1948">
        <v>64.143000000000001</v>
      </c>
      <c r="BM16" s="1948">
        <v>64.445999999999998</v>
      </c>
      <c r="BN16" s="1944">
        <v>63.834200000000003</v>
      </c>
      <c r="BO16" s="1944">
        <v>62.857300000000002</v>
      </c>
      <c r="BP16" s="1944">
        <v>63.932000000000002</v>
      </c>
      <c r="BQ16" s="1944">
        <v>62.945999999999998</v>
      </c>
      <c r="BR16" s="1944">
        <v>57.971699999999998</v>
      </c>
      <c r="BS16" s="1944">
        <v>58.133299999999998</v>
      </c>
      <c r="BT16" s="1944">
        <v>55.6599</v>
      </c>
      <c r="BU16" s="1948">
        <v>53.235599999999998</v>
      </c>
      <c r="BV16" s="1948">
        <v>52.2166</v>
      </c>
      <c r="BW16" s="1948">
        <v>55.817300000000003</v>
      </c>
      <c r="BX16" s="1948">
        <v>55.3277</v>
      </c>
      <c r="BY16" s="1948">
        <v>53.9086</v>
      </c>
      <c r="BZ16" s="1944">
        <v>52.817399999999999</v>
      </c>
      <c r="CA16" s="1944">
        <v>52.112699999999997</v>
      </c>
      <c r="CB16" s="1944">
        <v>53.389299999999999</v>
      </c>
      <c r="CC16" s="1944">
        <v>50.124200000000002</v>
      </c>
      <c r="CD16" s="1944">
        <v>47.036299999999997</v>
      </c>
      <c r="CE16" s="1944">
        <v>47.578200000000002</v>
      </c>
      <c r="CF16" s="1944">
        <v>49.756799999999998</v>
      </c>
      <c r="CG16" s="1944">
        <v>48.8322</v>
      </c>
      <c r="CH16" s="1944">
        <v>50.966900000000003</v>
      </c>
      <c r="CI16" s="1944">
        <v>53.001100000000001</v>
      </c>
      <c r="CJ16" s="1944">
        <v>54.921500000000002</v>
      </c>
      <c r="CK16" s="1944">
        <v>54.136899999999997</v>
      </c>
      <c r="CL16" s="1944">
        <v>52.886899999999997</v>
      </c>
      <c r="CM16" s="1944">
        <v>50.505400000000002</v>
      </c>
      <c r="CN16" s="1944">
        <v>51.4604</v>
      </c>
      <c r="CO16" s="1944">
        <v>50.496299999999998</v>
      </c>
      <c r="CP16" s="1944">
        <v>49.55</v>
      </c>
      <c r="CQ16" s="1944">
        <v>48.587814802792302</v>
      </c>
      <c r="CR16" s="1944">
        <v>48.981586617321433</v>
      </c>
      <c r="CS16" s="1944">
        <v>48.966664830478564</v>
      </c>
      <c r="CT16" s="1944">
        <v>48.637702474021424</v>
      </c>
      <c r="CU16" s="1944">
        <v>48.625294256664276</v>
      </c>
      <c r="CV16" s="1944">
        <v>48.12643753362142</v>
      </c>
      <c r="CW16" s="1944">
        <v>48.370444436303565</v>
      </c>
      <c r="CX16" s="1944">
        <v>48.661779718099993</v>
      </c>
      <c r="CY16" s="1944">
        <v>47.340736482496425</v>
      </c>
      <c r="CZ16" s="1944">
        <v>47.190617604623206</v>
      </c>
      <c r="DA16" s="1944">
        <v>47.380979298199989</v>
      </c>
      <c r="DB16" s="1944">
        <v>46.549084587582136</v>
      </c>
      <c r="DC16" s="1944">
        <v>46.872216986271432</v>
      </c>
      <c r="DD16" s="1944">
        <v>46.860547210771422</v>
      </c>
      <c r="DE16" s="1944">
        <v>46.209313203796412</v>
      </c>
      <c r="DF16" s="1944">
        <v>47.012618907300002</v>
      </c>
      <c r="DG16" s="1944">
        <v>46.467314002428566</v>
      </c>
      <c r="DH16" s="1944">
        <v>46.292920075242861</v>
      </c>
      <c r="DI16" s="1944">
        <v>46.765990060400007</v>
      </c>
      <c r="DJ16" s="1944">
        <v>46.955281256471423</v>
      </c>
      <c r="DK16" s="1944">
        <v>47.236627918985711</v>
      </c>
      <c r="DL16" s="1944">
        <v>48.2266464617</v>
      </c>
      <c r="DM16" s="1944">
        <v>47.181287631271424</v>
      </c>
      <c r="DN16" s="1944">
        <v>49.111795523014294</v>
      </c>
      <c r="DO16" s="1944">
        <v>49.63146250165714</v>
      </c>
      <c r="DP16" s="1944">
        <v>49.102599088457147</v>
      </c>
      <c r="DQ16" s="1944">
        <v>50.330642255371437</v>
      </c>
      <c r="DR16" s="1944">
        <v>50.629900554928568</v>
      </c>
      <c r="DS16" s="1944">
        <v>50.352595541100008</v>
      </c>
      <c r="DT16" s="1944">
        <v>50.113020677514285</v>
      </c>
      <c r="DU16" s="1944">
        <v>48.579095241225716</v>
      </c>
      <c r="DV16" s="1944">
        <v>47.207986411474288</v>
      </c>
      <c r="DW16" s="1944">
        <v>47.915250278286997</v>
      </c>
      <c r="DX16" s="1944">
        <v>48.583635174580913</v>
      </c>
      <c r="DY16" s="1944">
        <v>47.913722834848215</v>
      </c>
      <c r="DZ16" s="1944">
        <v>47.96572247854386</v>
      </c>
      <c r="EA16" s="1944">
        <v>47.653405013778219</v>
      </c>
      <c r="EB16" s="1944">
        <v>48.541106597875583</v>
      </c>
      <c r="EC16" s="1944">
        <v>50.168646486396469</v>
      </c>
      <c r="ED16" s="1944">
        <v>49.056532251360579</v>
      </c>
      <c r="EE16" s="1944">
        <v>50.342079243689867</v>
      </c>
      <c r="EF16" s="1944">
        <v>50.325583764873144</v>
      </c>
      <c r="EG16" s="1944">
        <v>50.72126809093561</v>
      </c>
      <c r="EH16" s="1944">
        <v>51.004097996633398</v>
      </c>
      <c r="EI16" s="1944">
        <v>50.735561352640353</v>
      </c>
      <c r="EJ16" s="1944">
        <v>51.252853766102774</v>
      </c>
      <c r="EK16" s="1944">
        <v>51.289893658692144</v>
      </c>
      <c r="EL16" s="1944">
        <v>52.172424024731058</v>
      </c>
      <c r="EM16" s="1944">
        <v>52.169690267036849</v>
      </c>
      <c r="EN16" s="1944">
        <v>51.626303118861593</v>
      </c>
      <c r="EO16" s="1944">
        <v>51.628338585041242</v>
      </c>
      <c r="EP16" s="1944">
        <v>50.772412170343372</v>
      </c>
      <c r="EQ16" s="1944">
        <v>50.118145790247247</v>
      </c>
      <c r="ER16" s="1944">
        <v>49.940272977390698</v>
      </c>
      <c r="ES16" s="1944">
        <v>49.93993427772142</v>
      </c>
      <c r="ET16" s="1944">
        <v>52.027201670143597</v>
      </c>
      <c r="EU16" s="1944">
        <v>54.543888858919495</v>
      </c>
      <c r="EV16" s="1944">
        <v>55.057200000000002</v>
      </c>
      <c r="EW16" s="1944">
        <v>55.000778571428569</v>
      </c>
      <c r="EX16" s="1944">
        <v>56.199135714285703</v>
      </c>
      <c r="EY16" s="1945">
        <v>56.227649999999997</v>
      </c>
    </row>
    <row r="17" spans="1:155" s="1897" customFormat="1" ht="21" customHeight="1">
      <c r="A17" s="1925" t="s">
        <v>137</v>
      </c>
      <c r="B17" s="1926">
        <v>26.338999999999999</v>
      </c>
      <c r="C17" s="1946">
        <v>27.518699999999999</v>
      </c>
      <c r="D17" s="1951">
        <v>28.536300000000001</v>
      </c>
      <c r="E17" s="1951">
        <v>29.829899999999999</v>
      </c>
      <c r="F17" s="1951">
        <v>29.496200000000002</v>
      </c>
      <c r="G17" s="1951">
        <v>29.462499999999999</v>
      </c>
      <c r="H17" s="1951">
        <v>29.4025</v>
      </c>
      <c r="I17" s="1951">
        <v>29.5045</v>
      </c>
      <c r="J17" s="1951">
        <v>29.545999999999999</v>
      </c>
      <c r="K17" s="1951">
        <v>30.859100000000002</v>
      </c>
      <c r="L17" s="1951">
        <v>30.937000000000001</v>
      </c>
      <c r="M17" s="1951">
        <v>30.142800000000001</v>
      </c>
      <c r="N17" s="1951">
        <v>30.0062</v>
      </c>
      <c r="O17" s="1951">
        <v>30.721</v>
      </c>
      <c r="P17" s="1951">
        <v>33.030999999999999</v>
      </c>
      <c r="Q17" s="1951">
        <v>33.676000000000002</v>
      </c>
      <c r="R17" s="1951">
        <v>33.713000000000001</v>
      </c>
      <c r="S17" s="1951">
        <v>31.965</v>
      </c>
      <c r="T17" s="1951">
        <v>33.642000000000003</v>
      </c>
      <c r="U17" s="1951">
        <v>33.475999999999999</v>
      </c>
      <c r="V17" s="1951">
        <v>33.796999999999997</v>
      </c>
      <c r="W17" s="1951">
        <v>33.689300000000003</v>
      </c>
      <c r="X17" s="1951">
        <v>32.340000000000003</v>
      </c>
      <c r="Y17" s="1951">
        <v>32.271000000000001</v>
      </c>
      <c r="Z17" s="1951">
        <v>32.844099999999997</v>
      </c>
      <c r="AA17" s="1951">
        <v>33.470300000000002</v>
      </c>
      <c r="AB17" s="1951">
        <v>34.741999999999997</v>
      </c>
      <c r="AC17" s="1947">
        <v>34.414999999999999</v>
      </c>
      <c r="AD17" s="1944">
        <v>34.444000000000003</v>
      </c>
      <c r="AE17" s="1944">
        <v>34.755000000000003</v>
      </c>
      <c r="AF17" s="1944">
        <v>35.546500000000002</v>
      </c>
      <c r="AG17" s="1944">
        <v>36.704000000000001</v>
      </c>
      <c r="AH17" s="1944">
        <v>38.103999999999999</v>
      </c>
      <c r="AI17" s="1944">
        <v>38.814</v>
      </c>
      <c r="AJ17" s="1944">
        <v>37.548999999999999</v>
      </c>
      <c r="AK17" s="1944">
        <v>37.868000000000002</v>
      </c>
      <c r="AL17" s="1948">
        <v>37.916200000000003</v>
      </c>
      <c r="AM17" s="1944">
        <v>36.561100000000003</v>
      </c>
      <c r="AN17" s="1944">
        <v>35.816800000000001</v>
      </c>
      <c r="AO17" s="1944">
        <v>36.225999999999999</v>
      </c>
      <c r="AP17" s="1944">
        <v>36.662199999999999</v>
      </c>
      <c r="AQ17" s="1949">
        <v>36.7258</v>
      </c>
      <c r="AR17" s="1944">
        <v>36.864400000000003</v>
      </c>
      <c r="AS17" s="1949">
        <v>36.273400000000002</v>
      </c>
      <c r="AT17" s="1948">
        <v>36.654299999999999</v>
      </c>
      <c r="AU17" s="1948">
        <v>37.408700000000003</v>
      </c>
      <c r="AV17" s="1944">
        <v>36.766199999999998</v>
      </c>
      <c r="AW17" s="1950">
        <v>37.799599999999998</v>
      </c>
      <c r="AX17" s="1949">
        <v>38.997700000000002</v>
      </c>
      <c r="AY17" s="1948">
        <v>40.0535</v>
      </c>
      <c r="AZ17" s="1944">
        <v>39.732999999999997</v>
      </c>
      <c r="BA17" s="1949">
        <v>40.588200000000001</v>
      </c>
      <c r="BB17" s="1948">
        <v>42.280900000000003</v>
      </c>
      <c r="BC17" s="1944">
        <v>42.276699999999998</v>
      </c>
      <c r="BD17" s="1944">
        <v>42.838099999999997</v>
      </c>
      <c r="BE17" s="1949">
        <v>44.976599999999998</v>
      </c>
      <c r="BF17" s="1948">
        <v>45.2014</v>
      </c>
      <c r="BG17" s="1948">
        <v>44.018900000000002</v>
      </c>
      <c r="BH17" s="1948">
        <v>44.060600000000001</v>
      </c>
      <c r="BI17" s="1948">
        <v>43.934800000000003</v>
      </c>
      <c r="BJ17" s="1948">
        <v>44.017800000000001</v>
      </c>
      <c r="BK17" s="1948">
        <v>42.677900000000001</v>
      </c>
      <c r="BL17" s="1948">
        <v>43.055100000000003</v>
      </c>
      <c r="BM17" s="1948">
        <v>43.5075</v>
      </c>
      <c r="BN17" s="1944">
        <v>43.31</v>
      </c>
      <c r="BO17" s="1944">
        <v>44.014000000000003</v>
      </c>
      <c r="BP17" s="1944">
        <v>44.644500000000001</v>
      </c>
      <c r="BQ17" s="1944">
        <v>44.981000000000002</v>
      </c>
      <c r="BR17" s="1944">
        <v>42.744599999999998</v>
      </c>
      <c r="BS17" s="1944">
        <v>43.457900000000002</v>
      </c>
      <c r="BT17" s="1944">
        <v>42.442700000000002</v>
      </c>
      <c r="BU17" s="1948">
        <v>42.131100000000004</v>
      </c>
      <c r="BV17" s="1948">
        <v>41.3</v>
      </c>
      <c r="BW17" s="1948">
        <v>43.816899999999997</v>
      </c>
      <c r="BX17" s="1948">
        <v>43.8369</v>
      </c>
      <c r="BY17" s="1948">
        <v>42.416699999999999</v>
      </c>
      <c r="BZ17" s="1944">
        <v>42.512700000000002</v>
      </c>
      <c r="CA17" s="1944">
        <v>41.542099999999998</v>
      </c>
      <c r="CB17" s="1944">
        <v>41.881700000000002</v>
      </c>
      <c r="CC17" s="1944">
        <v>42.017099999999999</v>
      </c>
      <c r="CD17" s="1944">
        <v>45.8855</v>
      </c>
      <c r="CE17" s="1944">
        <v>43.244900000000001</v>
      </c>
      <c r="CF17" s="1944">
        <v>44.335299999999997</v>
      </c>
      <c r="CG17" s="1944">
        <v>45.1967</v>
      </c>
      <c r="CH17" s="1944">
        <v>45.727699999999999</v>
      </c>
      <c r="CI17" s="1944">
        <v>46.409599999999998</v>
      </c>
      <c r="CJ17" s="1944">
        <v>46.553400000000003</v>
      </c>
      <c r="CK17" s="1944">
        <v>46.226500000000001</v>
      </c>
      <c r="CL17" s="1944">
        <v>46.473300000000002</v>
      </c>
      <c r="CM17" s="1944">
        <v>46.006399999999999</v>
      </c>
      <c r="CN17" s="1944">
        <v>46.085799999999999</v>
      </c>
      <c r="CO17" s="1944">
        <v>45.865099999999998</v>
      </c>
      <c r="CP17" s="1944">
        <v>42.158999999999999</v>
      </c>
      <c r="CQ17" s="1944">
        <v>40.622972605876917</v>
      </c>
      <c r="CR17" s="1944">
        <v>40.087579830928568</v>
      </c>
      <c r="CS17" s="1944">
        <v>41.991412514764285</v>
      </c>
      <c r="CT17" s="1944">
        <v>42.374601034849995</v>
      </c>
      <c r="CU17" s="1944">
        <v>40.968014155464289</v>
      </c>
      <c r="CV17" s="1944">
        <v>41.46114882847143</v>
      </c>
      <c r="CW17" s="1944">
        <v>41.505838961249992</v>
      </c>
      <c r="CX17" s="1944">
        <v>41.59055171262856</v>
      </c>
      <c r="CY17" s="1944">
        <v>41.591498532192865</v>
      </c>
      <c r="CZ17" s="1944">
        <v>41.958064683475712</v>
      </c>
      <c r="DA17" s="1944">
        <v>41.162790416385725</v>
      </c>
      <c r="DB17" s="1944">
        <v>41.929360814999995</v>
      </c>
      <c r="DC17" s="1944">
        <v>41.108748995942854</v>
      </c>
      <c r="DD17" s="1944">
        <v>41.469267576242849</v>
      </c>
      <c r="DE17" s="1944">
        <v>40.051926928689284</v>
      </c>
      <c r="DF17" s="1944">
        <v>41.231816091221425</v>
      </c>
      <c r="DG17" s="1944">
        <v>39.73811034642857</v>
      </c>
      <c r="DH17" s="1944">
        <v>38.891305696657142</v>
      </c>
      <c r="DI17" s="1944">
        <v>39.216950931907142</v>
      </c>
      <c r="DJ17" s="1944">
        <v>39.755935543153569</v>
      </c>
      <c r="DK17" s="1944">
        <v>39.49447556677142</v>
      </c>
      <c r="DL17" s="1944">
        <v>39.25653294364286</v>
      </c>
      <c r="DM17" s="1944">
        <v>37.778190084602144</v>
      </c>
      <c r="DN17" s="1944">
        <v>39.623347659744645</v>
      </c>
      <c r="DO17" s="1944">
        <v>38.805086212804284</v>
      </c>
      <c r="DP17" s="1944">
        <v>38.929039212390009</v>
      </c>
      <c r="DQ17" s="1944">
        <v>40.039116003607141</v>
      </c>
      <c r="DR17" s="1944">
        <v>40.815382433249987</v>
      </c>
      <c r="DS17" s="1944">
        <v>40.787190317571422</v>
      </c>
      <c r="DT17" s="1944">
        <v>40.959065943753714</v>
      </c>
      <c r="DU17" s="1944">
        <v>41.667635898698862</v>
      </c>
      <c r="DV17" s="1944">
        <v>40.910784850588001</v>
      </c>
      <c r="DW17" s="1944">
        <v>40.417067676165935</v>
      </c>
      <c r="DX17" s="1944">
        <v>41.063542470582533</v>
      </c>
      <c r="DY17" s="1944">
        <v>41.032046511723209</v>
      </c>
      <c r="DZ17" s="1944">
        <v>41.014782706131861</v>
      </c>
      <c r="EA17" s="1944">
        <v>41.482777248362858</v>
      </c>
      <c r="EB17" s="1944">
        <v>41.468139454924597</v>
      </c>
      <c r="EC17" s="1944">
        <v>41.91562775355758</v>
      </c>
      <c r="ED17" s="1944">
        <v>41.98481148966755</v>
      </c>
      <c r="EE17" s="1944">
        <v>41.871151829096327</v>
      </c>
      <c r="EF17" s="1944">
        <v>42.109469035381949</v>
      </c>
      <c r="EG17" s="1944">
        <v>41.79894451240056</v>
      </c>
      <c r="EH17" s="1944">
        <v>41.888804510271434</v>
      </c>
      <c r="EI17" s="1944">
        <v>41.992796924623619</v>
      </c>
      <c r="EJ17" s="1944">
        <v>42.073712382800309</v>
      </c>
      <c r="EK17" s="1944">
        <v>41.690934236403209</v>
      </c>
      <c r="EL17" s="1944">
        <v>41.808072754420678</v>
      </c>
      <c r="EM17" s="1944">
        <v>41.30187515609429</v>
      </c>
      <c r="EN17" s="1944">
        <v>41.052703753629608</v>
      </c>
      <c r="EO17" s="1944">
        <v>40.313736930036661</v>
      </c>
      <c r="EP17" s="1944">
        <v>40.003648085912339</v>
      </c>
      <c r="EQ17" s="1944">
        <v>39.71930690080422</v>
      </c>
      <c r="ER17" s="1944">
        <v>39.017671124151313</v>
      </c>
      <c r="ES17" s="1944">
        <v>37.517692214466059</v>
      </c>
      <c r="ET17" s="1944">
        <v>37.78567505676876</v>
      </c>
      <c r="EU17" s="1944">
        <v>39.846689167127863</v>
      </c>
      <c r="EV17" s="1944">
        <v>39.6736</v>
      </c>
      <c r="EW17" s="1944">
        <v>39.295942857142855</v>
      </c>
      <c r="EX17" s="1944">
        <v>39.986150000000002</v>
      </c>
      <c r="EY17" s="1945">
        <v>39.430678571428601</v>
      </c>
    </row>
    <row r="18" spans="1:155" ht="9.75" customHeight="1" thickBot="1">
      <c r="A18" s="1954"/>
      <c r="B18" s="1955"/>
      <c r="C18" s="1956"/>
      <c r="D18" s="1957"/>
      <c r="E18" s="1957"/>
      <c r="F18" s="1957"/>
      <c r="G18" s="1957"/>
      <c r="H18" s="1957"/>
      <c r="I18" s="1957"/>
      <c r="J18" s="1957"/>
      <c r="K18" s="1957"/>
      <c r="L18" s="1957"/>
      <c r="M18" s="1957"/>
      <c r="N18" s="1957"/>
      <c r="O18" s="1957"/>
      <c r="P18" s="1957"/>
      <c r="Q18" s="1957"/>
      <c r="R18" s="1957"/>
      <c r="S18" s="1957"/>
      <c r="T18" s="1957"/>
      <c r="U18" s="1957"/>
      <c r="V18" s="1957"/>
      <c r="W18" s="1957"/>
      <c r="X18" s="1957"/>
      <c r="Y18" s="1957"/>
      <c r="Z18" s="1957"/>
      <c r="AA18" s="1957"/>
      <c r="AB18" s="1957"/>
      <c r="AC18" s="1958"/>
      <c r="AD18" s="1959"/>
      <c r="AE18" s="1959"/>
      <c r="AF18" s="1959"/>
      <c r="AG18" s="1959"/>
      <c r="AH18" s="1959"/>
      <c r="AI18" s="1959"/>
      <c r="AJ18" s="1959"/>
      <c r="AK18" s="1959"/>
      <c r="AL18" s="1960"/>
      <c r="AM18" s="1959"/>
      <c r="AN18" s="1959"/>
      <c r="AO18" s="1959"/>
      <c r="AP18" s="1959"/>
      <c r="AQ18" s="1961"/>
      <c r="AR18" s="1959"/>
      <c r="AS18" s="1961"/>
      <c r="AT18" s="1960"/>
      <c r="AU18" s="1962"/>
      <c r="AV18" s="1963"/>
      <c r="AW18" s="1964"/>
      <c r="AX18" s="1965"/>
      <c r="AY18" s="1962"/>
      <c r="AZ18" s="1963"/>
      <c r="BA18" s="1965"/>
      <c r="BB18" s="1962"/>
      <c r="BC18" s="1963"/>
      <c r="BD18" s="1963"/>
      <c r="BE18" s="1965"/>
      <c r="BF18" s="1962"/>
      <c r="BG18" s="1962"/>
      <c r="BH18" s="1962"/>
      <c r="BI18" s="1962"/>
      <c r="BJ18" s="1962"/>
      <c r="BK18" s="1962"/>
      <c r="BL18" s="1962"/>
      <c r="BM18" s="1960"/>
      <c r="BN18" s="1959"/>
      <c r="BO18" s="1959"/>
      <c r="BP18" s="1959"/>
      <c r="BQ18" s="1959"/>
      <c r="BR18" s="1959"/>
      <c r="BS18" s="1959"/>
      <c r="BT18" s="1959"/>
      <c r="BU18" s="1960"/>
      <c r="BV18" s="1960"/>
      <c r="BW18" s="1960"/>
      <c r="BX18" s="1960"/>
      <c r="BY18" s="1960"/>
      <c r="BZ18" s="1959"/>
      <c r="CA18" s="1959"/>
      <c r="CB18" s="1959"/>
      <c r="CC18" s="1959"/>
      <c r="CD18" s="1959"/>
      <c r="CE18" s="1959"/>
      <c r="CF18" s="1959"/>
      <c r="CG18" s="1959"/>
      <c r="CH18" s="1959"/>
      <c r="CI18" s="1961"/>
      <c r="CJ18" s="1959"/>
      <c r="CK18" s="1959"/>
      <c r="CL18" s="1959"/>
      <c r="CM18" s="1959"/>
      <c r="CN18" s="1959"/>
      <c r="CO18" s="1959"/>
      <c r="CP18" s="1959"/>
      <c r="CQ18" s="1959"/>
      <c r="CR18" s="1959"/>
      <c r="CS18" s="1959"/>
      <c r="CT18" s="1959"/>
      <c r="CU18" s="1959"/>
      <c r="CV18" s="1959"/>
      <c r="CW18" s="1959"/>
      <c r="CX18" s="1959"/>
      <c r="CY18" s="1959"/>
      <c r="CZ18" s="1959"/>
      <c r="DA18" s="1959"/>
      <c r="DB18" s="1959"/>
      <c r="DC18" s="1959"/>
      <c r="DD18" s="1959"/>
      <c r="DE18" s="1959"/>
      <c r="DF18" s="1959"/>
      <c r="DG18" s="1959"/>
      <c r="DH18" s="1959"/>
      <c r="DI18" s="1959"/>
      <c r="DJ18" s="1959"/>
      <c r="DK18" s="1959"/>
      <c r="DL18" s="1959"/>
      <c r="DM18" s="1959"/>
      <c r="DN18" s="1959"/>
      <c r="DO18" s="1959"/>
      <c r="DP18" s="1959"/>
      <c r="DQ18" s="1959"/>
      <c r="DR18" s="1959"/>
      <c r="DS18" s="1959"/>
      <c r="DT18" s="1959"/>
      <c r="DU18" s="1959"/>
      <c r="DV18" s="1959"/>
      <c r="DW18" s="1959"/>
      <c r="DX18" s="1959"/>
      <c r="DY18" s="1959"/>
      <c r="DZ18" s="1959"/>
      <c r="EA18" s="1959"/>
      <c r="EB18" s="1959"/>
      <c r="EC18" s="1959"/>
      <c r="ED18" s="1959"/>
      <c r="EE18" s="1959"/>
      <c r="EF18" s="1959"/>
      <c r="EG18" s="1959"/>
      <c r="EH18" s="1959"/>
      <c r="EI18" s="1959"/>
      <c r="EJ18" s="1959"/>
      <c r="EK18" s="1959"/>
      <c r="EL18" s="1959"/>
      <c r="EM18" s="1959"/>
      <c r="EN18" s="1959"/>
      <c r="EO18" s="1959"/>
      <c r="EP18" s="1959"/>
      <c r="EQ18" s="1959"/>
      <c r="ER18" s="1959"/>
      <c r="ES18" s="1959"/>
      <c r="ET18" s="1959"/>
      <c r="EU18" s="1959"/>
      <c r="EV18" s="1959"/>
      <c r="EW18" s="1959"/>
      <c r="EX18" s="1959"/>
      <c r="EY18" s="1966"/>
    </row>
    <row r="19" spans="1:155" ht="24">
      <c r="A19" s="1967" t="s">
        <v>3416</v>
      </c>
      <c r="B19" s="1968"/>
      <c r="C19" s="1969"/>
      <c r="D19" s="1969"/>
      <c r="E19" s="1969"/>
      <c r="F19" s="1969"/>
      <c r="G19" s="1969"/>
      <c r="H19" s="1969"/>
      <c r="I19" s="1969"/>
      <c r="J19" s="1969"/>
      <c r="K19" s="1969"/>
      <c r="L19" s="1969"/>
      <c r="M19" s="1969"/>
      <c r="N19" s="1969"/>
      <c r="O19" s="1969"/>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69"/>
      <c r="AN19" s="1969"/>
      <c r="AO19" s="1969"/>
      <c r="AP19" s="1969"/>
      <c r="AQ19" s="1969"/>
      <c r="AR19" s="1969"/>
      <c r="AS19" s="1969"/>
      <c r="AT19" s="1969"/>
      <c r="AU19" s="1969"/>
      <c r="AV19" s="1969"/>
      <c r="AW19" s="1969"/>
      <c r="AX19" s="1969"/>
      <c r="AY19" s="1969"/>
      <c r="AZ19" s="1969"/>
      <c r="BA19" s="1969"/>
      <c r="BB19" s="1969"/>
      <c r="BC19" s="1969"/>
      <c r="BD19" s="1969"/>
      <c r="BE19" s="1969"/>
      <c r="BF19" s="1969"/>
      <c r="BG19" s="1969"/>
      <c r="BH19" s="1969"/>
      <c r="BI19" s="1969"/>
      <c r="BJ19" s="1969"/>
      <c r="BK19" s="1969"/>
      <c r="BL19" s="1969"/>
      <c r="BM19" s="1969"/>
      <c r="BN19" s="1969"/>
      <c r="BO19" s="1969"/>
      <c r="BP19" s="1969"/>
      <c r="BQ19" s="1969"/>
      <c r="BR19" s="1969"/>
      <c r="BS19" s="1969"/>
      <c r="BT19" s="1969"/>
      <c r="BU19" s="1969"/>
      <c r="BV19" s="1969"/>
      <c r="BW19" s="1969"/>
      <c r="BX19" s="1969"/>
      <c r="BY19" s="1969"/>
      <c r="BZ19" s="1969"/>
      <c r="CA19" s="1969"/>
      <c r="CB19" s="1969"/>
      <c r="CC19" s="1969"/>
      <c r="CD19" s="1969"/>
      <c r="CE19" s="1969"/>
      <c r="CF19" s="1969"/>
      <c r="CG19" s="1969"/>
      <c r="CH19" s="1969"/>
      <c r="CI19" s="1969"/>
      <c r="CJ19" s="1969"/>
      <c r="CK19" s="1969"/>
      <c r="CL19" s="1969"/>
      <c r="CM19" s="1969"/>
      <c r="CN19" s="1969"/>
      <c r="CO19" s="1969"/>
      <c r="CP19" s="1969"/>
      <c r="CQ19" s="1969"/>
      <c r="CR19" s="1969"/>
      <c r="CS19" s="1969"/>
      <c r="CT19" s="1969"/>
      <c r="CU19" s="1969"/>
      <c r="CV19" s="1969"/>
      <c r="CW19" s="1969"/>
      <c r="CX19" s="1969"/>
      <c r="CY19" s="1969"/>
      <c r="CZ19" s="1969"/>
      <c r="DA19" s="1969"/>
      <c r="DB19" s="1969"/>
      <c r="DC19" s="1969"/>
      <c r="DD19" s="1969"/>
      <c r="DE19" s="1969"/>
      <c r="DF19" s="1969"/>
      <c r="DG19" s="1969"/>
      <c r="DH19" s="1969"/>
      <c r="DI19" s="1969"/>
      <c r="DJ19" s="1969"/>
      <c r="DK19" s="1969"/>
      <c r="DL19" s="1969"/>
      <c r="DM19" s="1969"/>
      <c r="DN19" s="1969"/>
      <c r="DO19" s="1969"/>
      <c r="DP19" s="1969"/>
      <c r="DQ19" s="1969"/>
      <c r="DR19" s="1969"/>
      <c r="DS19" s="1969"/>
      <c r="DT19" s="1969"/>
      <c r="DU19" s="1969"/>
      <c r="DV19" s="1969"/>
      <c r="DW19" s="1969"/>
      <c r="DX19" s="1969"/>
      <c r="DY19" s="1971"/>
      <c r="DZ19" s="1971"/>
      <c r="EA19" s="1971"/>
      <c r="EB19" s="1972"/>
      <c r="EC19" s="1972"/>
      <c r="ED19" s="1973"/>
      <c r="EE19" s="1974"/>
      <c r="EF19" s="1974"/>
      <c r="EG19" s="1974"/>
      <c r="EH19" s="1974"/>
    </row>
    <row r="20" spans="1:155" ht="15.75">
      <c r="A20" s="1975" t="s">
        <v>2704</v>
      </c>
      <c r="B20" s="1976"/>
      <c r="C20" s="1977"/>
      <c r="D20" s="1977"/>
      <c r="E20" s="1977"/>
      <c r="F20" s="1977"/>
      <c r="G20" s="1977"/>
      <c r="H20" s="1977"/>
      <c r="I20" s="1977"/>
      <c r="J20" s="1977"/>
      <c r="K20" s="1977"/>
      <c r="L20" s="1977"/>
      <c r="M20" s="1977"/>
      <c r="N20" s="1977"/>
      <c r="O20" s="1977"/>
      <c r="P20" s="1977"/>
      <c r="Q20" s="1977"/>
      <c r="R20" s="1977"/>
      <c r="S20" s="1977"/>
      <c r="T20" s="1977"/>
      <c r="U20" s="1977"/>
      <c r="V20" s="1977"/>
      <c r="W20" s="1977"/>
      <c r="X20" s="1977"/>
      <c r="Y20" s="1977"/>
      <c r="Z20" s="1977"/>
      <c r="AA20" s="1977"/>
      <c r="AB20" s="1977"/>
      <c r="AC20" s="1977"/>
      <c r="AD20" s="1977"/>
      <c r="AE20" s="1977"/>
      <c r="AF20" s="1977"/>
      <c r="AG20" s="1977"/>
      <c r="AH20" s="1977"/>
      <c r="AI20" s="1977"/>
      <c r="AJ20" s="1977"/>
      <c r="AK20" s="1977"/>
      <c r="AL20" s="1977"/>
      <c r="AM20" s="1977"/>
      <c r="AN20" s="1977"/>
      <c r="AO20" s="1977"/>
      <c r="AP20" s="1977"/>
      <c r="AQ20" s="1977"/>
      <c r="AR20" s="1977"/>
      <c r="AS20" s="1977"/>
      <c r="AT20" s="1977"/>
      <c r="AU20" s="1977"/>
      <c r="AV20" s="1977"/>
      <c r="AW20" s="1977"/>
      <c r="AX20" s="1977"/>
      <c r="AY20" s="1977"/>
      <c r="AZ20" s="1977"/>
      <c r="BA20" s="1977"/>
      <c r="BB20" s="1977"/>
      <c r="BC20" s="1977"/>
      <c r="BD20" s="1977"/>
      <c r="BE20" s="1977"/>
      <c r="BF20" s="1977"/>
      <c r="BG20" s="1977"/>
      <c r="BH20" s="1977"/>
      <c r="BI20" s="1977"/>
      <c r="BJ20" s="1977"/>
      <c r="BK20" s="1977"/>
      <c r="BL20" s="1977"/>
      <c r="BM20" s="1977"/>
      <c r="BN20" s="1977"/>
      <c r="BO20" s="1977"/>
      <c r="BP20" s="1977"/>
      <c r="BQ20" s="1977"/>
      <c r="BR20" s="1977"/>
      <c r="BS20" s="1977"/>
      <c r="BT20" s="1977"/>
      <c r="BU20" s="1977"/>
      <c r="BV20" s="1977"/>
      <c r="BW20" s="1977"/>
      <c r="BX20" s="1977"/>
      <c r="BY20" s="1977"/>
      <c r="BZ20" s="1977"/>
      <c r="CA20" s="1977"/>
      <c r="CB20" s="1977"/>
      <c r="CC20" s="1977"/>
      <c r="CD20" s="1977"/>
      <c r="CE20" s="1977"/>
      <c r="CF20" s="1977"/>
      <c r="CG20" s="1977"/>
      <c r="CH20" s="1977"/>
      <c r="CI20" s="1977"/>
      <c r="CJ20" s="1977"/>
      <c r="CK20" s="1977"/>
      <c r="CL20" s="1977"/>
      <c r="CM20" s="1977"/>
      <c r="CN20" s="1977"/>
      <c r="CO20" s="1977"/>
      <c r="CP20" s="1977"/>
      <c r="CQ20" s="1977"/>
      <c r="CR20" s="1977"/>
      <c r="CS20" s="1977"/>
      <c r="CT20" s="1977"/>
      <c r="CU20" s="1977"/>
      <c r="CV20" s="1977"/>
      <c r="CW20" s="1977"/>
      <c r="CX20" s="1977"/>
      <c r="CY20" s="1977"/>
      <c r="CZ20" s="1977"/>
      <c r="DA20" s="1977"/>
      <c r="DB20" s="1977"/>
      <c r="DC20" s="1977"/>
      <c r="DD20" s="1977"/>
      <c r="DE20" s="1977"/>
      <c r="DF20" s="1977"/>
      <c r="DG20" s="1977"/>
      <c r="DH20" s="1977"/>
      <c r="DI20" s="1977"/>
      <c r="DJ20" s="1977"/>
      <c r="DK20" s="1977"/>
      <c r="DL20" s="1977"/>
      <c r="DM20" s="1977"/>
      <c r="DN20" s="1977"/>
      <c r="DO20" s="1977"/>
      <c r="DP20" s="1977"/>
      <c r="DQ20" s="1977"/>
      <c r="DR20" s="1977"/>
      <c r="DS20" s="1977"/>
      <c r="DT20" s="1977"/>
      <c r="DU20" s="1977"/>
      <c r="DV20" s="1977"/>
      <c r="DW20" s="1977"/>
      <c r="DX20" s="1977"/>
      <c r="DY20" s="1972"/>
      <c r="DZ20" s="1972"/>
      <c r="EA20" s="1972"/>
      <c r="EB20" s="1972"/>
      <c r="EC20" s="1972"/>
      <c r="ED20" s="1973"/>
      <c r="EE20" s="1974"/>
      <c r="EF20" s="1974"/>
      <c r="EG20" s="1974"/>
      <c r="EH20" s="1974"/>
    </row>
    <row r="21" spans="1:155">
      <c r="A21" s="1978"/>
      <c r="B21" s="1979"/>
      <c r="C21" s="1974"/>
      <c r="D21" s="1974"/>
      <c r="E21" s="1974"/>
      <c r="F21" s="1974"/>
      <c r="G21" s="1974"/>
      <c r="H21" s="1979"/>
      <c r="I21" s="1979"/>
      <c r="J21" s="1974"/>
      <c r="K21" s="1974"/>
      <c r="L21" s="1974"/>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c r="AN21" s="1974"/>
      <c r="AO21" s="1974"/>
      <c r="AP21" s="1974"/>
      <c r="AQ21" s="1974"/>
      <c r="AR21" s="1974"/>
      <c r="AS21" s="1974"/>
      <c r="AT21" s="1974"/>
      <c r="AU21" s="1974"/>
      <c r="AV21" s="1974"/>
      <c r="AW21" s="1974"/>
      <c r="AX21" s="1974"/>
      <c r="AY21" s="1974"/>
      <c r="AZ21" s="1974"/>
      <c r="BA21" s="1974"/>
      <c r="BB21" s="1974"/>
      <c r="BC21" s="1974"/>
      <c r="BD21" s="1974"/>
      <c r="BE21" s="1974"/>
      <c r="BF21" s="1974"/>
      <c r="BG21" s="1974"/>
      <c r="BH21" s="1974"/>
      <c r="BI21" s="1974"/>
      <c r="BJ21" s="1974"/>
      <c r="BK21" s="1974"/>
      <c r="BL21" s="1974"/>
      <c r="BM21" s="1974"/>
      <c r="BN21" s="1974"/>
      <c r="BO21" s="1974"/>
      <c r="BP21" s="1974"/>
      <c r="BQ21" s="1974"/>
      <c r="BR21" s="1974"/>
      <c r="BS21" s="1974"/>
      <c r="BT21" s="1974"/>
      <c r="BU21" s="1974"/>
      <c r="BV21" s="1974"/>
      <c r="BW21" s="1974"/>
      <c r="BX21" s="1974"/>
      <c r="BY21" s="1974"/>
      <c r="BZ21" s="1974"/>
      <c r="CA21" s="1974"/>
      <c r="CB21" s="1974"/>
      <c r="CC21" s="1974"/>
      <c r="CD21" s="1974"/>
      <c r="CE21" s="1974"/>
      <c r="CF21" s="1974"/>
      <c r="CG21" s="1974"/>
      <c r="CH21" s="1974"/>
      <c r="CI21" s="1974"/>
      <c r="CJ21" s="1974"/>
      <c r="CK21" s="1974"/>
      <c r="CL21" s="1974"/>
      <c r="CM21" s="1974"/>
      <c r="CN21" s="1974"/>
      <c r="CO21" s="1974"/>
      <c r="CP21" s="1974"/>
      <c r="CQ21" s="1974"/>
      <c r="CR21" s="1974"/>
      <c r="CS21" s="1974"/>
      <c r="CT21" s="1974"/>
      <c r="CU21" s="1974"/>
      <c r="CV21" s="1974"/>
      <c r="CW21" s="1974"/>
      <c r="CX21" s="1974"/>
      <c r="CY21" s="1974"/>
      <c r="CZ21" s="1974"/>
      <c r="DA21" s="1974"/>
      <c r="DB21" s="1974"/>
      <c r="DC21" s="1974"/>
      <c r="DD21" s="1974"/>
      <c r="DE21" s="1974"/>
      <c r="DF21" s="1974"/>
      <c r="DG21" s="1974"/>
      <c r="DH21" s="1974"/>
      <c r="DI21" s="1974"/>
      <c r="DJ21" s="1974"/>
      <c r="DK21" s="1974"/>
      <c r="DL21" s="1974"/>
      <c r="DM21" s="1974"/>
      <c r="DN21" s="1974"/>
      <c r="DO21" s="1974"/>
      <c r="DP21" s="1974"/>
      <c r="DQ21" s="1974"/>
      <c r="DR21" s="1974"/>
      <c r="DS21" s="1974"/>
      <c r="DT21" s="1974"/>
      <c r="DU21" s="1974"/>
      <c r="DV21" s="1974"/>
      <c r="DW21" s="1974"/>
      <c r="DX21" s="1974"/>
      <c r="DY21" s="1974"/>
      <c r="DZ21" s="1974"/>
      <c r="EA21" s="1974"/>
      <c r="EB21" s="1974"/>
      <c r="EC21" s="1974"/>
      <c r="ED21" s="1974"/>
      <c r="EE21" s="1974"/>
      <c r="EF21" s="1974"/>
      <c r="EG21" s="1974"/>
      <c r="EH21" s="1974"/>
    </row>
    <row r="22" spans="1:155">
      <c r="A22" s="1980"/>
      <c r="B22" s="1897"/>
      <c r="H22" s="1897"/>
      <c r="I22" s="1897"/>
    </row>
    <row r="23" spans="1:155" s="1897" customFormat="1" ht="18.75">
      <c r="A23" s="1896" t="s">
        <v>3417</v>
      </c>
      <c r="B23" s="1898"/>
      <c r="C23" s="1898"/>
      <c r="D23" s="1898"/>
      <c r="E23" s="1898"/>
      <c r="F23" s="1898"/>
      <c r="G23" s="1898"/>
      <c r="H23" s="1898"/>
      <c r="I23" s="1898"/>
      <c r="J23" s="1898"/>
      <c r="K23" s="1898"/>
      <c r="L23" s="1898"/>
      <c r="M23" s="1898"/>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c r="AL23" s="1898"/>
    </row>
    <row r="24" spans="1:155" s="1897" customFormat="1" ht="15.75" thickBot="1">
      <c r="A24" s="1898"/>
      <c r="B24" s="1898"/>
      <c r="C24" s="1898"/>
      <c r="D24" s="1898"/>
      <c r="E24" s="1898"/>
      <c r="F24" s="1898"/>
      <c r="G24" s="1898"/>
      <c r="H24" s="1898"/>
      <c r="I24" s="1898"/>
      <c r="J24" s="1898"/>
      <c r="K24" s="1898"/>
      <c r="L24" s="1898"/>
      <c r="M24" s="1898"/>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c r="AL24" s="1898"/>
    </row>
    <row r="25" spans="1:155" s="1897" customFormat="1">
      <c r="A25" s="1900" t="s">
        <v>3403</v>
      </c>
      <c r="B25" s="1981">
        <v>37258</v>
      </c>
      <c r="C25" s="1982">
        <v>37289</v>
      </c>
      <c r="D25" s="1982">
        <v>37378</v>
      </c>
      <c r="E25" s="1982">
        <v>37409</v>
      </c>
      <c r="F25" s="1982">
        <v>37439</v>
      </c>
      <c r="G25" s="1982">
        <v>37470</v>
      </c>
      <c r="H25" s="1982">
        <v>37501</v>
      </c>
      <c r="I25" s="1982">
        <v>37531</v>
      </c>
      <c r="J25" s="1982">
        <v>37562</v>
      </c>
      <c r="K25" s="1982">
        <v>37592</v>
      </c>
      <c r="L25" s="1982">
        <v>37623</v>
      </c>
      <c r="M25" s="1982">
        <v>37654</v>
      </c>
      <c r="N25" s="1982">
        <v>37682</v>
      </c>
      <c r="O25" s="1982">
        <v>37713</v>
      </c>
      <c r="P25" s="1982">
        <v>37743</v>
      </c>
      <c r="Q25" s="1982">
        <v>37774</v>
      </c>
      <c r="R25" s="1982">
        <v>37804</v>
      </c>
      <c r="S25" s="1982">
        <v>37835</v>
      </c>
      <c r="T25" s="1982">
        <v>37866</v>
      </c>
      <c r="U25" s="1982">
        <v>37896</v>
      </c>
      <c r="V25" s="1982">
        <v>37927</v>
      </c>
      <c r="W25" s="1982">
        <v>37957</v>
      </c>
      <c r="X25" s="1983">
        <v>37988</v>
      </c>
      <c r="Y25" s="1911">
        <v>38019</v>
      </c>
      <c r="Z25" s="1984">
        <v>38048</v>
      </c>
      <c r="AA25" s="1911">
        <v>38079</v>
      </c>
      <c r="AB25" s="1984">
        <v>38109</v>
      </c>
      <c r="AC25" s="1911">
        <v>38140</v>
      </c>
      <c r="AD25" s="1984">
        <v>38170</v>
      </c>
      <c r="AE25" s="1911">
        <v>38201</v>
      </c>
      <c r="AF25" s="1984">
        <v>38232</v>
      </c>
      <c r="AG25" s="1911">
        <v>38262</v>
      </c>
      <c r="AH25" s="1984">
        <v>38293</v>
      </c>
      <c r="AI25" s="1911">
        <v>38323</v>
      </c>
      <c r="AJ25" s="1984">
        <v>38354</v>
      </c>
      <c r="AK25" s="1985">
        <v>38413</v>
      </c>
      <c r="AL25" s="1985">
        <v>38444</v>
      </c>
      <c r="AM25" s="1911">
        <v>38474</v>
      </c>
      <c r="AN25" s="1911">
        <v>38505</v>
      </c>
      <c r="AO25" s="1911">
        <v>38535</v>
      </c>
      <c r="AP25" s="1984">
        <v>38565</v>
      </c>
      <c r="AQ25" s="1911">
        <v>38596</v>
      </c>
      <c r="AR25" s="1911">
        <v>38626</v>
      </c>
      <c r="AS25" s="1984">
        <v>38657</v>
      </c>
      <c r="AT25" s="1985">
        <v>38687</v>
      </c>
      <c r="AU25" s="1985">
        <v>38718</v>
      </c>
      <c r="AV25" s="1911">
        <v>38749</v>
      </c>
      <c r="AW25" s="1911">
        <v>38777</v>
      </c>
      <c r="AX25" s="1984">
        <v>38808</v>
      </c>
      <c r="AY25" s="1985">
        <v>38838</v>
      </c>
      <c r="AZ25" s="1911">
        <v>38869</v>
      </c>
      <c r="BA25" s="1984">
        <v>38899</v>
      </c>
      <c r="BB25" s="1985">
        <v>38930</v>
      </c>
      <c r="BC25" s="1985">
        <v>38961</v>
      </c>
      <c r="BD25" s="1911">
        <v>38991</v>
      </c>
      <c r="BE25" s="1984">
        <v>39022</v>
      </c>
      <c r="BF25" s="1985">
        <v>39052</v>
      </c>
      <c r="BG25" s="1911">
        <v>39083</v>
      </c>
      <c r="BH25" s="1984">
        <v>39114</v>
      </c>
      <c r="BI25" s="1985">
        <v>39142</v>
      </c>
      <c r="BJ25" s="1985">
        <v>39173</v>
      </c>
      <c r="BK25" s="1985">
        <v>39203</v>
      </c>
      <c r="BL25" s="1985">
        <v>39234</v>
      </c>
      <c r="BM25" s="1985">
        <v>39264</v>
      </c>
      <c r="BN25" s="1911">
        <v>39295</v>
      </c>
      <c r="BO25" s="1911">
        <v>39326</v>
      </c>
      <c r="BP25" s="1911">
        <v>39356</v>
      </c>
      <c r="BQ25" s="1911">
        <v>39387</v>
      </c>
      <c r="BR25" s="1911">
        <v>39417</v>
      </c>
      <c r="BS25" s="1911">
        <v>39448</v>
      </c>
      <c r="BT25" s="1911">
        <v>39479</v>
      </c>
      <c r="BU25" s="1911">
        <v>39508</v>
      </c>
      <c r="BV25" s="1911">
        <v>39539</v>
      </c>
      <c r="BW25" s="1985">
        <v>39569</v>
      </c>
      <c r="BX25" s="1985">
        <v>39600</v>
      </c>
      <c r="BY25" s="1985">
        <v>39630</v>
      </c>
      <c r="BZ25" s="1911">
        <v>39661</v>
      </c>
      <c r="CA25" s="1911">
        <v>39692</v>
      </c>
      <c r="CB25" s="1911">
        <v>39722</v>
      </c>
      <c r="CC25" s="1911">
        <v>39753</v>
      </c>
      <c r="CD25" s="1911">
        <v>39783</v>
      </c>
      <c r="CE25" s="1911">
        <v>39814</v>
      </c>
      <c r="CF25" s="1911">
        <v>39845</v>
      </c>
      <c r="CG25" s="1911">
        <v>39873</v>
      </c>
      <c r="CH25" s="1911">
        <v>39904</v>
      </c>
      <c r="CI25" s="1912">
        <v>39934</v>
      </c>
      <c r="CJ25" s="1912">
        <v>39965</v>
      </c>
      <c r="CK25" s="1912">
        <v>39995</v>
      </c>
      <c r="CL25" s="1986">
        <v>40026</v>
      </c>
      <c r="CM25" s="1986">
        <v>40057</v>
      </c>
      <c r="CN25" s="1986">
        <v>40087</v>
      </c>
      <c r="CO25" s="1986">
        <v>40118</v>
      </c>
      <c r="CP25" s="1986">
        <v>40299</v>
      </c>
      <c r="CQ25" s="1986">
        <v>40360</v>
      </c>
      <c r="CR25" s="1986">
        <v>40391</v>
      </c>
      <c r="CS25" s="1986">
        <v>40422</v>
      </c>
      <c r="CT25" s="1986">
        <v>40452</v>
      </c>
      <c r="CU25" s="1986">
        <v>40483</v>
      </c>
      <c r="CV25" s="1986">
        <v>40513</v>
      </c>
      <c r="CW25" s="1986">
        <v>40544</v>
      </c>
      <c r="CX25" s="1986">
        <v>40575</v>
      </c>
      <c r="CY25" s="1986">
        <v>40603</v>
      </c>
      <c r="CZ25" s="1986">
        <v>40634</v>
      </c>
      <c r="DA25" s="1986">
        <v>40664</v>
      </c>
      <c r="DB25" s="1986">
        <v>40695</v>
      </c>
      <c r="DC25" s="1986">
        <v>40725</v>
      </c>
      <c r="DD25" s="1986">
        <v>40756</v>
      </c>
      <c r="DE25" s="1986">
        <v>40787</v>
      </c>
      <c r="DF25" s="1986">
        <f t="shared" ref="DF25:EY25" si="1">DF4</f>
        <v>40817</v>
      </c>
      <c r="DG25" s="1986">
        <f t="shared" si="1"/>
        <v>40848</v>
      </c>
      <c r="DH25" s="1986">
        <f t="shared" si="1"/>
        <v>40878</v>
      </c>
      <c r="DI25" s="1986">
        <f t="shared" si="1"/>
        <v>40909</v>
      </c>
      <c r="DJ25" s="1986">
        <f t="shared" si="1"/>
        <v>40940</v>
      </c>
      <c r="DK25" s="1986">
        <f t="shared" si="1"/>
        <v>40969</v>
      </c>
      <c r="DL25" s="1986">
        <f t="shared" si="1"/>
        <v>41000</v>
      </c>
      <c r="DM25" s="1986">
        <f t="shared" si="1"/>
        <v>41030</v>
      </c>
      <c r="DN25" s="1986">
        <f t="shared" si="1"/>
        <v>41061</v>
      </c>
      <c r="DO25" s="1986">
        <f t="shared" si="1"/>
        <v>41091</v>
      </c>
      <c r="DP25" s="1986">
        <f t="shared" si="1"/>
        <v>41122</v>
      </c>
      <c r="DQ25" s="1986">
        <f t="shared" si="1"/>
        <v>41153</v>
      </c>
      <c r="DR25" s="1983">
        <f t="shared" si="1"/>
        <v>41183</v>
      </c>
      <c r="DS25" s="1911">
        <f t="shared" si="1"/>
        <v>41214</v>
      </c>
      <c r="DT25" s="1911">
        <f t="shared" si="1"/>
        <v>41245</v>
      </c>
      <c r="DU25" s="1911">
        <f t="shared" si="1"/>
        <v>41276</v>
      </c>
      <c r="DV25" s="1911">
        <f t="shared" si="1"/>
        <v>41307</v>
      </c>
      <c r="DW25" s="1911">
        <f t="shared" si="1"/>
        <v>41338</v>
      </c>
      <c r="DX25" s="1911">
        <f t="shared" si="1"/>
        <v>41369</v>
      </c>
      <c r="DY25" s="1911">
        <f t="shared" si="1"/>
        <v>41400</v>
      </c>
      <c r="DZ25" s="1911">
        <f t="shared" si="1"/>
        <v>41431</v>
      </c>
      <c r="EA25" s="1911">
        <f t="shared" si="1"/>
        <v>41462</v>
      </c>
      <c r="EB25" s="1911">
        <f t="shared" si="1"/>
        <v>41493</v>
      </c>
      <c r="EC25" s="1911">
        <f t="shared" si="1"/>
        <v>41524</v>
      </c>
      <c r="ED25" s="1911">
        <f t="shared" si="1"/>
        <v>41555</v>
      </c>
      <c r="EE25" s="1911">
        <f t="shared" si="1"/>
        <v>41586</v>
      </c>
      <c r="EF25" s="1911">
        <f t="shared" si="1"/>
        <v>41617</v>
      </c>
      <c r="EG25" s="1911">
        <f t="shared" si="1"/>
        <v>41648</v>
      </c>
      <c r="EH25" s="1911">
        <f t="shared" si="1"/>
        <v>41679</v>
      </c>
      <c r="EI25" s="1911">
        <f t="shared" si="1"/>
        <v>41710</v>
      </c>
      <c r="EJ25" s="1911">
        <f t="shared" si="1"/>
        <v>41741</v>
      </c>
      <c r="EK25" s="1911">
        <f t="shared" si="1"/>
        <v>41772</v>
      </c>
      <c r="EL25" s="1911">
        <f t="shared" si="1"/>
        <v>41803</v>
      </c>
      <c r="EM25" s="1911">
        <f t="shared" si="1"/>
        <v>41834</v>
      </c>
      <c r="EN25" s="1911">
        <f t="shared" si="1"/>
        <v>41865</v>
      </c>
      <c r="EO25" s="1911">
        <f t="shared" si="1"/>
        <v>41896</v>
      </c>
      <c r="EP25" s="1911">
        <f t="shared" si="1"/>
        <v>41927</v>
      </c>
      <c r="EQ25" s="1911">
        <f t="shared" si="1"/>
        <v>41958</v>
      </c>
      <c r="ER25" s="1911">
        <f t="shared" si="1"/>
        <v>41989</v>
      </c>
      <c r="ES25" s="1911">
        <f t="shared" si="1"/>
        <v>42020</v>
      </c>
      <c r="ET25" s="1911">
        <f t="shared" si="1"/>
        <v>42051</v>
      </c>
      <c r="EU25" s="1911">
        <f t="shared" si="1"/>
        <v>42082</v>
      </c>
      <c r="EV25" s="1911">
        <f t="shared" si="1"/>
        <v>42113</v>
      </c>
      <c r="EW25" s="1911">
        <f t="shared" si="1"/>
        <v>42144</v>
      </c>
      <c r="EX25" s="1911">
        <f t="shared" si="1"/>
        <v>42175</v>
      </c>
      <c r="EY25" s="1912">
        <f t="shared" si="1"/>
        <v>42206</v>
      </c>
    </row>
    <row r="26" spans="1:155" s="1897" customFormat="1" ht="15.75" thickBot="1">
      <c r="A26" s="1987" t="s">
        <v>3404</v>
      </c>
      <c r="B26" s="1988"/>
      <c r="C26" s="1988"/>
      <c r="D26" s="1988"/>
      <c r="E26" s="1988"/>
      <c r="F26" s="1988"/>
      <c r="G26" s="1988"/>
      <c r="H26" s="1988"/>
      <c r="I26" s="1988"/>
      <c r="J26" s="1988"/>
      <c r="K26" s="1988"/>
      <c r="L26" s="1988"/>
      <c r="M26" s="1988"/>
      <c r="N26" s="1988"/>
      <c r="O26" s="1988"/>
      <c r="P26" s="1988"/>
      <c r="Q26" s="1988"/>
      <c r="R26" s="1988"/>
      <c r="S26" s="1988"/>
      <c r="T26" s="1988"/>
      <c r="U26" s="1988"/>
      <c r="V26" s="1988"/>
      <c r="W26" s="1988"/>
      <c r="X26" s="1989"/>
      <c r="Y26" s="1990"/>
      <c r="Z26" s="1989"/>
      <c r="AA26" s="1990"/>
      <c r="AB26" s="1989"/>
      <c r="AC26" s="1990"/>
      <c r="AD26" s="1989"/>
      <c r="AE26" s="1990"/>
      <c r="AF26" s="1989"/>
      <c r="AG26" s="1990"/>
      <c r="AH26" s="1989"/>
      <c r="AI26" s="1990"/>
      <c r="AJ26" s="1989"/>
      <c r="AK26" s="1991"/>
      <c r="AL26" s="1991"/>
      <c r="AM26" s="1990"/>
      <c r="AN26" s="1990"/>
      <c r="AO26" s="1990"/>
      <c r="AP26" s="1989"/>
      <c r="AQ26" s="1990"/>
      <c r="AR26" s="1990"/>
      <c r="AS26" s="1989"/>
      <c r="AT26" s="1991"/>
      <c r="AU26" s="1991"/>
      <c r="AV26" s="1990"/>
      <c r="AW26" s="1990"/>
      <c r="AX26" s="1989"/>
      <c r="AY26" s="1991"/>
      <c r="AZ26" s="1990"/>
      <c r="BA26" s="1989"/>
      <c r="BB26" s="1991"/>
      <c r="BC26" s="1991"/>
      <c r="BD26" s="1990"/>
      <c r="BE26" s="1989"/>
      <c r="BF26" s="1991"/>
      <c r="BG26" s="1990"/>
      <c r="BH26" s="1989"/>
      <c r="BI26" s="1991"/>
      <c r="BJ26" s="1991"/>
      <c r="BK26" s="1991"/>
      <c r="BL26" s="1991"/>
      <c r="BM26" s="1991"/>
      <c r="BN26" s="1990"/>
      <c r="BO26" s="1990"/>
      <c r="BP26" s="1990"/>
      <c r="BQ26" s="1990"/>
      <c r="BR26" s="1990"/>
      <c r="BS26" s="1990"/>
      <c r="BT26" s="1990"/>
      <c r="BU26" s="1990"/>
      <c r="BV26" s="1990"/>
      <c r="BW26" s="1991"/>
      <c r="BX26" s="1991"/>
      <c r="BY26" s="1991"/>
      <c r="BZ26" s="1990"/>
      <c r="CA26" s="1990"/>
      <c r="CB26" s="1990"/>
      <c r="CC26" s="1990"/>
      <c r="CD26" s="1990"/>
      <c r="CE26" s="1990"/>
      <c r="CF26" s="1990"/>
      <c r="CG26" s="1990"/>
      <c r="CH26" s="1990"/>
      <c r="CI26" s="1992"/>
      <c r="CJ26" s="1992"/>
      <c r="CK26" s="1992"/>
      <c r="CL26" s="1987"/>
      <c r="CM26" s="1987"/>
      <c r="CN26" s="1987"/>
      <c r="CO26" s="1987"/>
      <c r="CP26" s="1987"/>
      <c r="CQ26" s="1987"/>
      <c r="CR26" s="1987"/>
      <c r="CS26" s="1987"/>
      <c r="CT26" s="1987"/>
      <c r="CU26" s="1987"/>
      <c r="CV26" s="1987"/>
      <c r="CW26" s="1987"/>
      <c r="CX26" s="1987"/>
      <c r="CY26" s="1987"/>
      <c r="CZ26" s="1987"/>
      <c r="DA26" s="1987"/>
      <c r="DB26" s="1987"/>
      <c r="DC26" s="1987"/>
      <c r="DD26" s="1987"/>
      <c r="DE26" s="1987"/>
      <c r="DF26" s="1987"/>
      <c r="DG26" s="1987"/>
      <c r="DH26" s="1987"/>
      <c r="DI26" s="1987"/>
      <c r="DJ26" s="1987"/>
      <c r="DK26" s="1987"/>
      <c r="DL26" s="1987"/>
      <c r="DM26" s="1987"/>
      <c r="DN26" s="1987"/>
      <c r="DO26" s="1987"/>
      <c r="DP26" s="1987"/>
      <c r="DQ26" s="1987"/>
      <c r="DR26" s="1993"/>
      <c r="DS26" s="1990"/>
      <c r="DT26" s="1990"/>
      <c r="DU26" s="1990"/>
      <c r="DV26" s="1990"/>
      <c r="DW26" s="1990"/>
      <c r="DX26" s="1990"/>
      <c r="DY26" s="1990"/>
      <c r="DZ26" s="1990"/>
      <c r="EA26" s="1990"/>
      <c r="EB26" s="1990"/>
      <c r="EC26" s="1990"/>
      <c r="ED26" s="1990"/>
      <c r="EE26" s="1990"/>
      <c r="EF26" s="1990"/>
      <c r="EG26" s="1990"/>
      <c r="EH26" s="1990"/>
      <c r="EI26" s="1990"/>
      <c r="EJ26" s="1990"/>
      <c r="EK26" s="1990"/>
      <c r="EL26" s="1990"/>
      <c r="EM26" s="1990"/>
      <c r="EN26" s="1990"/>
      <c r="EO26" s="1990"/>
      <c r="EP26" s="1990"/>
      <c r="EQ26" s="1990"/>
      <c r="ER26" s="1990"/>
      <c r="ES26" s="1990"/>
      <c r="ET26" s="1990"/>
      <c r="EU26" s="1990"/>
      <c r="EV26" s="1990"/>
      <c r="EW26" s="1990"/>
      <c r="EX26" s="1990"/>
      <c r="EY26" s="1992"/>
    </row>
    <row r="27" spans="1:155" s="1897" customFormat="1" ht="21.75" customHeight="1">
      <c r="A27" s="1925" t="s">
        <v>3405</v>
      </c>
      <c r="B27" s="1994">
        <v>15.824999999999999</v>
      </c>
      <c r="C27" s="1994">
        <v>15.736000000000001</v>
      </c>
      <c r="D27" s="1994">
        <v>16.807727272727274</v>
      </c>
      <c r="E27" s="1994">
        <v>17.321000000000002</v>
      </c>
      <c r="F27" s="1994">
        <v>16.746521739130436</v>
      </c>
      <c r="G27" s="1994">
        <v>16.2985714285714</v>
      </c>
      <c r="H27" s="1994">
        <v>16.420500000000001</v>
      </c>
      <c r="I27" s="1994">
        <v>16.502600000000001</v>
      </c>
      <c r="J27" s="1994">
        <v>16.757999999999999</v>
      </c>
      <c r="K27" s="1994">
        <v>16.746500000000001</v>
      </c>
      <c r="L27" s="1994">
        <v>17.021000000000001</v>
      </c>
      <c r="M27" s="1994">
        <v>16.774999999999999</v>
      </c>
      <c r="N27" s="1994">
        <v>16.820499999999999</v>
      </c>
      <c r="O27" s="1994">
        <v>16.925000000000001</v>
      </c>
      <c r="P27" s="1994">
        <v>18.078099999999999</v>
      </c>
      <c r="Q27" s="1994">
        <v>19.045000000000002</v>
      </c>
      <c r="R27" s="1994">
        <v>19.766999999999999</v>
      </c>
      <c r="S27" s="1994">
        <v>19.231999999999999</v>
      </c>
      <c r="T27" s="1994">
        <v>19.481000000000002</v>
      </c>
      <c r="U27" s="1994">
        <v>20.094999999999999</v>
      </c>
      <c r="V27" s="1994">
        <v>20.541</v>
      </c>
      <c r="W27" s="1994">
        <v>20.177</v>
      </c>
      <c r="X27" s="1995">
        <v>20.393000000000001</v>
      </c>
      <c r="Y27" s="1931">
        <v>20.273</v>
      </c>
      <c r="Z27" s="1995">
        <v>19.875</v>
      </c>
      <c r="AA27" s="1931">
        <v>20.445</v>
      </c>
      <c r="AB27" s="1995">
        <v>19.911999999999999</v>
      </c>
      <c r="AC27" s="1931">
        <v>19.760000000000002</v>
      </c>
      <c r="AD27" s="1995">
        <v>20.459</v>
      </c>
      <c r="AE27" s="1931">
        <v>20.385999999999999</v>
      </c>
      <c r="AF27" s="1995">
        <v>20.271999999999998</v>
      </c>
      <c r="AG27" s="1931">
        <v>21.173999999999999</v>
      </c>
      <c r="AH27" s="1995">
        <v>22.21</v>
      </c>
      <c r="AI27" s="1931">
        <v>22.016999999999999</v>
      </c>
      <c r="AJ27" s="1995">
        <v>21.998999999999999</v>
      </c>
      <c r="AK27" s="1933">
        <v>22.949000000000002</v>
      </c>
      <c r="AL27" s="1933">
        <v>22.725000000000001</v>
      </c>
      <c r="AM27" s="1929">
        <v>22.585999999999999</v>
      </c>
      <c r="AN27" s="1996">
        <v>22.712700000000002</v>
      </c>
      <c r="AO27" s="1935">
        <v>22.446000000000002</v>
      </c>
      <c r="AP27" s="1997">
        <v>22.8643</v>
      </c>
      <c r="AQ27" s="1944">
        <v>23.132400000000001</v>
      </c>
      <c r="AR27" s="1949">
        <v>23.1129</v>
      </c>
      <c r="AS27" s="1996">
        <v>22.605799999999999</v>
      </c>
      <c r="AT27" s="1996">
        <v>22.9314</v>
      </c>
      <c r="AU27" s="1996">
        <v>23.199000000000002</v>
      </c>
      <c r="AV27" s="1935">
        <v>22.966000000000001</v>
      </c>
      <c r="AW27" s="1935">
        <v>22.6386</v>
      </c>
      <c r="AX27" s="1997">
        <v>22.902999999999999</v>
      </c>
      <c r="AY27" s="1996">
        <v>23.784500000000001</v>
      </c>
      <c r="AZ27" s="1935">
        <v>23.0745</v>
      </c>
      <c r="BA27" s="1997">
        <v>23.6295</v>
      </c>
      <c r="BB27" s="1996">
        <v>24.693300000000001</v>
      </c>
      <c r="BC27" s="1948">
        <v>24.946200000000001</v>
      </c>
      <c r="BD27" s="1944">
        <v>25.091899999999999</v>
      </c>
      <c r="BE27" s="1949">
        <v>26.064</v>
      </c>
      <c r="BF27" s="1948">
        <v>26.707999999999998</v>
      </c>
      <c r="BG27" s="1929">
        <v>26.759499999999999</v>
      </c>
      <c r="BH27" s="1932">
        <v>26.646100000000001</v>
      </c>
      <c r="BI27" s="1933">
        <v>26.481000000000002</v>
      </c>
      <c r="BJ27" s="1933">
        <v>27.138999999999999</v>
      </c>
      <c r="BK27" s="1933">
        <v>26.309100000000001</v>
      </c>
      <c r="BL27" s="1933">
        <v>26.992000000000001</v>
      </c>
      <c r="BM27" s="1933">
        <v>27.722300000000001</v>
      </c>
      <c r="BN27" s="1929">
        <v>26.2166</v>
      </c>
      <c r="BO27" s="1929">
        <v>26.647600000000001</v>
      </c>
      <c r="BP27" s="1929">
        <v>27.867799999999999</v>
      </c>
      <c r="BQ27" s="1929">
        <v>27.524999999999999</v>
      </c>
      <c r="BR27" s="1929">
        <v>26.2134</v>
      </c>
      <c r="BS27" s="1929">
        <v>25.8324</v>
      </c>
      <c r="BT27" s="1929">
        <v>26.4071</v>
      </c>
      <c r="BU27" s="1929">
        <v>25.279800000000002</v>
      </c>
      <c r="BV27" s="1929">
        <v>24.8523</v>
      </c>
      <c r="BW27" s="1933">
        <v>26.385000000000002</v>
      </c>
      <c r="BX27" s="1933">
        <v>26.586300000000001</v>
      </c>
      <c r="BY27" s="1933">
        <v>26.410699999999999</v>
      </c>
      <c r="BZ27" s="1929">
        <v>24.974799999999998</v>
      </c>
      <c r="CA27" s="1929">
        <v>24.301400000000001</v>
      </c>
      <c r="CB27" s="1929">
        <v>21.485099999999999</v>
      </c>
      <c r="CC27" s="1929">
        <v>21.5411</v>
      </c>
      <c r="CD27" s="1929">
        <v>22.0108</v>
      </c>
      <c r="CE27" s="1929">
        <v>22.5198</v>
      </c>
      <c r="CF27" s="1929">
        <v>22.138999999999999</v>
      </c>
      <c r="CG27" s="1929">
        <v>23.0684</v>
      </c>
      <c r="CH27" s="1929">
        <v>24.5871</v>
      </c>
      <c r="CI27" s="1929">
        <v>25.926429999999993</v>
      </c>
      <c r="CJ27" s="1929">
        <v>26.753404545454554</v>
      </c>
      <c r="CK27" s="1929">
        <v>26.610808695652167</v>
      </c>
      <c r="CL27" s="1929">
        <v>27.443220000000007</v>
      </c>
      <c r="CM27" s="1929">
        <v>27.693085714285708</v>
      </c>
      <c r="CN27" s="1929">
        <v>28.572818181818182</v>
      </c>
      <c r="CO27" s="1929">
        <v>28.594170000000002</v>
      </c>
      <c r="CP27" s="1929">
        <v>29.11</v>
      </c>
      <c r="CQ27" s="1929">
        <v>28.145677124721249</v>
      </c>
      <c r="CR27" s="1929">
        <v>28.351412763083577</v>
      </c>
      <c r="CS27" s="1929">
        <v>29.51271716679905</v>
      </c>
      <c r="CT27" s="1929">
        <v>30.112859290085709</v>
      </c>
      <c r="CU27" s="1929">
        <v>30.62334452555762</v>
      </c>
      <c r="CV27" s="1929">
        <v>31.222964875904054</v>
      </c>
      <c r="CW27" s="1929">
        <v>30.973330877776778</v>
      </c>
      <c r="CX27" s="1929">
        <v>30.766630119998712</v>
      </c>
      <c r="CY27" s="1929">
        <v>30.185050539688721</v>
      </c>
      <c r="CZ27" s="1929">
        <v>30.626423231730449</v>
      </c>
      <c r="DA27" s="1929">
        <v>30.63291965911311</v>
      </c>
      <c r="DB27" s="1929">
        <v>30.588510575347904</v>
      </c>
      <c r="DC27" s="1935">
        <v>31.257842370683864</v>
      </c>
      <c r="DD27" s="1935">
        <v>30.338127937876607</v>
      </c>
      <c r="DE27" s="1935">
        <v>30.012847556634835</v>
      </c>
      <c r="DF27" s="1935">
        <v>30.044773087857056</v>
      </c>
      <c r="DG27" s="1935">
        <v>30.051936631125955</v>
      </c>
      <c r="DH27" s="1935">
        <v>30.448734150137327</v>
      </c>
      <c r="DI27" s="1935">
        <v>31.346826834617055</v>
      </c>
      <c r="DJ27" s="1935">
        <v>32.006741442801321</v>
      </c>
      <c r="DK27" s="1935">
        <v>31.463934301725295</v>
      </c>
      <c r="DL27" s="1935">
        <v>30.891312718159249</v>
      </c>
      <c r="DM27" s="1935">
        <v>30.139375669120376</v>
      </c>
      <c r="DN27" s="1935">
        <v>31.017520678579249</v>
      </c>
      <c r="DO27" s="1935">
        <v>32.716449988451366</v>
      </c>
      <c r="DP27" s="1935">
        <v>32.97830074259879</v>
      </c>
      <c r="DQ27" s="1935">
        <v>32.306321025177965</v>
      </c>
      <c r="DR27" s="1935">
        <v>32.379576310038559</v>
      </c>
      <c r="DS27" s="1935">
        <v>32.976346461467429</v>
      </c>
      <c r="DT27" s="1935">
        <v>32.787822204921696</v>
      </c>
      <c r="DU27" s="1935">
        <v>32.641434351236455</v>
      </c>
      <c r="DV27" s="1935">
        <v>32.049381330959399</v>
      </c>
      <c r="DW27" s="1935">
        <v>32.56816313380024</v>
      </c>
      <c r="DX27" s="1998">
        <v>32.750384317993891</v>
      </c>
      <c r="DY27" s="1998">
        <v>31.312009630054817</v>
      </c>
      <c r="DZ27" s="1998">
        <v>29.674019484442255</v>
      </c>
      <c r="EA27" s="1998">
        <v>28.972899921082785</v>
      </c>
      <c r="EB27" s="1998">
        <v>28.340327447582993</v>
      </c>
      <c r="EC27" s="1998">
        <v>29.093401423140858</v>
      </c>
      <c r="ED27" s="1998">
        <v>29.405447123024093</v>
      </c>
      <c r="EE27" s="1998">
        <v>28.924969813243415</v>
      </c>
      <c r="EF27" s="1998">
        <v>27.66930745943236</v>
      </c>
      <c r="EG27" s="1998">
        <v>27.309297484783777</v>
      </c>
      <c r="EH27" s="1998">
        <v>27.598533308154916</v>
      </c>
      <c r="EI27" s="1998">
        <v>27.774729092959443</v>
      </c>
      <c r="EJ27" s="1998">
        <v>28.54556493539835</v>
      </c>
      <c r="EK27" s="1998">
        <v>28.579737740632449</v>
      </c>
      <c r="EL27" s="1998">
        <v>28.885532443254988</v>
      </c>
      <c r="EM27" s="1998">
        <v>28.988925133151792</v>
      </c>
      <c r="EN27" s="1998">
        <v>28.948715285669369</v>
      </c>
      <c r="EO27" s="1998">
        <v>28.689527531565069</v>
      </c>
      <c r="EP27" s="1998">
        <v>28.005397208605316</v>
      </c>
      <c r="EQ27" s="1998">
        <v>27.699195397116664</v>
      </c>
      <c r="ER27" s="1998">
        <v>26.491476234877517</v>
      </c>
      <c r="ES27" s="1998">
        <v>26.539923631380638</v>
      </c>
      <c r="ET27" s="1998">
        <v>26.160875222559135</v>
      </c>
      <c r="EU27" s="1998">
        <v>27.911084673896259</v>
      </c>
      <c r="EV27" s="1998">
        <v>28.420718181818177</v>
      </c>
      <c r="EW27" s="1998">
        <v>28.224261699670471</v>
      </c>
      <c r="EX27" s="1998">
        <v>27.65150292207791</v>
      </c>
      <c r="EY27" s="1999">
        <v>26.826481987577637</v>
      </c>
    </row>
    <row r="28" spans="1:155" s="1897" customFormat="1" ht="21" customHeight="1">
      <c r="A28" s="1925" t="s">
        <v>3406</v>
      </c>
      <c r="B28" s="1994">
        <v>3.944</v>
      </c>
      <c r="C28" s="1994">
        <v>3.95</v>
      </c>
      <c r="D28" s="2000">
        <v>3.9350000000000001</v>
      </c>
      <c r="E28" s="2000">
        <v>3.92</v>
      </c>
      <c r="F28" s="2000">
        <v>3.89</v>
      </c>
      <c r="G28" s="2000">
        <v>3.8719047619047622</v>
      </c>
      <c r="H28" s="2000">
        <v>3.87</v>
      </c>
      <c r="I28" s="2000">
        <v>3.87</v>
      </c>
      <c r="J28" s="2000">
        <v>3.8490000000000002</v>
      </c>
      <c r="K28" s="2001">
        <v>3.8325</v>
      </c>
      <c r="L28" s="2001">
        <v>3.7559999999999998</v>
      </c>
      <c r="M28" s="2001">
        <v>3.6349999999999998</v>
      </c>
      <c r="N28" s="2001">
        <v>3.6</v>
      </c>
      <c r="O28" s="2001">
        <v>3.58</v>
      </c>
      <c r="P28" s="2001">
        <v>3.5979999999999999</v>
      </c>
      <c r="Q28" s="2001">
        <v>3.698</v>
      </c>
      <c r="R28" s="2001">
        <v>3.85</v>
      </c>
      <c r="S28" s="2001">
        <v>3.81</v>
      </c>
      <c r="T28" s="2001">
        <v>3.8029999999999999</v>
      </c>
      <c r="U28" s="2001">
        <v>3.7639999999999998</v>
      </c>
      <c r="V28" s="2001">
        <v>3.7170000000000001</v>
      </c>
      <c r="W28" s="2001">
        <v>3.552</v>
      </c>
      <c r="X28" s="2002">
        <v>3.444</v>
      </c>
      <c r="Y28" s="1944">
        <v>3.3879999999999999</v>
      </c>
      <c r="Z28" s="1949">
        <v>3.4289999999999998</v>
      </c>
      <c r="AA28" s="1944">
        <v>3.55</v>
      </c>
      <c r="AB28" s="1949">
        <v>3.653</v>
      </c>
      <c r="AC28" s="1944">
        <v>3.681</v>
      </c>
      <c r="AD28" s="1949">
        <v>3.69</v>
      </c>
      <c r="AE28" s="1944">
        <v>3.7050000000000001</v>
      </c>
      <c r="AF28" s="1949">
        <v>3.7280000000000002</v>
      </c>
      <c r="AG28" s="1944">
        <v>3.7370000000000001</v>
      </c>
      <c r="AH28" s="1949">
        <v>3.7330000000000001</v>
      </c>
      <c r="AI28" s="1944">
        <v>3.7090000000000001</v>
      </c>
      <c r="AJ28" s="1949">
        <v>3.7149999999999999</v>
      </c>
      <c r="AK28" s="1948">
        <v>3.7759999999999998</v>
      </c>
      <c r="AL28" s="1948">
        <v>3.7970000000000002</v>
      </c>
      <c r="AM28" s="1944">
        <v>3.8069999999999999</v>
      </c>
      <c r="AN28" s="1948">
        <v>3.8355000000000001</v>
      </c>
      <c r="AO28" s="1944">
        <v>3.8605</v>
      </c>
      <c r="AP28" s="1949">
        <v>3.8904000000000001</v>
      </c>
      <c r="AQ28" s="1944">
        <v>3.9195000000000002</v>
      </c>
      <c r="AR28" s="1949">
        <v>3.9857</v>
      </c>
      <c r="AS28" s="1948">
        <v>4.0057999999999998</v>
      </c>
      <c r="AT28" s="1948">
        <v>4.0217999999999998</v>
      </c>
      <c r="AU28" s="1948">
        <v>4.0262000000000002</v>
      </c>
      <c r="AV28" s="1944">
        <v>4.0309999999999997</v>
      </c>
      <c r="AW28" s="1944">
        <v>4.0414000000000003</v>
      </c>
      <c r="AX28" s="1949">
        <v>4.0540000000000003</v>
      </c>
      <c r="AY28" s="1948">
        <v>4.0590999999999999</v>
      </c>
      <c r="AZ28" s="1944">
        <v>4.0518000000000001</v>
      </c>
      <c r="BA28" s="1949">
        <v>4.0838000000000001</v>
      </c>
      <c r="BB28" s="1948">
        <v>4.1894999999999998</v>
      </c>
      <c r="BC28" s="1948">
        <v>4.2595000000000001</v>
      </c>
      <c r="BD28" s="1944">
        <v>4.2824</v>
      </c>
      <c r="BE28" s="1949">
        <v>4.3230000000000004</v>
      </c>
      <c r="BF28" s="1948">
        <v>4.3535000000000004</v>
      </c>
      <c r="BG28" s="1940">
        <v>4.3643000000000001</v>
      </c>
      <c r="BH28" s="1942">
        <v>4.3367000000000004</v>
      </c>
      <c r="BI28" s="1941">
        <v>4.29</v>
      </c>
      <c r="BJ28" s="1941">
        <v>4.2300000000000004</v>
      </c>
      <c r="BK28" s="1941">
        <v>4.1150000000000002</v>
      </c>
      <c r="BL28" s="1941">
        <v>4.1239999999999997</v>
      </c>
      <c r="BM28" s="1941">
        <v>4.1063999999999998</v>
      </c>
      <c r="BN28" s="1940">
        <v>4.0639000000000003</v>
      </c>
      <c r="BO28" s="1940">
        <v>4.0692000000000004</v>
      </c>
      <c r="BP28" s="1940">
        <v>4.0201000000000002</v>
      </c>
      <c r="BQ28" s="1940">
        <v>3.9750000000000001</v>
      </c>
      <c r="BR28" s="1940">
        <v>3.8677999999999999</v>
      </c>
      <c r="BS28" s="1940">
        <v>3.7618999999999998</v>
      </c>
      <c r="BT28" s="1940">
        <v>3.7162999999999999</v>
      </c>
      <c r="BU28" s="1940">
        <v>3.5333999999999999</v>
      </c>
      <c r="BV28" s="1940">
        <v>3.4279999999999999</v>
      </c>
      <c r="BW28" s="1941">
        <v>3.5682</v>
      </c>
      <c r="BX28" s="1941">
        <v>3.5886999999999998</v>
      </c>
      <c r="BY28" s="1941">
        <v>3.5314999999999999</v>
      </c>
      <c r="BZ28" s="1940">
        <v>3.6297999999999999</v>
      </c>
      <c r="CA28" s="1940">
        <v>3.8166000000000002</v>
      </c>
      <c r="CB28" s="1940">
        <v>4.0038999999999998</v>
      </c>
      <c r="CC28" s="1940">
        <v>4.2247000000000003</v>
      </c>
      <c r="CD28" s="1940">
        <v>4.2255000000000003</v>
      </c>
      <c r="CE28" s="1940">
        <v>4.2687999999999997</v>
      </c>
      <c r="CF28" s="1940">
        <v>4.3912000000000004</v>
      </c>
      <c r="CG28" s="1940">
        <v>4.4798</v>
      </c>
      <c r="CH28" s="1940">
        <v>4.4484000000000004</v>
      </c>
      <c r="CI28" s="1940">
        <v>4.3799949999999992</v>
      </c>
      <c r="CJ28" s="1940">
        <v>4.302868181818182</v>
      </c>
      <c r="CK28" s="1940">
        <v>4.2725304347826087</v>
      </c>
      <c r="CL28" s="1944">
        <v>4.2408299999999999</v>
      </c>
      <c r="CM28" s="1944">
        <v>4.154823809523811</v>
      </c>
      <c r="CN28" s="1944">
        <v>4.0675681818181815</v>
      </c>
      <c r="CO28" s="1944">
        <v>4.01098</v>
      </c>
      <c r="CP28" s="1944">
        <v>4.2949999999999999</v>
      </c>
      <c r="CQ28" s="1944">
        <v>4.1397233009506147</v>
      </c>
      <c r="CR28" s="1944">
        <v>4.0513598840255449</v>
      </c>
      <c r="CS28" s="1944">
        <v>4.0570222195653614</v>
      </c>
      <c r="CT28" s="1944">
        <v>3.9561081576010793</v>
      </c>
      <c r="CU28" s="1944">
        <v>3.9941304059057607</v>
      </c>
      <c r="CV28" s="1944">
        <v>4.0453675058209004</v>
      </c>
      <c r="CW28" s="1944">
        <v>4.0020943947118344</v>
      </c>
      <c r="CX28" s="1944">
        <v>3.9158040984083908</v>
      </c>
      <c r="CY28" s="1944">
        <v>3.8337018952404534</v>
      </c>
      <c r="CZ28" s="1944">
        <v>3.7226266249915567</v>
      </c>
      <c r="DA28" s="1944">
        <v>3.6846279947251364</v>
      </c>
      <c r="DB28" s="1944">
        <v>3.7038986978030337</v>
      </c>
      <c r="DC28" s="1944">
        <v>3.7242329538244947</v>
      </c>
      <c r="DD28" s="1944">
        <v>3.7013727373927763</v>
      </c>
      <c r="DE28" s="1944">
        <v>3.7653233678275151</v>
      </c>
      <c r="DF28" s="1944">
        <v>3.8225422460528868</v>
      </c>
      <c r="DG28" s="1944">
        <v>3.8303576279951685</v>
      </c>
      <c r="DH28" s="1944">
        <v>3.8659267781003384</v>
      </c>
      <c r="DI28" s="1944">
        <v>3.8776913305966039</v>
      </c>
      <c r="DJ28" s="1944">
        <v>3.8457417095633</v>
      </c>
      <c r="DK28" s="1944">
        <v>3.8394627452982077</v>
      </c>
      <c r="DL28" s="1944">
        <v>3.844529935446976</v>
      </c>
      <c r="DM28" s="1944">
        <v>3.8861132595433365</v>
      </c>
      <c r="DN28" s="1944">
        <v>3.9970594903172452</v>
      </c>
      <c r="DO28" s="1944">
        <v>4.0933269093644506</v>
      </c>
      <c r="DP28" s="1944">
        <v>4.0593048413268411</v>
      </c>
      <c r="DQ28" s="1944">
        <v>4.0065480539397695</v>
      </c>
      <c r="DR28" s="1944">
        <v>4.0518552961772629</v>
      </c>
      <c r="DS28" s="1944">
        <v>4.0853108383199217</v>
      </c>
      <c r="DT28" s="1944">
        <v>4.0428057794796608</v>
      </c>
      <c r="DU28" s="1944">
        <v>4.0093602332428988</v>
      </c>
      <c r="DV28" s="1944">
        <v>4.0029797157687179</v>
      </c>
      <c r="DW28" s="1944">
        <v>4.0531676688266911</v>
      </c>
      <c r="DX28" s="2003">
        <v>4.0658595276324272</v>
      </c>
      <c r="DY28" s="2003">
        <v>4.0734062964751097</v>
      </c>
      <c r="DZ28" s="2003">
        <v>4.0545434617280769</v>
      </c>
      <c r="EA28" s="2003">
        <v>4.0692461571548089</v>
      </c>
      <c r="EB28" s="2003">
        <v>4.0474646880086169</v>
      </c>
      <c r="EC28" s="2003">
        <v>4.0483060896194214</v>
      </c>
      <c r="ED28" s="2003">
        <v>3.994001043322748</v>
      </c>
      <c r="EE28" s="2003">
        <v>4.0024543721341335</v>
      </c>
      <c r="EF28" s="2003">
        <v>3.9741298950721502</v>
      </c>
      <c r="EG28" s="2003">
        <v>3.9709928615014882</v>
      </c>
      <c r="EH28" s="2003">
        <v>3.9690177476675097</v>
      </c>
      <c r="EI28" s="2003">
        <v>3.9491306510276805</v>
      </c>
      <c r="EJ28" s="2003">
        <v>3.9565069696744315</v>
      </c>
      <c r="EK28" s="2003">
        <v>3.9627021492662351</v>
      </c>
      <c r="EL28" s="2003">
        <v>3.9791333478303379</v>
      </c>
      <c r="EM28" s="2003">
        <v>3.9830000037749587</v>
      </c>
      <c r="EN28" s="2003">
        <v>4.0150017416178541</v>
      </c>
      <c r="EO28" s="2003">
        <v>4.0807757896613772</v>
      </c>
      <c r="EP28" s="2003">
        <v>4.1108433765428183</v>
      </c>
      <c r="EQ28" s="2003">
        <v>4.1321208584248721</v>
      </c>
      <c r="ER28" s="2003">
        <v>4.1473992686136985</v>
      </c>
      <c r="ES28" s="2003">
        <v>4.2397546115615823</v>
      </c>
      <c r="ET28" s="2003">
        <v>4.3296182219818471</v>
      </c>
      <c r="EU28" s="2003">
        <v>4.6509403101232278</v>
      </c>
      <c r="EV28" s="2003">
        <v>4.7499839766267886</v>
      </c>
      <c r="EW28" s="2003">
        <v>4.6146958416950827</v>
      </c>
      <c r="EX28" s="2003">
        <v>4.6288069930069931</v>
      </c>
      <c r="EY28" s="2004">
        <v>4.6684983277591963</v>
      </c>
    </row>
    <row r="29" spans="1:155" s="1897" customFormat="1" ht="21" customHeight="1">
      <c r="A29" s="1925" t="s">
        <v>3407</v>
      </c>
      <c r="B29" s="1994">
        <v>64</v>
      </c>
      <c r="C29" s="1994">
        <v>64</v>
      </c>
      <c r="D29" s="2000">
        <v>63.18181818181818</v>
      </c>
      <c r="E29" s="2000">
        <v>63</v>
      </c>
      <c r="F29" s="2000">
        <v>63</v>
      </c>
      <c r="G29" s="2000">
        <v>63</v>
      </c>
      <c r="H29" s="2000">
        <v>63</v>
      </c>
      <c r="I29" s="2000">
        <v>63</v>
      </c>
      <c r="J29" s="2000">
        <v>63</v>
      </c>
      <c r="K29" s="2001">
        <v>63</v>
      </c>
      <c r="L29" s="2001">
        <v>61.905000000000001</v>
      </c>
      <c r="M29" s="2001">
        <v>60.052999999999997</v>
      </c>
      <c r="N29" s="2001">
        <v>59.6</v>
      </c>
      <c r="O29" s="2001">
        <v>59.713999999999999</v>
      </c>
      <c r="P29" s="2001">
        <v>60.286000000000001</v>
      </c>
      <c r="Q29" s="2001">
        <v>62.332999999999998</v>
      </c>
      <c r="R29" s="2001">
        <v>65.652000000000001</v>
      </c>
      <c r="S29" s="2001">
        <v>65</v>
      </c>
      <c r="T29" s="2001">
        <v>64.951999999999998</v>
      </c>
      <c r="U29" s="2001">
        <v>64.912999999999997</v>
      </c>
      <c r="V29" s="2001">
        <v>64.052999999999997</v>
      </c>
      <c r="W29" s="2001">
        <v>60.908999999999999</v>
      </c>
      <c r="X29" s="2002">
        <v>59.158000000000001</v>
      </c>
      <c r="Y29" s="1944">
        <v>58.555999999999997</v>
      </c>
      <c r="Z29" s="1949">
        <v>59.908999999999999</v>
      </c>
      <c r="AA29" s="1944">
        <v>63.591000000000001</v>
      </c>
      <c r="AB29" s="1949">
        <v>63.619</v>
      </c>
      <c r="AC29" s="1944">
        <v>63.591000000000001</v>
      </c>
      <c r="AD29" s="1949">
        <v>63</v>
      </c>
      <c r="AE29" s="1944">
        <v>63</v>
      </c>
      <c r="AF29" s="1949">
        <v>63.591000000000001</v>
      </c>
      <c r="AG29" s="1944">
        <v>64</v>
      </c>
      <c r="AH29" s="1949">
        <v>64.95</v>
      </c>
      <c r="AI29" s="1944">
        <v>66</v>
      </c>
      <c r="AJ29" s="1949">
        <v>66.736999999999995</v>
      </c>
      <c r="AK29" s="1948">
        <v>68</v>
      </c>
      <c r="AL29" s="1948">
        <v>68.048000000000002</v>
      </c>
      <c r="AM29" s="1944">
        <v>68.817999999999998</v>
      </c>
      <c r="AN29" s="1948">
        <v>68.954499999999996</v>
      </c>
      <c r="AO29" s="1944">
        <v>69.238100000000003</v>
      </c>
      <c r="AP29" s="1949">
        <v>69.912999999999997</v>
      </c>
      <c r="AQ29" s="1944">
        <v>69.952399999999997</v>
      </c>
      <c r="AR29" s="1949">
        <v>69.285700000000006</v>
      </c>
      <c r="AS29" s="1948">
        <v>68.052599999999998</v>
      </c>
      <c r="AT29" s="1948">
        <v>68.590900000000005</v>
      </c>
      <c r="AU29" s="1948">
        <v>70.714299999999994</v>
      </c>
      <c r="AV29" s="1944">
        <v>70.947000000000003</v>
      </c>
      <c r="AW29" s="1944">
        <v>70.863600000000005</v>
      </c>
      <c r="AX29" s="1949">
        <v>70.3</v>
      </c>
      <c r="AY29" s="1948">
        <v>69.409099999999995</v>
      </c>
      <c r="AZ29" s="1944">
        <v>68.590900000000005</v>
      </c>
      <c r="BA29" s="1949">
        <v>68.523799999999994</v>
      </c>
      <c r="BB29" s="1948">
        <v>70.095200000000006</v>
      </c>
      <c r="BC29" s="1948">
        <v>71.952399999999997</v>
      </c>
      <c r="BD29" s="1944">
        <v>73.523799999999994</v>
      </c>
      <c r="BE29" s="1949">
        <v>75.429000000000002</v>
      </c>
      <c r="BF29" s="1948">
        <v>76.25</v>
      </c>
      <c r="BG29" s="1940">
        <v>77.333299999999994</v>
      </c>
      <c r="BH29" s="1942">
        <v>77</v>
      </c>
      <c r="BI29" s="1941">
        <v>76.400000000000006</v>
      </c>
      <c r="BJ29" s="1941">
        <v>78.285700000000006</v>
      </c>
      <c r="BK29" s="1941">
        <v>78.954499999999996</v>
      </c>
      <c r="BL29" s="1941">
        <v>79.286000000000001</v>
      </c>
      <c r="BM29" s="1941">
        <v>79.818200000000004</v>
      </c>
      <c r="BN29" s="1940">
        <v>77.960899999999995</v>
      </c>
      <c r="BO29" s="1940">
        <v>78.775000000000006</v>
      </c>
      <c r="BP29" s="1940">
        <v>79.109099999999998</v>
      </c>
      <c r="BQ29" s="1940">
        <v>78.573999999999998</v>
      </c>
      <c r="BR29" s="1940">
        <v>76.646000000000001</v>
      </c>
      <c r="BS29" s="1940">
        <v>74.816500000000005</v>
      </c>
      <c r="BT29" s="1940">
        <v>73.027900000000002</v>
      </c>
      <c r="BU29" s="1940">
        <v>68.251099999999994</v>
      </c>
      <c r="BV29" s="1940">
        <v>66.897599999999997</v>
      </c>
      <c r="BW29" s="1941">
        <v>66.310500000000005</v>
      </c>
      <c r="BX29" s="1941">
        <v>65.688999999999993</v>
      </c>
      <c r="BY29" s="1941">
        <v>64.503900000000002</v>
      </c>
      <c r="BZ29" s="1940">
        <v>66.189499999999995</v>
      </c>
      <c r="CA29" s="1940">
        <v>65.544300000000007</v>
      </c>
      <c r="CB29" s="1940">
        <v>64.2667</v>
      </c>
      <c r="CC29" s="1940">
        <v>67.496499999999997</v>
      </c>
      <c r="CD29" s="1940">
        <v>67.920500000000004</v>
      </c>
      <c r="CE29" s="1940">
        <v>68.508399999999995</v>
      </c>
      <c r="CF29" s="1940">
        <v>69.766300000000001</v>
      </c>
      <c r="CG29" s="1940">
        <v>68.474500000000006</v>
      </c>
      <c r="CH29" s="1940">
        <v>69.297700000000006</v>
      </c>
      <c r="CI29" s="1940">
        <v>70.414000000000001</v>
      </c>
      <c r="CJ29" s="1940">
        <v>70.378181818181801</v>
      </c>
      <c r="CK29" s="1940">
        <v>68.765652173913054</v>
      </c>
      <c r="CL29" s="1944">
        <v>68.421499999999995</v>
      </c>
      <c r="CM29" s="1944">
        <v>66.7895238095238</v>
      </c>
      <c r="CN29" s="1944">
        <v>67.749545454545455</v>
      </c>
      <c r="CO29" s="1944">
        <v>66.978500000000011</v>
      </c>
      <c r="CP29" s="1944">
        <v>73.066999999999993</v>
      </c>
      <c r="CQ29" s="1944">
        <v>68.86211647026289</v>
      </c>
      <c r="CR29" s="1944">
        <v>65.897031043300487</v>
      </c>
      <c r="CS29" s="1944">
        <v>68.7143630599695</v>
      </c>
      <c r="CT29" s="1944">
        <v>69.315748782257828</v>
      </c>
      <c r="CU29" s="1944">
        <v>69.015106149543314</v>
      </c>
      <c r="CV29" s="1944">
        <v>69.826788976955271</v>
      </c>
      <c r="CW29" s="1944">
        <v>68.781963729866419</v>
      </c>
      <c r="CX29" s="1944">
        <v>67.354186123825627</v>
      </c>
      <c r="CY29" s="1944">
        <v>66.600378798719831</v>
      </c>
      <c r="CZ29" s="1944">
        <v>65.435534396816664</v>
      </c>
      <c r="DA29" s="1944">
        <v>64.054022554769205</v>
      </c>
      <c r="DB29" s="1944">
        <v>64.523625062510192</v>
      </c>
      <c r="DC29" s="1944">
        <v>65.529838024875261</v>
      </c>
      <c r="DD29" s="1944">
        <v>63.960049655621326</v>
      </c>
      <c r="DE29" s="1944">
        <v>61.871562662503827</v>
      </c>
      <c r="DF29" s="1944">
        <v>60.68117150228219</v>
      </c>
      <c r="DG29" s="1944">
        <v>59.065912914166987</v>
      </c>
      <c r="DH29" s="1944">
        <v>57.524063303000275</v>
      </c>
      <c r="DI29" s="1944">
        <v>59.151084549498989</v>
      </c>
      <c r="DJ29" s="1944">
        <v>60.909380118662497</v>
      </c>
      <c r="DK29" s="1944">
        <v>59.521136390783639</v>
      </c>
      <c r="DL29" s="1944">
        <v>58.066947460780469</v>
      </c>
      <c r="DM29" s="1944">
        <v>55.803360862746779</v>
      </c>
      <c r="DN29" s="1944">
        <v>55.842307668425953</v>
      </c>
      <c r="DO29" s="1944">
        <v>57.697443963254521</v>
      </c>
      <c r="DP29" s="1944">
        <v>56.999271102326617</v>
      </c>
      <c r="DQ29" s="1944">
        <v>57.232107243719589</v>
      </c>
      <c r="DR29" s="1944">
        <v>59.58665711675684</v>
      </c>
      <c r="DS29" s="1944">
        <v>58.004173600543311</v>
      </c>
      <c r="DT29" s="1944">
        <v>57.638894749970497</v>
      </c>
      <c r="DU29" s="1944">
        <v>57.609843541962285</v>
      </c>
      <c r="DV29" s="1944">
        <v>58.055010188963131</v>
      </c>
      <c r="DW29" s="1944">
        <v>58.20180128203716</v>
      </c>
      <c r="DX29" s="2003">
        <v>58.300579408562825</v>
      </c>
      <c r="DY29" s="2003">
        <v>57.748225423895946</v>
      </c>
      <c r="DZ29" s="2003">
        <v>54.18540379427003</v>
      </c>
      <c r="EA29" s="2003">
        <v>53.167848544634005</v>
      </c>
      <c r="EB29" s="2003">
        <v>50.140160370057316</v>
      </c>
      <c r="EC29" s="2003">
        <v>49.463662008438085</v>
      </c>
      <c r="ED29" s="2003">
        <v>50.441485905898972</v>
      </c>
      <c r="EE29" s="2003">
        <v>49.82586874083551</v>
      </c>
      <c r="EF29" s="2003">
        <v>50.039273002512722</v>
      </c>
      <c r="EG29" s="2003">
        <v>49.909912047326046</v>
      </c>
      <c r="EH29" s="2003">
        <v>49.776925607413197</v>
      </c>
      <c r="EI29" s="2003">
        <v>50.468854333059326</v>
      </c>
      <c r="EJ29" s="2003">
        <v>51.115113666126312</v>
      </c>
      <c r="EK29" s="2003">
        <v>52.053061238770773</v>
      </c>
      <c r="EL29" s="2003">
        <v>51.921849129294024</v>
      </c>
      <c r="EM29" s="2003">
        <v>51.687319407542439</v>
      </c>
      <c r="EN29" s="2003">
        <v>51.404521458727785</v>
      </c>
      <c r="EO29" s="2003">
        <v>52.355809893256236</v>
      </c>
      <c r="EP29" s="2003">
        <v>52.292412944723353</v>
      </c>
      <c r="EQ29" s="2003">
        <v>52.25378799844195</v>
      </c>
      <c r="ER29" s="2003">
        <v>51.482302855878331</v>
      </c>
      <c r="ES29" s="2003">
        <v>53.229415132398096</v>
      </c>
      <c r="ET29" s="2003">
        <v>54.379256654384925</v>
      </c>
      <c r="EU29" s="2003">
        <v>58.065304680186152</v>
      </c>
      <c r="EV29" s="2003">
        <v>59.024381318498129</v>
      </c>
      <c r="EW29" s="2003">
        <v>56.433539082841584</v>
      </c>
      <c r="EX29" s="2003">
        <v>56.534195804195811</v>
      </c>
      <c r="EY29" s="2004">
        <v>57.16096989966556</v>
      </c>
    </row>
    <row r="30" spans="1:155" s="1897" customFormat="1" ht="21" customHeight="1">
      <c r="A30" s="1925" t="s">
        <v>3408</v>
      </c>
      <c r="B30" s="1994">
        <v>23.064</v>
      </c>
      <c r="C30" s="1994">
        <v>22.917999999999999</v>
      </c>
      <c r="D30" s="1994">
        <v>24.135454545454547</v>
      </c>
      <c r="E30" s="1994">
        <v>24.5855</v>
      </c>
      <c r="F30" s="1994">
        <v>25.547826086956523</v>
      </c>
      <c r="G30" s="2005">
        <v>25.21</v>
      </c>
      <c r="H30" s="2001">
        <v>24.834</v>
      </c>
      <c r="I30" s="2001">
        <v>24.187999999999999</v>
      </c>
      <c r="J30" s="2001">
        <v>24.542999999999999</v>
      </c>
      <c r="K30" s="2001">
        <v>24.344000000000001</v>
      </c>
      <c r="L30" s="2001">
        <v>24.503</v>
      </c>
      <c r="M30" s="2001">
        <v>23.597999999999999</v>
      </c>
      <c r="N30" s="2001">
        <v>23.508500000000002</v>
      </c>
      <c r="O30" s="2001">
        <v>23.114000000000001</v>
      </c>
      <c r="P30" s="2001">
        <v>23.763999999999999</v>
      </c>
      <c r="Q30" s="2001">
        <v>24.213999999999999</v>
      </c>
      <c r="R30" s="2001">
        <v>25.120999999999999</v>
      </c>
      <c r="S30" s="2001">
        <v>24.832999999999998</v>
      </c>
      <c r="T30" s="2001">
        <v>25.553999999999998</v>
      </c>
      <c r="U30" s="2001">
        <v>26.431000000000001</v>
      </c>
      <c r="V30" s="2001">
        <v>26.248000000000001</v>
      </c>
      <c r="W30" s="2001">
        <v>25.391999999999999</v>
      </c>
      <c r="X30" s="2002">
        <v>24.934999999999999</v>
      </c>
      <c r="Y30" s="1944">
        <v>24.466999999999999</v>
      </c>
      <c r="Z30" s="1949">
        <v>24.416</v>
      </c>
      <c r="AA30" s="1944">
        <v>25.539000000000001</v>
      </c>
      <c r="AB30" s="1949">
        <v>25.210999999999999</v>
      </c>
      <c r="AC30" s="1944">
        <v>26</v>
      </c>
      <c r="AD30" s="1949">
        <v>26.111999999999998</v>
      </c>
      <c r="AE30" s="1944">
        <v>25.981999999999999</v>
      </c>
      <c r="AF30" s="1949">
        <v>26.2</v>
      </c>
      <c r="AG30" s="1944">
        <v>26.487100000000002</v>
      </c>
      <c r="AH30" s="1949">
        <v>27.506</v>
      </c>
      <c r="AI30" s="1944">
        <v>27.577000000000002</v>
      </c>
      <c r="AJ30" s="1949">
        <v>27.818000000000001</v>
      </c>
      <c r="AK30" s="1948">
        <v>27.756</v>
      </c>
      <c r="AL30" s="1948">
        <v>27.359000000000002</v>
      </c>
      <c r="AM30" s="1944">
        <v>27.611000000000001</v>
      </c>
      <c r="AN30" s="1948">
        <v>27.252700000000001</v>
      </c>
      <c r="AO30" s="1944">
        <v>26.609000000000002</v>
      </c>
      <c r="AP30" s="1949">
        <v>27.1004</v>
      </c>
      <c r="AQ30" s="1944">
        <v>27.188099999999999</v>
      </c>
      <c r="AR30" s="1949">
        <v>26.686699999999998</v>
      </c>
      <c r="AS30" s="1948">
        <v>25.946300000000001</v>
      </c>
      <c r="AT30" s="1948">
        <v>26.076799999999999</v>
      </c>
      <c r="AU30" s="1948">
        <v>26.785699999999999</v>
      </c>
      <c r="AV30" s="1944">
        <v>26.277999999999999</v>
      </c>
      <c r="AW30" s="1944">
        <v>26.502300000000002</v>
      </c>
      <c r="AX30" s="1949">
        <v>26.616</v>
      </c>
      <c r="AY30" s="1948">
        <v>27.895900000000001</v>
      </c>
      <c r="AZ30" s="1944">
        <v>27.2209</v>
      </c>
      <c r="BA30" s="1949">
        <v>27.232900000000001</v>
      </c>
      <c r="BB30" s="1948">
        <v>27.9633</v>
      </c>
      <c r="BC30" s="1948">
        <v>28.203800000000001</v>
      </c>
      <c r="BD30" s="1944">
        <v>28.113800000000001</v>
      </c>
      <c r="BE30" s="1949">
        <v>28.952999999999999</v>
      </c>
      <c r="BF30" s="1948">
        <v>29.172499999999999</v>
      </c>
      <c r="BG30" s="1944">
        <v>28.543299999999999</v>
      </c>
      <c r="BH30" s="1949">
        <v>28.372199999999999</v>
      </c>
      <c r="BI30" s="1948">
        <v>28.734000000000002</v>
      </c>
      <c r="BJ30" s="1948">
        <v>27.9495</v>
      </c>
      <c r="BK30" s="1948">
        <v>26.569500000000001</v>
      </c>
      <c r="BL30" s="1948">
        <v>26.21</v>
      </c>
      <c r="BM30" s="1948">
        <v>26.345500000000001</v>
      </c>
      <c r="BN30" s="1944">
        <v>27.143699999999999</v>
      </c>
      <c r="BO30" s="1944">
        <v>27.432700000000001</v>
      </c>
      <c r="BP30" s="1944">
        <v>26.814900000000002</v>
      </c>
      <c r="BQ30" s="1944">
        <v>27.858000000000001</v>
      </c>
      <c r="BR30" s="1944">
        <v>26.7685</v>
      </c>
      <c r="BS30" s="1944">
        <v>27.181799999999999</v>
      </c>
      <c r="BT30" s="1944">
        <v>26.9299</v>
      </c>
      <c r="BU30" s="1944">
        <v>27.285499999999999</v>
      </c>
      <c r="BV30" s="1944">
        <v>25.956299999999999</v>
      </c>
      <c r="BW30" s="1948">
        <v>26.654499999999999</v>
      </c>
      <c r="BX30" s="1948">
        <v>26.114999999999998</v>
      </c>
      <c r="BY30" s="1948">
        <v>25.691700000000001</v>
      </c>
      <c r="BZ30" s="1944">
        <v>25.857199999999999</v>
      </c>
      <c r="CA30" s="1944">
        <v>27.831</v>
      </c>
      <c r="CB30" s="1944">
        <v>30.986899999999999</v>
      </c>
      <c r="CC30" s="1944">
        <v>33.819400000000002</v>
      </c>
      <c r="CD30" s="1944">
        <v>35.886499999999998</v>
      </c>
      <c r="CE30" s="1944">
        <v>36.633099999999999</v>
      </c>
      <c r="CF30" s="1944">
        <v>36.893300000000004</v>
      </c>
      <c r="CG30" s="1944">
        <v>35.534999999999997</v>
      </c>
      <c r="CH30" s="1944">
        <v>34.904299999999999</v>
      </c>
      <c r="CI30" s="1944">
        <v>35.160759999999996</v>
      </c>
      <c r="CJ30" s="1944">
        <v>34.542513636363637</v>
      </c>
      <c r="CK30" s="1944">
        <v>35.017826086956518</v>
      </c>
      <c r="CL30" s="1944">
        <v>34.668535000000006</v>
      </c>
      <c r="CM30" s="1944">
        <v>35.190357142857138</v>
      </c>
      <c r="CN30" s="1944">
        <v>34.917936363636365</v>
      </c>
      <c r="CO30" s="1944">
        <v>34.857955000000004</v>
      </c>
      <c r="CP30" s="1944">
        <v>36.341000000000001</v>
      </c>
      <c r="CQ30" s="1944">
        <v>36.692936567728495</v>
      </c>
      <c r="CR30" s="1944">
        <v>36.804159711674451</v>
      </c>
      <c r="CS30" s="1944">
        <v>37.304145467473447</v>
      </c>
      <c r="CT30" s="1944">
        <v>37.487636295544789</v>
      </c>
      <c r="CU30" s="1944">
        <v>37.514138550857908</v>
      </c>
      <c r="CV30" s="1944">
        <v>37.766634538297168</v>
      </c>
      <c r="CW30" s="1944">
        <v>37.671630673585121</v>
      </c>
      <c r="CX30" s="1944">
        <v>36.885271311999453</v>
      </c>
      <c r="CY30" s="1944">
        <v>36.555570874110728</v>
      </c>
      <c r="CZ30" s="1944">
        <v>34.779981581591322</v>
      </c>
      <c r="DA30" s="1944">
        <v>35.315543500984226</v>
      </c>
      <c r="DB30" s="1944">
        <v>35.837918929919418</v>
      </c>
      <c r="DC30" s="1944">
        <v>36.543245571885898</v>
      </c>
      <c r="DD30" s="1944">
        <v>37.429552990639543</v>
      </c>
      <c r="DE30" s="1944">
        <v>38.243639857628729</v>
      </c>
      <c r="DF30" s="1944">
        <v>38.736484118685929</v>
      </c>
      <c r="DG30" s="1944">
        <v>38.48350432443651</v>
      </c>
      <c r="DH30" s="1944">
        <v>38.625087226013278</v>
      </c>
      <c r="DI30" s="1944">
        <v>39.188945240356873</v>
      </c>
      <c r="DJ30" s="1944">
        <v>37.998642237088745</v>
      </c>
      <c r="DK30" s="1944">
        <v>36.183977166618781</v>
      </c>
      <c r="DL30" s="1944">
        <v>36.700277599609223</v>
      </c>
      <c r="DM30" s="1944">
        <v>37.906968637018529</v>
      </c>
      <c r="DN30" s="1944">
        <v>39.202847166653498</v>
      </c>
      <c r="DO30" s="1944">
        <v>40.254227585876507</v>
      </c>
      <c r="DP30" s="1944">
        <v>40.057874922647798</v>
      </c>
      <c r="DQ30" s="1944">
        <v>39.783699705703675</v>
      </c>
      <c r="DR30" s="1944">
        <v>39.872598431789662</v>
      </c>
      <c r="DS30" s="1944">
        <v>39.145606978037954</v>
      </c>
      <c r="DT30" s="1944">
        <v>37.462340886096506</v>
      </c>
      <c r="DU30" s="1944">
        <v>34.945188956792357</v>
      </c>
      <c r="DV30" s="1944">
        <v>33.399778495029103</v>
      </c>
      <c r="DW30" s="1944">
        <v>33.301104162296177</v>
      </c>
      <c r="DX30" s="2003">
        <v>32.350824463624043</v>
      </c>
      <c r="DY30" s="2003">
        <v>31.371727012550846</v>
      </c>
      <c r="DZ30" s="2003">
        <v>32.362808969993537</v>
      </c>
      <c r="EA30" s="2003">
        <v>31.750717539650321</v>
      </c>
      <c r="EB30" s="2003">
        <v>32.101845919306932</v>
      </c>
      <c r="EC30" s="2003">
        <v>31.690356082266469</v>
      </c>
      <c r="ED30" s="2003">
        <v>31.680007892852387</v>
      </c>
      <c r="EE30" s="2003">
        <v>31.080564652309043</v>
      </c>
      <c r="EF30" s="2003">
        <v>29.840342868529259</v>
      </c>
      <c r="EG30" s="2003">
        <v>29.696765803142085</v>
      </c>
      <c r="EH30" s="2003">
        <v>30.211728171016048</v>
      </c>
      <c r="EI30" s="2003">
        <v>30.02758163995486</v>
      </c>
      <c r="EJ30" s="2003">
        <v>29.965101993145879</v>
      </c>
      <c r="EK30" s="2003">
        <v>30.226598885773498</v>
      </c>
      <c r="EL30" s="2003">
        <v>30.29060766351046</v>
      </c>
      <c r="EM30" s="2003">
        <v>30.421112065951665</v>
      </c>
      <c r="EN30" s="2003">
        <v>30.287081348461829</v>
      </c>
      <c r="EO30" s="2003">
        <v>29.599232693570176</v>
      </c>
      <c r="EP30" s="2003">
        <v>29.610583457978592</v>
      </c>
      <c r="EQ30" s="2003">
        <v>27.66524845138121</v>
      </c>
      <c r="ER30" s="2003">
        <v>26.994365928296947</v>
      </c>
      <c r="ES30" s="2003">
        <v>27.837951303425388</v>
      </c>
      <c r="ET30" s="2003">
        <v>28.339993326350687</v>
      </c>
      <c r="EU30" s="2003">
        <v>30.05101365051954</v>
      </c>
      <c r="EV30" s="2003">
        <v>30.861281818181808</v>
      </c>
      <c r="EW30" s="2003">
        <v>29.640053883921961</v>
      </c>
      <c r="EX30" s="2003">
        <v>29.040578896103895</v>
      </c>
      <c r="EY30" s="2004">
        <v>29.371587267080734</v>
      </c>
    </row>
    <row r="31" spans="1:155" s="1897" customFormat="1" ht="21" customHeight="1">
      <c r="A31" s="1925" t="s">
        <v>3409</v>
      </c>
      <c r="B31" s="1994">
        <v>39.436</v>
      </c>
      <c r="C31" s="1994">
        <v>39.646000000000001</v>
      </c>
      <c r="D31" s="1994">
        <v>39.457727272727276</v>
      </c>
      <c r="E31" s="1995">
        <v>39.142000000000003</v>
      </c>
      <c r="F31" s="2005">
        <v>38.796086956521734</v>
      </c>
      <c r="G31" s="2001">
        <v>38.712857142857146</v>
      </c>
      <c r="H31" s="2001">
        <v>38.537999999999997</v>
      </c>
      <c r="I31" s="2001">
        <v>38.296999999999997</v>
      </c>
      <c r="J31" s="2001">
        <v>37.993000000000002</v>
      </c>
      <c r="K31" s="2001">
        <v>37.825499999999998</v>
      </c>
      <c r="L31" s="2001">
        <v>38.017000000000003</v>
      </c>
      <c r="M31" s="2001">
        <v>37.140999999999998</v>
      </c>
      <c r="N31" s="2001">
        <v>36.915500000000002</v>
      </c>
      <c r="O31" s="2001">
        <v>37.182000000000002</v>
      </c>
      <c r="P31" s="2001">
        <v>39.506999999999998</v>
      </c>
      <c r="Q31" s="2001">
        <v>39.643999999999998</v>
      </c>
      <c r="R31" s="2001">
        <v>40.590000000000003</v>
      </c>
      <c r="S31" s="2001">
        <v>39.488999999999997</v>
      </c>
      <c r="T31" s="2001">
        <v>38.35</v>
      </c>
      <c r="U31" s="2001">
        <v>37.883000000000003</v>
      </c>
      <c r="V31" s="2001">
        <v>37.969000000000001</v>
      </c>
      <c r="W31" s="2001">
        <v>36.564</v>
      </c>
      <c r="X31" s="2002">
        <v>35.356999999999999</v>
      </c>
      <c r="Y31" s="1944">
        <v>34.877000000000002</v>
      </c>
      <c r="Z31" s="1949">
        <v>35.03</v>
      </c>
      <c r="AA31" s="1944">
        <v>35.975000000000001</v>
      </c>
      <c r="AB31" s="1949">
        <v>36.396999999999998</v>
      </c>
      <c r="AC31" s="1944">
        <v>36.655999999999999</v>
      </c>
      <c r="AD31" s="1949">
        <v>36.417999999999999</v>
      </c>
      <c r="AE31" s="1944">
        <v>36.195999999999998</v>
      </c>
      <c r="AF31" s="1949">
        <v>36.423000000000002</v>
      </c>
      <c r="AG31" s="1944">
        <v>36.216000000000001</v>
      </c>
      <c r="AH31" s="1949">
        <v>36.149000000000001</v>
      </c>
      <c r="AI31" s="1944">
        <v>36.567999999999998</v>
      </c>
      <c r="AJ31" s="1949">
        <v>37.551000000000002</v>
      </c>
      <c r="AK31" s="1948">
        <v>39.923999999999999</v>
      </c>
      <c r="AL31" s="1948">
        <v>39.326999999999998</v>
      </c>
      <c r="AM31" s="1944">
        <v>39.268999999999998</v>
      </c>
      <c r="AN31" s="1948">
        <v>39.335000000000001</v>
      </c>
      <c r="AO31" s="1944">
        <v>39.794800000000002</v>
      </c>
      <c r="AP31" s="1949">
        <v>40.283900000000003</v>
      </c>
      <c r="AQ31" s="1944">
        <v>41.495699999999999</v>
      </c>
      <c r="AR31" s="1949">
        <v>42.29</v>
      </c>
      <c r="AS31" s="1948">
        <v>41.866799999999998</v>
      </c>
      <c r="AT31" s="1948">
        <v>43.012700000000002</v>
      </c>
      <c r="AU31" s="1948">
        <v>43.567599999999999</v>
      </c>
      <c r="AV31" s="1944">
        <v>43.902999999999999</v>
      </c>
      <c r="AW31" s="1944">
        <v>43.833599999999997</v>
      </c>
      <c r="AX31" s="1949">
        <v>44.591000000000001</v>
      </c>
      <c r="AY31" s="1948">
        <v>44.249499999999998</v>
      </c>
      <c r="AZ31" s="1944">
        <v>43.354100000000003</v>
      </c>
      <c r="BA31" s="1949">
        <v>43.459499999999998</v>
      </c>
      <c r="BB31" s="1948">
        <v>45.168100000000003</v>
      </c>
      <c r="BC31" s="1948">
        <v>46.061</v>
      </c>
      <c r="BD31" s="1944">
        <v>46.639499999999998</v>
      </c>
      <c r="BE31" s="1949">
        <v>47.734000000000002</v>
      </c>
      <c r="BF31" s="1948">
        <v>48.984000000000002</v>
      </c>
      <c r="BG31" s="1944">
        <v>49.097099999999998</v>
      </c>
      <c r="BH31" s="1949">
        <v>49.232199999999999</v>
      </c>
      <c r="BI31" s="1948">
        <v>48.798499999999997</v>
      </c>
      <c r="BJ31" s="1948">
        <v>48.476199999999999</v>
      </c>
      <c r="BK31" s="1948">
        <v>48.274999999999999</v>
      </c>
      <c r="BL31" s="1948">
        <v>48.978999999999999</v>
      </c>
      <c r="BM31" s="1948">
        <v>48.316800000000001</v>
      </c>
      <c r="BN31" s="1944">
        <v>47.771099999999997</v>
      </c>
      <c r="BO31" s="1944">
        <v>47.591099999999997</v>
      </c>
      <c r="BP31" s="1944">
        <v>46.9343</v>
      </c>
      <c r="BQ31" s="1944">
        <v>47.74</v>
      </c>
      <c r="BR31" s="1944">
        <v>48.040500000000002</v>
      </c>
      <c r="BS31" s="1944">
        <v>43.557699999999997</v>
      </c>
      <c r="BT31" s="1944">
        <v>41.818800000000003</v>
      </c>
      <c r="BU31" s="1944">
        <v>43.066600000000001</v>
      </c>
      <c r="BV31" s="1944">
        <v>43.333599999999997</v>
      </c>
      <c r="BW31" s="1948">
        <v>45.686900000000001</v>
      </c>
      <c r="BX31" s="1948">
        <v>44.701799999999999</v>
      </c>
      <c r="BY31" s="1948">
        <v>41.885599999999997</v>
      </c>
      <c r="BZ31" s="1944">
        <v>42.515500000000003</v>
      </c>
      <c r="CA31" s="1944">
        <v>42.244399999999999</v>
      </c>
      <c r="CB31" s="1944">
        <v>41.433900000000001</v>
      </c>
      <c r="CC31" s="1944">
        <v>42.739100000000001</v>
      </c>
      <c r="CD31" s="1944">
        <v>42.6708</v>
      </c>
      <c r="CE31" s="1944">
        <v>42.601999999999997</v>
      </c>
      <c r="CF31" s="1944">
        <v>43.5608</v>
      </c>
      <c r="CG31" s="1944">
        <v>43.8474</v>
      </c>
      <c r="CH31" s="1944">
        <v>43.926299999999998</v>
      </c>
      <c r="CI31" s="1944">
        <v>44.148360000000004</v>
      </c>
      <c r="CJ31" s="1944">
        <v>43.427940909090907</v>
      </c>
      <c r="CK31" s="1944">
        <v>43.696795652173911</v>
      </c>
      <c r="CL31" s="1944">
        <v>43.597209999999997</v>
      </c>
      <c r="CM31" s="1944">
        <v>43.069500000000005</v>
      </c>
      <c r="CN31" s="1944">
        <v>42.462459090909086</v>
      </c>
      <c r="CO31" s="1944">
        <v>42.148665000000001</v>
      </c>
      <c r="CP31" s="1944">
        <v>43.081000000000003</v>
      </c>
      <c r="CQ31" s="1944">
        <v>39.937895645536898</v>
      </c>
      <c r="CR31" s="1944">
        <v>39.55914237400696</v>
      </c>
      <c r="CS31" s="1944">
        <v>39.417372924900988</v>
      </c>
      <c r="CT31" s="1944">
        <v>38.49104492208825</v>
      </c>
      <c r="CU31" s="1944">
        <v>38.97069638078392</v>
      </c>
      <c r="CV31" s="1944">
        <v>39.530661053928846</v>
      </c>
      <c r="CW31" s="1944">
        <v>38.868183072311083</v>
      </c>
      <c r="CX31" s="1944">
        <v>37.761709799743528</v>
      </c>
      <c r="CY31" s="1944">
        <v>35.791531683946189</v>
      </c>
      <c r="CZ31" s="1944">
        <v>34.818135279916362</v>
      </c>
      <c r="DA31" s="1944">
        <v>33.977819673215414</v>
      </c>
      <c r="DB31" s="1944">
        <v>32.883559788158692</v>
      </c>
      <c r="DC31" s="1944">
        <v>32.624999958574001</v>
      </c>
      <c r="DD31" s="1944">
        <v>31.386385145052337</v>
      </c>
      <c r="DE31" s="1944">
        <v>30.762696631073489</v>
      </c>
      <c r="DF31" s="1944">
        <v>29.640542669905425</v>
      </c>
      <c r="DG31" s="1944">
        <v>32.244454953418689</v>
      </c>
      <c r="DH31" s="1944">
        <v>34.977597749648723</v>
      </c>
      <c r="DI31" s="1944">
        <v>35.163721608102499</v>
      </c>
      <c r="DJ31" s="1944">
        <v>36.125749987164085</v>
      </c>
      <c r="DK31" s="1944">
        <v>36.220702657724836</v>
      </c>
      <c r="DL31" s="1944">
        <v>36.126301119529508</v>
      </c>
      <c r="DM31" s="1944">
        <v>36.049917131966311</v>
      </c>
      <c r="DN31" s="1944">
        <v>36.916167044965121</v>
      </c>
      <c r="DO31" s="1944">
        <v>38.064691042077662</v>
      </c>
      <c r="DP31" s="1944">
        <v>37.64769739794221</v>
      </c>
      <c r="DQ31" s="1944">
        <v>36.969313871329348</v>
      </c>
      <c r="DR31" s="1944">
        <v>37.225592061956483</v>
      </c>
      <c r="DS31" s="1944">
        <v>37.210445991888079</v>
      </c>
      <c r="DT31" s="1944">
        <v>36.666096770288704</v>
      </c>
      <c r="DU31" s="1944">
        <v>36.022249790839226</v>
      </c>
      <c r="DV31" s="1944">
        <v>35.806882000353134</v>
      </c>
      <c r="DW31" s="1944">
        <v>36.956361437067514</v>
      </c>
      <c r="DX31" s="2003">
        <v>37.708752624508335</v>
      </c>
      <c r="DY31" s="2003">
        <v>37.851470044382765</v>
      </c>
      <c r="DZ31" s="2003">
        <v>37.055406761635638</v>
      </c>
      <c r="EA31" s="2003">
        <v>36.636093107459786</v>
      </c>
      <c r="EB31" s="2003">
        <v>36.121856765613202</v>
      </c>
      <c r="EC31" s="2003">
        <v>36.139413997896391</v>
      </c>
      <c r="ED31" s="2003">
        <v>36.515088280192664</v>
      </c>
      <c r="EE31" s="2003">
        <v>36.267638309254338</v>
      </c>
      <c r="EF31" s="2003">
        <v>35.931483109352989</v>
      </c>
      <c r="EG31" s="2003">
        <v>36.00006798371323</v>
      </c>
      <c r="EH31" s="2003">
        <v>35.966403211027568</v>
      </c>
      <c r="EI31" s="2003">
        <v>35.681713379140021</v>
      </c>
      <c r="EJ31" s="2003">
        <v>35.600340719629031</v>
      </c>
      <c r="EK31" s="2003">
        <v>35.358600017449248</v>
      </c>
      <c r="EL31" s="2003">
        <v>35.483629022743216</v>
      </c>
      <c r="EM31" s="2003">
        <v>35.453118439564733</v>
      </c>
      <c r="EN31" s="2003">
        <v>35.593206610488338</v>
      </c>
      <c r="EO31" s="2003">
        <v>35.907769654866676</v>
      </c>
      <c r="EP31" s="2003">
        <v>36.029052333320266</v>
      </c>
      <c r="EQ31" s="2003">
        <v>35.879953383956739</v>
      </c>
      <c r="ER31" s="2003">
        <v>35.781862824863019</v>
      </c>
      <c r="ES31" s="2003">
        <v>36.209716382352909</v>
      </c>
      <c r="ET31" s="2003">
        <v>36.922384606408912</v>
      </c>
      <c r="EU31" s="2003">
        <v>39.596591888220843</v>
      </c>
      <c r="EV31" s="2003">
        <v>39.608453700802521</v>
      </c>
      <c r="EW31" s="2003">
        <v>37.190183892662176</v>
      </c>
      <c r="EX31" s="2003">
        <v>36.871540151515141</v>
      </c>
      <c r="EY31" s="2004">
        <v>35.93185869565216</v>
      </c>
    </row>
    <row r="32" spans="1:155" s="1897" customFormat="1" ht="21" customHeight="1">
      <c r="A32" s="1925" t="s">
        <v>3410</v>
      </c>
      <c r="B32" s="1994">
        <v>13.032999999999999</v>
      </c>
      <c r="C32" s="1994">
        <v>12.896000000000001</v>
      </c>
      <c r="D32" s="1994">
        <v>14.162727272727272</v>
      </c>
      <c r="E32" s="1994">
        <v>14.972999999999999</v>
      </c>
      <c r="F32" s="2001">
        <v>14.597826086956522</v>
      </c>
      <c r="G32" s="2001">
        <v>14.028095238095236</v>
      </c>
      <c r="H32" s="2001">
        <v>14.1715</v>
      </c>
      <c r="I32" s="2001">
        <v>14.493</v>
      </c>
      <c r="J32" s="2001">
        <v>14.914</v>
      </c>
      <c r="K32" s="2001">
        <v>15.263499999999999</v>
      </c>
      <c r="L32" s="2001">
        <v>15.872</v>
      </c>
      <c r="M32" s="2001">
        <v>15.72</v>
      </c>
      <c r="N32" s="2001">
        <v>15.5875</v>
      </c>
      <c r="O32" s="2001">
        <v>15.382999999999999</v>
      </c>
      <c r="P32" s="2001">
        <v>16.131</v>
      </c>
      <c r="Q32" s="2001">
        <v>16.722999999999999</v>
      </c>
      <c r="R32" s="2001">
        <v>17.559000000000001</v>
      </c>
      <c r="S32" s="2001">
        <v>17.260999999999999</v>
      </c>
      <c r="T32" s="2001">
        <v>17.262</v>
      </c>
      <c r="U32" s="2001">
        <v>17.518000000000001</v>
      </c>
      <c r="V32" s="2001">
        <v>18.094999999999999</v>
      </c>
      <c r="W32" s="2001">
        <v>17.77</v>
      </c>
      <c r="X32" s="2002">
        <v>17.911000000000001</v>
      </c>
      <c r="Y32" s="1944">
        <v>18.167000000000002</v>
      </c>
      <c r="Z32" s="1949">
        <v>17.675000000000001</v>
      </c>
      <c r="AA32" s="1944">
        <v>17.754999999999999</v>
      </c>
      <c r="AB32" s="1949">
        <v>17.506</v>
      </c>
      <c r="AC32" s="1944">
        <v>18.006</v>
      </c>
      <c r="AD32" s="1949">
        <v>18.602</v>
      </c>
      <c r="AE32" s="1944">
        <v>18.888000000000002</v>
      </c>
      <c r="AF32" s="1949">
        <v>19.125</v>
      </c>
      <c r="AG32" s="1944">
        <v>19.846</v>
      </c>
      <c r="AH32" s="1949">
        <v>20.285</v>
      </c>
      <c r="AI32" s="1944">
        <v>20.606000000000002</v>
      </c>
      <c r="AJ32" s="1949">
        <v>20.34</v>
      </c>
      <c r="AK32" s="1948">
        <v>21.437000000000001</v>
      </c>
      <c r="AL32" s="1948">
        <v>21.263000000000002</v>
      </c>
      <c r="AM32" s="1944">
        <v>21.292999999999999</v>
      </c>
      <c r="AN32" s="1948">
        <v>21.096800000000002</v>
      </c>
      <c r="AO32" s="1944">
        <v>20.357600000000001</v>
      </c>
      <c r="AP32" s="1949">
        <v>20.982199999999999</v>
      </c>
      <c r="AQ32" s="1944">
        <v>21.2376</v>
      </c>
      <c r="AR32" s="1949">
        <v>21.500499999999999</v>
      </c>
      <c r="AS32" s="1948">
        <v>21.2958</v>
      </c>
      <c r="AT32" s="1948">
        <v>21.538599999999999</v>
      </c>
      <c r="AU32" s="1948">
        <v>21.349499999999999</v>
      </c>
      <c r="AV32" s="1944">
        <v>20.96</v>
      </c>
      <c r="AW32" s="1944">
        <v>19.901399999999999</v>
      </c>
      <c r="AX32" s="1949">
        <v>19.489999999999998</v>
      </c>
      <c r="AY32" s="1948">
        <v>19.771799999999999</v>
      </c>
      <c r="AZ32" s="1944">
        <v>19.425000000000001</v>
      </c>
      <c r="BA32" s="1949">
        <v>19.514299999999999</v>
      </c>
      <c r="BB32" s="1948">
        <v>20.553799999999999</v>
      </c>
      <c r="BC32" s="1948">
        <v>21.561900000000001</v>
      </c>
      <c r="BD32" s="1944">
        <v>21.905200000000001</v>
      </c>
      <c r="BE32" s="1949">
        <v>22.344000000000001</v>
      </c>
      <c r="BF32" s="1948">
        <v>23.268999999999998</v>
      </c>
      <c r="BG32" s="1944">
        <v>23.484300000000001</v>
      </c>
      <c r="BH32" s="1949">
        <v>23.367799999999999</v>
      </c>
      <c r="BI32" s="1948">
        <v>23.218</v>
      </c>
      <c r="BJ32" s="1948">
        <v>24.038599999999999</v>
      </c>
      <c r="BK32" s="1948">
        <v>23.4041</v>
      </c>
      <c r="BL32" s="1948">
        <v>24.257000000000001</v>
      </c>
      <c r="BM32" s="1948">
        <v>25.135899999999999</v>
      </c>
      <c r="BN32" s="1944">
        <v>23.023800000000001</v>
      </c>
      <c r="BO32" s="1944">
        <v>22.616299999999999</v>
      </c>
      <c r="BP32" s="1944">
        <v>23.573699999999999</v>
      </c>
      <c r="BQ32" s="1944">
        <v>23.472000000000001</v>
      </c>
      <c r="BR32" s="1944">
        <v>23.108000000000001</v>
      </c>
      <c r="BS32" s="1944">
        <v>22.579000000000001</v>
      </c>
      <c r="BT32" s="1944">
        <v>22.976199999999999</v>
      </c>
      <c r="BU32" s="1944">
        <v>21.915099999999999</v>
      </c>
      <c r="BV32" s="1944">
        <v>21.020900000000001</v>
      </c>
      <c r="BW32" s="1948">
        <v>21.535699999999999</v>
      </c>
      <c r="BX32" s="1948">
        <v>21.2178</v>
      </c>
      <c r="BY32" s="1948">
        <v>20.662700000000001</v>
      </c>
      <c r="BZ32" s="1944">
        <v>19.956700000000001</v>
      </c>
      <c r="CA32" s="1944">
        <v>19.9053</v>
      </c>
      <c r="CB32" s="1944">
        <v>18.831800000000001</v>
      </c>
      <c r="CC32" s="1944">
        <v>18.3918</v>
      </c>
      <c r="CD32" s="1944">
        <v>18.1919</v>
      </c>
      <c r="CE32" s="1944">
        <v>18.204899999999999</v>
      </c>
      <c r="CF32" s="1944">
        <v>17.430399999999999</v>
      </c>
      <c r="CG32" s="1944">
        <v>18.282499999999999</v>
      </c>
      <c r="CH32" s="1944">
        <v>19.594899999999999</v>
      </c>
      <c r="CI32" s="1944">
        <v>20.31541</v>
      </c>
      <c r="CJ32" s="1944">
        <v>21.17899090909091</v>
      </c>
      <c r="CK32" s="1944">
        <v>21.218604347826087</v>
      </c>
      <c r="CL32" s="1944">
        <v>22.087624999999999</v>
      </c>
      <c r="CM32" s="1944">
        <v>23.580414285714284</v>
      </c>
      <c r="CN32" s="1944">
        <v>23.163427272727272</v>
      </c>
      <c r="CO32" s="1944">
        <v>22.614079999999998</v>
      </c>
      <c r="CP32" s="1944">
        <v>23.228000000000002</v>
      </c>
      <c r="CQ32" s="1944">
        <v>22.79133266136451</v>
      </c>
      <c r="CR32" s="1944">
        <v>22.424207013579487</v>
      </c>
      <c r="CS32" s="1944">
        <v>22.823253841367944</v>
      </c>
      <c r="CT32" s="1944">
        <v>22.973056234598953</v>
      </c>
      <c r="CU32" s="1944">
        <v>23.822062415806265</v>
      </c>
      <c r="CV32" s="1944">
        <v>23.589311083054984</v>
      </c>
      <c r="CW32" s="1944">
        <v>23.793835037775153</v>
      </c>
      <c r="CX32" s="1944">
        <v>23.274291373665559</v>
      </c>
      <c r="CY32" s="1944">
        <v>22.112259899809359</v>
      </c>
      <c r="CZ32" s="1944">
        <v>22.785644805416275</v>
      </c>
      <c r="DA32" s="1944">
        <v>22.792081135036174</v>
      </c>
      <c r="DB32" s="1944">
        <v>23.442328186606861</v>
      </c>
      <c r="DC32" s="1944">
        <v>24.460672710278985</v>
      </c>
      <c r="DD32" s="1944">
        <v>24.120391648367526</v>
      </c>
      <c r="DE32" s="1944">
        <v>23.750727086432804</v>
      </c>
      <c r="DF32" s="1944">
        <v>23.363209777267983</v>
      </c>
      <c r="DG32" s="1944">
        <v>22.861925431318667</v>
      </c>
      <c r="DH32" s="1944">
        <v>23.097784775065428</v>
      </c>
      <c r="DI32" s="1944">
        <v>24.042255927728966</v>
      </c>
      <c r="DJ32" s="1944">
        <v>24.806628818071388</v>
      </c>
      <c r="DK32" s="1944">
        <v>24.389100847014763</v>
      </c>
      <c r="DL32" s="1944">
        <v>24.333652215716523</v>
      </c>
      <c r="DM32" s="1944">
        <v>23.295605160487639</v>
      </c>
      <c r="DN32" s="1944">
        <v>24.137815669503901</v>
      </c>
      <c r="DO32" s="1944">
        <v>25.319302708733598</v>
      </c>
      <c r="DP32" s="1944">
        <v>25.489887082763506</v>
      </c>
      <c r="DQ32" s="1944">
        <v>25.361603913014918</v>
      </c>
      <c r="DR32" s="1944">
        <v>25.718963731262924</v>
      </c>
      <c r="DS32" s="1944">
        <v>25.892300488251333</v>
      </c>
      <c r="DT32" s="1944">
        <v>26.020411039298885</v>
      </c>
      <c r="DU32" s="1944">
        <v>26.029166852436511</v>
      </c>
      <c r="DV32" s="1944">
        <v>26.038909275979535</v>
      </c>
      <c r="DW32" s="1944">
        <v>26.040100052111107</v>
      </c>
      <c r="DX32" s="2003">
        <v>26.691449571038891</v>
      </c>
      <c r="DY32" s="2003">
        <v>26.046193761792928</v>
      </c>
      <c r="DZ32" s="2003">
        <v>24.837505363238886</v>
      </c>
      <c r="EA32" s="2003">
        <v>24.895025412248788</v>
      </c>
      <c r="EB32" s="2003">
        <v>24.818443941531747</v>
      </c>
      <c r="EC32" s="2003">
        <v>25.510332003805559</v>
      </c>
      <c r="ED32" s="2003">
        <v>25.81056567608454</v>
      </c>
      <c r="EE32" s="2003">
        <v>25.692442795211111</v>
      </c>
      <c r="EF32" s="2003">
        <v>25.363928138230161</v>
      </c>
      <c r="EG32" s="2003">
        <v>25.551446357657891</v>
      </c>
      <c r="EH32" s="2003">
        <v>25.557016947320989</v>
      </c>
      <c r="EI32" s="2003">
        <v>26.129053806464913</v>
      </c>
      <c r="EJ32" s="2003">
        <v>26.41463017083333</v>
      </c>
      <c r="EK32" s="2003">
        <v>26.447369924103278</v>
      </c>
      <c r="EL32" s="2003">
        <v>26.612299054678733</v>
      </c>
      <c r="EM32" s="2003">
        <v>26.881993364582225</v>
      </c>
      <c r="EN32" s="2003">
        <v>26.256316796132495</v>
      </c>
      <c r="EO32" s="2003">
        <v>25.849481770838391</v>
      </c>
      <c r="EP32" s="2003">
        <v>25.184205886664145</v>
      </c>
      <c r="EQ32" s="2003">
        <v>25.119393191177778</v>
      </c>
      <c r="ER32" s="2003">
        <v>24.969745873751766</v>
      </c>
      <c r="ES32" s="2003">
        <v>25.127509232477784</v>
      </c>
      <c r="ET32" s="2003">
        <v>25.051283573924184</v>
      </c>
      <c r="EU32" s="2003">
        <v>26.999128420412262</v>
      </c>
      <c r="EV32" s="2003">
        <v>27.926113636363638</v>
      </c>
      <c r="EW32" s="2003">
        <v>26.428923533333336</v>
      </c>
      <c r="EX32" s="2003">
        <v>25.095877777777776</v>
      </c>
      <c r="EY32" s="2004">
        <v>24.084295652173928</v>
      </c>
    </row>
    <row r="33" spans="1:155" s="1897" customFormat="1" ht="21" customHeight="1">
      <c r="A33" s="1925" t="s">
        <v>3411</v>
      </c>
      <c r="B33" s="1994">
        <v>16.757999999999999</v>
      </c>
      <c r="C33" s="1994">
        <v>16.849</v>
      </c>
      <c r="D33" s="1994">
        <v>17.078181818181818</v>
      </c>
      <c r="E33" s="1994">
        <v>17.166499999999999</v>
      </c>
      <c r="F33" s="2001">
        <v>17.343478260869563</v>
      </c>
      <c r="G33" s="2001">
        <v>17.231428571428573</v>
      </c>
      <c r="H33" s="2001">
        <v>17.103999999999999</v>
      </c>
      <c r="I33" s="2001">
        <v>16.911999999999999</v>
      </c>
      <c r="J33" s="2001">
        <v>17.032</v>
      </c>
      <c r="K33" s="2006">
        <v>17.073</v>
      </c>
      <c r="L33" s="2006">
        <v>16.913</v>
      </c>
      <c r="M33" s="2006">
        <v>16.271000000000001</v>
      </c>
      <c r="N33" s="2006">
        <v>16.052</v>
      </c>
      <c r="O33" s="2006">
        <v>15.747999999999999</v>
      </c>
      <c r="P33" s="2006">
        <v>16.222999999999999</v>
      </c>
      <c r="Q33" s="2006">
        <v>16.672000000000001</v>
      </c>
      <c r="R33" s="2006">
        <v>17.152999999999999</v>
      </c>
      <c r="S33" s="2006">
        <v>16.992000000000001</v>
      </c>
      <c r="T33" s="2006">
        <v>17.003</v>
      </c>
      <c r="U33" s="2001">
        <v>16.86</v>
      </c>
      <c r="V33" s="2001">
        <v>16.742000000000001</v>
      </c>
      <c r="W33" s="2001">
        <v>16.170999999999999</v>
      </c>
      <c r="X33" s="2002">
        <v>15.781000000000001</v>
      </c>
      <c r="Y33" s="1944">
        <v>15.609</v>
      </c>
      <c r="Z33" s="1949">
        <v>15.728999999999999</v>
      </c>
      <c r="AA33" s="1944">
        <v>16.440999999999999</v>
      </c>
      <c r="AB33" s="1949">
        <v>16.666</v>
      </c>
      <c r="AC33" s="1944">
        <v>16.776</v>
      </c>
      <c r="AD33" s="1949">
        <v>16.826000000000001</v>
      </c>
      <c r="AE33" s="1944">
        <v>16.875</v>
      </c>
      <c r="AF33" s="1949">
        <v>17.148</v>
      </c>
      <c r="AG33" s="1944">
        <v>17.349</v>
      </c>
      <c r="AH33" s="1949">
        <v>17.59</v>
      </c>
      <c r="AI33" s="1944">
        <v>17.577000000000002</v>
      </c>
      <c r="AJ33" s="1949">
        <v>17.684999999999999</v>
      </c>
      <c r="AK33" s="1948">
        <v>18.064</v>
      </c>
      <c r="AL33" s="1948">
        <v>17.914999999999999</v>
      </c>
      <c r="AM33" s="1944">
        <v>17.977</v>
      </c>
      <c r="AN33" s="1948">
        <v>17.850000000000001</v>
      </c>
      <c r="AO33" s="1944">
        <v>17.839500000000001</v>
      </c>
      <c r="AP33" s="1949">
        <v>18.196999999999999</v>
      </c>
      <c r="AQ33" s="1944">
        <v>18.1129</v>
      </c>
      <c r="AR33" s="1949">
        <v>18.2514</v>
      </c>
      <c r="AS33" s="1948">
        <v>18.247900000000001</v>
      </c>
      <c r="AT33" s="1948">
        <v>18.5914</v>
      </c>
      <c r="AU33" s="1948">
        <v>19.083300000000001</v>
      </c>
      <c r="AV33" s="1944">
        <v>19.158000000000001</v>
      </c>
      <c r="AW33" s="1944">
        <v>19.287700000000001</v>
      </c>
      <c r="AX33" s="1949">
        <v>19.578499999999998</v>
      </c>
      <c r="AY33" s="1948">
        <v>19.8873</v>
      </c>
      <c r="AZ33" s="1944">
        <v>19.724499999999999</v>
      </c>
      <c r="BA33" s="1949">
        <v>19.9786</v>
      </c>
      <c r="BB33" s="1948">
        <v>20.5943</v>
      </c>
      <c r="BC33" s="1948">
        <v>20.898599999999998</v>
      </c>
      <c r="BD33" s="1944">
        <v>21.0367</v>
      </c>
      <c r="BE33" s="1949">
        <v>21.553999999999998</v>
      </c>
      <c r="BF33" s="1948">
        <v>21.919499999999999</v>
      </c>
      <c r="BG33" s="1944">
        <v>22.117100000000001</v>
      </c>
      <c r="BH33" s="1949">
        <v>22.1433</v>
      </c>
      <c r="BI33" s="1948">
        <v>22.0395</v>
      </c>
      <c r="BJ33" s="1948">
        <v>21.8886</v>
      </c>
      <c r="BK33" s="1948">
        <v>21.153199999999998</v>
      </c>
      <c r="BL33" s="1948">
        <v>21.01</v>
      </c>
      <c r="BM33" s="1948">
        <v>21.225899999999999</v>
      </c>
      <c r="BN33" s="1944">
        <v>20.894200000000001</v>
      </c>
      <c r="BO33" s="1944">
        <v>21.465299999999999</v>
      </c>
      <c r="BP33" s="1944">
        <v>21.276299999999999</v>
      </c>
      <c r="BQ33" s="1944">
        <v>21.388999999999999</v>
      </c>
      <c r="BR33" s="1944">
        <v>20.832899999999999</v>
      </c>
      <c r="BS33" s="1944">
        <v>20.564599999999999</v>
      </c>
      <c r="BT33" s="1944">
        <v>20.558299999999999</v>
      </c>
      <c r="BU33" s="1944">
        <v>19.863900000000001</v>
      </c>
      <c r="BV33" s="1944">
        <v>19.6126</v>
      </c>
      <c r="BW33" s="1948">
        <v>20.411899999999999</v>
      </c>
      <c r="BX33" s="1948">
        <v>20.4846</v>
      </c>
      <c r="BY33" s="1948">
        <v>20.2439</v>
      </c>
      <c r="BZ33" s="1944">
        <v>20.189399999999999</v>
      </c>
      <c r="CA33" s="1944">
        <v>20.8127</v>
      </c>
      <c r="CB33" s="1944">
        <v>21.0563</v>
      </c>
      <c r="CC33" s="1944">
        <v>21.779499999999999</v>
      </c>
      <c r="CD33" s="1944">
        <v>22.167999999999999</v>
      </c>
      <c r="CE33" s="1944">
        <v>22.247699999999998</v>
      </c>
      <c r="CF33" s="1944">
        <v>22.4574</v>
      </c>
      <c r="CG33" s="1944">
        <v>22.666899999999998</v>
      </c>
      <c r="CH33" s="1944">
        <v>22.898499999999999</v>
      </c>
      <c r="CI33" s="1944">
        <v>23.215869999999999</v>
      </c>
      <c r="CJ33" s="1944">
        <v>22.954350000000002</v>
      </c>
      <c r="CK33" s="1944">
        <v>22.818152173913049</v>
      </c>
      <c r="CL33" s="1944">
        <v>22.783004999999996</v>
      </c>
      <c r="CM33" s="1944">
        <v>22.594742857142858</v>
      </c>
      <c r="CN33" s="1944">
        <v>22.541172727272723</v>
      </c>
      <c r="CO33" s="1944">
        <v>22.381464999999999</v>
      </c>
      <c r="CP33" s="1944">
        <v>23.966999999999999</v>
      </c>
      <c r="CQ33" s="1944">
        <v>23.347333854197903</v>
      </c>
      <c r="CR33" s="1944">
        <v>23.213315276628052</v>
      </c>
      <c r="CS33" s="1944">
        <v>23.588268337462242</v>
      </c>
      <c r="CT33" s="1944">
        <v>23.53592334704534</v>
      </c>
      <c r="CU33" s="1944">
        <v>23.854944206084522</v>
      </c>
      <c r="CV33" s="1944">
        <v>24.07279162376156</v>
      </c>
      <c r="CW33" s="1944">
        <v>24.189805222839485</v>
      </c>
      <c r="CX33" s="1944">
        <v>23.893700864554116</v>
      </c>
      <c r="CY33" s="1944">
        <v>23.566285037901615</v>
      </c>
      <c r="CZ33" s="1944">
        <v>23.226114483969496</v>
      </c>
      <c r="DA33" s="1944">
        <v>23.169147918580606</v>
      </c>
      <c r="DB33" s="1944">
        <v>23.371055412151382</v>
      </c>
      <c r="DC33" s="1944">
        <v>23.85356089154978</v>
      </c>
      <c r="DD33" s="1944">
        <v>23.889470006024052</v>
      </c>
      <c r="DE33" s="1944">
        <v>23.466031210343861</v>
      </c>
      <c r="DF33" s="1944">
        <v>23.277916811514093</v>
      </c>
      <c r="DG33" s="1944">
        <v>23.110842372836608</v>
      </c>
      <c r="DH33" s="1944">
        <v>23.224538301593022</v>
      </c>
      <c r="DI33" s="1944">
        <v>23.557940008873796</v>
      </c>
      <c r="DJ33" s="1944">
        <v>23.797147204984149</v>
      </c>
      <c r="DK33" s="1944">
        <v>23.699091445814247</v>
      </c>
      <c r="DL33" s="1944">
        <v>23.850673088793659</v>
      </c>
      <c r="DM33" s="1944">
        <v>23.930066896625945</v>
      </c>
      <c r="DN33" s="1944">
        <v>24.308335586712388</v>
      </c>
      <c r="DO33" s="1944">
        <v>25.203501901616331</v>
      </c>
      <c r="DP33" s="1944">
        <v>25.252874906252195</v>
      </c>
      <c r="DQ33" s="1944">
        <v>25.2243074770089</v>
      </c>
      <c r="DR33" s="1944">
        <v>25.681510317583857</v>
      </c>
      <c r="DS33" s="1944">
        <v>25.893608547441836</v>
      </c>
      <c r="DT33" s="1944">
        <v>25.684079968573769</v>
      </c>
      <c r="DU33" s="1944">
        <v>25.335873914899469</v>
      </c>
      <c r="DV33" s="1944">
        <v>25.115911757682849</v>
      </c>
      <c r="DW33" s="1944">
        <v>25.304183094046362</v>
      </c>
      <c r="DX33" s="2003">
        <v>25.532959584218283</v>
      </c>
      <c r="DY33" s="2003">
        <v>25.367698362767101</v>
      </c>
      <c r="DZ33" s="2003">
        <v>25.016859038783956</v>
      </c>
      <c r="EA33" s="2003">
        <v>24.968549189287593</v>
      </c>
      <c r="EB33" s="2003">
        <v>24.698396054931024</v>
      </c>
      <c r="EC33" s="2003">
        <v>24.90887339942083</v>
      </c>
      <c r="ED33" s="2003">
        <v>24.928576586985162</v>
      </c>
      <c r="EE33" s="2003">
        <v>24.953031571372041</v>
      </c>
      <c r="EF33" s="2003">
        <v>24.534856272821891</v>
      </c>
      <c r="EG33" s="2003">
        <v>24.265158111141186</v>
      </c>
      <c r="EH33" s="2003">
        <v>24.373516629559834</v>
      </c>
      <c r="EI33" s="2003">
        <v>24.231200710166863</v>
      </c>
      <c r="EJ33" s="2003">
        <v>24.496897112015223</v>
      </c>
      <c r="EK33" s="2003">
        <v>24.602893990283004</v>
      </c>
      <c r="EL33" s="2003">
        <v>24.721537092905766</v>
      </c>
      <c r="EM33" s="2003">
        <v>24.903398537069805</v>
      </c>
      <c r="EN33" s="2003">
        <v>24.994709456647435</v>
      </c>
      <c r="EO33" s="2003">
        <v>25.135233127606465</v>
      </c>
      <c r="EP33" s="2003">
        <v>25.109662260849596</v>
      </c>
      <c r="EQ33" s="2003">
        <v>24.780872916808583</v>
      </c>
      <c r="ER33" s="2003">
        <v>24.489873706660816</v>
      </c>
      <c r="ES33" s="2003">
        <v>24.617977440481173</v>
      </c>
      <c r="ET33" s="2003">
        <v>24.839735387485323</v>
      </c>
      <c r="EU33" s="2003">
        <v>26.278623872094165</v>
      </c>
      <c r="EV33" s="2003">
        <v>27.338440909090913</v>
      </c>
      <c r="EW33" s="2003">
        <v>26.858279080260683</v>
      </c>
      <c r="EX33" s="2003">
        <v>26.727862662337667</v>
      </c>
      <c r="EY33" s="2004">
        <v>26.650708337314867</v>
      </c>
    </row>
    <row r="34" spans="1:155" s="1897" customFormat="1" ht="21" customHeight="1">
      <c r="A34" s="1925" t="s">
        <v>3412</v>
      </c>
      <c r="B34" s="1994">
        <v>2.6720000000000002</v>
      </c>
      <c r="C34" s="1994">
        <v>2.702</v>
      </c>
      <c r="D34" s="1994">
        <v>3.0422727272727275</v>
      </c>
      <c r="E34" s="2001">
        <v>3.0305</v>
      </c>
      <c r="F34" s="2001">
        <v>3.0239130434782608</v>
      </c>
      <c r="G34" s="2001">
        <v>2.8757142857142859</v>
      </c>
      <c r="H34" s="2001">
        <v>2.8624999999999998</v>
      </c>
      <c r="I34" s="2001">
        <v>2.9369999999999998</v>
      </c>
      <c r="J34" s="2001">
        <v>3.1240000000000001</v>
      </c>
      <c r="K34" s="2006">
        <v>3.3494999999999999</v>
      </c>
      <c r="L34" s="2006">
        <v>3.3849999999999998</v>
      </c>
      <c r="M34" s="2006">
        <v>3.4329999999999998</v>
      </c>
      <c r="N34" s="2001">
        <v>3.5055000000000001</v>
      </c>
      <c r="O34" s="2001">
        <v>3.66</v>
      </c>
      <c r="P34" s="2001">
        <v>3.7010000000000001</v>
      </c>
      <c r="Q34" s="2001">
        <v>3.6739999999999999</v>
      </c>
      <c r="R34" s="2001">
        <v>4.0049999999999999</v>
      </c>
      <c r="S34" s="2001">
        <v>4.0469999999999997</v>
      </c>
      <c r="T34" s="2001">
        <v>4.0629999999999997</v>
      </c>
      <c r="U34" s="2001">
        <v>4.2080000000000002</v>
      </c>
      <c r="V34" s="2001">
        <v>4.306</v>
      </c>
      <c r="W34" s="2001">
        <v>4.2640000000000002</v>
      </c>
      <c r="X34" s="2002">
        <v>3.8959999999999999</v>
      </c>
      <c r="Y34" s="1944">
        <v>3.915</v>
      </c>
      <c r="Z34" s="1949">
        <v>4.0659999999999998</v>
      </c>
      <c r="AA34" s="1944">
        <v>4.2729999999999997</v>
      </c>
      <c r="AB34" s="1949">
        <v>4.2290000000000001</v>
      </c>
      <c r="AC34" s="1944">
        <v>4.5</v>
      </c>
      <c r="AD34" s="1949">
        <v>4.7439999999999998</v>
      </c>
      <c r="AE34" s="1944">
        <v>4.5369999999999999</v>
      </c>
      <c r="AF34" s="1949">
        <v>4.4969999999999999</v>
      </c>
      <c r="AG34" s="1944">
        <v>4.6037999999999997</v>
      </c>
      <c r="AH34" s="1949">
        <v>4.8570000000000002</v>
      </c>
      <c r="AI34" s="1944">
        <v>5.0869999999999997</v>
      </c>
      <c r="AJ34" s="1949">
        <v>4.899</v>
      </c>
      <c r="AK34" s="1948">
        <v>4.931</v>
      </c>
      <c r="AL34" s="1948">
        <v>4.8499999999999996</v>
      </c>
      <c r="AM34" s="1944">
        <v>4.7480000000000002</v>
      </c>
      <c r="AN34" s="1948">
        <v>4.4618000000000002</v>
      </c>
      <c r="AO34" s="1944">
        <v>4.5190000000000001</v>
      </c>
      <c r="AP34" s="1949">
        <v>4.7126000000000001</v>
      </c>
      <c r="AQ34" s="1944">
        <v>4.8304999999999998</v>
      </c>
      <c r="AR34" s="1949">
        <v>4.7476000000000003</v>
      </c>
      <c r="AS34" s="1948">
        <v>4.7031999999999998</v>
      </c>
      <c r="AT34" s="1948">
        <v>4.9432</v>
      </c>
      <c r="AU34" s="1948">
        <v>5.1862000000000004</v>
      </c>
      <c r="AV34" s="1944">
        <v>5.1719999999999997</v>
      </c>
      <c r="AW34" s="1944">
        <v>5.0731999999999999</v>
      </c>
      <c r="AX34" s="1949">
        <v>5.21</v>
      </c>
      <c r="AY34" s="1948">
        <v>5.0294999999999996</v>
      </c>
      <c r="AZ34" s="1944">
        <v>4.5781999999999998</v>
      </c>
      <c r="BA34" s="1949">
        <v>4.5313999999999997</v>
      </c>
      <c r="BB34" s="1948">
        <v>4.7542999999999997</v>
      </c>
      <c r="BC34" s="1948">
        <v>4.54</v>
      </c>
      <c r="BD34" s="1944">
        <v>4.4432999999999998</v>
      </c>
      <c r="BE34" s="1949">
        <v>4.7389999999999999</v>
      </c>
      <c r="BF34" s="1948">
        <v>4.9080000000000004</v>
      </c>
      <c r="BG34" s="1944">
        <v>4.8367000000000004</v>
      </c>
      <c r="BH34" s="1949">
        <v>4.8316999999999997</v>
      </c>
      <c r="BI34" s="1948">
        <v>4.6425000000000001</v>
      </c>
      <c r="BJ34" s="1948">
        <v>4.7004999999999999</v>
      </c>
      <c r="BK34" s="1948">
        <v>4.6285999999999996</v>
      </c>
      <c r="BL34" s="1948">
        <v>4.5510000000000002</v>
      </c>
      <c r="BM34" s="1948">
        <v>4.6664000000000003</v>
      </c>
      <c r="BN34" s="1944">
        <v>4.4466999999999999</v>
      </c>
      <c r="BO34" s="1944">
        <v>4.5033000000000003</v>
      </c>
      <c r="BP34" s="1944">
        <v>4.6576000000000004</v>
      </c>
      <c r="BQ34" s="1944">
        <v>4.6500000000000004</v>
      </c>
      <c r="BR34" s="1944">
        <v>4.4543999999999997</v>
      </c>
      <c r="BS34" s="1944">
        <v>4.2629000000000001</v>
      </c>
      <c r="BT34" s="1944">
        <v>3.8361999999999998</v>
      </c>
      <c r="BU34" s="1944">
        <v>3.4605999999999999</v>
      </c>
      <c r="BV34" s="1944">
        <v>3.4661</v>
      </c>
      <c r="BW34" s="1948">
        <v>3.6922000000000001</v>
      </c>
      <c r="BX34" s="1948">
        <v>3.5630999999999999</v>
      </c>
      <c r="BY34" s="1948">
        <v>3.6261999999999999</v>
      </c>
      <c r="BZ34" s="1944">
        <v>3.7364999999999999</v>
      </c>
      <c r="CA34" s="1944">
        <v>3.7227999999999999</v>
      </c>
      <c r="CB34" s="1944">
        <v>3.2473000000000001</v>
      </c>
      <c r="CC34" s="1944">
        <v>3.2812999999999999</v>
      </c>
      <c r="CD34" s="1944">
        <v>3.3353000000000002</v>
      </c>
      <c r="CE34" s="1944">
        <v>3.3984000000000001</v>
      </c>
      <c r="CF34" s="1944">
        <v>3.4552999999999998</v>
      </c>
      <c r="CG34" s="1944">
        <v>3.5225</v>
      </c>
      <c r="CH34" s="1944">
        <v>3.8546999999999998</v>
      </c>
      <c r="CI34" s="1944">
        <v>4.0790649999999999</v>
      </c>
      <c r="CJ34" s="1944">
        <v>4.1658772727272737</v>
      </c>
      <c r="CK34" s="1944">
        <v>4.1837086956521743</v>
      </c>
      <c r="CL34" s="1944">
        <v>4.1656550000000001</v>
      </c>
      <c r="CM34" s="1944">
        <v>4.30397619047619</v>
      </c>
      <c r="CN34" s="1944">
        <v>4.2520727272727266</v>
      </c>
      <c r="CO34" s="1944">
        <v>4.1721850000000007</v>
      </c>
      <c r="CP34" s="1944">
        <v>4.3959999999999999</v>
      </c>
      <c r="CQ34" s="1944">
        <v>4.2772433017535469</v>
      </c>
      <c r="CR34" s="1944">
        <v>4.3295198587026569</v>
      </c>
      <c r="CS34" s="1944">
        <v>4.4357190662529149</v>
      </c>
      <c r="CT34" s="1944">
        <v>4.4624094718396288</v>
      </c>
      <c r="CU34" s="1944">
        <v>4.4655108426880306</v>
      </c>
      <c r="CV34" s="1944">
        <v>4.6267038636392366</v>
      </c>
      <c r="CW34" s="1944">
        <v>4.5356470210893081</v>
      </c>
      <c r="CX34" s="1944">
        <v>4.2620224636081163</v>
      </c>
      <c r="CY34" s="1944">
        <v>4.3386433542192933</v>
      </c>
      <c r="CZ34" s="1944">
        <v>4.3238891020413135</v>
      </c>
      <c r="DA34" s="1944">
        <v>4.208836395000211</v>
      </c>
      <c r="DB34" s="1944">
        <v>4.2697037917046785</v>
      </c>
      <c r="DC34" s="1944">
        <v>4.300147130799755</v>
      </c>
      <c r="DD34" s="1944">
        <v>4.1081725569487864</v>
      </c>
      <c r="DE34" s="1944">
        <v>3.909848208732813</v>
      </c>
      <c r="DF34" s="1944">
        <v>3.7625954346183024</v>
      </c>
      <c r="DG34" s="1944">
        <v>3.6827117070059883</v>
      </c>
      <c r="DH34" s="1944">
        <v>3.6979842359907096</v>
      </c>
      <c r="DI34" s="1944">
        <v>3.7828404874052901</v>
      </c>
      <c r="DJ34" s="1944">
        <v>3.9191637932017236</v>
      </c>
      <c r="DK34" s="1944">
        <v>3.9514543026214488</v>
      </c>
      <c r="DL34" s="1944">
        <v>3.8359853005092184</v>
      </c>
      <c r="DM34" s="1944">
        <v>3.7274638806544615</v>
      </c>
      <c r="DN34" s="1944">
        <v>3.7306375348746883</v>
      </c>
      <c r="DO34" s="1944">
        <v>3.8802480426309258</v>
      </c>
      <c r="DP34" s="1944">
        <v>3.8329099385933123</v>
      </c>
      <c r="DQ34" s="1944">
        <v>3.7804619281712579</v>
      </c>
      <c r="DR34" s="1944">
        <v>3.6630073893087989</v>
      </c>
      <c r="DS34" s="1944">
        <v>3.6192437040455188</v>
      </c>
      <c r="DT34" s="1944">
        <v>3.6527415832442087</v>
      </c>
      <c r="DU34" s="1944">
        <v>3.5576262187028851</v>
      </c>
      <c r="DV34" s="1944">
        <v>3.5266240813225913</v>
      </c>
      <c r="DW34" s="1944">
        <v>3.4548237904409915</v>
      </c>
      <c r="DX34" s="2003">
        <v>3.492511961893848</v>
      </c>
      <c r="DY34" s="2003">
        <v>3.4153373573757264</v>
      </c>
      <c r="DZ34" s="2003">
        <v>3.1550674573292907</v>
      </c>
      <c r="EA34" s="2003">
        <v>3.2093342079043912</v>
      </c>
      <c r="EB34" s="2003">
        <v>3.1358030997531885</v>
      </c>
      <c r="EC34" s="2003">
        <v>3.1677634558290126</v>
      </c>
      <c r="ED34" s="2003">
        <v>3.1473238687509282</v>
      </c>
      <c r="EE34" s="2003">
        <v>3.0695100067739309</v>
      </c>
      <c r="EF34" s="2003">
        <v>2.9986284940067907</v>
      </c>
      <c r="EG34" s="2003">
        <v>2.8665131912974284</v>
      </c>
      <c r="EH34" s="2003">
        <v>2.8307984638668495</v>
      </c>
      <c r="EI34" s="2003">
        <v>2.8703791531057448</v>
      </c>
      <c r="EJ34" s="2003">
        <v>2.93147652163253</v>
      </c>
      <c r="EK34" s="2003">
        <v>2.9753364948827432</v>
      </c>
      <c r="EL34" s="2003">
        <v>2.9062170832109917</v>
      </c>
      <c r="EM34" s="2003">
        <v>2.9112595055048947</v>
      </c>
      <c r="EN34" s="2003">
        <v>2.9311100105401997</v>
      </c>
      <c r="EO34" s="2003">
        <v>2.9045200843882699</v>
      </c>
      <c r="EP34" s="2003">
        <v>2.8964409801106323</v>
      </c>
      <c r="EQ34" s="2003">
        <v>2.9019397114231102</v>
      </c>
      <c r="ER34" s="2003">
        <v>2.8145403504306978</v>
      </c>
      <c r="ES34" s="2003">
        <v>2.8557139524186517</v>
      </c>
      <c r="ET34" s="2003">
        <v>2.9126323564897816</v>
      </c>
      <c r="EU34" s="2003">
        <v>3.0087663574384909</v>
      </c>
      <c r="EV34" s="2003">
        <v>3.0824818181818183</v>
      </c>
      <c r="EW34" s="2003">
        <v>3.0012321128754431</v>
      </c>
      <c r="EX34" s="2003">
        <v>2.9307087662337667</v>
      </c>
      <c r="EY34" s="2004">
        <v>2.9220071428571432</v>
      </c>
    </row>
    <row r="35" spans="1:155" s="1897" customFormat="1" ht="21" customHeight="1">
      <c r="A35" s="1925" t="s">
        <v>3413</v>
      </c>
      <c r="B35" s="1994">
        <v>18.302</v>
      </c>
      <c r="C35" s="1994">
        <v>17.972999999999999</v>
      </c>
      <c r="D35" s="1994">
        <v>19.152272727272727</v>
      </c>
      <c r="E35" s="2001">
        <v>19.6465</v>
      </c>
      <c r="F35" s="2001">
        <v>20.420000000000002</v>
      </c>
      <c r="G35" s="2001">
        <v>20.020476190476192</v>
      </c>
      <c r="H35" s="2001">
        <v>20.015999999999998</v>
      </c>
      <c r="I35" s="2001">
        <v>20.027000000000001</v>
      </c>
      <c r="J35" s="2001">
        <v>20.305</v>
      </c>
      <c r="K35" s="2006">
        <v>20.577999999999999</v>
      </c>
      <c r="L35" s="2006">
        <v>21.103000000000002</v>
      </c>
      <c r="M35" s="2006">
        <v>20.626000000000001</v>
      </c>
      <c r="N35" s="2006">
        <v>20.436</v>
      </c>
      <c r="O35" s="2001">
        <v>20.059999999999999</v>
      </c>
      <c r="P35" s="2001">
        <v>21.216000000000001</v>
      </c>
      <c r="Q35" s="2001">
        <v>21.661999999999999</v>
      </c>
      <c r="R35" s="2001">
        <v>21.852</v>
      </c>
      <c r="S35" s="2001">
        <v>21.306000000000001</v>
      </c>
      <c r="T35" s="2001">
        <v>21.279</v>
      </c>
      <c r="U35" s="2001">
        <v>21.818999999999999</v>
      </c>
      <c r="V35" s="2001">
        <v>21.428000000000001</v>
      </c>
      <c r="W35" s="2001">
        <v>21.501000000000001</v>
      </c>
      <c r="X35" s="2002">
        <v>21.24</v>
      </c>
      <c r="Y35" s="1944">
        <v>20.849</v>
      </c>
      <c r="Z35" s="1949">
        <v>20.655999999999999</v>
      </c>
      <c r="AA35" s="1944">
        <v>21.132999999999999</v>
      </c>
      <c r="AB35" s="1949">
        <v>21.975999999999999</v>
      </c>
      <c r="AC35" s="1944">
        <v>22.724</v>
      </c>
      <c r="AD35" s="1949">
        <v>22.913</v>
      </c>
      <c r="AE35" s="1944">
        <v>22.687000000000001</v>
      </c>
      <c r="AF35" s="1949">
        <v>22.805</v>
      </c>
      <c r="AG35" s="1944">
        <v>23.326000000000001</v>
      </c>
      <c r="AH35" s="1949">
        <v>24.552</v>
      </c>
      <c r="AI35" s="1944">
        <v>24.945</v>
      </c>
      <c r="AJ35" s="1949">
        <v>24.318999999999999</v>
      </c>
      <c r="AK35" s="1948">
        <v>24.84</v>
      </c>
      <c r="AL35" s="1948">
        <v>24.512</v>
      </c>
      <c r="AM35" s="1944">
        <v>24.161000000000001</v>
      </c>
      <c r="AN35" s="1948">
        <v>23.3691</v>
      </c>
      <c r="AO35" s="1944">
        <v>22.993300000000001</v>
      </c>
      <c r="AP35" s="1949">
        <v>23.687000000000001</v>
      </c>
      <c r="AQ35" s="1944">
        <v>23.834299999999999</v>
      </c>
      <c r="AR35" s="1949">
        <v>23.723800000000001</v>
      </c>
      <c r="AS35" s="1948">
        <v>23.371600000000001</v>
      </c>
      <c r="AT35" s="1948">
        <v>23.5977</v>
      </c>
      <c r="AU35" s="1948">
        <v>24.1252</v>
      </c>
      <c r="AV35" s="1944">
        <v>23.677</v>
      </c>
      <c r="AW35" s="1944">
        <v>23.735499999999998</v>
      </c>
      <c r="AX35" s="1949">
        <v>24.166</v>
      </c>
      <c r="AY35" s="1948">
        <v>25.488199999999999</v>
      </c>
      <c r="AZ35" s="1944">
        <v>25.234999999999999</v>
      </c>
      <c r="BA35" s="1949">
        <v>25.367100000000001</v>
      </c>
      <c r="BB35" s="1948">
        <v>26.208100000000002</v>
      </c>
      <c r="BC35" s="1948">
        <v>26.445699999999999</v>
      </c>
      <c r="BD35" s="1944">
        <v>26.268999999999998</v>
      </c>
      <c r="BE35" s="1949">
        <v>27.004000000000001</v>
      </c>
      <c r="BF35" s="1948">
        <v>27.774000000000001</v>
      </c>
      <c r="BG35" s="1944">
        <v>27.1538</v>
      </c>
      <c r="BH35" s="1949">
        <v>27.171099999999999</v>
      </c>
      <c r="BI35" s="1948">
        <v>27.3325</v>
      </c>
      <c r="BJ35" s="1948">
        <v>27.041899999999998</v>
      </c>
      <c r="BK35" s="1948">
        <v>26.09</v>
      </c>
      <c r="BL35" s="1948">
        <v>25.984000000000002</v>
      </c>
      <c r="BM35" s="1948">
        <v>26.453199999999999</v>
      </c>
      <c r="BN35" s="1944">
        <v>26.263100000000001</v>
      </c>
      <c r="BO35" s="1944">
        <v>26.5534</v>
      </c>
      <c r="BP35" s="1944">
        <v>26.389800000000001</v>
      </c>
      <c r="BQ35" s="1944">
        <v>27.465</v>
      </c>
      <c r="BR35" s="1944">
        <v>26.335699999999999</v>
      </c>
      <c r="BS35" s="1944">
        <v>26.551400000000001</v>
      </c>
      <c r="BT35" s="1944">
        <v>26.3902</v>
      </c>
      <c r="BU35" s="1944">
        <v>27.081</v>
      </c>
      <c r="BV35" s="1944">
        <v>26.2255</v>
      </c>
      <c r="BW35" s="1948">
        <v>26.531300000000002</v>
      </c>
      <c r="BX35" s="1948">
        <v>26.857700000000001</v>
      </c>
      <c r="BY35" s="1948">
        <v>26.646899999999999</v>
      </c>
      <c r="BZ35" s="1944">
        <v>26.029499999999999</v>
      </c>
      <c r="CA35" s="1944">
        <v>26.732299999999999</v>
      </c>
      <c r="CB35" s="1944">
        <v>27.132200000000001</v>
      </c>
      <c r="CC35" s="1944">
        <v>27.476199999999999</v>
      </c>
      <c r="CD35" s="1944">
        <v>28.6631</v>
      </c>
      <c r="CE35" s="1944">
        <v>29.387</v>
      </c>
      <c r="CF35" s="1944">
        <v>28.995799999999999</v>
      </c>
      <c r="CG35" s="1944">
        <v>29.960799999999999</v>
      </c>
      <c r="CH35" s="1944">
        <v>29.9358</v>
      </c>
      <c r="CI35" s="1944">
        <v>30.529914999999999</v>
      </c>
      <c r="CJ35" s="1944">
        <v>30.758495454545457</v>
      </c>
      <c r="CK35" s="1944">
        <v>30.491508695652168</v>
      </c>
      <c r="CL35" s="1944">
        <v>30.580559999999998</v>
      </c>
      <c r="CM35" s="1944">
        <v>30.739638095238092</v>
      </c>
      <c r="CN35" s="1944">
        <v>30.574972727272733</v>
      </c>
      <c r="CO35" s="1944">
        <v>30.526254999999999</v>
      </c>
      <c r="CP35" s="1944">
        <v>29.404</v>
      </c>
      <c r="CQ35" s="1944">
        <v>30.367096466572946</v>
      </c>
      <c r="CR35" s="1944">
        <v>30.101642702534516</v>
      </c>
      <c r="CS35" s="1944">
        <v>31.318911415157316</v>
      </c>
      <c r="CT35" s="1944">
        <v>31.560772432947495</v>
      </c>
      <c r="CU35" s="1944">
        <v>31.333431707080347</v>
      </c>
      <c r="CV35" s="1944">
        <v>32.34166974693634</v>
      </c>
      <c r="CW35" s="1944">
        <v>32.424401345729812</v>
      </c>
      <c r="CX35" s="1944">
        <v>31.98539608510147</v>
      </c>
      <c r="CY35" s="1944">
        <v>32.540519347357375</v>
      </c>
      <c r="CZ35" s="1944">
        <v>32.143370290013429</v>
      </c>
      <c r="DA35" s="1944">
        <v>32.687098743326437</v>
      </c>
      <c r="DB35" s="1944">
        <v>34.164880077421074</v>
      </c>
      <c r="DC35" s="1944">
        <v>35.073493335868726</v>
      </c>
      <c r="DD35" s="1944">
        <v>36.938373618955467</v>
      </c>
      <c r="DE35" s="1944">
        <v>33.522896861722046</v>
      </c>
      <c r="DF35" s="1944">
        <v>32.940132570404089</v>
      </c>
      <c r="DG35" s="1944">
        <v>32.631981889323313</v>
      </c>
      <c r="DH35" s="1944">
        <v>32.12002594736542</v>
      </c>
      <c r="DI35" s="1944">
        <v>32.008933689835402</v>
      </c>
      <c r="DJ35" s="1944">
        <v>32.584446394653597</v>
      </c>
      <c r="DK35" s="1944">
        <v>32.544198005631692</v>
      </c>
      <c r="DL35" s="1944">
        <v>32.547496948851574</v>
      </c>
      <c r="DM35" s="1944">
        <v>32.045384894727938</v>
      </c>
      <c r="DN35" s="1944">
        <v>32.326526565066331</v>
      </c>
      <c r="DO35" s="1944">
        <v>32.446190471738937</v>
      </c>
      <c r="DP35" s="1944">
        <v>32.349890677758879</v>
      </c>
      <c r="DQ35" s="1944">
        <v>32.921402274366635</v>
      </c>
      <c r="DR35" s="1944">
        <v>33.56317891110902</v>
      </c>
      <c r="DS35" s="1944">
        <v>33.620944286596142</v>
      </c>
      <c r="DT35" s="1944">
        <v>33.87942714991911</v>
      </c>
      <c r="DU35" s="1944">
        <v>33.482000641837146</v>
      </c>
      <c r="DV35" s="1944">
        <v>33.644336495333903</v>
      </c>
      <c r="DW35" s="1944">
        <v>33.202552792325392</v>
      </c>
      <c r="DX35" s="2003">
        <v>33.58852054607091</v>
      </c>
      <c r="DY35" s="2003">
        <v>32.98489892011316</v>
      </c>
      <c r="DZ35" s="2003">
        <v>33.622921813261094</v>
      </c>
      <c r="EA35" s="2003">
        <v>33.365411879552788</v>
      </c>
      <c r="EB35" s="2003">
        <v>33.794220401829655</v>
      </c>
      <c r="EC35" s="2003">
        <v>33.872531969098993</v>
      </c>
      <c r="ED35" s="2003">
        <v>34.177164998813303</v>
      </c>
      <c r="EE35" s="2003">
        <v>33.914881686720776</v>
      </c>
      <c r="EF35" s="2003">
        <v>34.384516562301435</v>
      </c>
      <c r="EG35" s="2003">
        <v>34.002848663691381</v>
      </c>
      <c r="EH35" s="2003">
        <v>34.358601326841324</v>
      </c>
      <c r="EI35" s="2003">
        <v>34.728895806029115</v>
      </c>
      <c r="EJ35" s="2003">
        <v>34.662762353722385</v>
      </c>
      <c r="EK35" s="2003">
        <v>34.512673559385981</v>
      </c>
      <c r="EL35" s="2003">
        <v>34.360934230235934</v>
      </c>
      <c r="EM35" s="2003">
        <v>34.364150449734439</v>
      </c>
      <c r="EN35" s="2003">
        <v>34.129278026217939</v>
      </c>
      <c r="EO35" s="2003">
        <v>33.805663946657901</v>
      </c>
      <c r="EP35" s="2003">
        <v>33.462757747549617</v>
      </c>
      <c r="EQ35" s="2003">
        <v>33.179074007052591</v>
      </c>
      <c r="ER35" s="2003">
        <v>32.876832149493666</v>
      </c>
      <c r="ES35" s="2003">
        <v>34.966779077059201</v>
      </c>
      <c r="ET35" s="2003">
        <v>35.868983344404981</v>
      </c>
      <c r="EU35" s="2003">
        <v>36.824011099038096</v>
      </c>
      <c r="EV35" s="2003">
        <v>38.23150718956628</v>
      </c>
      <c r="EW35" s="2003">
        <v>38.329209954325414</v>
      </c>
      <c r="EX35" s="2003">
        <v>38.455866558441556</v>
      </c>
      <c r="EY35" s="2004">
        <v>37.917449689440993</v>
      </c>
    </row>
    <row r="36" spans="1:155" s="1897" customFormat="1" ht="21" customHeight="1">
      <c r="A36" s="1925" t="s">
        <v>3414</v>
      </c>
      <c r="B36" s="1994">
        <v>30.48</v>
      </c>
      <c r="C36" s="1994">
        <v>30.515999999999998</v>
      </c>
      <c r="D36" s="2001">
        <v>30.411568181818176</v>
      </c>
      <c r="E36" s="2001">
        <v>30.28931</v>
      </c>
      <c r="F36" s="2001">
        <v>30.076565217391302</v>
      </c>
      <c r="G36" s="2001">
        <v>29.938290476190474</v>
      </c>
      <c r="H36" s="2001">
        <v>29.885439999999999</v>
      </c>
      <c r="I36" s="2001">
        <v>29.876999999999999</v>
      </c>
      <c r="J36" s="2001">
        <v>29.739000000000001</v>
      </c>
      <c r="K36" s="2001">
        <v>29.605989999999998</v>
      </c>
      <c r="L36" s="2001">
        <v>29.05</v>
      </c>
      <c r="M36" s="2001">
        <v>28.125</v>
      </c>
      <c r="N36" s="2001">
        <v>27.860099999999999</v>
      </c>
      <c r="O36" s="2001">
        <v>27.677</v>
      </c>
      <c r="P36" s="2001">
        <v>27.815000000000001</v>
      </c>
      <c r="Q36" s="2001">
        <v>28.588999999999999</v>
      </c>
      <c r="R36" s="2001">
        <v>29.77</v>
      </c>
      <c r="S36" s="2001">
        <v>29.466000000000001</v>
      </c>
      <c r="T36" s="2001">
        <v>29.350999999999999</v>
      </c>
      <c r="U36" s="2001">
        <v>28.904</v>
      </c>
      <c r="V36" s="2001">
        <v>28.623999999999999</v>
      </c>
      <c r="W36" s="2001">
        <v>27.271999999999998</v>
      </c>
      <c r="X36" s="2002">
        <v>26.442</v>
      </c>
      <c r="Y36" s="1944">
        <v>26.079000000000001</v>
      </c>
      <c r="Z36" s="1949">
        <v>26.469000000000001</v>
      </c>
      <c r="AA36" s="1944">
        <v>27.405999999999999</v>
      </c>
      <c r="AB36" s="1949">
        <v>28.221</v>
      </c>
      <c r="AC36" s="1944">
        <v>28.42</v>
      </c>
      <c r="AD36" s="1949">
        <v>28.491</v>
      </c>
      <c r="AE36" s="1944">
        <v>28.62</v>
      </c>
      <c r="AF36" s="1949">
        <v>28.780999999999999</v>
      </c>
      <c r="AG36" s="1944">
        <v>28.814</v>
      </c>
      <c r="AH36" s="1949">
        <v>28.745000000000001</v>
      </c>
      <c r="AI36" s="1944">
        <v>28.565000000000001</v>
      </c>
      <c r="AJ36" s="1949">
        <v>28.663</v>
      </c>
      <c r="AK36" s="1948">
        <v>29.161000000000001</v>
      </c>
      <c r="AL36" s="1948">
        <v>29.311199999999999</v>
      </c>
      <c r="AM36" s="1944">
        <v>29.378299999999999</v>
      </c>
      <c r="AN36" s="1948">
        <v>29.5322</v>
      </c>
      <c r="AO36" s="1944">
        <v>29.7195</v>
      </c>
      <c r="AP36" s="1949">
        <v>29.929600000000001</v>
      </c>
      <c r="AQ36" s="1944">
        <v>30.129200000000001</v>
      </c>
      <c r="AR36" s="1949">
        <v>30.528500000000001</v>
      </c>
      <c r="AS36" s="1948">
        <v>30.6585</v>
      </c>
      <c r="AT36" s="1948">
        <v>30.772099999999998</v>
      </c>
      <c r="AU36" s="1948">
        <v>30.7911</v>
      </c>
      <c r="AV36" s="1944">
        <v>30.849599999999999</v>
      </c>
      <c r="AW36" s="1944">
        <v>30.909300000000002</v>
      </c>
      <c r="AX36" s="1949">
        <v>30.974599999999999</v>
      </c>
      <c r="AY36" s="1948">
        <v>30.979399999999998</v>
      </c>
      <c r="AZ36" s="1944">
        <v>30.987500000000001</v>
      </c>
      <c r="BA36" s="1949">
        <v>31.266999999999999</v>
      </c>
      <c r="BB36" s="1948">
        <v>32.0807</v>
      </c>
      <c r="BC36" s="1948">
        <v>32.616700000000002</v>
      </c>
      <c r="BD36" s="1944">
        <v>32.846499999999999</v>
      </c>
      <c r="BE36" s="1949">
        <v>33.113</v>
      </c>
      <c r="BF36" s="1948">
        <v>33.304900000000004</v>
      </c>
      <c r="BG36" s="1944">
        <v>33.567799999999998</v>
      </c>
      <c r="BH36" s="1949">
        <v>33.511099999999999</v>
      </c>
      <c r="BI36" s="1948">
        <v>33.086199999999998</v>
      </c>
      <c r="BJ36" s="1948">
        <v>32.654699999999998</v>
      </c>
      <c r="BK36" s="1948">
        <v>31.895800000000001</v>
      </c>
      <c r="BL36" s="1948">
        <v>31.992000000000001</v>
      </c>
      <c r="BM36" s="1948">
        <v>31.892700000000001</v>
      </c>
      <c r="BN36" s="1944">
        <v>31.524799999999999</v>
      </c>
      <c r="BO36" s="1944">
        <v>31.4406</v>
      </c>
      <c r="BP36" s="1944">
        <v>30.9251</v>
      </c>
      <c r="BQ36" s="1944">
        <v>30.692</v>
      </c>
      <c r="BR36" s="1944">
        <v>29.962800000000001</v>
      </c>
      <c r="BS36" s="1944">
        <v>29.1815</v>
      </c>
      <c r="BT36" s="1944">
        <v>28.791699999999999</v>
      </c>
      <c r="BU36" s="1944">
        <v>27.340900000000001</v>
      </c>
      <c r="BV36" s="1944">
        <v>26.566099999999999</v>
      </c>
      <c r="BW36" s="1948">
        <v>27.6828</v>
      </c>
      <c r="BX36" s="1948">
        <v>27.789100000000001</v>
      </c>
      <c r="BY36" s="1948">
        <v>27.296099999999999</v>
      </c>
      <c r="BZ36" s="1944">
        <v>28.122499999999999</v>
      </c>
      <c r="CA36" s="1944">
        <v>29.536000000000001</v>
      </c>
      <c r="CB36" s="1944">
        <v>30.868200000000002</v>
      </c>
      <c r="CC36" s="1944">
        <v>32.529899999999998</v>
      </c>
      <c r="CD36" s="1944">
        <v>32.531300000000002</v>
      </c>
      <c r="CE36" s="1944">
        <v>32.883299999999998</v>
      </c>
      <c r="CF36" s="1944">
        <v>33.808900000000001</v>
      </c>
      <c r="CG36" s="1944">
        <v>34.463099999999997</v>
      </c>
      <c r="CH36" s="1944">
        <v>34.204099999999997</v>
      </c>
      <c r="CI36" s="1944">
        <v>33.680095000000001</v>
      </c>
      <c r="CJ36" s="1944">
        <v>33.103550000000006</v>
      </c>
      <c r="CK36" s="1944">
        <v>32.852173913043487</v>
      </c>
      <c r="CL36" s="1944">
        <v>32.630909999999993</v>
      </c>
      <c r="CM36" s="1944">
        <v>31.966957142857144</v>
      </c>
      <c r="CN36" s="1944">
        <v>31.282936363636363</v>
      </c>
      <c r="CO36" s="1944">
        <v>30.84427500000001</v>
      </c>
      <c r="CP36" s="1944">
        <v>33.222999999999999</v>
      </c>
      <c r="CQ36" s="1944">
        <v>31.974693871171336</v>
      </c>
      <c r="CR36" s="1944">
        <v>31.276929178596401</v>
      </c>
      <c r="CS36" s="1944">
        <v>31.332206832108845</v>
      </c>
      <c r="CT36" s="1944">
        <v>30.540046698956036</v>
      </c>
      <c r="CU36" s="1944">
        <v>30.823271424995873</v>
      </c>
      <c r="CV36" s="1944">
        <v>31.312730052763982</v>
      </c>
      <c r="CW36" s="1944">
        <v>31.000889127687969</v>
      </c>
      <c r="CX36" s="1944">
        <v>30.356005798710314</v>
      </c>
      <c r="CY36" s="1944">
        <v>29.754140958782465</v>
      </c>
      <c r="CZ36" s="1944">
        <v>28.813938185803568</v>
      </c>
      <c r="DA36" s="1944">
        <v>28.525412085357139</v>
      </c>
      <c r="DB36" s="1944">
        <v>28.716500147500007</v>
      </c>
      <c r="DC36" s="1944">
        <v>28.880026576496601</v>
      </c>
      <c r="DD36" s="1944">
        <v>28.72296722483766</v>
      </c>
      <c r="DE36" s="1944">
        <v>29.207330984829934</v>
      </c>
      <c r="DF36" s="1944">
        <v>29.596017442714281</v>
      </c>
      <c r="DG36" s="1944">
        <v>29.678089665821425</v>
      </c>
      <c r="DH36" s="1944">
        <v>29.934107816980518</v>
      </c>
      <c r="DI36" s="1944">
        <v>30.005328842285714</v>
      </c>
      <c r="DJ36" s="1944">
        <v>29.693063409722228</v>
      </c>
      <c r="DK36" s="1944">
        <v>29.680604799999998</v>
      </c>
      <c r="DL36" s="1944">
        <v>29.716380008707482</v>
      </c>
      <c r="DM36" s="1944">
        <v>30.05609916402598</v>
      </c>
      <c r="DN36" s="1944">
        <v>30.932721267006801</v>
      </c>
      <c r="DO36" s="1944">
        <v>31.653170896103902</v>
      </c>
      <c r="DP36" s="1944">
        <v>31.337346506802717</v>
      </c>
      <c r="DQ36" s="1944">
        <v>30.914747535714284</v>
      </c>
      <c r="DR36" s="1944">
        <v>31.306451739130431</v>
      </c>
      <c r="DS36" s="1944">
        <v>31.525007057142865</v>
      </c>
      <c r="DT36" s="1944">
        <v>31.171176964285706</v>
      </c>
      <c r="DU36" s="1944">
        <v>30.936054421768702</v>
      </c>
      <c r="DV36" s="1944">
        <v>30.917318646616536</v>
      </c>
      <c r="DW36" s="1944">
        <v>31.334401928571424</v>
      </c>
      <c r="DX36" s="2003">
        <v>31.392931992857143</v>
      </c>
      <c r="DY36" s="2003">
        <v>31.444321055194813</v>
      </c>
      <c r="DZ36" s="2003">
        <v>31.292577892857146</v>
      </c>
      <c r="EA36" s="2003">
        <v>31.438483183229817</v>
      </c>
      <c r="EB36" s="2003">
        <v>31.234327261904767</v>
      </c>
      <c r="EC36" s="2003">
        <v>31.235243946428568</v>
      </c>
      <c r="ED36" s="2003">
        <v>30.829681149068325</v>
      </c>
      <c r="EE36" s="2003">
        <v>30.944521853571427</v>
      </c>
      <c r="EF36" s="2003">
        <v>30.715731275510194</v>
      </c>
      <c r="EG36" s="2003">
        <v>30.719229398496239</v>
      </c>
      <c r="EH36" s="2003">
        <v>30.698071650793647</v>
      </c>
      <c r="EI36" s="2003">
        <v>30.554526879699246</v>
      </c>
      <c r="EJ36" s="2003">
        <v>30.573887902597402</v>
      </c>
      <c r="EK36" s="2003">
        <v>30.613980391156463</v>
      </c>
      <c r="EL36" s="2003">
        <v>30.745648513605445</v>
      </c>
      <c r="EM36" s="2003">
        <v>30.763624523181818</v>
      </c>
      <c r="EN36" s="2003">
        <v>31.000125085050001</v>
      </c>
      <c r="EO36" s="2003">
        <v>31.507607231610393</v>
      </c>
      <c r="EP36" s="2003">
        <v>31.742292358116881</v>
      </c>
      <c r="EQ36" s="2003">
        <v>31.868674363750007</v>
      </c>
      <c r="ER36" s="2003">
        <v>31.974671007653054</v>
      </c>
      <c r="ES36" s="2003">
        <v>32.706129572142864</v>
      </c>
      <c r="ET36" s="2003">
        <v>33.375906683109243</v>
      </c>
      <c r="EU36" s="2003">
        <v>35.853929457993196</v>
      </c>
      <c r="EV36" s="2003">
        <v>36.62090454545455</v>
      </c>
      <c r="EW36" s="2003">
        <v>35.564990000000009</v>
      </c>
      <c r="EX36" s="2003">
        <v>35.68950357142856</v>
      </c>
      <c r="EY36" s="2004">
        <v>35.990642857142859</v>
      </c>
    </row>
    <row r="37" spans="1:155" s="1897" customFormat="1" ht="21" customHeight="1">
      <c r="A37" s="1925" t="s">
        <v>3415</v>
      </c>
      <c r="B37" s="1994">
        <v>43.728999999999999</v>
      </c>
      <c r="C37" s="1994">
        <v>43.457000000000001</v>
      </c>
      <c r="D37" s="2001">
        <v>44.411136363636359</v>
      </c>
      <c r="E37" s="2001">
        <v>44.873800000000003</v>
      </c>
      <c r="F37" s="2001">
        <v>46.786782608695653</v>
      </c>
      <c r="G37" s="2001">
        <v>46.077190476190474</v>
      </c>
      <c r="H37" s="2001">
        <v>46.498899999999992</v>
      </c>
      <c r="I37" s="2001">
        <v>46.552999999999997</v>
      </c>
      <c r="J37" s="2001">
        <v>46.753</v>
      </c>
      <c r="K37" s="2001">
        <v>46.969099999999997</v>
      </c>
      <c r="L37" s="2001">
        <v>46.94</v>
      </c>
      <c r="M37" s="2001">
        <v>45.247999999999998</v>
      </c>
      <c r="N37" s="2001">
        <v>44.021799999999999</v>
      </c>
      <c r="O37" s="2001">
        <v>43.539000000000001</v>
      </c>
      <c r="P37" s="2001">
        <v>45.064999999999998</v>
      </c>
      <c r="Q37" s="2001">
        <v>47.393999999999998</v>
      </c>
      <c r="R37" s="2001">
        <v>48.311999999999998</v>
      </c>
      <c r="S37" s="2001">
        <v>46.908999999999999</v>
      </c>
      <c r="T37" s="2001">
        <v>47.237000000000002</v>
      </c>
      <c r="U37" s="2001">
        <v>48.387</v>
      </c>
      <c r="V37" s="2001">
        <v>48.26</v>
      </c>
      <c r="W37" s="2001">
        <v>47.637999999999998</v>
      </c>
      <c r="X37" s="2002">
        <v>48.09</v>
      </c>
      <c r="Y37" s="1944">
        <v>48.585000000000001</v>
      </c>
      <c r="Z37" s="1949">
        <v>48.39</v>
      </c>
      <c r="AA37" s="1944">
        <v>49.530999999999999</v>
      </c>
      <c r="AB37" s="1949">
        <v>50.45</v>
      </c>
      <c r="AC37" s="1944">
        <v>52.070999999999998</v>
      </c>
      <c r="AD37" s="1949">
        <v>52.654000000000003</v>
      </c>
      <c r="AE37" s="1944">
        <v>52.191000000000003</v>
      </c>
      <c r="AF37" s="1949">
        <v>51.664999999999999</v>
      </c>
      <c r="AG37" s="1944">
        <v>52.084000000000003</v>
      </c>
      <c r="AH37" s="1949">
        <v>53.478999999999999</v>
      </c>
      <c r="AI37" s="1944">
        <v>55.128999999999998</v>
      </c>
      <c r="AJ37" s="1949">
        <v>53.886000000000003</v>
      </c>
      <c r="AK37" s="1948">
        <v>55.552</v>
      </c>
      <c r="AL37" s="1948">
        <v>55.546999999999997</v>
      </c>
      <c r="AM37" s="1944">
        <v>54.582000000000001</v>
      </c>
      <c r="AN37" s="1948">
        <v>53.764400000000002</v>
      </c>
      <c r="AO37" s="1944">
        <v>52.118899999999996</v>
      </c>
      <c r="AP37" s="1949">
        <v>53.663699999999999</v>
      </c>
      <c r="AQ37" s="1944">
        <v>54.507399999999997</v>
      </c>
      <c r="AR37" s="1949">
        <v>53.908099999999997</v>
      </c>
      <c r="AS37" s="1948">
        <v>53.1374</v>
      </c>
      <c r="AT37" s="1948">
        <v>53.831800000000001</v>
      </c>
      <c r="AU37" s="1948">
        <v>54.496600000000001</v>
      </c>
      <c r="AV37" s="1944">
        <v>54.075000000000003</v>
      </c>
      <c r="AW37" s="1944">
        <v>54.119</v>
      </c>
      <c r="AX37" s="1949">
        <v>54.866999999999997</v>
      </c>
      <c r="AY37" s="1948">
        <v>58.089300000000001</v>
      </c>
      <c r="AZ37" s="1944">
        <v>57.344499999999996</v>
      </c>
      <c r="BA37" s="1949">
        <v>57.874600000000001</v>
      </c>
      <c r="BB37" s="1948">
        <v>61.101599999999998</v>
      </c>
      <c r="BC37" s="1948">
        <v>62.146799999999999</v>
      </c>
      <c r="BD37" s="1944">
        <v>62.403399999999998</v>
      </c>
      <c r="BE37" s="1949">
        <v>64.438999999999993</v>
      </c>
      <c r="BF37" s="1948">
        <v>66.757000000000005</v>
      </c>
      <c r="BG37" s="1944">
        <v>66.881399999999999</v>
      </c>
      <c r="BH37" s="1949">
        <v>66.0886</v>
      </c>
      <c r="BI37" s="1948">
        <v>64.609800000000007</v>
      </c>
      <c r="BJ37" s="1948">
        <v>64.9114</v>
      </c>
      <c r="BK37" s="1948">
        <v>63.135199999999998</v>
      </c>
      <c r="BL37" s="1948">
        <v>63.54</v>
      </c>
      <c r="BM37" s="1948">
        <v>64.853700000000003</v>
      </c>
      <c r="BN37" s="1944">
        <v>63.315199999999997</v>
      </c>
      <c r="BO37" s="1944">
        <v>63.431899999999999</v>
      </c>
      <c r="BP37" s="1944">
        <v>63.187199999999997</v>
      </c>
      <c r="BQ37" s="1944">
        <v>63.508000000000003</v>
      </c>
      <c r="BR37" s="1944">
        <v>60.499299999999998</v>
      </c>
      <c r="BS37" s="1944">
        <v>57.462400000000002</v>
      </c>
      <c r="BT37" s="1944">
        <v>56.447699999999998</v>
      </c>
      <c r="BU37" s="1944">
        <v>54.580100000000002</v>
      </c>
      <c r="BV37" s="1944">
        <v>52.476599999999998</v>
      </c>
      <c r="BW37" s="1948">
        <v>54.421500000000002</v>
      </c>
      <c r="BX37" s="1948">
        <v>54.688000000000002</v>
      </c>
      <c r="BY37" s="1948">
        <v>54.360100000000003</v>
      </c>
      <c r="BZ37" s="1944">
        <v>53.308599999999998</v>
      </c>
      <c r="CA37" s="1944">
        <v>53.242800000000003</v>
      </c>
      <c r="CB37" s="1944">
        <v>52.551699999999997</v>
      </c>
      <c r="CC37" s="1944">
        <v>50.118400000000001</v>
      </c>
      <c r="CD37" s="1944">
        <v>48.8065</v>
      </c>
      <c r="CE37" s="1944">
        <v>47.9435</v>
      </c>
      <c r="CF37" s="1944">
        <v>48.941099999999999</v>
      </c>
      <c r="CG37" s="1944">
        <v>49.177199999999999</v>
      </c>
      <c r="CH37" s="1944">
        <v>50.3904</v>
      </c>
      <c r="CI37" s="1944">
        <v>51.997425000000007</v>
      </c>
      <c r="CJ37" s="1944">
        <v>54.15423636363635</v>
      </c>
      <c r="CK37" s="1944">
        <v>53.77383913043478</v>
      </c>
      <c r="CL37" s="1944">
        <v>54.015855000000002</v>
      </c>
      <c r="CM37" s="1944">
        <v>52.218390476190471</v>
      </c>
      <c r="CN37" s="1944">
        <v>50.61692272727273</v>
      </c>
      <c r="CO37" s="1944">
        <v>51.228165000000004</v>
      </c>
      <c r="CP37" s="1944">
        <v>48.692999999999998</v>
      </c>
      <c r="CQ37" s="1944">
        <v>48.806878729562932</v>
      </c>
      <c r="CR37" s="1944">
        <v>48.958594615396649</v>
      </c>
      <c r="CS37" s="1944">
        <v>48.77421588518299</v>
      </c>
      <c r="CT37" s="1944">
        <v>48.390693699980176</v>
      </c>
      <c r="CU37" s="1944">
        <v>49.170999878195829</v>
      </c>
      <c r="CV37" s="1944">
        <v>48.849220701302791</v>
      </c>
      <c r="CW37" s="1944">
        <v>48.859723931757514</v>
      </c>
      <c r="CX37" s="1944">
        <v>48.967660895773207</v>
      </c>
      <c r="CY37" s="1944">
        <v>48.04873846943795</v>
      </c>
      <c r="CZ37" s="1944">
        <v>47.140436357137055</v>
      </c>
      <c r="DA37" s="1944">
        <v>46.644883418231572</v>
      </c>
      <c r="DB37" s="1944">
        <v>46.601999999999997</v>
      </c>
      <c r="DC37" s="1944">
        <v>46.606915109975475</v>
      </c>
      <c r="DD37" s="1944">
        <v>47.038349551055369</v>
      </c>
      <c r="DE37" s="1944">
        <v>46.102613001097964</v>
      </c>
      <c r="DF37" s="1944">
        <v>46.540730881416351</v>
      </c>
      <c r="DG37" s="1944">
        <v>46.851776451724426</v>
      </c>
      <c r="DH37" s="1944">
        <v>46.65938320057856</v>
      </c>
      <c r="DI37" s="1944">
        <v>46.506041449670001</v>
      </c>
      <c r="DJ37" s="1944">
        <v>46.882226647117442</v>
      </c>
      <c r="DK37" s="1944">
        <v>46.976751921753575</v>
      </c>
      <c r="DL37" s="1944">
        <v>47.515788821065975</v>
      </c>
      <c r="DM37" s="1944">
        <v>47.847977443803892</v>
      </c>
      <c r="DN37" s="1944">
        <v>48.074325805291835</v>
      </c>
      <c r="DO37" s="1944">
        <v>49.318251485604875</v>
      </c>
      <c r="DP37" s="1944">
        <v>49.198320199061222</v>
      </c>
      <c r="DQ37" s="1944">
        <v>49.769450572677449</v>
      </c>
      <c r="DR37" s="1944">
        <v>50.296109249531675</v>
      </c>
      <c r="DS37" s="1944">
        <v>50.357271021734284</v>
      </c>
      <c r="DT37" s="1944">
        <v>50.296383674850873</v>
      </c>
      <c r="DU37" s="1944">
        <v>49.329138781198374</v>
      </c>
      <c r="DV37" s="1944">
        <v>47.838994520413159</v>
      </c>
      <c r="DW37" s="1944">
        <v>47.28084500143077</v>
      </c>
      <c r="DX37" s="2003">
        <v>48.031743889321731</v>
      </c>
      <c r="DY37" s="2003">
        <v>48.101600739466932</v>
      </c>
      <c r="DZ37" s="2003">
        <v>48.511040084653153</v>
      </c>
      <c r="EA37" s="2003">
        <v>47.741576837549445</v>
      </c>
      <c r="EB37" s="2003">
        <v>48.32930820432172</v>
      </c>
      <c r="EC37" s="2003">
        <v>49.510648892855528</v>
      </c>
      <c r="ED37" s="2003">
        <v>49.53463940601354</v>
      </c>
      <c r="EE37" s="2003">
        <v>49.695637320513782</v>
      </c>
      <c r="EF37" s="2003">
        <v>50.201156482045903</v>
      </c>
      <c r="EG37" s="2003">
        <v>50.494718162538248</v>
      </c>
      <c r="EH37" s="2003">
        <v>50.738415048376332</v>
      </c>
      <c r="EI37" s="2003">
        <v>50.655478818344179</v>
      </c>
      <c r="EJ37" s="2003">
        <v>51.046950656861092</v>
      </c>
      <c r="EK37" s="2003">
        <v>51.441731019201356</v>
      </c>
      <c r="EL37" s="2003">
        <v>51.831212040949616</v>
      </c>
      <c r="EM37" s="2003">
        <v>52.437318183954424</v>
      </c>
      <c r="EN37" s="2003">
        <v>51.715894805268746</v>
      </c>
      <c r="EO37" s="2003">
        <v>51.418233563772198</v>
      </c>
      <c r="EP37" s="2003">
        <v>51.079201203750813</v>
      </c>
      <c r="EQ37" s="2003">
        <v>50.325105047614137</v>
      </c>
      <c r="ER37" s="2003">
        <v>49.973881402161375</v>
      </c>
      <c r="ES37" s="2003">
        <v>49.498058859823765</v>
      </c>
      <c r="ET37" s="2003">
        <v>51.21423242201989</v>
      </c>
      <c r="EU37" s="2003">
        <v>53.836417123879201</v>
      </c>
      <c r="EV37" s="2003">
        <v>54.727095454545449</v>
      </c>
      <c r="EW37" s="2003">
        <v>55.031993635273636</v>
      </c>
      <c r="EX37" s="2003">
        <v>55.533215909090906</v>
      </c>
      <c r="EY37" s="2004">
        <v>56.008599689440999</v>
      </c>
    </row>
    <row r="38" spans="1:155" s="1897" customFormat="1" ht="21" customHeight="1">
      <c r="A38" s="1925" t="s">
        <v>137</v>
      </c>
      <c r="B38" s="1994">
        <v>26.988</v>
      </c>
      <c r="C38" s="1994">
        <v>26.56</v>
      </c>
      <c r="D38" s="2001">
        <v>27.893154545454539</v>
      </c>
      <c r="E38" s="2002">
        <v>28.911529999999992</v>
      </c>
      <c r="F38" s="2001">
        <v>29.871547826086953</v>
      </c>
      <c r="G38" s="2001">
        <v>29.293201428571429</v>
      </c>
      <c r="H38" s="2001">
        <v>29.332744999999999</v>
      </c>
      <c r="I38" s="2001">
        <v>29.332999999999998</v>
      </c>
      <c r="J38" s="2001">
        <v>29.795999999999999</v>
      </c>
      <c r="K38" s="2001">
        <v>30.186250000000001</v>
      </c>
      <c r="L38" s="2001">
        <v>30.849</v>
      </c>
      <c r="M38" s="2001">
        <v>30.256</v>
      </c>
      <c r="N38" s="2001">
        <v>30.021699999999999</v>
      </c>
      <c r="O38" s="2001">
        <v>30.023</v>
      </c>
      <c r="P38" s="2001">
        <v>32.133000000000003</v>
      </c>
      <c r="Q38" s="2001">
        <v>33.326000000000001</v>
      </c>
      <c r="R38" s="2001">
        <v>33.813000000000002</v>
      </c>
      <c r="S38" s="2001">
        <v>32.808999999999997</v>
      </c>
      <c r="T38" s="2001">
        <v>32.93</v>
      </c>
      <c r="U38" s="2001">
        <v>33.767000000000003</v>
      </c>
      <c r="V38" s="2001">
        <v>33.417999999999999</v>
      </c>
      <c r="W38" s="2001">
        <v>33.418999999999997</v>
      </c>
      <c r="X38" s="2002">
        <v>33.226999999999997</v>
      </c>
      <c r="Y38" s="1944">
        <v>32.749000000000002</v>
      </c>
      <c r="Z38" s="1949">
        <v>32.326000000000001</v>
      </c>
      <c r="AA38" s="1944">
        <v>32.841000000000001</v>
      </c>
      <c r="AB38" s="1949">
        <v>33.851999999999997</v>
      </c>
      <c r="AC38" s="1944">
        <v>34.515999999999998</v>
      </c>
      <c r="AD38" s="1949">
        <v>35.011000000000003</v>
      </c>
      <c r="AE38" s="1944">
        <v>34.917999999999999</v>
      </c>
      <c r="AF38" s="1949">
        <v>35.198999999999998</v>
      </c>
      <c r="AG38" s="1944">
        <v>36.01</v>
      </c>
      <c r="AH38" s="1949">
        <v>37.374000000000002</v>
      </c>
      <c r="AI38" s="1944">
        <v>38.311</v>
      </c>
      <c r="AJ38" s="1949">
        <v>37.639000000000003</v>
      </c>
      <c r="AK38" s="1948">
        <v>38.488</v>
      </c>
      <c r="AL38" s="1948">
        <v>37.937100000000001</v>
      </c>
      <c r="AM38" s="1944">
        <v>37.3324</v>
      </c>
      <c r="AN38" s="1948">
        <v>35.9617</v>
      </c>
      <c r="AO38" s="1944">
        <v>35.831400000000002</v>
      </c>
      <c r="AP38" s="1949">
        <v>36.8018</v>
      </c>
      <c r="AQ38" s="1944">
        <v>36.947200000000002</v>
      </c>
      <c r="AR38" s="1949">
        <v>36.759</v>
      </c>
      <c r="AS38" s="1948">
        <v>36.128300000000003</v>
      </c>
      <c r="AT38" s="1948">
        <v>36.570300000000003</v>
      </c>
      <c r="AU38" s="1948">
        <v>37.427500000000002</v>
      </c>
      <c r="AV38" s="1944">
        <v>36.978200000000001</v>
      </c>
      <c r="AW38" s="1944">
        <v>37.3033</v>
      </c>
      <c r="AX38" s="1949">
        <v>38.146900000000002</v>
      </c>
      <c r="AY38" s="1948">
        <v>39.7316</v>
      </c>
      <c r="AZ38" s="1944">
        <v>39.474299999999999</v>
      </c>
      <c r="BA38" s="1949">
        <v>40.032299999999999</v>
      </c>
      <c r="BB38" s="1948">
        <v>41.585099999999997</v>
      </c>
      <c r="BC38" s="1948">
        <v>42.183900000000001</v>
      </c>
      <c r="BD38" s="1944">
        <v>42.297400000000003</v>
      </c>
      <c r="BE38" s="1949">
        <v>43.722000000000001</v>
      </c>
      <c r="BF38" s="1948">
        <v>45.226199999999999</v>
      </c>
      <c r="BG38" s="1944">
        <v>44.5914</v>
      </c>
      <c r="BH38" s="1949">
        <v>44.027700000000003</v>
      </c>
      <c r="BI38" s="1948">
        <v>43.876100000000001</v>
      </c>
      <c r="BJ38" s="1948">
        <v>44.061399999999999</v>
      </c>
      <c r="BK38" s="1948">
        <v>42.864899999999999</v>
      </c>
      <c r="BL38" s="1948">
        <v>42.908000000000001</v>
      </c>
      <c r="BM38" s="1948">
        <v>43.735300000000002</v>
      </c>
      <c r="BN38" s="1944">
        <v>42.918399999999998</v>
      </c>
      <c r="BO38" s="1944">
        <v>43.683599999999998</v>
      </c>
      <c r="BP38" s="1944">
        <v>44.004899999999999</v>
      </c>
      <c r="BQ38" s="1944">
        <v>45.140999999999998</v>
      </c>
      <c r="BR38" s="1944">
        <v>43.5959</v>
      </c>
      <c r="BS38" s="1944">
        <v>42.938000000000002</v>
      </c>
      <c r="BT38" s="1944">
        <v>42.346400000000003</v>
      </c>
      <c r="BU38" s="1944">
        <v>42.311100000000003</v>
      </c>
      <c r="BV38" s="1944">
        <v>41.720599999999997</v>
      </c>
      <c r="BW38" s="1948">
        <v>43.08</v>
      </c>
      <c r="BX38" s="1948">
        <v>43.280200000000001</v>
      </c>
      <c r="BY38" s="1948">
        <v>43.126800000000003</v>
      </c>
      <c r="BZ38" s="1944">
        <v>42.257300000000001</v>
      </c>
      <c r="CA38" s="1944">
        <v>42.547600000000003</v>
      </c>
      <c r="CB38" s="1944">
        <v>41.288400000000003</v>
      </c>
      <c r="CC38" s="1944">
        <v>41.592799999999997</v>
      </c>
      <c r="CD38" s="1944">
        <v>44.098999999999997</v>
      </c>
      <c r="CE38" s="1944">
        <v>43.933900000000001</v>
      </c>
      <c r="CF38" s="1944">
        <v>43.467500000000001</v>
      </c>
      <c r="CG38" s="1944">
        <v>45.121200000000002</v>
      </c>
      <c r="CH38" s="1944">
        <v>45.264800000000001</v>
      </c>
      <c r="CI38" s="1944">
        <v>46.021804999999993</v>
      </c>
      <c r="CJ38" s="1944">
        <v>46.389254545454556</v>
      </c>
      <c r="CK38" s="1944">
        <v>46.219386956521745</v>
      </c>
      <c r="CL38" s="1944">
        <v>46.508844999999994</v>
      </c>
      <c r="CM38" s="1944">
        <v>46.451747619047616</v>
      </c>
      <c r="CN38" s="1944">
        <v>46.273659090909085</v>
      </c>
      <c r="CO38" s="1944">
        <v>45.969035000000005</v>
      </c>
      <c r="CP38" s="1944">
        <v>41.761000000000003</v>
      </c>
      <c r="CQ38" s="1944">
        <v>40.788937688107772</v>
      </c>
      <c r="CR38" s="1944">
        <v>40.353235643284414</v>
      </c>
      <c r="CS38" s="1944">
        <v>40.898157033266315</v>
      </c>
      <c r="CT38" s="1944">
        <v>42.381500572960199</v>
      </c>
      <c r="CU38" s="1944">
        <v>42.029289971006563</v>
      </c>
      <c r="CV38" s="1944">
        <v>41.376235680734169</v>
      </c>
      <c r="CW38" s="1944">
        <v>41.382492427934586</v>
      </c>
      <c r="CX38" s="1944">
        <v>41.454518391591272</v>
      </c>
      <c r="CY38" s="1944">
        <v>41.653467054852328</v>
      </c>
      <c r="CZ38" s="1944">
        <v>41.62362382545107</v>
      </c>
      <c r="DA38" s="1944">
        <v>40.920233868964353</v>
      </c>
      <c r="DB38" s="1944">
        <v>41.322000000000003</v>
      </c>
      <c r="DC38" s="1944">
        <v>41.295400092087753</v>
      </c>
      <c r="DD38" s="1944">
        <v>41.190157325024842</v>
      </c>
      <c r="DE38" s="1944">
        <v>40.171026975144891</v>
      </c>
      <c r="DF38" s="1944">
        <v>40.513264656413895</v>
      </c>
      <c r="DG38" s="1944">
        <v>40.215295007276538</v>
      </c>
      <c r="DH38" s="1944">
        <v>39.430396342392854</v>
      </c>
      <c r="DI38" s="1944">
        <v>38.731369771281429</v>
      </c>
      <c r="DJ38" s="1944">
        <v>39.324573475240669</v>
      </c>
      <c r="DK38" s="1944">
        <v>39.262034004392312</v>
      </c>
      <c r="DL38" s="1944">
        <v>39.130394517650693</v>
      </c>
      <c r="DM38" s="1944">
        <v>38.469562545023344</v>
      </c>
      <c r="DN38" s="1944">
        <v>38.816736706118711</v>
      </c>
      <c r="DO38" s="1944">
        <v>38.953894707309182</v>
      </c>
      <c r="DP38" s="1944">
        <v>38.853427035586158</v>
      </c>
      <c r="DQ38" s="1944">
        <v>39.746504392379592</v>
      </c>
      <c r="DR38" s="1944">
        <v>40.567579824156667</v>
      </c>
      <c r="DS38" s="1944">
        <v>40.48995420486964</v>
      </c>
      <c r="DT38" s="1944">
        <v>40.874716756091793</v>
      </c>
      <c r="DU38" s="1944">
        <v>41.070415856300805</v>
      </c>
      <c r="DV38" s="1944">
        <v>41.243199117533813</v>
      </c>
      <c r="DW38" s="1944">
        <v>40.609226301103234</v>
      </c>
      <c r="DX38" s="2003">
        <v>40.88262855513814</v>
      </c>
      <c r="DY38" s="2003">
        <v>40.834681363313365</v>
      </c>
      <c r="DZ38" s="2003">
        <v>41.330157811438049</v>
      </c>
      <c r="EA38" s="2003">
        <v>41.13710754342079</v>
      </c>
      <c r="EB38" s="2003">
        <v>41.582836676494189</v>
      </c>
      <c r="EC38" s="2003">
        <v>41.693499965664742</v>
      </c>
      <c r="ED38" s="2003">
        <v>41.949048926622815</v>
      </c>
      <c r="EE38" s="2003">
        <v>41.637729421964714</v>
      </c>
      <c r="EF38" s="2003">
        <v>41.97991694485237</v>
      </c>
      <c r="EG38" s="2003">
        <v>41.755562255745602</v>
      </c>
      <c r="EH38" s="2003">
        <v>41.839638913033951</v>
      </c>
      <c r="EI38" s="2003">
        <v>42.136577356869346</v>
      </c>
      <c r="EJ38" s="2003">
        <v>42.108483090364707</v>
      </c>
      <c r="EK38" s="2003">
        <v>41.945176383325538</v>
      </c>
      <c r="EL38" s="2003">
        <v>41.703571540941233</v>
      </c>
      <c r="EM38" s="2003">
        <v>41.596919425794077</v>
      </c>
      <c r="EN38" s="2003">
        <v>41.226916909619192</v>
      </c>
      <c r="EO38" s="2003">
        <v>40.704755216096331</v>
      </c>
      <c r="EP38" s="2003">
        <v>40.302599408758461</v>
      </c>
      <c r="EQ38" s="2003">
        <v>39.777140056003319</v>
      </c>
      <c r="ER38" s="2003">
        <v>39.401533869309958</v>
      </c>
      <c r="ES38" s="2003">
        <v>37.968228883836296</v>
      </c>
      <c r="ET38" s="2003">
        <v>37.947652667686661</v>
      </c>
      <c r="EU38" s="2003">
        <v>38.980029326587143</v>
      </c>
      <c r="EV38" s="2003">
        <v>39.550600000000003</v>
      </c>
      <c r="EW38" s="2003">
        <v>39.687854999999999</v>
      </c>
      <c r="EX38" s="2003">
        <v>40.008099999999999</v>
      </c>
      <c r="EY38" s="2004">
        <v>39.593060869565214</v>
      </c>
    </row>
    <row r="39" spans="1:155" s="1897" customFormat="1" ht="9" customHeight="1" thickBot="1">
      <c r="A39" s="2007"/>
      <c r="B39" s="2008"/>
      <c r="C39" s="2008"/>
      <c r="D39" s="2009"/>
      <c r="E39" s="2009"/>
      <c r="F39" s="2009"/>
      <c r="G39" s="2010"/>
      <c r="H39" s="2009"/>
      <c r="I39" s="2009"/>
      <c r="J39" s="2009"/>
      <c r="K39" s="2009"/>
      <c r="L39" s="2009"/>
      <c r="M39" s="2009"/>
      <c r="N39" s="2009"/>
      <c r="O39" s="2009"/>
      <c r="P39" s="2009"/>
      <c r="Q39" s="2009"/>
      <c r="R39" s="2009"/>
      <c r="S39" s="2009"/>
      <c r="T39" s="2009"/>
      <c r="U39" s="2009"/>
      <c r="V39" s="2009"/>
      <c r="W39" s="2009"/>
      <c r="X39" s="2011"/>
      <c r="Y39" s="1959"/>
      <c r="Z39" s="1961"/>
      <c r="AA39" s="1959"/>
      <c r="AB39" s="1961"/>
      <c r="AC39" s="1959"/>
      <c r="AD39" s="1961"/>
      <c r="AE39" s="1959"/>
      <c r="AF39" s="1961"/>
      <c r="AG39" s="1959"/>
      <c r="AH39" s="1961"/>
      <c r="AI39" s="1959"/>
      <c r="AJ39" s="1959"/>
      <c r="AK39" s="1960"/>
      <c r="AL39" s="1960"/>
      <c r="AM39" s="1959"/>
      <c r="AN39" s="1960"/>
      <c r="AO39" s="1959"/>
      <c r="AP39" s="1961"/>
      <c r="AQ39" s="1959"/>
      <c r="AR39" s="1961"/>
      <c r="AS39" s="1960"/>
      <c r="AT39" s="1960"/>
      <c r="AU39" s="1962"/>
      <c r="AV39" s="1963"/>
      <c r="AW39" s="1963"/>
      <c r="AX39" s="1965"/>
      <c r="AY39" s="1962"/>
      <c r="AZ39" s="1963"/>
      <c r="BA39" s="1965"/>
      <c r="BB39" s="1962"/>
      <c r="BC39" s="1962"/>
      <c r="BD39" s="1963"/>
      <c r="BE39" s="1965"/>
      <c r="BF39" s="1962"/>
      <c r="BG39" s="1963"/>
      <c r="BH39" s="1965"/>
      <c r="BI39" s="2012"/>
      <c r="BJ39" s="1962"/>
      <c r="BK39" s="1962"/>
      <c r="BL39" s="1962"/>
      <c r="BM39" s="1960"/>
      <c r="BN39" s="1959"/>
      <c r="BO39" s="1959"/>
      <c r="BP39" s="1959"/>
      <c r="BQ39" s="1959"/>
      <c r="BR39" s="1959"/>
      <c r="BS39" s="1959"/>
      <c r="BT39" s="1959"/>
      <c r="BU39" s="1959"/>
      <c r="BV39" s="1959"/>
      <c r="BW39" s="1960"/>
      <c r="BX39" s="1960"/>
      <c r="BY39" s="1960"/>
      <c r="BZ39" s="1959"/>
      <c r="CA39" s="1959"/>
      <c r="CB39" s="1959"/>
      <c r="CC39" s="1959"/>
      <c r="CD39" s="1959"/>
      <c r="CE39" s="1959"/>
      <c r="CF39" s="1959"/>
      <c r="CG39" s="1959"/>
      <c r="CH39" s="1959"/>
      <c r="CI39" s="1959"/>
      <c r="CJ39" s="1959"/>
      <c r="CK39" s="1959"/>
      <c r="CL39" s="1959"/>
      <c r="CM39" s="1959"/>
      <c r="CN39" s="1959"/>
      <c r="CO39" s="1959"/>
      <c r="CP39" s="1959"/>
      <c r="CQ39" s="1959"/>
      <c r="CR39" s="1959"/>
      <c r="CS39" s="1959"/>
      <c r="CT39" s="1959"/>
      <c r="CU39" s="1959"/>
      <c r="CV39" s="1959"/>
      <c r="CW39" s="1959"/>
      <c r="CX39" s="1959"/>
      <c r="CY39" s="1959"/>
      <c r="CZ39" s="1959"/>
      <c r="DA39" s="1959"/>
      <c r="DB39" s="1959"/>
      <c r="DC39" s="1959"/>
      <c r="DD39" s="1959"/>
      <c r="DE39" s="1959"/>
      <c r="DF39" s="1959"/>
      <c r="DG39" s="1959"/>
      <c r="DH39" s="1959"/>
      <c r="DI39" s="1959"/>
      <c r="DJ39" s="1959"/>
      <c r="DK39" s="1959"/>
      <c r="DL39" s="1959"/>
      <c r="DM39" s="1959"/>
      <c r="DN39" s="1959"/>
      <c r="DO39" s="1959"/>
      <c r="DP39" s="1959"/>
      <c r="DQ39" s="1959"/>
      <c r="DR39" s="1959"/>
      <c r="DS39" s="1959"/>
      <c r="DT39" s="1959"/>
      <c r="DU39" s="1959"/>
      <c r="DV39" s="1959"/>
      <c r="DW39" s="1959"/>
      <c r="DX39" s="1959"/>
      <c r="DY39" s="1959"/>
      <c r="DZ39" s="1959"/>
      <c r="EA39" s="1959"/>
      <c r="EB39" s="1959"/>
      <c r="EC39" s="1959"/>
      <c r="ED39" s="1959"/>
      <c r="EE39" s="1959"/>
      <c r="EF39" s="1959"/>
      <c r="EG39" s="1959"/>
      <c r="EH39" s="1959"/>
      <c r="EI39" s="1959"/>
      <c r="EJ39" s="1959"/>
      <c r="EK39" s="1959"/>
      <c r="EL39" s="1959"/>
      <c r="EM39" s="1959"/>
      <c r="EN39" s="1959"/>
      <c r="EO39" s="1959"/>
      <c r="EP39" s="1959"/>
      <c r="EQ39" s="1959"/>
      <c r="ER39" s="1959"/>
      <c r="ES39" s="1959"/>
      <c r="ET39" s="1959"/>
      <c r="EU39" s="1959"/>
      <c r="EV39" s="1959"/>
      <c r="EW39" s="1959"/>
      <c r="EX39" s="1959"/>
      <c r="EY39" s="1966"/>
    </row>
    <row r="40" spans="1:155" s="1897" customFormat="1" ht="24">
      <c r="A40" s="1967" t="s">
        <v>3416</v>
      </c>
      <c r="B40" s="2013"/>
      <c r="C40" s="2013"/>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4"/>
      <c r="AN40" s="2014"/>
      <c r="AO40" s="2014"/>
      <c r="AP40" s="2014"/>
      <c r="AQ40" s="2014"/>
      <c r="AR40" s="2014"/>
      <c r="AS40" s="2014"/>
      <c r="AT40" s="2014"/>
      <c r="AU40" s="2014"/>
      <c r="AV40" s="2014"/>
      <c r="AW40" s="2014"/>
      <c r="AX40" s="2014"/>
      <c r="AY40" s="2014"/>
      <c r="AZ40" s="2014"/>
      <c r="BA40" s="2014"/>
      <c r="BB40" s="2014"/>
      <c r="BC40" s="2014"/>
      <c r="BD40" s="2014"/>
      <c r="BE40" s="2014"/>
      <c r="BF40" s="2014"/>
      <c r="BG40" s="2014"/>
      <c r="BH40" s="2014"/>
      <c r="BI40" s="2014"/>
      <c r="BJ40" s="2014"/>
      <c r="BK40" s="2014"/>
      <c r="BL40" s="2014"/>
      <c r="BM40" s="2014"/>
      <c r="BN40" s="2014"/>
      <c r="BO40" s="2014"/>
      <c r="BP40" s="2014"/>
      <c r="BQ40" s="2014"/>
      <c r="BR40" s="2014"/>
      <c r="BS40" s="2014"/>
      <c r="BT40" s="2014"/>
      <c r="BU40" s="2014"/>
      <c r="BV40" s="2014"/>
      <c r="BW40" s="2014"/>
      <c r="BX40" s="2014"/>
      <c r="BY40" s="2014"/>
      <c r="BZ40" s="2014"/>
      <c r="CA40" s="2014"/>
      <c r="CB40" s="2014"/>
      <c r="CC40" s="2014"/>
      <c r="CD40" s="2014"/>
      <c r="CE40" s="2014"/>
      <c r="CF40" s="2014"/>
      <c r="CG40" s="2014"/>
      <c r="CH40" s="2014"/>
      <c r="CI40" s="2014"/>
      <c r="CJ40" s="2014"/>
      <c r="CK40" s="2014"/>
      <c r="CL40" s="2014"/>
      <c r="CM40" s="2014"/>
      <c r="CN40" s="2014"/>
      <c r="CO40" s="2014"/>
      <c r="CP40" s="2014"/>
      <c r="CQ40" s="2014"/>
      <c r="CR40" s="2014"/>
      <c r="CS40" s="2014"/>
      <c r="CT40" s="2014"/>
      <c r="CU40" s="2014"/>
      <c r="CV40" s="2014"/>
      <c r="CW40" s="2014"/>
      <c r="CX40" s="2014"/>
      <c r="CY40" s="2014"/>
      <c r="CZ40" s="2014"/>
      <c r="DA40" s="2014"/>
      <c r="DB40" s="2014"/>
      <c r="DC40" s="2014"/>
      <c r="DD40" s="2014"/>
      <c r="DE40" s="2014"/>
      <c r="DF40" s="2014"/>
      <c r="DG40" s="2014"/>
      <c r="DH40" s="2014"/>
      <c r="DI40" s="2014"/>
      <c r="DJ40" s="2014"/>
      <c r="DK40" s="2014"/>
      <c r="DL40" s="2014"/>
      <c r="DM40" s="2014"/>
      <c r="DN40" s="2014"/>
      <c r="DO40" s="2014"/>
      <c r="DP40" s="2014"/>
      <c r="DQ40" s="2014"/>
      <c r="DR40" s="2014"/>
      <c r="DS40" s="2014"/>
      <c r="DT40" s="2014"/>
      <c r="DU40" s="2014"/>
      <c r="DV40" s="2014"/>
      <c r="DW40" s="2014"/>
      <c r="DX40" s="2014"/>
      <c r="DY40" s="2014"/>
      <c r="DZ40" s="2014"/>
      <c r="EA40" s="2014"/>
      <c r="EB40" s="2014"/>
      <c r="EC40" s="2014"/>
      <c r="ED40" s="2014"/>
      <c r="EE40" s="2015"/>
      <c r="EF40" s="2015"/>
      <c r="EG40" s="1979"/>
      <c r="EH40" s="1979"/>
    </row>
    <row r="41" spans="1:155" s="1897" customFormat="1" ht="15.75">
      <c r="A41" s="1977" t="s">
        <v>2704</v>
      </c>
      <c r="B41" s="2016"/>
      <c r="C41" s="2016"/>
      <c r="D41" s="2016"/>
      <c r="E41" s="2016"/>
      <c r="F41" s="2016"/>
      <c r="G41" s="2016"/>
      <c r="H41" s="2016"/>
      <c r="I41" s="2016"/>
      <c r="J41" s="2016"/>
      <c r="K41" s="2016"/>
      <c r="L41" s="2016"/>
      <c r="M41" s="2016"/>
      <c r="N41" s="2016"/>
      <c r="O41" s="2016"/>
      <c r="P41" s="2016"/>
      <c r="Q41" s="2016"/>
      <c r="R41" s="2016"/>
      <c r="S41" s="2016"/>
      <c r="T41" s="2016"/>
      <c r="U41" s="2016"/>
      <c r="V41" s="2016"/>
      <c r="W41" s="2016"/>
      <c r="X41" s="2016"/>
      <c r="Y41" s="2016"/>
      <c r="Z41" s="2016"/>
      <c r="AA41" s="2016"/>
      <c r="AB41" s="2016"/>
      <c r="AC41" s="2016"/>
      <c r="AD41" s="2016"/>
      <c r="AE41" s="2016"/>
      <c r="AF41" s="2016"/>
      <c r="AG41" s="2016"/>
      <c r="AH41" s="2016"/>
      <c r="AI41" s="2016"/>
      <c r="AJ41" s="2016"/>
      <c r="AK41" s="2016"/>
      <c r="AL41" s="2016"/>
      <c r="AM41" s="2017"/>
      <c r="AN41" s="2017"/>
      <c r="AO41" s="2017"/>
      <c r="AP41" s="2017"/>
      <c r="AQ41" s="2017"/>
      <c r="AR41" s="2017"/>
      <c r="AS41" s="2017"/>
      <c r="AT41" s="2017"/>
      <c r="AU41" s="2017"/>
      <c r="AV41" s="2017"/>
      <c r="AW41" s="2017"/>
      <c r="AX41" s="2017"/>
      <c r="AY41" s="2017"/>
      <c r="AZ41" s="2017"/>
      <c r="BA41" s="2017"/>
      <c r="BB41" s="2017"/>
      <c r="BC41" s="2017"/>
      <c r="BD41" s="2017"/>
      <c r="BE41" s="2017"/>
      <c r="BF41" s="2017"/>
      <c r="BG41" s="2017"/>
      <c r="BH41" s="2017"/>
      <c r="BI41" s="2017"/>
      <c r="BJ41" s="2017"/>
      <c r="BK41" s="2017"/>
      <c r="BL41" s="2017"/>
      <c r="BM41" s="2017"/>
      <c r="BN41" s="2017"/>
      <c r="BO41" s="2017"/>
      <c r="BP41" s="2017"/>
      <c r="BQ41" s="2017"/>
      <c r="BR41" s="2017"/>
      <c r="BS41" s="2017"/>
      <c r="BT41" s="2017"/>
      <c r="BU41" s="2017"/>
      <c r="BV41" s="2017"/>
      <c r="BW41" s="2017"/>
      <c r="BX41" s="2017"/>
      <c r="BY41" s="2017"/>
      <c r="BZ41" s="2017"/>
      <c r="CA41" s="2017"/>
      <c r="CB41" s="2017"/>
      <c r="CC41" s="2017"/>
      <c r="CD41" s="2017"/>
      <c r="CE41" s="2017"/>
      <c r="CF41" s="2017"/>
      <c r="CG41" s="2017"/>
      <c r="CH41" s="2017"/>
      <c r="CI41" s="2017"/>
      <c r="CJ41" s="2017"/>
      <c r="CK41" s="2017"/>
      <c r="CL41" s="2017"/>
      <c r="CM41" s="2017"/>
      <c r="CN41" s="2017"/>
      <c r="CO41" s="2017"/>
      <c r="CP41" s="2017"/>
      <c r="CQ41" s="2017"/>
      <c r="CR41" s="2017"/>
      <c r="CS41" s="2017"/>
      <c r="CT41" s="2017"/>
      <c r="CU41" s="2017"/>
      <c r="CV41" s="2017"/>
      <c r="CW41" s="2017"/>
      <c r="CX41" s="2017"/>
      <c r="CY41" s="2017"/>
      <c r="CZ41" s="2017"/>
      <c r="DA41" s="2017"/>
      <c r="DB41" s="2017"/>
      <c r="DC41" s="2017"/>
      <c r="DD41" s="2017"/>
      <c r="DE41" s="2017"/>
      <c r="DF41" s="2017"/>
      <c r="DG41" s="2017"/>
      <c r="DH41" s="2017"/>
      <c r="DI41" s="2017"/>
      <c r="DJ41" s="2017"/>
      <c r="DK41" s="2017"/>
      <c r="DL41" s="2017"/>
      <c r="DM41" s="2017"/>
      <c r="DN41" s="2017"/>
      <c r="DO41" s="2017"/>
      <c r="DP41" s="2017"/>
      <c r="DQ41" s="2017"/>
      <c r="DR41" s="2017"/>
      <c r="DS41" s="2017"/>
      <c r="DT41" s="2017"/>
      <c r="DU41" s="2017"/>
      <c r="DV41" s="2017"/>
      <c r="DW41" s="2017"/>
      <c r="DX41" s="2017"/>
      <c r="DY41" s="2017"/>
      <c r="DZ41" s="2017"/>
      <c r="EA41" s="2018"/>
      <c r="EB41" s="2018"/>
      <c r="EC41" s="2018"/>
      <c r="ED41" s="2018"/>
      <c r="EE41" s="1979"/>
      <c r="EF41" s="1979"/>
      <c r="EG41" s="1979"/>
      <c r="EH41" s="1979"/>
    </row>
    <row r="42" spans="1:155" s="1897" customFormat="1">
      <c r="A42" s="2019"/>
      <c r="B42" s="2019"/>
      <c r="C42" s="2019"/>
      <c r="D42" s="2019"/>
      <c r="E42" s="2019"/>
      <c r="F42" s="2019"/>
      <c r="G42" s="2019"/>
      <c r="H42" s="2019"/>
      <c r="I42" s="2019"/>
      <c r="J42" s="2019"/>
      <c r="K42" s="2019"/>
      <c r="L42" s="2019"/>
      <c r="M42" s="2019"/>
      <c r="N42" s="2019"/>
      <c r="O42" s="2019"/>
      <c r="P42" s="2019"/>
      <c r="Q42" s="2019"/>
      <c r="R42" s="2019"/>
      <c r="S42" s="2019"/>
      <c r="T42" s="2019"/>
      <c r="U42" s="2019"/>
      <c r="V42" s="2019"/>
      <c r="W42" s="2019"/>
      <c r="X42" s="2019"/>
      <c r="Y42" s="2019"/>
      <c r="Z42" s="2019"/>
      <c r="AA42" s="2019"/>
      <c r="AB42" s="2019"/>
      <c r="AC42" s="2019"/>
      <c r="AD42" s="2019"/>
      <c r="AE42" s="2019"/>
      <c r="AF42" s="2019"/>
      <c r="AG42" s="2019"/>
      <c r="AH42" s="2019"/>
      <c r="AI42" s="2019"/>
      <c r="AJ42" s="2019"/>
      <c r="AK42" s="2019"/>
      <c r="AL42" s="2019"/>
      <c r="AM42" s="2019"/>
      <c r="AN42" s="2019"/>
      <c r="AO42" s="2019"/>
      <c r="AP42" s="2019"/>
      <c r="AQ42" s="2019"/>
      <c r="AR42" s="2019"/>
      <c r="AS42" s="2019"/>
      <c r="AT42" s="2019"/>
      <c r="AU42" s="2019"/>
      <c r="AV42" s="2019"/>
      <c r="AW42" s="2019"/>
      <c r="AX42" s="2019"/>
      <c r="AY42" s="2019"/>
      <c r="AZ42" s="2019"/>
      <c r="BA42" s="2019"/>
      <c r="BB42" s="2019"/>
      <c r="BC42" s="2019"/>
      <c r="BD42" s="2019"/>
      <c r="BE42" s="2019"/>
      <c r="BF42" s="2019"/>
      <c r="BG42" s="2019"/>
      <c r="BH42" s="2019"/>
      <c r="BI42" s="2019"/>
      <c r="BJ42" s="2019"/>
      <c r="BK42" s="2019"/>
      <c r="BL42" s="2019"/>
      <c r="BM42" s="2019"/>
      <c r="BN42" s="2019"/>
      <c r="BO42" s="2019"/>
      <c r="BP42" s="2019"/>
      <c r="BQ42" s="2019"/>
      <c r="BR42" s="2019"/>
      <c r="BS42" s="2019"/>
      <c r="BT42" s="2019"/>
      <c r="BU42" s="2019"/>
      <c r="BV42" s="2019"/>
      <c r="BW42" s="2019"/>
      <c r="BX42" s="2019"/>
      <c r="BY42" s="2019"/>
      <c r="BZ42" s="2019"/>
      <c r="CA42" s="2019"/>
      <c r="CB42" s="2019"/>
      <c r="CC42" s="2019"/>
      <c r="CD42" s="2019"/>
      <c r="CE42" s="2019"/>
      <c r="CF42" s="2019"/>
      <c r="CG42" s="2019"/>
      <c r="CH42" s="2019"/>
      <c r="CI42" s="2019"/>
      <c r="CJ42" s="2019"/>
      <c r="CK42" s="2019"/>
      <c r="CL42" s="2019"/>
      <c r="CM42" s="2019"/>
      <c r="CN42" s="2019"/>
      <c r="CO42" s="2019"/>
      <c r="CP42" s="2019"/>
      <c r="CQ42" s="2019"/>
      <c r="CR42" s="2019"/>
      <c r="CS42" s="2019"/>
      <c r="CT42" s="2019"/>
      <c r="CU42" s="2019"/>
      <c r="CV42" s="2019"/>
      <c r="CW42" s="2019"/>
      <c r="CX42" s="2019"/>
      <c r="CY42" s="2019"/>
      <c r="CZ42" s="2019"/>
      <c r="DA42" s="2019"/>
      <c r="DB42" s="2019"/>
      <c r="DC42" s="2019"/>
      <c r="DD42" s="2019"/>
      <c r="DE42" s="2019"/>
      <c r="DF42" s="2019"/>
      <c r="DG42" s="2019"/>
      <c r="DH42" s="2019"/>
      <c r="DI42" s="2019"/>
      <c r="DJ42" s="2019"/>
      <c r="DK42" s="2019"/>
      <c r="DL42" s="2019"/>
      <c r="DM42" s="2019"/>
      <c r="DN42" s="2019"/>
      <c r="DO42" s="2019"/>
      <c r="DP42" s="2019"/>
      <c r="DQ42" s="2019"/>
      <c r="DR42" s="2019"/>
      <c r="DS42" s="2019"/>
      <c r="DT42" s="2019"/>
      <c r="DU42" s="2019"/>
      <c r="DV42" s="2019"/>
      <c r="DW42" s="2019"/>
      <c r="DX42" s="2019"/>
      <c r="DY42" s="2019"/>
      <c r="DZ42" s="2019"/>
      <c r="EA42" s="2019"/>
      <c r="EB42" s="2019"/>
      <c r="EC42" s="2019"/>
      <c r="ED42" s="2019"/>
      <c r="EE42" s="2019"/>
      <c r="EF42" s="2019"/>
      <c r="EG42" s="2019"/>
    </row>
    <row r="43" spans="1:155" s="1897" customFormat="1"/>
    <row r="44" spans="1:155" s="1897" customFormat="1"/>
    <row r="45" spans="1:155" s="1897" customFormat="1"/>
    <row r="46" spans="1:155" s="1897" customFormat="1"/>
    <row r="47" spans="1:155" s="1897" customFormat="1"/>
    <row r="48" spans="1:155" s="1897" customFormat="1"/>
    <row r="49" s="1897" customFormat="1"/>
    <row r="50" s="1897" customFormat="1"/>
    <row r="51" s="1897" customFormat="1"/>
    <row r="52" s="1897" customFormat="1"/>
    <row r="53" s="1897" customFormat="1"/>
    <row r="54" s="1897" customFormat="1"/>
    <row r="55" s="1897" customFormat="1"/>
    <row r="56" s="1897" customFormat="1"/>
    <row r="57" s="1897" customFormat="1"/>
    <row r="58" s="1897" customFormat="1"/>
    <row r="59" s="1897" customFormat="1"/>
    <row r="60" s="1897" customFormat="1"/>
    <row r="61" s="1897" customFormat="1"/>
    <row r="62" s="1897" customFormat="1"/>
    <row r="63" s="1897" customFormat="1"/>
    <row r="64" s="1897" customFormat="1"/>
    <row r="65" s="1897" customFormat="1"/>
    <row r="66" s="1897" customFormat="1"/>
    <row r="67" s="1897" customFormat="1"/>
    <row r="68" s="1897" customFormat="1"/>
    <row r="69" s="1897" customFormat="1"/>
    <row r="70" s="1897" customFormat="1"/>
    <row r="71" s="1897" customFormat="1"/>
    <row r="72" s="1897" customFormat="1"/>
    <row r="73" s="1897" customFormat="1"/>
    <row r="74" s="1897" customFormat="1"/>
    <row r="75" s="1897" customFormat="1"/>
    <row r="76" s="1897" customFormat="1"/>
    <row r="77" s="1897" customFormat="1"/>
    <row r="78" s="1897" customFormat="1"/>
    <row r="79" s="1897" customFormat="1"/>
    <row r="80" s="1897" customFormat="1"/>
    <row r="81" s="1897" customFormat="1"/>
    <row r="82" s="1897" customFormat="1"/>
    <row r="83" s="1897" customFormat="1"/>
    <row r="84" s="1897" customFormat="1"/>
    <row r="85" s="1897" customFormat="1"/>
    <row r="86" s="1897" customFormat="1"/>
    <row r="87" s="1897" customFormat="1"/>
    <row r="88" s="1897" customFormat="1"/>
    <row r="89" s="1897" customFormat="1"/>
    <row r="90" s="1897" customFormat="1"/>
    <row r="91" s="1897" customFormat="1"/>
    <row r="92" s="1897" customFormat="1"/>
    <row r="93" s="1897" customFormat="1"/>
    <row r="94" s="1897" customFormat="1"/>
    <row r="95" s="1897" customFormat="1"/>
    <row r="96" s="1897" customFormat="1"/>
    <row r="97" s="1897" customFormat="1"/>
    <row r="98" s="1897" customFormat="1"/>
    <row r="99" s="1897" customFormat="1"/>
    <row r="100" s="1897" customFormat="1"/>
    <row r="101" s="1897" customFormat="1"/>
    <row r="102" s="1897" customFormat="1"/>
    <row r="103" s="1897" customFormat="1"/>
    <row r="104" s="1897" customFormat="1"/>
    <row r="105" s="1897" customFormat="1"/>
    <row r="106" s="1897" customFormat="1"/>
    <row r="107" s="1897" customFormat="1"/>
    <row r="108" s="1897" customFormat="1"/>
    <row r="109" s="1897" customFormat="1"/>
    <row r="110" s="1897" customFormat="1"/>
    <row r="111" s="1897" customFormat="1"/>
    <row r="112" s="1897" customFormat="1"/>
    <row r="113" s="1897" customFormat="1"/>
    <row r="114" s="1897" customFormat="1"/>
    <row r="115" s="1897" customFormat="1"/>
    <row r="116" s="1897" customFormat="1"/>
    <row r="117" s="1897" customFormat="1"/>
    <row r="118" s="1897" customFormat="1"/>
    <row r="119" s="1897" customFormat="1"/>
    <row r="120" s="1897" customFormat="1"/>
    <row r="121" s="1897" customFormat="1"/>
    <row r="122" s="1897" customFormat="1"/>
    <row r="123" s="1897" customFormat="1"/>
    <row r="124" s="1897" customFormat="1"/>
    <row r="125" s="1897" customFormat="1"/>
    <row r="126" s="1897" customFormat="1"/>
    <row r="127" s="1897" customFormat="1"/>
    <row r="128" s="1897" customFormat="1"/>
    <row r="129" s="1897" customFormat="1"/>
    <row r="130" s="1897" customFormat="1"/>
    <row r="131" s="1897" customFormat="1"/>
    <row r="132" s="1897" customFormat="1"/>
    <row r="133" s="1897" customFormat="1"/>
    <row r="134" s="1897" customFormat="1"/>
    <row r="135" s="1897" customFormat="1"/>
    <row r="136" s="1897" customFormat="1"/>
    <row r="137" s="1897" customFormat="1"/>
    <row r="138" s="1897" customFormat="1"/>
    <row r="139" s="1897" customFormat="1"/>
    <row r="140" s="1897" customFormat="1"/>
    <row r="141" s="1897" customFormat="1"/>
    <row r="142" s="1897" customFormat="1"/>
    <row r="143" s="1897" customFormat="1"/>
    <row r="144" s="1897" customFormat="1"/>
    <row r="145" s="1897" customFormat="1"/>
    <row r="146" s="1897" customFormat="1"/>
    <row r="147" s="1897" customFormat="1"/>
    <row r="148" s="1897" customFormat="1"/>
    <row r="149" s="1897" customFormat="1"/>
    <row r="150" s="1897" customFormat="1"/>
    <row r="151" s="1897" customFormat="1"/>
    <row r="152" s="1897" customFormat="1"/>
    <row r="153" s="1897" customFormat="1"/>
    <row r="154" s="1897" customFormat="1"/>
    <row r="155" s="1897" customFormat="1"/>
    <row r="156" s="1897" customFormat="1"/>
    <row r="157" s="1897" customFormat="1"/>
    <row r="158" s="1897" customFormat="1"/>
    <row r="159" s="1897" customFormat="1"/>
    <row r="160" s="1897" customFormat="1"/>
    <row r="161" s="1897" customFormat="1"/>
    <row r="162" s="1897" customFormat="1"/>
    <row r="163" s="1897" customFormat="1"/>
    <row r="164" s="1897" customFormat="1"/>
    <row r="165" s="1897" customFormat="1"/>
    <row r="166" s="1897" customFormat="1"/>
    <row r="167" s="1897" customFormat="1"/>
    <row r="168" s="1897" customFormat="1"/>
    <row r="169" s="1897" customFormat="1"/>
    <row r="170" s="1897" customFormat="1"/>
    <row r="171" s="1897" customFormat="1"/>
    <row r="172" s="1897" customFormat="1"/>
    <row r="173" s="1897" customFormat="1"/>
    <row r="174" s="1897" customFormat="1"/>
    <row r="175" s="1897" customFormat="1"/>
    <row r="176" s="1897" customFormat="1"/>
    <row r="177" s="1897" customFormat="1"/>
    <row r="178" s="1897" customFormat="1"/>
    <row r="179" s="1897" customFormat="1"/>
    <row r="180" s="1897" customFormat="1"/>
    <row r="181" s="1897" customFormat="1"/>
    <row r="182" s="1897" customFormat="1"/>
    <row r="183" s="1897" customFormat="1"/>
    <row r="184" s="1897" customFormat="1"/>
    <row r="185" s="1897" customFormat="1"/>
    <row r="186" s="1897" customFormat="1"/>
    <row r="187" s="1897" customFormat="1"/>
    <row r="188" s="1897" customFormat="1"/>
    <row r="189" s="1897" customFormat="1"/>
    <row r="190" s="1897" customFormat="1"/>
    <row r="191" s="1897" customFormat="1"/>
    <row r="192" s="1897" customFormat="1"/>
    <row r="193" s="1897" customFormat="1"/>
    <row r="194" s="1897" customFormat="1"/>
    <row r="195" s="1897" customFormat="1"/>
    <row r="196" s="1897" customFormat="1"/>
    <row r="197" s="1897" customFormat="1"/>
    <row r="198" s="1897" customFormat="1"/>
    <row r="199" s="1897" customFormat="1"/>
    <row r="200" s="1897" customFormat="1"/>
    <row r="201" s="1897" customFormat="1"/>
    <row r="202" s="1897" customFormat="1"/>
    <row r="203" s="1897" customFormat="1"/>
    <row r="204" s="1897" customFormat="1"/>
    <row r="205" s="1897" customFormat="1"/>
    <row r="206" s="1897" customFormat="1"/>
    <row r="207" s="1897" customFormat="1"/>
    <row r="208" s="1897" customFormat="1"/>
    <row r="209" s="1897" customFormat="1"/>
    <row r="210" s="1897" customFormat="1"/>
    <row r="211" s="1897" customFormat="1"/>
    <row r="212" s="1897" customFormat="1"/>
    <row r="213" s="1897" customFormat="1"/>
    <row r="214" s="1897" customFormat="1"/>
    <row r="215" s="1897" customFormat="1"/>
    <row r="216" s="1897" customFormat="1"/>
    <row r="217" s="1897" customFormat="1"/>
    <row r="218" s="1897" customFormat="1"/>
    <row r="219" s="1897" customFormat="1"/>
    <row r="220" s="1897" customFormat="1"/>
    <row r="221" s="1897" customFormat="1"/>
    <row r="222" s="1897" customFormat="1"/>
    <row r="223" s="1897" customFormat="1"/>
    <row r="224" s="1897" customFormat="1"/>
    <row r="225" s="1897" customFormat="1"/>
    <row r="226" s="1897" customFormat="1"/>
    <row r="227" s="1897" customFormat="1"/>
    <row r="228" s="1897" customFormat="1"/>
    <row r="229" s="1897" customFormat="1"/>
    <row r="230" s="1897" customFormat="1"/>
    <row r="231" s="1897" customFormat="1"/>
    <row r="232" s="1897" customFormat="1"/>
    <row r="233" s="1897" customFormat="1"/>
    <row r="234" s="1897" customFormat="1"/>
    <row r="235" s="1897" customFormat="1"/>
    <row r="236" s="1897" customFormat="1"/>
    <row r="237" s="1897" customFormat="1"/>
    <row r="238" s="1897" customFormat="1"/>
    <row r="239" s="1897" customFormat="1"/>
    <row r="240" s="1897" customFormat="1"/>
    <row r="241" s="1897" customFormat="1"/>
    <row r="242" s="1897" customFormat="1"/>
    <row r="243" s="1897" customFormat="1"/>
    <row r="244" s="1897" customFormat="1"/>
    <row r="245" s="1897" customFormat="1"/>
    <row r="246" s="1897" customFormat="1"/>
    <row r="247" s="1897" customFormat="1"/>
    <row r="248" s="1897" customFormat="1"/>
    <row r="249" s="1897" customFormat="1"/>
    <row r="250" s="1897" customFormat="1"/>
    <row r="251" s="1897" customFormat="1"/>
    <row r="252" s="1897" customFormat="1"/>
    <row r="253" s="1897" customFormat="1"/>
    <row r="254" s="1897" customFormat="1"/>
    <row r="255" s="1897" customFormat="1"/>
    <row r="256" s="1897" customFormat="1"/>
    <row r="257" s="1897" customFormat="1"/>
    <row r="258" s="1897" customFormat="1"/>
    <row r="259" s="1897" customFormat="1"/>
    <row r="260" s="1897" customFormat="1"/>
    <row r="261" s="1897" customFormat="1"/>
    <row r="262" s="1897" customFormat="1"/>
    <row r="263" s="1897" customFormat="1"/>
    <row r="264" s="1897" customFormat="1"/>
    <row r="265" s="1897" customFormat="1"/>
    <row r="266" s="1897" customFormat="1"/>
    <row r="267" s="1897" customFormat="1"/>
    <row r="268" s="1897" customFormat="1"/>
    <row r="269" s="1897" customFormat="1"/>
    <row r="270" s="1897" customFormat="1"/>
    <row r="271" s="1897" customFormat="1"/>
    <row r="272" s="1897" customFormat="1"/>
    <row r="273" spans="8:9" s="1897" customFormat="1"/>
    <row r="274" spans="8:9" s="1897" customFormat="1"/>
    <row r="275" spans="8:9" s="1897" customFormat="1"/>
    <row r="276" spans="8:9" s="1897" customFormat="1"/>
    <row r="277" spans="8:9" s="1897" customFormat="1"/>
    <row r="278" spans="8:9" s="1897" customFormat="1"/>
    <row r="279" spans="8:9" s="1897" customFormat="1"/>
    <row r="280" spans="8:9" s="1897" customFormat="1"/>
    <row r="281" spans="8:9" s="1897" customFormat="1"/>
    <row r="282" spans="8:9" s="1897" customFormat="1"/>
    <row r="283" spans="8:9" s="1897" customFormat="1"/>
    <row r="284" spans="8:9" s="1897" customFormat="1"/>
    <row r="285" spans="8:9" s="1897" customFormat="1"/>
    <row r="286" spans="8:9" s="1897" customFormat="1"/>
    <row r="287" spans="8:9" s="1897" customFormat="1"/>
    <row r="288" spans="8:9" s="1897" customFormat="1">
      <c r="H288" s="1898"/>
      <c r="I288" s="1898"/>
    </row>
    <row r="289" spans="8:9" s="1897" customFormat="1">
      <c r="H289" s="1898"/>
      <c r="I289" s="1898"/>
    </row>
    <row r="290" spans="8:9" s="1897" customFormat="1">
      <c r="H290" s="1898"/>
      <c r="I290" s="1898"/>
    </row>
  </sheetData>
  <printOptions horizontalCentered="1"/>
  <pageMargins left="0.196850393700787" right="0.196850393700787" top="1.4468503939999999" bottom="0.196850393700787" header="0" footer="0"/>
  <pageSetup paperSize="9" scale="74"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zoomScale="95" zoomScaleNormal="95" workbookViewId="0">
      <pane xSplit="1" topLeftCell="B1" activePane="topRight" state="frozen"/>
      <selection activeCell="FD9" sqref="FD9"/>
      <selection pane="topRight" activeCell="P16" sqref="P16"/>
    </sheetView>
  </sheetViews>
  <sheetFormatPr defaultRowHeight="12.75"/>
  <cols>
    <col min="1" max="1" width="31.85546875" style="2023" customWidth="1"/>
    <col min="2" max="3" width="22.28515625" style="2023" bestFit="1" customWidth="1"/>
    <col min="4" max="4" width="22" style="2023" customWidth="1"/>
    <col min="5" max="5" width="14.5703125" style="2023" customWidth="1"/>
    <col min="6" max="6" width="9.5703125" style="2023" customWidth="1"/>
    <col min="7" max="7" width="14" style="2023" customWidth="1"/>
    <col min="8" max="10" width="9.140625" style="2023"/>
    <col min="11" max="11" width="13" style="2023" customWidth="1"/>
    <col min="12" max="256" width="9.140625" style="2023"/>
    <col min="257" max="257" width="31.85546875" style="2023" customWidth="1"/>
    <col min="258" max="259" width="22.28515625" style="2023" bestFit="1" customWidth="1"/>
    <col min="260" max="260" width="22" style="2023" customWidth="1"/>
    <col min="261" max="261" width="10.5703125" style="2023" customWidth="1"/>
    <col min="262" max="262" width="9.5703125" style="2023" customWidth="1"/>
    <col min="263" max="266" width="9.140625" style="2023"/>
    <col min="267" max="267" width="13" style="2023" customWidth="1"/>
    <col min="268" max="512" width="9.140625" style="2023"/>
    <col min="513" max="513" width="31.85546875" style="2023" customWidth="1"/>
    <col min="514" max="515" width="22.28515625" style="2023" bestFit="1" customWidth="1"/>
    <col min="516" max="516" width="22" style="2023" customWidth="1"/>
    <col min="517" max="517" width="10.5703125" style="2023" customWidth="1"/>
    <col min="518" max="518" width="9.5703125" style="2023" customWidth="1"/>
    <col min="519" max="522" width="9.140625" style="2023"/>
    <col min="523" max="523" width="13" style="2023" customWidth="1"/>
    <col min="524" max="768" width="9.140625" style="2023"/>
    <col min="769" max="769" width="31.85546875" style="2023" customWidth="1"/>
    <col min="770" max="771" width="22.28515625" style="2023" bestFit="1" customWidth="1"/>
    <col min="772" max="772" width="22" style="2023" customWidth="1"/>
    <col min="773" max="773" width="10.5703125" style="2023" customWidth="1"/>
    <col min="774" max="774" width="9.5703125" style="2023" customWidth="1"/>
    <col min="775" max="778" width="9.140625" style="2023"/>
    <col min="779" max="779" width="13" style="2023" customWidth="1"/>
    <col min="780" max="1024" width="9.140625" style="2023"/>
    <col min="1025" max="1025" width="31.85546875" style="2023" customWidth="1"/>
    <col min="1026" max="1027" width="22.28515625" style="2023" bestFit="1" customWidth="1"/>
    <col min="1028" max="1028" width="22" style="2023" customWidth="1"/>
    <col min="1029" max="1029" width="10.5703125" style="2023" customWidth="1"/>
    <col min="1030" max="1030" width="9.5703125" style="2023" customWidth="1"/>
    <col min="1031" max="1034" width="9.140625" style="2023"/>
    <col min="1035" max="1035" width="13" style="2023" customWidth="1"/>
    <col min="1036" max="1280" width="9.140625" style="2023"/>
    <col min="1281" max="1281" width="31.85546875" style="2023" customWidth="1"/>
    <col min="1282" max="1283" width="22.28515625" style="2023" bestFit="1" customWidth="1"/>
    <col min="1284" max="1284" width="22" style="2023" customWidth="1"/>
    <col min="1285" max="1285" width="10.5703125" style="2023" customWidth="1"/>
    <col min="1286" max="1286" width="9.5703125" style="2023" customWidth="1"/>
    <col min="1287" max="1290" width="9.140625" style="2023"/>
    <col min="1291" max="1291" width="13" style="2023" customWidth="1"/>
    <col min="1292" max="1536" width="9.140625" style="2023"/>
    <col min="1537" max="1537" width="31.85546875" style="2023" customWidth="1"/>
    <col min="1538" max="1539" width="22.28515625" style="2023" bestFit="1" customWidth="1"/>
    <col min="1540" max="1540" width="22" style="2023" customWidth="1"/>
    <col min="1541" max="1541" width="10.5703125" style="2023" customWidth="1"/>
    <col min="1542" max="1542" width="9.5703125" style="2023" customWidth="1"/>
    <col min="1543" max="1546" width="9.140625" style="2023"/>
    <col min="1547" max="1547" width="13" style="2023" customWidth="1"/>
    <col min="1548" max="1792" width="9.140625" style="2023"/>
    <col min="1793" max="1793" width="31.85546875" style="2023" customWidth="1"/>
    <col min="1794" max="1795" width="22.28515625" style="2023" bestFit="1" customWidth="1"/>
    <col min="1796" max="1796" width="22" style="2023" customWidth="1"/>
    <col min="1797" max="1797" width="10.5703125" style="2023" customWidth="1"/>
    <col min="1798" max="1798" width="9.5703125" style="2023" customWidth="1"/>
    <col min="1799" max="1802" width="9.140625" style="2023"/>
    <col min="1803" max="1803" width="13" style="2023" customWidth="1"/>
    <col min="1804" max="2048" width="9.140625" style="2023"/>
    <col min="2049" max="2049" width="31.85546875" style="2023" customWidth="1"/>
    <col min="2050" max="2051" width="22.28515625" style="2023" bestFit="1" customWidth="1"/>
    <col min="2052" max="2052" width="22" style="2023" customWidth="1"/>
    <col min="2053" max="2053" width="10.5703125" style="2023" customWidth="1"/>
    <col min="2054" max="2054" width="9.5703125" style="2023" customWidth="1"/>
    <col min="2055" max="2058" width="9.140625" style="2023"/>
    <col min="2059" max="2059" width="13" style="2023" customWidth="1"/>
    <col min="2060" max="2304" width="9.140625" style="2023"/>
    <col min="2305" max="2305" width="31.85546875" style="2023" customWidth="1"/>
    <col min="2306" max="2307" width="22.28515625" style="2023" bestFit="1" customWidth="1"/>
    <col min="2308" max="2308" width="22" style="2023" customWidth="1"/>
    <col min="2309" max="2309" width="10.5703125" style="2023" customWidth="1"/>
    <col min="2310" max="2310" width="9.5703125" style="2023" customWidth="1"/>
    <col min="2311" max="2314" width="9.140625" style="2023"/>
    <col min="2315" max="2315" width="13" style="2023" customWidth="1"/>
    <col min="2316" max="2560" width="9.140625" style="2023"/>
    <col min="2561" max="2561" width="31.85546875" style="2023" customWidth="1"/>
    <col min="2562" max="2563" width="22.28515625" style="2023" bestFit="1" customWidth="1"/>
    <col min="2564" max="2564" width="22" style="2023" customWidth="1"/>
    <col min="2565" max="2565" width="10.5703125" style="2023" customWidth="1"/>
    <col min="2566" max="2566" width="9.5703125" style="2023" customWidth="1"/>
    <col min="2567" max="2570" width="9.140625" style="2023"/>
    <col min="2571" max="2571" width="13" style="2023" customWidth="1"/>
    <col min="2572" max="2816" width="9.140625" style="2023"/>
    <col min="2817" max="2817" width="31.85546875" style="2023" customWidth="1"/>
    <col min="2818" max="2819" width="22.28515625" style="2023" bestFit="1" customWidth="1"/>
    <col min="2820" max="2820" width="22" style="2023" customWidth="1"/>
    <col min="2821" max="2821" width="10.5703125" style="2023" customWidth="1"/>
    <col min="2822" max="2822" width="9.5703125" style="2023" customWidth="1"/>
    <col min="2823" max="2826" width="9.140625" style="2023"/>
    <col min="2827" max="2827" width="13" style="2023" customWidth="1"/>
    <col min="2828" max="3072" width="9.140625" style="2023"/>
    <col min="3073" max="3073" width="31.85546875" style="2023" customWidth="1"/>
    <col min="3074" max="3075" width="22.28515625" style="2023" bestFit="1" customWidth="1"/>
    <col min="3076" max="3076" width="22" style="2023" customWidth="1"/>
    <col min="3077" max="3077" width="10.5703125" style="2023" customWidth="1"/>
    <col min="3078" max="3078" width="9.5703125" style="2023" customWidth="1"/>
    <col min="3079" max="3082" width="9.140625" style="2023"/>
    <col min="3083" max="3083" width="13" style="2023" customWidth="1"/>
    <col min="3084" max="3328" width="9.140625" style="2023"/>
    <col min="3329" max="3329" width="31.85546875" style="2023" customWidth="1"/>
    <col min="3330" max="3331" width="22.28515625" style="2023" bestFit="1" customWidth="1"/>
    <col min="3332" max="3332" width="22" style="2023" customWidth="1"/>
    <col min="3333" max="3333" width="10.5703125" style="2023" customWidth="1"/>
    <col min="3334" max="3334" width="9.5703125" style="2023" customWidth="1"/>
    <col min="3335" max="3338" width="9.140625" style="2023"/>
    <col min="3339" max="3339" width="13" style="2023" customWidth="1"/>
    <col min="3340" max="3584" width="9.140625" style="2023"/>
    <col min="3585" max="3585" width="31.85546875" style="2023" customWidth="1"/>
    <col min="3586" max="3587" width="22.28515625" style="2023" bestFit="1" customWidth="1"/>
    <col min="3588" max="3588" width="22" style="2023" customWidth="1"/>
    <col min="3589" max="3589" width="10.5703125" style="2023" customWidth="1"/>
    <col min="3590" max="3590" width="9.5703125" style="2023" customWidth="1"/>
    <col min="3591" max="3594" width="9.140625" style="2023"/>
    <col min="3595" max="3595" width="13" style="2023" customWidth="1"/>
    <col min="3596" max="3840" width="9.140625" style="2023"/>
    <col min="3841" max="3841" width="31.85546875" style="2023" customWidth="1"/>
    <col min="3842" max="3843" width="22.28515625" style="2023" bestFit="1" customWidth="1"/>
    <col min="3844" max="3844" width="22" style="2023" customWidth="1"/>
    <col min="3845" max="3845" width="10.5703125" style="2023" customWidth="1"/>
    <col min="3846" max="3846" width="9.5703125" style="2023" customWidth="1"/>
    <col min="3847" max="3850" width="9.140625" style="2023"/>
    <col min="3851" max="3851" width="13" style="2023" customWidth="1"/>
    <col min="3852" max="4096" width="9.140625" style="2023"/>
    <col min="4097" max="4097" width="31.85546875" style="2023" customWidth="1"/>
    <col min="4098" max="4099" width="22.28515625" style="2023" bestFit="1" customWidth="1"/>
    <col min="4100" max="4100" width="22" style="2023" customWidth="1"/>
    <col min="4101" max="4101" width="10.5703125" style="2023" customWidth="1"/>
    <col min="4102" max="4102" width="9.5703125" style="2023" customWidth="1"/>
    <col min="4103" max="4106" width="9.140625" style="2023"/>
    <col min="4107" max="4107" width="13" style="2023" customWidth="1"/>
    <col min="4108" max="4352" width="9.140625" style="2023"/>
    <col min="4353" max="4353" width="31.85546875" style="2023" customWidth="1"/>
    <col min="4354" max="4355" width="22.28515625" style="2023" bestFit="1" customWidth="1"/>
    <col min="4356" max="4356" width="22" style="2023" customWidth="1"/>
    <col min="4357" max="4357" width="10.5703125" style="2023" customWidth="1"/>
    <col min="4358" max="4358" width="9.5703125" style="2023" customWidth="1"/>
    <col min="4359" max="4362" width="9.140625" style="2023"/>
    <col min="4363" max="4363" width="13" style="2023" customWidth="1"/>
    <col min="4364" max="4608" width="9.140625" style="2023"/>
    <col min="4609" max="4609" width="31.85546875" style="2023" customWidth="1"/>
    <col min="4610" max="4611" width="22.28515625" style="2023" bestFit="1" customWidth="1"/>
    <col min="4612" max="4612" width="22" style="2023" customWidth="1"/>
    <col min="4613" max="4613" width="10.5703125" style="2023" customWidth="1"/>
    <col min="4614" max="4614" width="9.5703125" style="2023" customWidth="1"/>
    <col min="4615" max="4618" width="9.140625" style="2023"/>
    <col min="4619" max="4619" width="13" style="2023" customWidth="1"/>
    <col min="4620" max="4864" width="9.140625" style="2023"/>
    <col min="4865" max="4865" width="31.85546875" style="2023" customWidth="1"/>
    <col min="4866" max="4867" width="22.28515625" style="2023" bestFit="1" customWidth="1"/>
    <col min="4868" max="4868" width="22" style="2023" customWidth="1"/>
    <col min="4869" max="4869" width="10.5703125" style="2023" customWidth="1"/>
    <col min="4870" max="4870" width="9.5703125" style="2023" customWidth="1"/>
    <col min="4871" max="4874" width="9.140625" style="2023"/>
    <col min="4875" max="4875" width="13" style="2023" customWidth="1"/>
    <col min="4876" max="5120" width="9.140625" style="2023"/>
    <col min="5121" max="5121" width="31.85546875" style="2023" customWidth="1"/>
    <col min="5122" max="5123" width="22.28515625" style="2023" bestFit="1" customWidth="1"/>
    <col min="5124" max="5124" width="22" style="2023" customWidth="1"/>
    <col min="5125" max="5125" width="10.5703125" style="2023" customWidth="1"/>
    <col min="5126" max="5126" width="9.5703125" style="2023" customWidth="1"/>
    <col min="5127" max="5130" width="9.140625" style="2023"/>
    <col min="5131" max="5131" width="13" style="2023" customWidth="1"/>
    <col min="5132" max="5376" width="9.140625" style="2023"/>
    <col min="5377" max="5377" width="31.85546875" style="2023" customWidth="1"/>
    <col min="5378" max="5379" width="22.28515625" style="2023" bestFit="1" customWidth="1"/>
    <col min="5380" max="5380" width="22" style="2023" customWidth="1"/>
    <col min="5381" max="5381" width="10.5703125" style="2023" customWidth="1"/>
    <col min="5382" max="5382" width="9.5703125" style="2023" customWidth="1"/>
    <col min="5383" max="5386" width="9.140625" style="2023"/>
    <col min="5387" max="5387" width="13" style="2023" customWidth="1"/>
    <col min="5388" max="5632" width="9.140625" style="2023"/>
    <col min="5633" max="5633" width="31.85546875" style="2023" customWidth="1"/>
    <col min="5634" max="5635" width="22.28515625" style="2023" bestFit="1" customWidth="1"/>
    <col min="5636" max="5636" width="22" style="2023" customWidth="1"/>
    <col min="5637" max="5637" width="10.5703125" style="2023" customWidth="1"/>
    <col min="5638" max="5638" width="9.5703125" style="2023" customWidth="1"/>
    <col min="5639" max="5642" width="9.140625" style="2023"/>
    <col min="5643" max="5643" width="13" style="2023" customWidth="1"/>
    <col min="5644" max="5888" width="9.140625" style="2023"/>
    <col min="5889" max="5889" width="31.85546875" style="2023" customWidth="1"/>
    <col min="5890" max="5891" width="22.28515625" style="2023" bestFit="1" customWidth="1"/>
    <col min="5892" max="5892" width="22" style="2023" customWidth="1"/>
    <col min="5893" max="5893" width="10.5703125" style="2023" customWidth="1"/>
    <col min="5894" max="5894" width="9.5703125" style="2023" customWidth="1"/>
    <col min="5895" max="5898" width="9.140625" style="2023"/>
    <col min="5899" max="5899" width="13" style="2023" customWidth="1"/>
    <col min="5900" max="6144" width="9.140625" style="2023"/>
    <col min="6145" max="6145" width="31.85546875" style="2023" customWidth="1"/>
    <col min="6146" max="6147" width="22.28515625" style="2023" bestFit="1" customWidth="1"/>
    <col min="6148" max="6148" width="22" style="2023" customWidth="1"/>
    <col min="6149" max="6149" width="10.5703125" style="2023" customWidth="1"/>
    <col min="6150" max="6150" width="9.5703125" style="2023" customWidth="1"/>
    <col min="6151" max="6154" width="9.140625" style="2023"/>
    <col min="6155" max="6155" width="13" style="2023" customWidth="1"/>
    <col min="6156" max="6400" width="9.140625" style="2023"/>
    <col min="6401" max="6401" width="31.85546875" style="2023" customWidth="1"/>
    <col min="6402" max="6403" width="22.28515625" style="2023" bestFit="1" customWidth="1"/>
    <col min="6404" max="6404" width="22" style="2023" customWidth="1"/>
    <col min="6405" max="6405" width="10.5703125" style="2023" customWidth="1"/>
    <col min="6406" max="6406" width="9.5703125" style="2023" customWidth="1"/>
    <col min="6407" max="6410" width="9.140625" style="2023"/>
    <col min="6411" max="6411" width="13" style="2023" customWidth="1"/>
    <col min="6412" max="6656" width="9.140625" style="2023"/>
    <col min="6657" max="6657" width="31.85546875" style="2023" customWidth="1"/>
    <col min="6658" max="6659" width="22.28515625" style="2023" bestFit="1" customWidth="1"/>
    <col min="6660" max="6660" width="22" style="2023" customWidth="1"/>
    <col min="6661" max="6661" width="10.5703125" style="2023" customWidth="1"/>
    <col min="6662" max="6662" width="9.5703125" style="2023" customWidth="1"/>
    <col min="6663" max="6666" width="9.140625" style="2023"/>
    <col min="6667" max="6667" width="13" style="2023" customWidth="1"/>
    <col min="6668" max="6912" width="9.140625" style="2023"/>
    <col min="6913" max="6913" width="31.85546875" style="2023" customWidth="1"/>
    <col min="6914" max="6915" width="22.28515625" style="2023" bestFit="1" customWidth="1"/>
    <col min="6916" max="6916" width="22" style="2023" customWidth="1"/>
    <col min="6917" max="6917" width="10.5703125" style="2023" customWidth="1"/>
    <col min="6918" max="6918" width="9.5703125" style="2023" customWidth="1"/>
    <col min="6919" max="6922" width="9.140625" style="2023"/>
    <col min="6923" max="6923" width="13" style="2023" customWidth="1"/>
    <col min="6924" max="7168" width="9.140625" style="2023"/>
    <col min="7169" max="7169" width="31.85546875" style="2023" customWidth="1"/>
    <col min="7170" max="7171" width="22.28515625" style="2023" bestFit="1" customWidth="1"/>
    <col min="7172" max="7172" width="22" style="2023" customWidth="1"/>
    <col min="7173" max="7173" width="10.5703125" style="2023" customWidth="1"/>
    <col min="7174" max="7174" width="9.5703125" style="2023" customWidth="1"/>
    <col min="7175" max="7178" width="9.140625" style="2023"/>
    <col min="7179" max="7179" width="13" style="2023" customWidth="1"/>
    <col min="7180" max="7424" width="9.140625" style="2023"/>
    <col min="7425" max="7425" width="31.85546875" style="2023" customWidth="1"/>
    <col min="7426" max="7427" width="22.28515625" style="2023" bestFit="1" customWidth="1"/>
    <col min="7428" max="7428" width="22" style="2023" customWidth="1"/>
    <col min="7429" max="7429" width="10.5703125" style="2023" customWidth="1"/>
    <col min="7430" max="7430" width="9.5703125" style="2023" customWidth="1"/>
    <col min="7431" max="7434" width="9.140625" style="2023"/>
    <col min="7435" max="7435" width="13" style="2023" customWidth="1"/>
    <col min="7436" max="7680" width="9.140625" style="2023"/>
    <col min="7681" max="7681" width="31.85546875" style="2023" customWidth="1"/>
    <col min="7682" max="7683" width="22.28515625" style="2023" bestFit="1" customWidth="1"/>
    <col min="7684" max="7684" width="22" style="2023" customWidth="1"/>
    <col min="7685" max="7685" width="10.5703125" style="2023" customWidth="1"/>
    <col min="7686" max="7686" width="9.5703125" style="2023" customWidth="1"/>
    <col min="7687" max="7690" width="9.140625" style="2023"/>
    <col min="7691" max="7691" width="13" style="2023" customWidth="1"/>
    <col min="7692" max="7936" width="9.140625" style="2023"/>
    <col min="7937" max="7937" width="31.85546875" style="2023" customWidth="1"/>
    <col min="7938" max="7939" width="22.28515625" style="2023" bestFit="1" customWidth="1"/>
    <col min="7940" max="7940" width="22" style="2023" customWidth="1"/>
    <col min="7941" max="7941" width="10.5703125" style="2023" customWidth="1"/>
    <col min="7942" max="7942" width="9.5703125" style="2023" customWidth="1"/>
    <col min="7943" max="7946" width="9.140625" style="2023"/>
    <col min="7947" max="7947" width="13" style="2023" customWidth="1"/>
    <col min="7948" max="8192" width="9.140625" style="2023"/>
    <col min="8193" max="8193" width="31.85546875" style="2023" customWidth="1"/>
    <col min="8194" max="8195" width="22.28515625" style="2023" bestFit="1" customWidth="1"/>
    <col min="8196" max="8196" width="22" style="2023" customWidth="1"/>
    <col min="8197" max="8197" width="10.5703125" style="2023" customWidth="1"/>
    <col min="8198" max="8198" width="9.5703125" style="2023" customWidth="1"/>
    <col min="8199" max="8202" width="9.140625" style="2023"/>
    <col min="8203" max="8203" width="13" style="2023" customWidth="1"/>
    <col min="8204" max="8448" width="9.140625" style="2023"/>
    <col min="8449" max="8449" width="31.85546875" style="2023" customWidth="1"/>
    <col min="8450" max="8451" width="22.28515625" style="2023" bestFit="1" customWidth="1"/>
    <col min="8452" max="8452" width="22" style="2023" customWidth="1"/>
    <col min="8453" max="8453" width="10.5703125" style="2023" customWidth="1"/>
    <col min="8454" max="8454" width="9.5703125" style="2023" customWidth="1"/>
    <col min="8455" max="8458" width="9.140625" style="2023"/>
    <col min="8459" max="8459" width="13" style="2023" customWidth="1"/>
    <col min="8460" max="8704" width="9.140625" style="2023"/>
    <col min="8705" max="8705" width="31.85546875" style="2023" customWidth="1"/>
    <col min="8706" max="8707" width="22.28515625" style="2023" bestFit="1" customWidth="1"/>
    <col min="8708" max="8708" width="22" style="2023" customWidth="1"/>
    <col min="8709" max="8709" width="10.5703125" style="2023" customWidth="1"/>
    <col min="8710" max="8710" width="9.5703125" style="2023" customWidth="1"/>
    <col min="8711" max="8714" width="9.140625" style="2023"/>
    <col min="8715" max="8715" width="13" style="2023" customWidth="1"/>
    <col min="8716" max="8960" width="9.140625" style="2023"/>
    <col min="8961" max="8961" width="31.85546875" style="2023" customWidth="1"/>
    <col min="8962" max="8963" width="22.28515625" style="2023" bestFit="1" customWidth="1"/>
    <col min="8964" max="8964" width="22" style="2023" customWidth="1"/>
    <col min="8965" max="8965" width="10.5703125" style="2023" customWidth="1"/>
    <col min="8966" max="8966" width="9.5703125" style="2023" customWidth="1"/>
    <col min="8967" max="8970" width="9.140625" style="2023"/>
    <col min="8971" max="8971" width="13" style="2023" customWidth="1"/>
    <col min="8972" max="9216" width="9.140625" style="2023"/>
    <col min="9217" max="9217" width="31.85546875" style="2023" customWidth="1"/>
    <col min="9218" max="9219" width="22.28515625" style="2023" bestFit="1" customWidth="1"/>
    <col min="9220" max="9220" width="22" style="2023" customWidth="1"/>
    <col min="9221" max="9221" width="10.5703125" style="2023" customWidth="1"/>
    <col min="9222" max="9222" width="9.5703125" style="2023" customWidth="1"/>
    <col min="9223" max="9226" width="9.140625" style="2023"/>
    <col min="9227" max="9227" width="13" style="2023" customWidth="1"/>
    <col min="9228" max="9472" width="9.140625" style="2023"/>
    <col min="9473" max="9473" width="31.85546875" style="2023" customWidth="1"/>
    <col min="9474" max="9475" width="22.28515625" style="2023" bestFit="1" customWidth="1"/>
    <col min="9476" max="9476" width="22" style="2023" customWidth="1"/>
    <col min="9477" max="9477" width="10.5703125" style="2023" customWidth="1"/>
    <col min="9478" max="9478" width="9.5703125" style="2023" customWidth="1"/>
    <col min="9479" max="9482" width="9.140625" style="2023"/>
    <col min="9483" max="9483" width="13" style="2023" customWidth="1"/>
    <col min="9484" max="9728" width="9.140625" style="2023"/>
    <col min="9729" max="9729" width="31.85546875" style="2023" customWidth="1"/>
    <col min="9730" max="9731" width="22.28515625" style="2023" bestFit="1" customWidth="1"/>
    <col min="9732" max="9732" width="22" style="2023" customWidth="1"/>
    <col min="9733" max="9733" width="10.5703125" style="2023" customWidth="1"/>
    <col min="9734" max="9734" width="9.5703125" style="2023" customWidth="1"/>
    <col min="9735" max="9738" width="9.140625" style="2023"/>
    <col min="9739" max="9739" width="13" style="2023" customWidth="1"/>
    <col min="9740" max="9984" width="9.140625" style="2023"/>
    <col min="9985" max="9985" width="31.85546875" style="2023" customWidth="1"/>
    <col min="9986" max="9987" width="22.28515625" style="2023" bestFit="1" customWidth="1"/>
    <col min="9988" max="9988" width="22" style="2023" customWidth="1"/>
    <col min="9989" max="9989" width="10.5703125" style="2023" customWidth="1"/>
    <col min="9990" max="9990" width="9.5703125" style="2023" customWidth="1"/>
    <col min="9991" max="9994" width="9.140625" style="2023"/>
    <col min="9995" max="9995" width="13" style="2023" customWidth="1"/>
    <col min="9996" max="10240" width="9.140625" style="2023"/>
    <col min="10241" max="10241" width="31.85546875" style="2023" customWidth="1"/>
    <col min="10242" max="10243" width="22.28515625" style="2023" bestFit="1" customWidth="1"/>
    <col min="10244" max="10244" width="22" style="2023" customWidth="1"/>
    <col min="10245" max="10245" width="10.5703125" style="2023" customWidth="1"/>
    <col min="10246" max="10246" width="9.5703125" style="2023" customWidth="1"/>
    <col min="10247" max="10250" width="9.140625" style="2023"/>
    <col min="10251" max="10251" width="13" style="2023" customWidth="1"/>
    <col min="10252" max="10496" width="9.140625" style="2023"/>
    <col min="10497" max="10497" width="31.85546875" style="2023" customWidth="1"/>
    <col min="10498" max="10499" width="22.28515625" style="2023" bestFit="1" customWidth="1"/>
    <col min="10500" max="10500" width="22" style="2023" customWidth="1"/>
    <col min="10501" max="10501" width="10.5703125" style="2023" customWidth="1"/>
    <col min="10502" max="10502" width="9.5703125" style="2023" customWidth="1"/>
    <col min="10503" max="10506" width="9.140625" style="2023"/>
    <col min="10507" max="10507" width="13" style="2023" customWidth="1"/>
    <col min="10508" max="10752" width="9.140625" style="2023"/>
    <col min="10753" max="10753" width="31.85546875" style="2023" customWidth="1"/>
    <col min="10754" max="10755" width="22.28515625" style="2023" bestFit="1" customWidth="1"/>
    <col min="10756" max="10756" width="22" style="2023" customWidth="1"/>
    <col min="10757" max="10757" width="10.5703125" style="2023" customWidth="1"/>
    <col min="10758" max="10758" width="9.5703125" style="2023" customWidth="1"/>
    <col min="10759" max="10762" width="9.140625" style="2023"/>
    <col min="10763" max="10763" width="13" style="2023" customWidth="1"/>
    <col min="10764" max="11008" width="9.140625" style="2023"/>
    <col min="11009" max="11009" width="31.85546875" style="2023" customWidth="1"/>
    <col min="11010" max="11011" width="22.28515625" style="2023" bestFit="1" customWidth="1"/>
    <col min="11012" max="11012" width="22" style="2023" customWidth="1"/>
    <col min="11013" max="11013" width="10.5703125" style="2023" customWidth="1"/>
    <col min="11014" max="11014" width="9.5703125" style="2023" customWidth="1"/>
    <col min="11015" max="11018" width="9.140625" style="2023"/>
    <col min="11019" max="11019" width="13" style="2023" customWidth="1"/>
    <col min="11020" max="11264" width="9.140625" style="2023"/>
    <col min="11265" max="11265" width="31.85546875" style="2023" customWidth="1"/>
    <col min="11266" max="11267" width="22.28515625" style="2023" bestFit="1" customWidth="1"/>
    <col min="11268" max="11268" width="22" style="2023" customWidth="1"/>
    <col min="11269" max="11269" width="10.5703125" style="2023" customWidth="1"/>
    <col min="11270" max="11270" width="9.5703125" style="2023" customWidth="1"/>
    <col min="11271" max="11274" width="9.140625" style="2023"/>
    <col min="11275" max="11275" width="13" style="2023" customWidth="1"/>
    <col min="11276" max="11520" width="9.140625" style="2023"/>
    <col min="11521" max="11521" width="31.85546875" style="2023" customWidth="1"/>
    <col min="11522" max="11523" width="22.28515625" style="2023" bestFit="1" customWidth="1"/>
    <col min="11524" max="11524" width="22" style="2023" customWidth="1"/>
    <col min="11525" max="11525" width="10.5703125" style="2023" customWidth="1"/>
    <col min="11526" max="11526" width="9.5703125" style="2023" customWidth="1"/>
    <col min="11527" max="11530" width="9.140625" style="2023"/>
    <col min="11531" max="11531" width="13" style="2023" customWidth="1"/>
    <col min="11532" max="11776" width="9.140625" style="2023"/>
    <col min="11777" max="11777" width="31.85546875" style="2023" customWidth="1"/>
    <col min="11778" max="11779" width="22.28515625" style="2023" bestFit="1" customWidth="1"/>
    <col min="11780" max="11780" width="22" style="2023" customWidth="1"/>
    <col min="11781" max="11781" width="10.5703125" style="2023" customWidth="1"/>
    <col min="11782" max="11782" width="9.5703125" style="2023" customWidth="1"/>
    <col min="11783" max="11786" width="9.140625" style="2023"/>
    <col min="11787" max="11787" width="13" style="2023" customWidth="1"/>
    <col min="11788" max="12032" width="9.140625" style="2023"/>
    <col min="12033" max="12033" width="31.85546875" style="2023" customWidth="1"/>
    <col min="12034" max="12035" width="22.28515625" style="2023" bestFit="1" customWidth="1"/>
    <col min="12036" max="12036" width="22" style="2023" customWidth="1"/>
    <col min="12037" max="12037" width="10.5703125" style="2023" customWidth="1"/>
    <col min="12038" max="12038" width="9.5703125" style="2023" customWidth="1"/>
    <col min="12039" max="12042" width="9.140625" style="2023"/>
    <col min="12043" max="12043" width="13" style="2023" customWidth="1"/>
    <col min="12044" max="12288" width="9.140625" style="2023"/>
    <col min="12289" max="12289" width="31.85546875" style="2023" customWidth="1"/>
    <col min="12290" max="12291" width="22.28515625" style="2023" bestFit="1" customWidth="1"/>
    <col min="12292" max="12292" width="22" style="2023" customWidth="1"/>
    <col min="12293" max="12293" width="10.5703125" style="2023" customWidth="1"/>
    <col min="12294" max="12294" width="9.5703125" style="2023" customWidth="1"/>
    <col min="12295" max="12298" width="9.140625" style="2023"/>
    <col min="12299" max="12299" width="13" style="2023" customWidth="1"/>
    <col min="12300" max="12544" width="9.140625" style="2023"/>
    <col min="12545" max="12545" width="31.85546875" style="2023" customWidth="1"/>
    <col min="12546" max="12547" width="22.28515625" style="2023" bestFit="1" customWidth="1"/>
    <col min="12548" max="12548" width="22" style="2023" customWidth="1"/>
    <col min="12549" max="12549" width="10.5703125" style="2023" customWidth="1"/>
    <col min="12550" max="12550" width="9.5703125" style="2023" customWidth="1"/>
    <col min="12551" max="12554" width="9.140625" style="2023"/>
    <col min="12555" max="12555" width="13" style="2023" customWidth="1"/>
    <col min="12556" max="12800" width="9.140625" style="2023"/>
    <col min="12801" max="12801" width="31.85546875" style="2023" customWidth="1"/>
    <col min="12802" max="12803" width="22.28515625" style="2023" bestFit="1" customWidth="1"/>
    <col min="12804" max="12804" width="22" style="2023" customWidth="1"/>
    <col min="12805" max="12805" width="10.5703125" style="2023" customWidth="1"/>
    <col min="12806" max="12806" width="9.5703125" style="2023" customWidth="1"/>
    <col min="12807" max="12810" width="9.140625" style="2023"/>
    <col min="12811" max="12811" width="13" style="2023" customWidth="1"/>
    <col min="12812" max="13056" width="9.140625" style="2023"/>
    <col min="13057" max="13057" width="31.85546875" style="2023" customWidth="1"/>
    <col min="13058" max="13059" width="22.28515625" style="2023" bestFit="1" customWidth="1"/>
    <col min="13060" max="13060" width="22" style="2023" customWidth="1"/>
    <col min="13061" max="13061" width="10.5703125" style="2023" customWidth="1"/>
    <col min="13062" max="13062" width="9.5703125" style="2023" customWidth="1"/>
    <col min="13063" max="13066" width="9.140625" style="2023"/>
    <col min="13067" max="13067" width="13" style="2023" customWidth="1"/>
    <col min="13068" max="13312" width="9.140625" style="2023"/>
    <col min="13313" max="13313" width="31.85546875" style="2023" customWidth="1"/>
    <col min="13314" max="13315" width="22.28515625" style="2023" bestFit="1" customWidth="1"/>
    <col min="13316" max="13316" width="22" style="2023" customWidth="1"/>
    <col min="13317" max="13317" width="10.5703125" style="2023" customWidth="1"/>
    <col min="13318" max="13318" width="9.5703125" style="2023" customWidth="1"/>
    <col min="13319" max="13322" width="9.140625" style="2023"/>
    <col min="13323" max="13323" width="13" style="2023" customWidth="1"/>
    <col min="13324" max="13568" width="9.140625" style="2023"/>
    <col min="13569" max="13569" width="31.85546875" style="2023" customWidth="1"/>
    <col min="13570" max="13571" width="22.28515625" style="2023" bestFit="1" customWidth="1"/>
    <col min="13572" max="13572" width="22" style="2023" customWidth="1"/>
    <col min="13573" max="13573" width="10.5703125" style="2023" customWidth="1"/>
    <col min="13574" max="13574" width="9.5703125" style="2023" customWidth="1"/>
    <col min="13575" max="13578" width="9.140625" style="2023"/>
    <col min="13579" max="13579" width="13" style="2023" customWidth="1"/>
    <col min="13580" max="13824" width="9.140625" style="2023"/>
    <col min="13825" max="13825" width="31.85546875" style="2023" customWidth="1"/>
    <col min="13826" max="13827" width="22.28515625" style="2023" bestFit="1" customWidth="1"/>
    <col min="13828" max="13828" width="22" style="2023" customWidth="1"/>
    <col min="13829" max="13829" width="10.5703125" style="2023" customWidth="1"/>
    <col min="13830" max="13830" width="9.5703125" style="2023" customWidth="1"/>
    <col min="13831" max="13834" width="9.140625" style="2023"/>
    <col min="13835" max="13835" width="13" style="2023" customWidth="1"/>
    <col min="13836" max="14080" width="9.140625" style="2023"/>
    <col min="14081" max="14081" width="31.85546875" style="2023" customWidth="1"/>
    <col min="14082" max="14083" width="22.28515625" style="2023" bestFit="1" customWidth="1"/>
    <col min="14084" max="14084" width="22" style="2023" customWidth="1"/>
    <col min="14085" max="14085" width="10.5703125" style="2023" customWidth="1"/>
    <col min="14086" max="14086" width="9.5703125" style="2023" customWidth="1"/>
    <col min="14087" max="14090" width="9.140625" style="2023"/>
    <col min="14091" max="14091" width="13" style="2023" customWidth="1"/>
    <col min="14092" max="14336" width="9.140625" style="2023"/>
    <col min="14337" max="14337" width="31.85546875" style="2023" customWidth="1"/>
    <col min="14338" max="14339" width="22.28515625" style="2023" bestFit="1" customWidth="1"/>
    <col min="14340" max="14340" width="22" style="2023" customWidth="1"/>
    <col min="14341" max="14341" width="10.5703125" style="2023" customWidth="1"/>
    <col min="14342" max="14342" width="9.5703125" style="2023" customWidth="1"/>
    <col min="14343" max="14346" width="9.140625" style="2023"/>
    <col min="14347" max="14347" width="13" style="2023" customWidth="1"/>
    <col min="14348" max="14592" width="9.140625" style="2023"/>
    <col min="14593" max="14593" width="31.85546875" style="2023" customWidth="1"/>
    <col min="14594" max="14595" width="22.28515625" style="2023" bestFit="1" customWidth="1"/>
    <col min="14596" max="14596" width="22" style="2023" customWidth="1"/>
    <col min="14597" max="14597" width="10.5703125" style="2023" customWidth="1"/>
    <col min="14598" max="14598" width="9.5703125" style="2023" customWidth="1"/>
    <col min="14599" max="14602" width="9.140625" style="2023"/>
    <col min="14603" max="14603" width="13" style="2023" customWidth="1"/>
    <col min="14604" max="14848" width="9.140625" style="2023"/>
    <col min="14849" max="14849" width="31.85546875" style="2023" customWidth="1"/>
    <col min="14850" max="14851" width="22.28515625" style="2023" bestFit="1" customWidth="1"/>
    <col min="14852" max="14852" width="22" style="2023" customWidth="1"/>
    <col min="14853" max="14853" width="10.5703125" style="2023" customWidth="1"/>
    <col min="14854" max="14854" width="9.5703125" style="2023" customWidth="1"/>
    <col min="14855" max="14858" width="9.140625" style="2023"/>
    <col min="14859" max="14859" width="13" style="2023" customWidth="1"/>
    <col min="14860" max="15104" width="9.140625" style="2023"/>
    <col min="15105" max="15105" width="31.85546875" style="2023" customWidth="1"/>
    <col min="15106" max="15107" width="22.28515625" style="2023" bestFit="1" customWidth="1"/>
    <col min="15108" max="15108" width="22" style="2023" customWidth="1"/>
    <col min="15109" max="15109" width="10.5703125" style="2023" customWidth="1"/>
    <col min="15110" max="15110" width="9.5703125" style="2023" customWidth="1"/>
    <col min="15111" max="15114" width="9.140625" style="2023"/>
    <col min="15115" max="15115" width="13" style="2023" customWidth="1"/>
    <col min="15116" max="15360" width="9.140625" style="2023"/>
    <col min="15361" max="15361" width="31.85546875" style="2023" customWidth="1"/>
    <col min="15362" max="15363" width="22.28515625" style="2023" bestFit="1" customWidth="1"/>
    <col min="15364" max="15364" width="22" style="2023" customWidth="1"/>
    <col min="15365" max="15365" width="10.5703125" style="2023" customWidth="1"/>
    <col min="15366" max="15366" width="9.5703125" style="2023" customWidth="1"/>
    <col min="15367" max="15370" width="9.140625" style="2023"/>
    <col min="15371" max="15371" width="13" style="2023" customWidth="1"/>
    <col min="15372" max="15616" width="9.140625" style="2023"/>
    <col min="15617" max="15617" width="31.85546875" style="2023" customWidth="1"/>
    <col min="15618" max="15619" width="22.28515625" style="2023" bestFit="1" customWidth="1"/>
    <col min="15620" max="15620" width="22" style="2023" customWidth="1"/>
    <col min="15621" max="15621" width="10.5703125" style="2023" customWidth="1"/>
    <col min="15622" max="15622" width="9.5703125" style="2023" customWidth="1"/>
    <col min="15623" max="15626" width="9.140625" style="2023"/>
    <col min="15627" max="15627" width="13" style="2023" customWidth="1"/>
    <col min="15628" max="15872" width="9.140625" style="2023"/>
    <col min="15873" max="15873" width="31.85546875" style="2023" customWidth="1"/>
    <col min="15874" max="15875" width="22.28515625" style="2023" bestFit="1" customWidth="1"/>
    <col min="15876" max="15876" width="22" style="2023" customWidth="1"/>
    <col min="15877" max="15877" width="10.5703125" style="2023" customWidth="1"/>
    <col min="15878" max="15878" width="9.5703125" style="2023" customWidth="1"/>
    <col min="15879" max="15882" width="9.140625" style="2023"/>
    <col min="15883" max="15883" width="13" style="2023" customWidth="1"/>
    <col min="15884" max="16128" width="9.140625" style="2023"/>
    <col min="16129" max="16129" width="31.85546875" style="2023" customWidth="1"/>
    <col min="16130" max="16131" width="22.28515625" style="2023" bestFit="1" customWidth="1"/>
    <col min="16132" max="16132" width="22" style="2023" customWidth="1"/>
    <col min="16133" max="16133" width="10.5703125" style="2023" customWidth="1"/>
    <col min="16134" max="16134" width="9.5703125" style="2023" customWidth="1"/>
    <col min="16135" max="16138" width="9.140625" style="2023"/>
    <col min="16139" max="16139" width="13" style="2023" customWidth="1"/>
    <col min="16140" max="16384" width="9.140625" style="2023"/>
  </cols>
  <sheetData>
    <row r="1" spans="1:13" ht="18.75">
      <c r="A1" s="2020" t="s">
        <v>3418</v>
      </c>
      <c r="B1" s="2021"/>
      <c r="C1" s="2022"/>
      <c r="D1" s="1285"/>
    </row>
    <row r="2" spans="1:13" ht="18.75">
      <c r="A2" s="2020" t="s">
        <v>3419</v>
      </c>
      <c r="B2" s="2024"/>
      <c r="C2" s="2022"/>
      <c r="D2" s="1285"/>
    </row>
    <row r="3" spans="1:13" ht="4.5" customHeight="1" thickBot="1">
      <c r="B3" s="2025"/>
      <c r="C3" s="2026"/>
    </row>
    <row r="4" spans="1:13" ht="13.5" customHeight="1">
      <c r="A4" s="2027" t="s">
        <v>3403</v>
      </c>
      <c r="B4" s="2027" t="s">
        <v>3420</v>
      </c>
      <c r="C4" s="2028" t="s">
        <v>3420</v>
      </c>
      <c r="D4" s="2029" t="s">
        <v>3421</v>
      </c>
    </row>
    <row r="5" spans="1:13" ht="13.5" customHeight="1">
      <c r="A5" s="2030" t="s">
        <v>3404</v>
      </c>
      <c r="B5" s="2031" t="s">
        <v>3422</v>
      </c>
      <c r="C5" s="2030" t="s">
        <v>3422</v>
      </c>
      <c r="D5" s="2032" t="s">
        <v>3423</v>
      </c>
    </row>
    <row r="6" spans="1:13" ht="13.5" customHeight="1">
      <c r="A6" s="2033"/>
      <c r="B6" s="2034" t="s">
        <v>3424</v>
      </c>
      <c r="C6" s="2030" t="s">
        <v>3425</v>
      </c>
      <c r="D6" s="2032" t="s">
        <v>3426</v>
      </c>
      <c r="M6" s="2035"/>
    </row>
    <row r="7" spans="1:13" ht="13.5" customHeight="1">
      <c r="A7" s="2033"/>
      <c r="B7" s="2036"/>
      <c r="C7" s="2037"/>
      <c r="D7" s="2032" t="s">
        <v>3427</v>
      </c>
      <c r="G7" s="2038"/>
      <c r="J7" s="2038"/>
    </row>
    <row r="8" spans="1:13" ht="13.5" customHeight="1">
      <c r="A8" s="2033"/>
      <c r="B8" s="2036" t="s">
        <v>3428</v>
      </c>
      <c r="C8" s="2037" t="s">
        <v>3429</v>
      </c>
      <c r="D8" s="2032" t="s">
        <v>3430</v>
      </c>
      <c r="M8" s="2039"/>
    </row>
    <row r="9" spans="1:13" ht="3.75" customHeight="1" thickBot="1">
      <c r="A9" s="2040"/>
      <c r="B9" s="2041"/>
      <c r="C9" s="2042"/>
      <c r="D9" s="2043"/>
      <c r="H9" s="2044"/>
    </row>
    <row r="10" spans="1:13" ht="21" customHeight="1" thickTop="1">
      <c r="A10" s="2045" t="s">
        <v>3405</v>
      </c>
      <c r="B10" s="2046">
        <v>28.456658305660774</v>
      </c>
      <c r="C10" s="2047">
        <v>27.653267489712984</v>
      </c>
      <c r="D10" s="2048">
        <f t="shared" ref="D10:D21" si="0">((B10/C10)-1)*100</f>
        <v>2.9052292509254229</v>
      </c>
      <c r="F10" s="2044"/>
      <c r="G10" s="2049"/>
      <c r="H10" s="2044"/>
      <c r="I10" s="2049"/>
      <c r="J10" s="2049"/>
      <c r="K10" s="2044"/>
      <c r="M10" s="2035"/>
    </row>
    <row r="11" spans="1:13" ht="19.5" customHeight="1">
      <c r="A11" s="2045" t="s">
        <v>3431</v>
      </c>
      <c r="B11" s="2046">
        <v>3.9866521640776296</v>
      </c>
      <c r="C11" s="2047">
        <v>4.3692983460802068</v>
      </c>
      <c r="D11" s="2048">
        <f t="shared" si="0"/>
        <v>-8.7576116734133684</v>
      </c>
      <c r="F11" s="2044"/>
      <c r="G11" s="2049"/>
      <c r="H11" s="2044"/>
      <c r="I11" s="2049"/>
      <c r="J11" s="2049"/>
      <c r="K11" s="2044"/>
      <c r="M11" s="2035"/>
    </row>
    <row r="12" spans="1:13" ht="19.5" customHeight="1">
      <c r="A12" s="2045" t="s">
        <v>3407</v>
      </c>
      <c r="B12" s="2046">
        <v>50.599274328566608</v>
      </c>
      <c r="C12" s="2047">
        <v>54.602497206628847</v>
      </c>
      <c r="D12" s="2048">
        <f t="shared" si="0"/>
        <v>-7.3315747133562255</v>
      </c>
      <c r="F12" s="2050"/>
      <c r="G12" s="2051"/>
      <c r="H12" s="2050"/>
      <c r="I12" s="2049"/>
      <c r="J12" s="2049"/>
      <c r="K12" s="2044"/>
      <c r="M12" s="2035"/>
    </row>
    <row r="13" spans="1:13" ht="19.5" customHeight="1">
      <c r="A13" s="2045" t="s">
        <v>3408</v>
      </c>
      <c r="B13" s="2046">
        <v>30.618527595562412</v>
      </c>
      <c r="C13" s="2047">
        <v>29.137371822552527</v>
      </c>
      <c r="D13" s="2048">
        <f t="shared" si="0"/>
        <v>5.0833540582526426</v>
      </c>
      <c r="F13" s="2044"/>
      <c r="G13" s="2049"/>
      <c r="H13" s="2044"/>
      <c r="I13" s="2049"/>
      <c r="J13" s="2049"/>
      <c r="K13" s="2044"/>
      <c r="M13" s="2035"/>
    </row>
    <row r="14" spans="1:13" ht="20.100000000000001" customHeight="1">
      <c r="A14" s="2045" t="s">
        <v>3409</v>
      </c>
      <c r="B14" s="2046">
        <v>35.875790400812747</v>
      </c>
      <c r="C14" s="2047">
        <v>36.798767964656072</v>
      </c>
      <c r="D14" s="2048">
        <f t="shared" si="0"/>
        <v>-2.5081751778478378</v>
      </c>
      <c r="F14" s="2044"/>
      <c r="G14" s="2049"/>
      <c r="H14" s="2044"/>
      <c r="I14" s="2049"/>
      <c r="J14" s="2049"/>
      <c r="K14" s="2044"/>
      <c r="M14" s="2035"/>
    </row>
    <row r="15" spans="1:13" ht="20.100000000000001" customHeight="1">
      <c r="A15" s="2045" t="s">
        <v>3410</v>
      </c>
      <c r="B15" s="2046">
        <v>25.911995525137467</v>
      </c>
      <c r="C15" s="2047">
        <v>25.676099102291001</v>
      </c>
      <c r="D15" s="2048">
        <f t="shared" si="0"/>
        <v>0.91873933772679273</v>
      </c>
      <c r="F15" s="2044"/>
      <c r="G15" s="2049"/>
      <c r="H15" s="2044"/>
      <c r="I15" s="2049"/>
      <c r="J15" s="2049"/>
      <c r="K15" s="2044"/>
      <c r="M15" s="2035"/>
    </row>
    <row r="16" spans="1:13" ht="20.100000000000001" customHeight="1">
      <c r="A16" s="2045" t="s">
        <v>3411</v>
      </c>
      <c r="B16" s="2046">
        <v>24.644807019283775</v>
      </c>
      <c r="C16" s="2047">
        <v>25.685053590003065</v>
      </c>
      <c r="D16" s="2048">
        <f t="shared" si="0"/>
        <v>-4.0500073985602514</v>
      </c>
      <c r="F16" s="2052"/>
      <c r="G16" s="2049"/>
      <c r="H16" s="2044"/>
      <c r="I16" s="2049"/>
      <c r="J16" s="2049"/>
      <c r="K16" s="2044"/>
      <c r="M16" s="2035"/>
    </row>
    <row r="17" spans="1:13" ht="20.100000000000001" customHeight="1">
      <c r="A17" s="2045" t="s">
        <v>3412</v>
      </c>
      <c r="B17" s="2046">
        <v>2.9877130620750818</v>
      </c>
      <c r="C17" s="2047">
        <v>2.9308864289302408</v>
      </c>
      <c r="D17" s="2048">
        <f t="shared" si="0"/>
        <v>1.9388889512713892</v>
      </c>
      <c r="F17" s="2044"/>
      <c r="G17" s="2049"/>
      <c r="H17" s="2044"/>
      <c r="I17" s="2049"/>
      <c r="J17" s="2049"/>
      <c r="K17" s="2044"/>
      <c r="M17" s="2035"/>
    </row>
    <row r="18" spans="1:13" ht="20.100000000000001" customHeight="1">
      <c r="A18" s="2045" t="s">
        <v>3413</v>
      </c>
      <c r="B18" s="2046">
        <v>34.262641127132788</v>
      </c>
      <c r="C18" s="2047">
        <v>35.698824355812143</v>
      </c>
      <c r="D18" s="2048">
        <f t="shared" si="0"/>
        <v>-4.0230546932437772</v>
      </c>
      <c r="F18" s="2044"/>
      <c r="G18" s="2049"/>
      <c r="H18" s="2044"/>
      <c r="I18" s="2049"/>
      <c r="J18" s="2049"/>
      <c r="K18" s="2044"/>
      <c r="M18" s="2035"/>
    </row>
    <row r="19" spans="1:13" ht="20.100000000000001" customHeight="1">
      <c r="A19" s="2045" t="s">
        <v>3414</v>
      </c>
      <c r="B19" s="2046">
        <v>30.803130976038176</v>
      </c>
      <c r="C19" s="2047">
        <v>33.698783803994289</v>
      </c>
      <c r="D19" s="2048">
        <f t="shared" si="0"/>
        <v>-8.5927517289597013</v>
      </c>
      <c r="F19" s="2044"/>
      <c r="G19" s="2049"/>
      <c r="H19" s="2044"/>
      <c r="I19" s="2049"/>
      <c r="J19" s="2049"/>
      <c r="K19" s="2044"/>
      <c r="M19" s="2035"/>
    </row>
    <row r="20" spans="1:13" ht="20.100000000000001" customHeight="1">
      <c r="A20" s="2045" t="s">
        <v>3415</v>
      </c>
      <c r="B20" s="2046">
        <v>50.498352717765471</v>
      </c>
      <c r="C20" s="2047">
        <v>52.603789699693785</v>
      </c>
      <c r="D20" s="2048">
        <f t="shared" si="0"/>
        <v>-4.0024435386649904</v>
      </c>
      <c r="F20" s="2044"/>
      <c r="G20" s="2049"/>
      <c r="H20" s="2044"/>
      <c r="I20" s="2049"/>
      <c r="J20" s="2049"/>
      <c r="K20" s="2044"/>
      <c r="M20" s="2035"/>
    </row>
    <row r="21" spans="1:13" ht="20.100000000000001" customHeight="1">
      <c r="A21" s="2045" t="s">
        <v>137</v>
      </c>
      <c r="B21" s="2046">
        <v>41.827843133411264</v>
      </c>
      <c r="C21" s="2047">
        <v>39.62978141305755</v>
      </c>
      <c r="D21" s="2048">
        <f t="shared" si="0"/>
        <v>5.5464896398077945</v>
      </c>
      <c r="F21" s="2044"/>
      <c r="G21" s="2049"/>
      <c r="H21" s="2044"/>
      <c r="I21" s="2049"/>
      <c r="J21" s="2049"/>
      <c r="K21" s="2044"/>
      <c r="M21" s="2035"/>
    </row>
    <row r="22" spans="1:13" ht="6.75" customHeight="1" thickBot="1">
      <c r="A22" s="2053"/>
      <c r="B22" s="2054"/>
      <c r="C22" s="2055"/>
      <c r="D22" s="2056"/>
      <c r="F22" s="2044"/>
      <c r="H22" s="2044"/>
      <c r="M22" s="2057"/>
    </row>
    <row r="23" spans="1:13" ht="15" customHeight="1">
      <c r="A23" s="2058" t="s">
        <v>3432</v>
      </c>
      <c r="B23" s="2059"/>
      <c r="C23" s="2060"/>
      <c r="D23" s="2061"/>
      <c r="E23" s="2062"/>
    </row>
    <row r="24" spans="1:13" ht="11.25" customHeight="1">
      <c r="A24" s="2058" t="s">
        <v>3433</v>
      </c>
      <c r="B24" s="2063"/>
      <c r="C24" s="2060"/>
      <c r="D24" s="2062"/>
      <c r="E24" s="2062"/>
    </row>
    <row r="25" spans="1:13" ht="11.25" customHeight="1">
      <c r="A25" s="2058" t="s">
        <v>3434</v>
      </c>
      <c r="B25" s="2063"/>
      <c r="C25" s="2060"/>
      <c r="D25" s="2062"/>
      <c r="E25" s="2062"/>
    </row>
    <row r="26" spans="1:13" ht="11.25" customHeight="1">
      <c r="A26" s="2058" t="s">
        <v>3435</v>
      </c>
      <c r="B26" s="2063"/>
      <c r="C26" s="2060"/>
      <c r="D26" s="2062"/>
      <c r="E26" s="2062"/>
    </row>
    <row r="27" spans="1:13" ht="11.25" customHeight="1">
      <c r="A27" s="2058" t="s">
        <v>3436</v>
      </c>
      <c r="B27" s="2063"/>
      <c r="C27" s="2060"/>
      <c r="D27" s="2062"/>
      <c r="E27" s="2062"/>
    </row>
    <row r="28" spans="1:13" ht="12.75" customHeight="1">
      <c r="A28" s="2064" t="s">
        <v>2704</v>
      </c>
      <c r="B28" s="2062"/>
      <c r="C28" s="2062"/>
      <c r="D28" s="2062"/>
      <c r="E28" s="2062"/>
    </row>
    <row r="29" spans="1:13" ht="12.75" customHeight="1"/>
    <row r="30" spans="1:13" ht="18.75">
      <c r="A30" s="2020" t="s">
        <v>3437</v>
      </c>
      <c r="B30" s="2020"/>
      <c r="C30" s="2020"/>
      <c r="D30" s="2020"/>
    </row>
    <row r="31" spans="1:13" ht="18.75">
      <c r="A31" s="2020" t="s">
        <v>3438</v>
      </c>
      <c r="B31" s="2065"/>
      <c r="C31" s="2020"/>
      <c r="D31" s="2020"/>
    </row>
    <row r="32" spans="1:13" ht="9" customHeight="1" thickBot="1">
      <c r="A32" s="2066"/>
      <c r="B32" s="2067"/>
      <c r="C32" s="2067"/>
      <c r="D32" s="2067"/>
    </row>
    <row r="33" spans="1:10" ht="13.5" thickTop="1">
      <c r="A33" s="2068"/>
      <c r="B33" s="2069"/>
      <c r="C33" s="2070"/>
      <c r="D33" s="2071" t="s">
        <v>3439</v>
      </c>
    </row>
    <row r="34" spans="1:10">
      <c r="A34" s="2072"/>
      <c r="B34" s="2073">
        <v>36161</v>
      </c>
      <c r="C34" s="2073">
        <v>42186</v>
      </c>
      <c r="D34" s="2074" t="s">
        <v>3423</v>
      </c>
    </row>
    <row r="35" spans="1:10">
      <c r="A35" s="2072"/>
      <c r="B35" s="2075"/>
      <c r="C35" s="2073"/>
      <c r="D35" s="2074" t="s">
        <v>3427</v>
      </c>
    </row>
    <row r="36" spans="1:10">
      <c r="A36" s="2072"/>
      <c r="B36" s="2075" t="s">
        <v>3428</v>
      </c>
      <c r="C36" s="2073" t="s">
        <v>3429</v>
      </c>
      <c r="D36" s="2076" t="s">
        <v>3057</v>
      </c>
      <c r="F36" s="2077"/>
      <c r="G36" s="2077"/>
    </row>
    <row r="37" spans="1:10" ht="13.5" thickBot="1">
      <c r="A37" s="2078"/>
      <c r="B37" s="2079"/>
      <c r="C37" s="2080"/>
      <c r="D37" s="2081"/>
    </row>
    <row r="38" spans="1:10" ht="19.5" customHeight="1" thickTop="1">
      <c r="A38" s="2082" t="s">
        <v>3431</v>
      </c>
      <c r="B38" s="2083">
        <v>8.9688999999999997</v>
      </c>
      <c r="C38" s="2084">
        <v>8.5277782608695638</v>
      </c>
      <c r="D38" s="2085">
        <f>((B38/C38)-1)*100</f>
        <v>5.1727627716888547</v>
      </c>
      <c r="F38" s="2052"/>
      <c r="G38" s="2086"/>
      <c r="H38" s="2052"/>
      <c r="I38" s="2086"/>
    </row>
    <row r="39" spans="1:10" ht="19.5" customHeight="1">
      <c r="A39" s="2082" t="s">
        <v>3440</v>
      </c>
      <c r="B39" s="2087">
        <v>9961.02</v>
      </c>
      <c r="C39" s="2088">
        <v>14706.334782608694</v>
      </c>
      <c r="D39" s="2085">
        <f t="shared" ref="D39:D46" si="1">((B39/C39)-1)*100</f>
        <v>-32.267147815921959</v>
      </c>
      <c r="F39" s="2089"/>
      <c r="G39" s="2089"/>
      <c r="I39" s="2089"/>
    </row>
    <row r="40" spans="1:10" ht="19.5" customHeight="1">
      <c r="A40" s="2082" t="s">
        <v>3441</v>
      </c>
      <c r="B40" s="2087">
        <v>1358.76</v>
      </c>
      <c r="C40" s="2088">
        <v>1260.3413043478261</v>
      </c>
      <c r="D40" s="2085">
        <f t="shared" si="1"/>
        <v>7.8088923462761084</v>
      </c>
      <c r="F40" s="2089"/>
      <c r="G40" s="2089"/>
      <c r="I40" s="2089"/>
    </row>
    <row r="41" spans="1:10" ht="19.5" customHeight="1">
      <c r="A41" s="2082" t="s">
        <v>3442</v>
      </c>
      <c r="B41" s="2090">
        <v>28.986999999999998</v>
      </c>
      <c r="C41" s="2091">
        <v>39.593060869565214</v>
      </c>
      <c r="D41" s="2085">
        <f t="shared" si="1"/>
        <v>-26.787676013495552</v>
      </c>
      <c r="G41" s="2092"/>
      <c r="H41" s="2092"/>
      <c r="I41" s="2092"/>
      <c r="J41" s="2092"/>
    </row>
    <row r="42" spans="1:10" ht="19.5" customHeight="1">
      <c r="A42" s="2082" t="s">
        <v>3443</v>
      </c>
      <c r="B42" s="2090">
        <v>44.395000000000003</v>
      </c>
      <c r="C42" s="2091">
        <v>49.814782608695644</v>
      </c>
      <c r="D42" s="2085">
        <f t="shared" si="1"/>
        <v>-10.879868032887019</v>
      </c>
    </row>
    <row r="43" spans="1:10" ht="19.5" customHeight="1">
      <c r="A43" s="2082" t="s">
        <v>3411</v>
      </c>
      <c r="B43" s="2090">
        <v>1.9453</v>
      </c>
      <c r="C43" s="2091">
        <v>1.4969869565217393</v>
      </c>
      <c r="D43" s="2085">
        <f t="shared" si="1"/>
        <v>29.947692030658679</v>
      </c>
    </row>
    <row r="44" spans="1:10" ht="19.5" customHeight="1">
      <c r="A44" s="2082" t="s">
        <v>3412</v>
      </c>
      <c r="B44" s="2090">
        <v>6.9690000000000003</v>
      </c>
      <c r="C44" s="2091">
        <v>13.685234782608696</v>
      </c>
      <c r="D44" s="2085">
        <f t="shared" si="1"/>
        <v>-49.076503905828048</v>
      </c>
    </row>
    <row r="45" spans="1:10" ht="19.5" customHeight="1">
      <c r="A45" s="2082" t="s">
        <v>3444</v>
      </c>
      <c r="B45" s="2090">
        <v>37.332999999999998</v>
      </c>
      <c r="C45" s="2091">
        <v>34.259482608695649</v>
      </c>
      <c r="D45" s="2085">
        <f t="shared" si="1"/>
        <v>8.9712895737784404</v>
      </c>
    </row>
    <row r="46" spans="1:10" ht="19.5" customHeight="1">
      <c r="A46" s="2082" t="s">
        <v>3445</v>
      </c>
      <c r="B46" s="2083">
        <v>42.365499999999997</v>
      </c>
      <c r="C46" s="2084">
        <v>37.752669565217396</v>
      </c>
      <c r="D46" s="2085">
        <f t="shared" si="1"/>
        <v>12.218554311275875</v>
      </c>
    </row>
    <row r="47" spans="1:10" ht="6" customHeight="1" thickBot="1">
      <c r="A47" s="2093"/>
      <c r="B47" s="2094"/>
      <c r="C47" s="2095"/>
      <c r="D47" s="2096"/>
    </row>
    <row r="48" spans="1:10" ht="13.5" thickTop="1">
      <c r="A48" s="2058" t="s">
        <v>3446</v>
      </c>
      <c r="B48" s="2097"/>
      <c r="C48" s="2097"/>
      <c r="D48" s="2098"/>
    </row>
    <row r="49" spans="1:7" ht="10.5" customHeight="1">
      <c r="A49" s="2058" t="s">
        <v>3447</v>
      </c>
      <c r="B49" s="2062"/>
      <c r="C49" s="2062"/>
      <c r="D49" s="2062"/>
    </row>
    <row r="50" spans="1:7" ht="12.75" customHeight="1">
      <c r="A50" s="2064" t="s">
        <v>2704</v>
      </c>
      <c r="B50" s="2062"/>
      <c r="C50" s="2062"/>
      <c r="D50" s="2062"/>
    </row>
    <row r="51" spans="1:7" ht="27" customHeight="1">
      <c r="D51" s="2023" t="s">
        <v>42</v>
      </c>
    </row>
    <row r="52" spans="1:7" ht="18.75">
      <c r="A52" s="2020" t="s">
        <v>3448</v>
      </c>
      <c r="B52" s="2020"/>
      <c r="C52" s="2020"/>
      <c r="D52" s="2020"/>
      <c r="E52" s="2099"/>
    </row>
    <row r="53" spans="1:7" ht="6.75" customHeight="1" thickBot="1">
      <c r="A53" s="2020"/>
      <c r="B53" s="2065"/>
      <c r="C53" s="2020"/>
      <c r="D53" s="2020"/>
      <c r="E53" s="2099"/>
    </row>
    <row r="54" spans="1:7" ht="13.5" thickTop="1">
      <c r="A54" s="2100"/>
      <c r="B54" s="2069">
        <v>42186</v>
      </c>
      <c r="C54" s="2101">
        <f>B54</f>
        <v>42186</v>
      </c>
      <c r="D54" s="2101">
        <f>B54</f>
        <v>42186</v>
      </c>
      <c r="E54" s="2102">
        <v>42156</v>
      </c>
    </row>
    <row r="55" spans="1:7">
      <c r="A55" s="2103"/>
      <c r="B55" s="2075" t="s">
        <v>3449</v>
      </c>
      <c r="C55" s="2104" t="s">
        <v>3450</v>
      </c>
      <c r="D55" s="2104" t="s">
        <v>3451</v>
      </c>
      <c r="E55" s="2076" t="s">
        <v>3451</v>
      </c>
    </row>
    <row r="56" spans="1:7" ht="3" customHeight="1" thickBot="1">
      <c r="A56" s="2078"/>
      <c r="B56" s="2079"/>
      <c r="C56" s="2105"/>
      <c r="D56" s="2105"/>
      <c r="E56" s="2106"/>
    </row>
    <row r="57" spans="1:7" ht="18.75" customHeight="1" thickTop="1">
      <c r="A57" s="2107" t="s">
        <v>3452</v>
      </c>
      <c r="B57" s="2108" t="s">
        <v>3453</v>
      </c>
      <c r="C57" s="2109" t="s">
        <v>3454</v>
      </c>
      <c r="D57" s="2109" t="s">
        <v>3455</v>
      </c>
      <c r="E57" s="2110" t="s">
        <v>3456</v>
      </c>
    </row>
    <row r="58" spans="1:7" ht="18.75" customHeight="1">
      <c r="A58" s="2107" t="s">
        <v>3457</v>
      </c>
      <c r="B58" s="2109" t="s">
        <v>3458</v>
      </c>
      <c r="C58" s="2111" t="s">
        <v>3459</v>
      </c>
      <c r="D58" s="2109" t="s">
        <v>3460</v>
      </c>
      <c r="E58" s="2110" t="s">
        <v>3461</v>
      </c>
      <c r="G58" s="2052"/>
    </row>
    <row r="59" spans="1:7" ht="18.75" customHeight="1">
      <c r="A59" s="2107" t="s">
        <v>3462</v>
      </c>
      <c r="B59" s="2109" t="s">
        <v>3463</v>
      </c>
      <c r="C59" s="2112" t="s">
        <v>3464</v>
      </c>
      <c r="D59" s="2109" t="s">
        <v>3465</v>
      </c>
      <c r="E59" s="2110" t="s">
        <v>3466</v>
      </c>
    </row>
    <row r="60" spans="1:7" ht="7.5" customHeight="1" thickBot="1">
      <c r="A60" s="2113"/>
      <c r="B60" s="2114"/>
      <c r="C60" s="2115"/>
      <c r="D60" s="2115"/>
      <c r="E60" s="2116"/>
    </row>
    <row r="61" spans="1:7" ht="14.25" thickTop="1">
      <c r="A61" s="2117" t="s">
        <v>3467</v>
      </c>
      <c r="B61" s="2118"/>
      <c r="C61" s="2119"/>
      <c r="D61" s="2119"/>
      <c r="E61" s="2099"/>
    </row>
    <row r="62" spans="1:7">
      <c r="D62" s="2120"/>
    </row>
    <row r="63" spans="1:7">
      <c r="B63" s="2120"/>
      <c r="C63" s="2120"/>
      <c r="D63" s="2121"/>
    </row>
    <row r="64" spans="1:7">
      <c r="B64" s="2120"/>
      <c r="C64" s="2120"/>
      <c r="D64" s="2121"/>
    </row>
    <row r="65" spans="2:4">
      <c r="B65" s="2120"/>
      <c r="C65" s="2120"/>
      <c r="D65" s="2121"/>
    </row>
    <row r="66" spans="2:4">
      <c r="B66" s="2121"/>
      <c r="C66" s="2121"/>
      <c r="D66" s="2121"/>
    </row>
  </sheetData>
  <printOptions horizontalCentered="1"/>
  <pageMargins left="0" right="0" top="0.69685039400000004" bottom="0.196850393700787" header="0" footer="0"/>
  <pageSetup paperSize="9" scale="6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zoomScaleNormal="100" workbookViewId="0">
      <selection activeCell="FD9" sqref="FD9"/>
    </sheetView>
  </sheetViews>
  <sheetFormatPr defaultRowHeight="12.75"/>
  <cols>
    <col min="1" max="1" width="17.28515625" style="2122" customWidth="1"/>
    <col min="2" max="4" width="8.7109375" style="2122" customWidth="1"/>
    <col min="5" max="5" width="9.7109375" style="2122" bestFit="1" customWidth="1"/>
    <col min="6" max="6" width="8.7109375" style="2122" customWidth="1"/>
    <col min="7" max="7" width="9.5703125" style="2122" customWidth="1"/>
    <col min="8" max="9" width="8.7109375" style="2122" customWidth="1"/>
    <col min="10" max="10" width="9.42578125" style="2122" customWidth="1"/>
    <col min="11" max="256" width="9.140625" style="2122"/>
    <col min="257" max="257" width="17.28515625" style="2122" customWidth="1"/>
    <col min="258" max="262" width="8.7109375" style="2122" customWidth="1"/>
    <col min="263" max="263" width="9.5703125" style="2122" customWidth="1"/>
    <col min="264" max="265" width="8.7109375" style="2122" customWidth="1"/>
    <col min="266" max="266" width="9.42578125" style="2122" customWidth="1"/>
    <col min="267" max="512" width="9.140625" style="2122"/>
    <col min="513" max="513" width="17.28515625" style="2122" customWidth="1"/>
    <col min="514" max="518" width="8.7109375" style="2122" customWidth="1"/>
    <col min="519" max="519" width="9.5703125" style="2122" customWidth="1"/>
    <col min="520" max="521" width="8.7109375" style="2122" customWidth="1"/>
    <col min="522" max="522" width="9.42578125" style="2122" customWidth="1"/>
    <col min="523" max="768" width="9.140625" style="2122"/>
    <col min="769" max="769" width="17.28515625" style="2122" customWidth="1"/>
    <col min="770" max="774" width="8.7109375" style="2122" customWidth="1"/>
    <col min="775" max="775" width="9.5703125" style="2122" customWidth="1"/>
    <col min="776" max="777" width="8.7109375" style="2122" customWidth="1"/>
    <col min="778" max="778" width="9.42578125" style="2122" customWidth="1"/>
    <col min="779" max="1024" width="9.140625" style="2122"/>
    <col min="1025" max="1025" width="17.28515625" style="2122" customWidth="1"/>
    <col min="1026" max="1030" width="8.7109375" style="2122" customWidth="1"/>
    <col min="1031" max="1031" width="9.5703125" style="2122" customWidth="1"/>
    <col min="1032" max="1033" width="8.7109375" style="2122" customWidth="1"/>
    <col min="1034" max="1034" width="9.42578125" style="2122" customWidth="1"/>
    <col min="1035" max="1280" width="9.140625" style="2122"/>
    <col min="1281" max="1281" width="17.28515625" style="2122" customWidth="1"/>
    <col min="1282" max="1286" width="8.7109375" style="2122" customWidth="1"/>
    <col min="1287" max="1287" width="9.5703125" style="2122" customWidth="1"/>
    <col min="1288" max="1289" width="8.7109375" style="2122" customWidth="1"/>
    <col min="1290" max="1290" width="9.42578125" style="2122" customWidth="1"/>
    <col min="1291" max="1536" width="9.140625" style="2122"/>
    <col min="1537" max="1537" width="17.28515625" style="2122" customWidth="1"/>
    <col min="1538" max="1542" width="8.7109375" style="2122" customWidth="1"/>
    <col min="1543" max="1543" width="9.5703125" style="2122" customWidth="1"/>
    <col min="1544" max="1545" width="8.7109375" style="2122" customWidth="1"/>
    <col min="1546" max="1546" width="9.42578125" style="2122" customWidth="1"/>
    <col min="1547" max="1792" width="9.140625" style="2122"/>
    <col min="1793" max="1793" width="17.28515625" style="2122" customWidth="1"/>
    <col min="1794" max="1798" width="8.7109375" style="2122" customWidth="1"/>
    <col min="1799" max="1799" width="9.5703125" style="2122" customWidth="1"/>
    <col min="1800" max="1801" width="8.7109375" style="2122" customWidth="1"/>
    <col min="1802" max="1802" width="9.42578125" style="2122" customWidth="1"/>
    <col min="1803" max="2048" width="9.140625" style="2122"/>
    <col min="2049" max="2049" width="17.28515625" style="2122" customWidth="1"/>
    <col min="2050" max="2054" width="8.7109375" style="2122" customWidth="1"/>
    <col min="2055" max="2055" width="9.5703125" style="2122" customWidth="1"/>
    <col min="2056" max="2057" width="8.7109375" style="2122" customWidth="1"/>
    <col min="2058" max="2058" width="9.42578125" style="2122" customWidth="1"/>
    <col min="2059" max="2304" width="9.140625" style="2122"/>
    <col min="2305" max="2305" width="17.28515625" style="2122" customWidth="1"/>
    <col min="2306" max="2310" width="8.7109375" style="2122" customWidth="1"/>
    <col min="2311" max="2311" width="9.5703125" style="2122" customWidth="1"/>
    <col min="2312" max="2313" width="8.7109375" style="2122" customWidth="1"/>
    <col min="2314" max="2314" width="9.42578125" style="2122" customWidth="1"/>
    <col min="2315" max="2560" width="9.140625" style="2122"/>
    <col min="2561" max="2561" width="17.28515625" style="2122" customWidth="1"/>
    <col min="2562" max="2566" width="8.7109375" style="2122" customWidth="1"/>
    <col min="2567" max="2567" width="9.5703125" style="2122" customWidth="1"/>
    <col min="2568" max="2569" width="8.7109375" style="2122" customWidth="1"/>
    <col min="2570" max="2570" width="9.42578125" style="2122" customWidth="1"/>
    <col min="2571" max="2816" width="9.140625" style="2122"/>
    <col min="2817" max="2817" width="17.28515625" style="2122" customWidth="1"/>
    <col min="2818" max="2822" width="8.7109375" style="2122" customWidth="1"/>
    <col min="2823" max="2823" width="9.5703125" style="2122" customWidth="1"/>
    <col min="2824" max="2825" width="8.7109375" style="2122" customWidth="1"/>
    <col min="2826" max="2826" width="9.42578125" style="2122" customWidth="1"/>
    <col min="2827" max="3072" width="9.140625" style="2122"/>
    <col min="3073" max="3073" width="17.28515625" style="2122" customWidth="1"/>
    <col min="3074" max="3078" width="8.7109375" style="2122" customWidth="1"/>
    <col min="3079" max="3079" width="9.5703125" style="2122" customWidth="1"/>
    <col min="3080" max="3081" width="8.7109375" style="2122" customWidth="1"/>
    <col min="3082" max="3082" width="9.42578125" style="2122" customWidth="1"/>
    <col min="3083" max="3328" width="9.140625" style="2122"/>
    <col min="3329" max="3329" width="17.28515625" style="2122" customWidth="1"/>
    <col min="3330" max="3334" width="8.7109375" style="2122" customWidth="1"/>
    <col min="3335" max="3335" width="9.5703125" style="2122" customWidth="1"/>
    <col min="3336" max="3337" width="8.7109375" style="2122" customWidth="1"/>
    <col min="3338" max="3338" width="9.42578125" style="2122" customWidth="1"/>
    <col min="3339" max="3584" width="9.140625" style="2122"/>
    <col min="3585" max="3585" width="17.28515625" style="2122" customWidth="1"/>
    <col min="3586" max="3590" width="8.7109375" style="2122" customWidth="1"/>
    <col min="3591" max="3591" width="9.5703125" style="2122" customWidth="1"/>
    <col min="3592" max="3593" width="8.7109375" style="2122" customWidth="1"/>
    <col min="3594" max="3594" width="9.42578125" style="2122" customWidth="1"/>
    <col min="3595" max="3840" width="9.140625" style="2122"/>
    <col min="3841" max="3841" width="17.28515625" style="2122" customWidth="1"/>
    <col min="3842" max="3846" width="8.7109375" style="2122" customWidth="1"/>
    <col min="3847" max="3847" width="9.5703125" style="2122" customWidth="1"/>
    <col min="3848" max="3849" width="8.7109375" style="2122" customWidth="1"/>
    <col min="3850" max="3850" width="9.42578125" style="2122" customWidth="1"/>
    <col min="3851" max="4096" width="9.140625" style="2122"/>
    <col min="4097" max="4097" width="17.28515625" style="2122" customWidth="1"/>
    <col min="4098" max="4102" width="8.7109375" style="2122" customWidth="1"/>
    <col min="4103" max="4103" width="9.5703125" style="2122" customWidth="1"/>
    <col min="4104" max="4105" width="8.7109375" style="2122" customWidth="1"/>
    <col min="4106" max="4106" width="9.42578125" style="2122" customWidth="1"/>
    <col min="4107" max="4352" width="9.140625" style="2122"/>
    <col min="4353" max="4353" width="17.28515625" style="2122" customWidth="1"/>
    <col min="4354" max="4358" width="8.7109375" style="2122" customWidth="1"/>
    <col min="4359" max="4359" width="9.5703125" style="2122" customWidth="1"/>
    <col min="4360" max="4361" width="8.7109375" style="2122" customWidth="1"/>
    <col min="4362" max="4362" width="9.42578125" style="2122" customWidth="1"/>
    <col min="4363" max="4608" width="9.140625" style="2122"/>
    <col min="4609" max="4609" width="17.28515625" style="2122" customWidth="1"/>
    <col min="4610" max="4614" width="8.7109375" style="2122" customWidth="1"/>
    <col min="4615" max="4615" width="9.5703125" style="2122" customWidth="1"/>
    <col min="4616" max="4617" width="8.7109375" style="2122" customWidth="1"/>
    <col min="4618" max="4618" width="9.42578125" style="2122" customWidth="1"/>
    <col min="4619" max="4864" width="9.140625" style="2122"/>
    <col min="4865" max="4865" width="17.28515625" style="2122" customWidth="1"/>
    <col min="4866" max="4870" width="8.7109375" style="2122" customWidth="1"/>
    <col min="4871" max="4871" width="9.5703125" style="2122" customWidth="1"/>
    <col min="4872" max="4873" width="8.7109375" style="2122" customWidth="1"/>
    <col min="4874" max="4874" width="9.42578125" style="2122" customWidth="1"/>
    <col min="4875" max="5120" width="9.140625" style="2122"/>
    <col min="5121" max="5121" width="17.28515625" style="2122" customWidth="1"/>
    <col min="5122" max="5126" width="8.7109375" style="2122" customWidth="1"/>
    <col min="5127" max="5127" width="9.5703125" style="2122" customWidth="1"/>
    <col min="5128" max="5129" width="8.7109375" style="2122" customWidth="1"/>
    <col min="5130" max="5130" width="9.42578125" style="2122" customWidth="1"/>
    <col min="5131" max="5376" width="9.140625" style="2122"/>
    <col min="5377" max="5377" width="17.28515625" style="2122" customWidth="1"/>
    <col min="5378" max="5382" width="8.7109375" style="2122" customWidth="1"/>
    <col min="5383" max="5383" width="9.5703125" style="2122" customWidth="1"/>
    <col min="5384" max="5385" width="8.7109375" style="2122" customWidth="1"/>
    <col min="5386" max="5386" width="9.42578125" style="2122" customWidth="1"/>
    <col min="5387" max="5632" width="9.140625" style="2122"/>
    <col min="5633" max="5633" width="17.28515625" style="2122" customWidth="1"/>
    <col min="5634" max="5638" width="8.7109375" style="2122" customWidth="1"/>
    <col min="5639" max="5639" width="9.5703125" style="2122" customWidth="1"/>
    <col min="5640" max="5641" width="8.7109375" style="2122" customWidth="1"/>
    <col min="5642" max="5642" width="9.42578125" style="2122" customWidth="1"/>
    <col min="5643" max="5888" width="9.140625" style="2122"/>
    <col min="5889" max="5889" width="17.28515625" style="2122" customWidth="1"/>
    <col min="5890" max="5894" width="8.7109375" style="2122" customWidth="1"/>
    <col min="5895" max="5895" width="9.5703125" style="2122" customWidth="1"/>
    <col min="5896" max="5897" width="8.7109375" style="2122" customWidth="1"/>
    <col min="5898" max="5898" width="9.42578125" style="2122" customWidth="1"/>
    <col min="5899" max="6144" width="9.140625" style="2122"/>
    <col min="6145" max="6145" width="17.28515625" style="2122" customWidth="1"/>
    <col min="6146" max="6150" width="8.7109375" style="2122" customWidth="1"/>
    <col min="6151" max="6151" width="9.5703125" style="2122" customWidth="1"/>
    <col min="6152" max="6153" width="8.7109375" style="2122" customWidth="1"/>
    <col min="6154" max="6154" width="9.42578125" style="2122" customWidth="1"/>
    <col min="6155" max="6400" width="9.140625" style="2122"/>
    <col min="6401" max="6401" width="17.28515625" style="2122" customWidth="1"/>
    <col min="6402" max="6406" width="8.7109375" style="2122" customWidth="1"/>
    <col min="6407" max="6407" width="9.5703125" style="2122" customWidth="1"/>
    <col min="6408" max="6409" width="8.7109375" style="2122" customWidth="1"/>
    <col min="6410" max="6410" width="9.42578125" style="2122" customWidth="1"/>
    <col min="6411" max="6656" width="9.140625" style="2122"/>
    <col min="6657" max="6657" width="17.28515625" style="2122" customWidth="1"/>
    <col min="6658" max="6662" width="8.7109375" style="2122" customWidth="1"/>
    <col min="6663" max="6663" width="9.5703125" style="2122" customWidth="1"/>
    <col min="6664" max="6665" width="8.7109375" style="2122" customWidth="1"/>
    <col min="6666" max="6666" width="9.42578125" style="2122" customWidth="1"/>
    <col min="6667" max="6912" width="9.140625" style="2122"/>
    <col min="6913" max="6913" width="17.28515625" style="2122" customWidth="1"/>
    <col min="6914" max="6918" width="8.7109375" style="2122" customWidth="1"/>
    <col min="6919" max="6919" width="9.5703125" style="2122" customWidth="1"/>
    <col min="6920" max="6921" width="8.7109375" style="2122" customWidth="1"/>
    <col min="6922" max="6922" width="9.42578125" style="2122" customWidth="1"/>
    <col min="6923" max="7168" width="9.140625" style="2122"/>
    <col min="7169" max="7169" width="17.28515625" style="2122" customWidth="1"/>
    <col min="7170" max="7174" width="8.7109375" style="2122" customWidth="1"/>
    <col min="7175" max="7175" width="9.5703125" style="2122" customWidth="1"/>
    <col min="7176" max="7177" width="8.7109375" style="2122" customWidth="1"/>
    <col min="7178" max="7178" width="9.42578125" style="2122" customWidth="1"/>
    <col min="7179" max="7424" width="9.140625" style="2122"/>
    <col min="7425" max="7425" width="17.28515625" style="2122" customWidth="1"/>
    <col min="7426" max="7430" width="8.7109375" style="2122" customWidth="1"/>
    <col min="7431" max="7431" width="9.5703125" style="2122" customWidth="1"/>
    <col min="7432" max="7433" width="8.7109375" style="2122" customWidth="1"/>
    <col min="7434" max="7434" width="9.42578125" style="2122" customWidth="1"/>
    <col min="7435" max="7680" width="9.140625" style="2122"/>
    <col min="7681" max="7681" width="17.28515625" style="2122" customWidth="1"/>
    <col min="7682" max="7686" width="8.7109375" style="2122" customWidth="1"/>
    <col min="7687" max="7687" width="9.5703125" style="2122" customWidth="1"/>
    <col min="7688" max="7689" width="8.7109375" style="2122" customWidth="1"/>
    <col min="7690" max="7690" width="9.42578125" style="2122" customWidth="1"/>
    <col min="7691" max="7936" width="9.140625" style="2122"/>
    <col min="7937" max="7937" width="17.28515625" style="2122" customWidth="1"/>
    <col min="7938" max="7942" width="8.7109375" style="2122" customWidth="1"/>
    <col min="7943" max="7943" width="9.5703125" style="2122" customWidth="1"/>
    <col min="7944" max="7945" width="8.7109375" style="2122" customWidth="1"/>
    <col min="7946" max="7946" width="9.42578125" style="2122" customWidth="1"/>
    <col min="7947" max="8192" width="9.140625" style="2122"/>
    <col min="8193" max="8193" width="17.28515625" style="2122" customWidth="1"/>
    <col min="8194" max="8198" width="8.7109375" style="2122" customWidth="1"/>
    <col min="8199" max="8199" width="9.5703125" style="2122" customWidth="1"/>
    <col min="8200" max="8201" width="8.7109375" style="2122" customWidth="1"/>
    <col min="8202" max="8202" width="9.42578125" style="2122" customWidth="1"/>
    <col min="8203" max="8448" width="9.140625" style="2122"/>
    <col min="8449" max="8449" width="17.28515625" style="2122" customWidth="1"/>
    <col min="8450" max="8454" width="8.7109375" style="2122" customWidth="1"/>
    <col min="8455" max="8455" width="9.5703125" style="2122" customWidth="1"/>
    <col min="8456" max="8457" width="8.7109375" style="2122" customWidth="1"/>
    <col min="8458" max="8458" width="9.42578125" style="2122" customWidth="1"/>
    <col min="8459" max="8704" width="9.140625" style="2122"/>
    <col min="8705" max="8705" width="17.28515625" style="2122" customWidth="1"/>
    <col min="8706" max="8710" width="8.7109375" style="2122" customWidth="1"/>
    <col min="8711" max="8711" width="9.5703125" style="2122" customWidth="1"/>
    <col min="8712" max="8713" width="8.7109375" style="2122" customWidth="1"/>
    <col min="8714" max="8714" width="9.42578125" style="2122" customWidth="1"/>
    <col min="8715" max="8960" width="9.140625" style="2122"/>
    <col min="8961" max="8961" width="17.28515625" style="2122" customWidth="1"/>
    <col min="8962" max="8966" width="8.7109375" style="2122" customWidth="1"/>
    <col min="8967" max="8967" width="9.5703125" style="2122" customWidth="1"/>
    <col min="8968" max="8969" width="8.7109375" style="2122" customWidth="1"/>
    <col min="8970" max="8970" width="9.42578125" style="2122" customWidth="1"/>
    <col min="8971" max="9216" width="9.140625" style="2122"/>
    <col min="9217" max="9217" width="17.28515625" style="2122" customWidth="1"/>
    <col min="9218" max="9222" width="8.7109375" style="2122" customWidth="1"/>
    <col min="9223" max="9223" width="9.5703125" style="2122" customWidth="1"/>
    <col min="9224" max="9225" width="8.7109375" style="2122" customWidth="1"/>
    <col min="9226" max="9226" width="9.42578125" style="2122" customWidth="1"/>
    <col min="9227" max="9472" width="9.140625" style="2122"/>
    <col min="9473" max="9473" width="17.28515625" style="2122" customWidth="1"/>
    <col min="9474" max="9478" width="8.7109375" style="2122" customWidth="1"/>
    <col min="9479" max="9479" width="9.5703125" style="2122" customWidth="1"/>
    <col min="9480" max="9481" width="8.7109375" style="2122" customWidth="1"/>
    <col min="9482" max="9482" width="9.42578125" style="2122" customWidth="1"/>
    <col min="9483" max="9728" width="9.140625" style="2122"/>
    <col min="9729" max="9729" width="17.28515625" style="2122" customWidth="1"/>
    <col min="9730" max="9734" width="8.7109375" style="2122" customWidth="1"/>
    <col min="9735" max="9735" width="9.5703125" style="2122" customWidth="1"/>
    <col min="9736" max="9737" width="8.7109375" style="2122" customWidth="1"/>
    <col min="9738" max="9738" width="9.42578125" style="2122" customWidth="1"/>
    <col min="9739" max="9984" width="9.140625" style="2122"/>
    <col min="9985" max="9985" width="17.28515625" style="2122" customWidth="1"/>
    <col min="9986" max="9990" width="8.7109375" style="2122" customWidth="1"/>
    <col min="9991" max="9991" width="9.5703125" style="2122" customWidth="1"/>
    <col min="9992" max="9993" width="8.7109375" style="2122" customWidth="1"/>
    <col min="9994" max="9994" width="9.42578125" style="2122" customWidth="1"/>
    <col min="9995" max="10240" width="9.140625" style="2122"/>
    <col min="10241" max="10241" width="17.28515625" style="2122" customWidth="1"/>
    <col min="10242" max="10246" width="8.7109375" style="2122" customWidth="1"/>
    <col min="10247" max="10247" width="9.5703125" style="2122" customWidth="1"/>
    <col min="10248" max="10249" width="8.7109375" style="2122" customWidth="1"/>
    <col min="10250" max="10250" width="9.42578125" style="2122" customWidth="1"/>
    <col min="10251" max="10496" width="9.140625" style="2122"/>
    <col min="10497" max="10497" width="17.28515625" style="2122" customWidth="1"/>
    <col min="10498" max="10502" width="8.7109375" style="2122" customWidth="1"/>
    <col min="10503" max="10503" width="9.5703125" style="2122" customWidth="1"/>
    <col min="10504" max="10505" width="8.7109375" style="2122" customWidth="1"/>
    <col min="10506" max="10506" width="9.42578125" style="2122" customWidth="1"/>
    <col min="10507" max="10752" width="9.140625" style="2122"/>
    <col min="10753" max="10753" width="17.28515625" style="2122" customWidth="1"/>
    <col min="10754" max="10758" width="8.7109375" style="2122" customWidth="1"/>
    <col min="10759" max="10759" width="9.5703125" style="2122" customWidth="1"/>
    <col min="10760" max="10761" width="8.7109375" style="2122" customWidth="1"/>
    <col min="10762" max="10762" width="9.42578125" style="2122" customWidth="1"/>
    <col min="10763" max="11008" width="9.140625" style="2122"/>
    <col min="11009" max="11009" width="17.28515625" style="2122" customWidth="1"/>
    <col min="11010" max="11014" width="8.7109375" style="2122" customWidth="1"/>
    <col min="11015" max="11015" width="9.5703125" style="2122" customWidth="1"/>
    <col min="11016" max="11017" width="8.7109375" style="2122" customWidth="1"/>
    <col min="11018" max="11018" width="9.42578125" style="2122" customWidth="1"/>
    <col min="11019" max="11264" width="9.140625" style="2122"/>
    <col min="11265" max="11265" width="17.28515625" style="2122" customWidth="1"/>
    <col min="11266" max="11270" width="8.7109375" style="2122" customWidth="1"/>
    <col min="11271" max="11271" width="9.5703125" style="2122" customWidth="1"/>
    <col min="11272" max="11273" width="8.7109375" style="2122" customWidth="1"/>
    <col min="11274" max="11274" width="9.42578125" style="2122" customWidth="1"/>
    <col min="11275" max="11520" width="9.140625" style="2122"/>
    <col min="11521" max="11521" width="17.28515625" style="2122" customWidth="1"/>
    <col min="11522" max="11526" width="8.7109375" style="2122" customWidth="1"/>
    <col min="11527" max="11527" width="9.5703125" style="2122" customWidth="1"/>
    <col min="11528" max="11529" width="8.7109375" style="2122" customWidth="1"/>
    <col min="11530" max="11530" width="9.42578125" style="2122" customWidth="1"/>
    <col min="11531" max="11776" width="9.140625" style="2122"/>
    <col min="11777" max="11777" width="17.28515625" style="2122" customWidth="1"/>
    <col min="11778" max="11782" width="8.7109375" style="2122" customWidth="1"/>
    <col min="11783" max="11783" width="9.5703125" style="2122" customWidth="1"/>
    <col min="11784" max="11785" width="8.7109375" style="2122" customWidth="1"/>
    <col min="11786" max="11786" width="9.42578125" style="2122" customWidth="1"/>
    <col min="11787" max="12032" width="9.140625" style="2122"/>
    <col min="12033" max="12033" width="17.28515625" style="2122" customWidth="1"/>
    <col min="12034" max="12038" width="8.7109375" style="2122" customWidth="1"/>
    <col min="12039" max="12039" width="9.5703125" style="2122" customWidth="1"/>
    <col min="12040" max="12041" width="8.7109375" style="2122" customWidth="1"/>
    <col min="12042" max="12042" width="9.42578125" style="2122" customWidth="1"/>
    <col min="12043" max="12288" width="9.140625" style="2122"/>
    <col min="12289" max="12289" width="17.28515625" style="2122" customWidth="1"/>
    <col min="12290" max="12294" width="8.7109375" style="2122" customWidth="1"/>
    <col min="12295" max="12295" width="9.5703125" style="2122" customWidth="1"/>
    <col min="12296" max="12297" width="8.7109375" style="2122" customWidth="1"/>
    <col min="12298" max="12298" width="9.42578125" style="2122" customWidth="1"/>
    <col min="12299" max="12544" width="9.140625" style="2122"/>
    <col min="12545" max="12545" width="17.28515625" style="2122" customWidth="1"/>
    <col min="12546" max="12550" width="8.7109375" style="2122" customWidth="1"/>
    <col min="12551" max="12551" width="9.5703125" style="2122" customWidth="1"/>
    <col min="12552" max="12553" width="8.7109375" style="2122" customWidth="1"/>
    <col min="12554" max="12554" width="9.42578125" style="2122" customWidth="1"/>
    <col min="12555" max="12800" width="9.140625" style="2122"/>
    <col min="12801" max="12801" width="17.28515625" style="2122" customWidth="1"/>
    <col min="12802" max="12806" width="8.7109375" style="2122" customWidth="1"/>
    <col min="12807" max="12807" width="9.5703125" style="2122" customWidth="1"/>
    <col min="12808" max="12809" width="8.7109375" style="2122" customWidth="1"/>
    <col min="12810" max="12810" width="9.42578125" style="2122" customWidth="1"/>
    <col min="12811" max="13056" width="9.140625" style="2122"/>
    <col min="13057" max="13057" width="17.28515625" style="2122" customWidth="1"/>
    <col min="13058" max="13062" width="8.7109375" style="2122" customWidth="1"/>
    <col min="13063" max="13063" width="9.5703125" style="2122" customWidth="1"/>
    <col min="13064" max="13065" width="8.7109375" style="2122" customWidth="1"/>
    <col min="13066" max="13066" width="9.42578125" style="2122" customWidth="1"/>
    <col min="13067" max="13312" width="9.140625" style="2122"/>
    <col min="13313" max="13313" width="17.28515625" style="2122" customWidth="1"/>
    <col min="13314" max="13318" width="8.7109375" style="2122" customWidth="1"/>
    <col min="13319" max="13319" width="9.5703125" style="2122" customWidth="1"/>
    <col min="13320" max="13321" width="8.7109375" style="2122" customWidth="1"/>
    <col min="13322" max="13322" width="9.42578125" style="2122" customWidth="1"/>
    <col min="13323" max="13568" width="9.140625" style="2122"/>
    <col min="13569" max="13569" width="17.28515625" style="2122" customWidth="1"/>
    <col min="13570" max="13574" width="8.7109375" style="2122" customWidth="1"/>
    <col min="13575" max="13575" width="9.5703125" style="2122" customWidth="1"/>
    <col min="13576" max="13577" width="8.7109375" style="2122" customWidth="1"/>
    <col min="13578" max="13578" width="9.42578125" style="2122" customWidth="1"/>
    <col min="13579" max="13824" width="9.140625" style="2122"/>
    <col min="13825" max="13825" width="17.28515625" style="2122" customWidth="1"/>
    <col min="13826" max="13830" width="8.7109375" style="2122" customWidth="1"/>
    <col min="13831" max="13831" width="9.5703125" style="2122" customWidth="1"/>
    <col min="13832" max="13833" width="8.7109375" style="2122" customWidth="1"/>
    <col min="13834" max="13834" width="9.42578125" style="2122" customWidth="1"/>
    <col min="13835" max="14080" width="9.140625" style="2122"/>
    <col min="14081" max="14081" width="17.28515625" style="2122" customWidth="1"/>
    <col min="14082" max="14086" width="8.7109375" style="2122" customWidth="1"/>
    <col min="14087" max="14087" width="9.5703125" style="2122" customWidth="1"/>
    <col min="14088" max="14089" width="8.7109375" style="2122" customWidth="1"/>
    <col min="14090" max="14090" width="9.42578125" style="2122" customWidth="1"/>
    <col min="14091" max="14336" width="9.140625" style="2122"/>
    <col min="14337" max="14337" width="17.28515625" style="2122" customWidth="1"/>
    <col min="14338" max="14342" width="8.7109375" style="2122" customWidth="1"/>
    <col min="14343" max="14343" width="9.5703125" style="2122" customWidth="1"/>
    <col min="14344" max="14345" width="8.7109375" style="2122" customWidth="1"/>
    <col min="14346" max="14346" width="9.42578125" style="2122" customWidth="1"/>
    <col min="14347" max="14592" width="9.140625" style="2122"/>
    <col min="14593" max="14593" width="17.28515625" style="2122" customWidth="1"/>
    <col min="14594" max="14598" width="8.7109375" style="2122" customWidth="1"/>
    <col min="14599" max="14599" width="9.5703125" style="2122" customWidth="1"/>
    <col min="14600" max="14601" width="8.7109375" style="2122" customWidth="1"/>
    <col min="14602" max="14602" width="9.42578125" style="2122" customWidth="1"/>
    <col min="14603" max="14848" width="9.140625" style="2122"/>
    <col min="14849" max="14849" width="17.28515625" style="2122" customWidth="1"/>
    <col min="14850" max="14854" width="8.7109375" style="2122" customWidth="1"/>
    <col min="14855" max="14855" width="9.5703125" style="2122" customWidth="1"/>
    <col min="14856" max="14857" width="8.7109375" style="2122" customWidth="1"/>
    <col min="14858" max="14858" width="9.42578125" style="2122" customWidth="1"/>
    <col min="14859" max="15104" width="9.140625" style="2122"/>
    <col min="15105" max="15105" width="17.28515625" style="2122" customWidth="1"/>
    <col min="15106" max="15110" width="8.7109375" style="2122" customWidth="1"/>
    <col min="15111" max="15111" width="9.5703125" style="2122" customWidth="1"/>
    <col min="15112" max="15113" width="8.7109375" style="2122" customWidth="1"/>
    <col min="15114" max="15114" width="9.42578125" style="2122" customWidth="1"/>
    <col min="15115" max="15360" width="9.140625" style="2122"/>
    <col min="15361" max="15361" width="17.28515625" style="2122" customWidth="1"/>
    <col min="15362" max="15366" width="8.7109375" style="2122" customWidth="1"/>
    <col min="15367" max="15367" width="9.5703125" style="2122" customWidth="1"/>
    <col min="15368" max="15369" width="8.7109375" style="2122" customWidth="1"/>
    <col min="15370" max="15370" width="9.42578125" style="2122" customWidth="1"/>
    <col min="15371" max="15616" width="9.140625" style="2122"/>
    <col min="15617" max="15617" width="17.28515625" style="2122" customWidth="1"/>
    <col min="15618" max="15622" width="8.7109375" style="2122" customWidth="1"/>
    <col min="15623" max="15623" width="9.5703125" style="2122" customWidth="1"/>
    <col min="15624" max="15625" width="8.7109375" style="2122" customWidth="1"/>
    <col min="15626" max="15626" width="9.42578125" style="2122" customWidth="1"/>
    <col min="15627" max="15872" width="9.140625" style="2122"/>
    <col min="15873" max="15873" width="17.28515625" style="2122" customWidth="1"/>
    <col min="15874" max="15878" width="8.7109375" style="2122" customWidth="1"/>
    <col min="15879" max="15879" width="9.5703125" style="2122" customWidth="1"/>
    <col min="15880" max="15881" width="8.7109375" style="2122" customWidth="1"/>
    <col min="15882" max="15882" width="9.42578125" style="2122" customWidth="1"/>
    <col min="15883" max="16128" width="9.140625" style="2122"/>
    <col min="16129" max="16129" width="17.28515625" style="2122" customWidth="1"/>
    <col min="16130" max="16134" width="8.7109375" style="2122" customWidth="1"/>
    <col min="16135" max="16135" width="9.5703125" style="2122" customWidth="1"/>
    <col min="16136" max="16137" width="8.7109375" style="2122" customWidth="1"/>
    <col min="16138" max="16138" width="9.42578125" style="2122" customWidth="1"/>
    <col min="16139" max="16384" width="9.140625" style="2122"/>
  </cols>
  <sheetData>
    <row r="1" spans="1:10" ht="39" customHeight="1">
      <c r="A1" s="3412" t="s">
        <v>3468</v>
      </c>
      <c r="B1" s="3412"/>
      <c r="C1" s="3412"/>
      <c r="D1" s="3412"/>
      <c r="E1" s="3412"/>
      <c r="F1" s="3412"/>
      <c r="G1" s="3412"/>
      <c r="H1" s="3412"/>
      <c r="I1" s="3412"/>
      <c r="J1" s="3412"/>
    </row>
    <row r="2" spans="1:10" ht="19.5" thickBot="1">
      <c r="A2" s="2123"/>
      <c r="B2" s="2124"/>
      <c r="C2" s="2124"/>
      <c r="D2" s="2124"/>
      <c r="E2" s="2125"/>
      <c r="F2" s="2125"/>
      <c r="G2" s="2125"/>
      <c r="H2" s="2125"/>
      <c r="I2" s="2125"/>
      <c r="J2" s="2126"/>
    </row>
    <row r="3" spans="1:10" ht="15.75" customHeight="1">
      <c r="A3" s="2127"/>
      <c r="B3" s="3413" t="s">
        <v>3469</v>
      </c>
      <c r="C3" s="3414"/>
      <c r="D3" s="3415"/>
      <c r="E3" s="3416" t="s">
        <v>3470</v>
      </c>
      <c r="F3" s="3417"/>
      <c r="G3" s="3418"/>
      <c r="H3" s="3416" t="s">
        <v>3471</v>
      </c>
      <c r="I3" s="3417"/>
      <c r="J3" s="3419"/>
    </row>
    <row r="4" spans="1:10" ht="17.25" customHeight="1">
      <c r="A4" s="2128" t="s">
        <v>78</v>
      </c>
      <c r="B4" s="2129">
        <v>2013</v>
      </c>
      <c r="C4" s="2129">
        <v>2014</v>
      </c>
      <c r="D4" s="2130">
        <v>2015</v>
      </c>
      <c r="E4" s="2129">
        <v>2013</v>
      </c>
      <c r="F4" s="2131">
        <v>2014</v>
      </c>
      <c r="G4" s="2130">
        <v>2015</v>
      </c>
      <c r="H4" s="2129">
        <v>2013</v>
      </c>
      <c r="I4" s="2131">
        <v>2014</v>
      </c>
      <c r="J4" s="2132">
        <v>2015</v>
      </c>
    </row>
    <row r="5" spans="1:10" ht="21" customHeight="1">
      <c r="A5" s="2133" t="s">
        <v>3096</v>
      </c>
      <c r="B5" s="2134" t="s">
        <v>3472</v>
      </c>
      <c r="C5" s="2134" t="s">
        <v>3473</v>
      </c>
      <c r="D5" s="2135" t="s">
        <v>3474</v>
      </c>
      <c r="E5" s="2136" t="s">
        <v>3475</v>
      </c>
      <c r="F5" s="2134" t="s">
        <v>3476</v>
      </c>
      <c r="G5" s="2135" t="s">
        <v>3477</v>
      </c>
      <c r="H5" s="2136" t="s">
        <v>3478</v>
      </c>
      <c r="I5" s="2137" t="s">
        <v>3479</v>
      </c>
      <c r="J5" s="2138" t="s">
        <v>3480</v>
      </c>
    </row>
    <row r="6" spans="1:10" ht="21" customHeight="1">
      <c r="A6" s="2139" t="s">
        <v>3097</v>
      </c>
      <c r="B6" s="2140" t="s">
        <v>3481</v>
      </c>
      <c r="C6" s="2140" t="s">
        <v>3482</v>
      </c>
      <c r="D6" s="2141" t="s">
        <v>3483</v>
      </c>
      <c r="E6" s="2142" t="s">
        <v>3484</v>
      </c>
      <c r="F6" s="2143" t="s">
        <v>3485</v>
      </c>
      <c r="G6" s="2141" t="s">
        <v>3486</v>
      </c>
      <c r="H6" s="2142" t="s">
        <v>3487</v>
      </c>
      <c r="I6" s="2143" t="s">
        <v>3488</v>
      </c>
      <c r="J6" s="2144" t="s">
        <v>3489</v>
      </c>
    </row>
    <row r="7" spans="1:10" ht="21" customHeight="1">
      <c r="A7" s="2139" t="s">
        <v>3098</v>
      </c>
      <c r="B7" s="2140" t="s">
        <v>3490</v>
      </c>
      <c r="C7" s="2140" t="s">
        <v>3491</v>
      </c>
      <c r="D7" s="2141" t="s">
        <v>3492</v>
      </c>
      <c r="E7" s="2142" t="s">
        <v>3493</v>
      </c>
      <c r="F7" s="2143" t="s">
        <v>3494</v>
      </c>
      <c r="G7" s="2141" t="s">
        <v>3495</v>
      </c>
      <c r="H7" s="2142" t="s">
        <v>3496</v>
      </c>
      <c r="I7" s="2143" t="s">
        <v>3497</v>
      </c>
      <c r="J7" s="2144" t="s">
        <v>3498</v>
      </c>
    </row>
    <row r="8" spans="1:10" ht="21" customHeight="1">
      <c r="A8" s="2139" t="s">
        <v>3099</v>
      </c>
      <c r="B8" s="2140" t="s">
        <v>3499</v>
      </c>
      <c r="C8" s="2140" t="s">
        <v>3500</v>
      </c>
      <c r="D8" s="2141" t="s">
        <v>3501</v>
      </c>
      <c r="E8" s="2142" t="s">
        <v>3502</v>
      </c>
      <c r="F8" s="2143" t="s">
        <v>3503</v>
      </c>
      <c r="G8" s="2141" t="s">
        <v>3504</v>
      </c>
      <c r="H8" s="2142" t="s">
        <v>3505</v>
      </c>
      <c r="I8" s="2143" t="s">
        <v>3506</v>
      </c>
      <c r="J8" s="2144" t="s">
        <v>3507</v>
      </c>
    </row>
    <row r="9" spans="1:10" ht="21" customHeight="1">
      <c r="A9" s="2139" t="s">
        <v>3100</v>
      </c>
      <c r="B9" s="2140" t="s">
        <v>3508</v>
      </c>
      <c r="C9" s="2140" t="s">
        <v>3509</v>
      </c>
      <c r="D9" s="2141" t="s">
        <v>3510</v>
      </c>
      <c r="E9" s="2142" t="s">
        <v>3511</v>
      </c>
      <c r="F9" s="2143" t="s">
        <v>3512</v>
      </c>
      <c r="G9" s="2141" t="s">
        <v>3513</v>
      </c>
      <c r="H9" s="2142" t="s">
        <v>3514</v>
      </c>
      <c r="I9" s="2143" t="s">
        <v>3515</v>
      </c>
      <c r="J9" s="2144" t="s">
        <v>3516</v>
      </c>
    </row>
    <row r="10" spans="1:10" ht="21" customHeight="1">
      <c r="A10" s="2139" t="s">
        <v>3101</v>
      </c>
      <c r="B10" s="2140" t="s">
        <v>3517</v>
      </c>
      <c r="C10" s="2140" t="s">
        <v>3518</v>
      </c>
      <c r="D10" s="2141" t="s">
        <v>3461</v>
      </c>
      <c r="E10" s="2142" t="s">
        <v>3519</v>
      </c>
      <c r="F10" s="2143" t="s">
        <v>3520</v>
      </c>
      <c r="G10" s="2141" t="s">
        <v>3466</v>
      </c>
      <c r="H10" s="2142" t="s">
        <v>3521</v>
      </c>
      <c r="I10" s="2143" t="s">
        <v>3522</v>
      </c>
      <c r="J10" s="2144" t="s">
        <v>3456</v>
      </c>
    </row>
    <row r="11" spans="1:10" ht="21" customHeight="1">
      <c r="A11" s="2139" t="s">
        <v>3102</v>
      </c>
      <c r="B11" s="2140" t="s">
        <v>3523</v>
      </c>
      <c r="C11" s="2140" t="s">
        <v>3524</v>
      </c>
      <c r="D11" s="2141" t="s">
        <v>3460</v>
      </c>
      <c r="E11" s="2142" t="s">
        <v>3525</v>
      </c>
      <c r="F11" s="2143" t="s">
        <v>3526</v>
      </c>
      <c r="G11" s="2141" t="s">
        <v>3465</v>
      </c>
      <c r="H11" s="2142" t="s">
        <v>3527</v>
      </c>
      <c r="I11" s="2143" t="s">
        <v>3528</v>
      </c>
      <c r="J11" s="2144" t="s">
        <v>3455</v>
      </c>
    </row>
    <row r="12" spans="1:10" ht="21" customHeight="1">
      <c r="A12" s="2139" t="s">
        <v>3103</v>
      </c>
      <c r="B12" s="2140" t="s">
        <v>3529</v>
      </c>
      <c r="C12" s="2140" t="s">
        <v>3530</v>
      </c>
      <c r="D12" s="2141"/>
      <c r="E12" s="2142" t="s">
        <v>3531</v>
      </c>
      <c r="F12" s="2143" t="s">
        <v>3532</v>
      </c>
      <c r="G12" s="2141"/>
      <c r="H12" s="2142" t="s">
        <v>3533</v>
      </c>
      <c r="I12" s="2143" t="s">
        <v>3534</v>
      </c>
      <c r="J12" s="2144"/>
    </row>
    <row r="13" spans="1:10" ht="21" customHeight="1">
      <c r="A13" s="2139" t="s">
        <v>3104</v>
      </c>
      <c r="B13" s="2140" t="s">
        <v>3535</v>
      </c>
      <c r="C13" s="2140" t="s">
        <v>3536</v>
      </c>
      <c r="D13" s="2141"/>
      <c r="E13" s="2142" t="s">
        <v>3537</v>
      </c>
      <c r="F13" s="2143" t="s">
        <v>3538</v>
      </c>
      <c r="G13" s="2141"/>
      <c r="H13" s="2142" t="s">
        <v>3539</v>
      </c>
      <c r="I13" s="2143" t="s">
        <v>3540</v>
      </c>
      <c r="J13" s="2144"/>
    </row>
    <row r="14" spans="1:10" ht="21" customHeight="1">
      <c r="A14" s="2139" t="s">
        <v>3105</v>
      </c>
      <c r="B14" s="2140" t="s">
        <v>3541</v>
      </c>
      <c r="C14" s="2140" t="s">
        <v>3542</v>
      </c>
      <c r="D14" s="2141"/>
      <c r="E14" s="2142" t="s">
        <v>3543</v>
      </c>
      <c r="F14" s="2143" t="s">
        <v>3544</v>
      </c>
      <c r="G14" s="2141"/>
      <c r="H14" s="2142" t="s">
        <v>3545</v>
      </c>
      <c r="I14" s="2143" t="s">
        <v>3546</v>
      </c>
      <c r="J14" s="2144"/>
    </row>
    <row r="15" spans="1:10" ht="21" customHeight="1">
      <c r="A15" s="2139" t="s">
        <v>3106</v>
      </c>
      <c r="B15" s="2140" t="s">
        <v>3547</v>
      </c>
      <c r="C15" s="2140" t="s">
        <v>3548</v>
      </c>
      <c r="D15" s="2141"/>
      <c r="E15" s="2142" t="s">
        <v>3549</v>
      </c>
      <c r="F15" s="2143" t="s">
        <v>3550</v>
      </c>
      <c r="G15" s="2141"/>
      <c r="H15" s="2142" t="s">
        <v>3551</v>
      </c>
      <c r="I15" s="2143" t="s">
        <v>3552</v>
      </c>
      <c r="J15" s="2144"/>
    </row>
    <row r="16" spans="1:10" ht="21" customHeight="1" thickBot="1">
      <c r="A16" s="2145" t="s">
        <v>3107</v>
      </c>
      <c r="B16" s="2146" t="s">
        <v>3553</v>
      </c>
      <c r="C16" s="2146" t="s">
        <v>3554</v>
      </c>
      <c r="D16" s="2147"/>
      <c r="E16" s="2146" t="s">
        <v>3555</v>
      </c>
      <c r="F16" s="2148" t="s">
        <v>3556</v>
      </c>
      <c r="G16" s="2147"/>
      <c r="H16" s="2146" t="s">
        <v>3557</v>
      </c>
      <c r="I16" s="2148" t="s">
        <v>3558</v>
      </c>
      <c r="J16" s="2149"/>
    </row>
    <row r="17" spans="1:256" ht="15">
      <c r="A17" s="2150" t="s">
        <v>3559</v>
      </c>
      <c r="B17" s="2126"/>
      <c r="C17" s="2126"/>
      <c r="D17" s="2126"/>
      <c r="E17" s="2126"/>
      <c r="F17" s="2126"/>
      <c r="G17" s="2126"/>
      <c r="H17" s="2126"/>
      <c r="I17" s="2126"/>
      <c r="J17" s="2126"/>
    </row>
    <row r="18" spans="1:256">
      <c r="A18" s="2151" t="s">
        <v>2704</v>
      </c>
    </row>
    <row r="20" spans="1:256" ht="18.75">
      <c r="A20" s="2152" t="s">
        <v>3560</v>
      </c>
    </row>
    <row r="21" spans="1:256" ht="13.5" thickBot="1"/>
    <row r="22" spans="1:256" ht="15">
      <c r="A22" s="2153"/>
      <c r="B22" s="3420" t="s">
        <v>3561</v>
      </c>
      <c r="C22" s="3421"/>
      <c r="D22" s="3422"/>
      <c r="E22" s="3423" t="s">
        <v>3562</v>
      </c>
      <c r="F22" s="3421"/>
      <c r="G22" s="3424"/>
      <c r="H22" s="2154"/>
      <c r="I22" s="2154"/>
      <c r="J22" s="2155"/>
      <c r="K22" s="2155"/>
      <c r="L22" s="2155"/>
      <c r="M22" s="2155"/>
      <c r="N22" s="2155"/>
      <c r="O22" s="2155"/>
      <c r="P22" s="2155"/>
      <c r="Q22" s="2155"/>
      <c r="R22" s="2155"/>
      <c r="S22" s="2155"/>
      <c r="T22" s="2155"/>
      <c r="U22" s="2155"/>
      <c r="V22" s="2155"/>
      <c r="W22" s="2155"/>
      <c r="X22" s="2155"/>
      <c r="Y22" s="2155"/>
      <c r="Z22" s="2155"/>
      <c r="AA22" s="2155"/>
      <c r="AB22" s="2155"/>
      <c r="AC22" s="2155"/>
      <c r="AD22" s="2155"/>
      <c r="AE22" s="2155"/>
      <c r="AF22" s="2155"/>
      <c r="AG22" s="2155"/>
      <c r="AH22" s="2155"/>
      <c r="AI22" s="2155"/>
      <c r="AJ22" s="2155"/>
      <c r="AK22" s="2155"/>
      <c r="AL22" s="2155"/>
      <c r="AM22" s="2155"/>
      <c r="AN22" s="2155"/>
      <c r="AO22" s="2155"/>
      <c r="AP22" s="2155"/>
      <c r="AQ22" s="2155"/>
      <c r="AR22" s="2155"/>
      <c r="AS22" s="2155"/>
      <c r="AT22" s="2155"/>
      <c r="AU22" s="2155"/>
      <c r="AV22" s="2155"/>
      <c r="AW22" s="2155"/>
      <c r="AX22" s="2155"/>
      <c r="AY22" s="2155"/>
      <c r="AZ22" s="2155"/>
      <c r="BA22" s="2155"/>
      <c r="BB22" s="2155"/>
      <c r="BC22" s="2155"/>
      <c r="BD22" s="2155"/>
      <c r="BE22" s="2155"/>
      <c r="BF22" s="2155"/>
      <c r="BG22" s="2155"/>
      <c r="BH22" s="2155"/>
      <c r="BI22" s="2155"/>
      <c r="BJ22" s="2155"/>
      <c r="BK22" s="2155"/>
      <c r="BL22" s="2155"/>
      <c r="BM22" s="2155"/>
      <c r="BN22" s="2155"/>
      <c r="BO22" s="2155"/>
      <c r="BP22" s="2155"/>
      <c r="BQ22" s="2155"/>
      <c r="BR22" s="2155"/>
      <c r="BS22" s="2155"/>
      <c r="BT22" s="2155"/>
      <c r="BU22" s="2155"/>
      <c r="BV22" s="2155"/>
      <c r="BW22" s="2155"/>
      <c r="BX22" s="2155"/>
      <c r="BY22" s="2155"/>
      <c r="BZ22" s="2155"/>
      <c r="CA22" s="2155"/>
      <c r="CB22" s="2155"/>
      <c r="CC22" s="2155"/>
      <c r="CD22" s="2155"/>
      <c r="CE22" s="2155"/>
      <c r="CF22" s="2155"/>
      <c r="CG22" s="2155"/>
      <c r="CH22" s="2155"/>
      <c r="CI22" s="2155"/>
      <c r="CJ22" s="2155"/>
      <c r="CK22" s="2155"/>
      <c r="CL22" s="2155"/>
      <c r="CM22" s="2155"/>
      <c r="CN22" s="2155"/>
      <c r="CO22" s="2155"/>
      <c r="CP22" s="2155"/>
      <c r="CQ22" s="2155"/>
      <c r="CR22" s="2155"/>
      <c r="CS22" s="2155"/>
      <c r="CT22" s="2155"/>
      <c r="CU22" s="2155"/>
      <c r="CV22" s="2155"/>
      <c r="CW22" s="2155"/>
      <c r="CX22" s="2155"/>
      <c r="CY22" s="2155"/>
      <c r="CZ22" s="2155"/>
      <c r="DA22" s="2155"/>
      <c r="DB22" s="2155"/>
      <c r="DC22" s="2155"/>
      <c r="DD22" s="2155"/>
      <c r="DE22" s="2155"/>
      <c r="DF22" s="2155"/>
      <c r="DG22" s="2155"/>
      <c r="DH22" s="2155"/>
      <c r="DI22" s="2155"/>
      <c r="DJ22" s="2155"/>
      <c r="DK22" s="2155"/>
      <c r="DL22" s="2155"/>
      <c r="DM22" s="2155"/>
      <c r="DN22" s="2155"/>
      <c r="DO22" s="2155"/>
      <c r="DP22" s="2155"/>
      <c r="DQ22" s="2155"/>
      <c r="DR22" s="2155"/>
      <c r="DS22" s="2155"/>
      <c r="DT22" s="2155"/>
      <c r="DU22" s="2155"/>
      <c r="DV22" s="2155"/>
      <c r="DW22" s="2155"/>
      <c r="DX22" s="2155"/>
      <c r="DY22" s="2155"/>
      <c r="DZ22" s="2155"/>
      <c r="EA22" s="2155"/>
      <c r="EB22" s="2155"/>
      <c r="EC22" s="2155"/>
      <c r="ED22" s="2155"/>
      <c r="EE22" s="2155"/>
      <c r="EF22" s="2155"/>
      <c r="EG22" s="2155"/>
      <c r="EH22" s="2155"/>
      <c r="EI22" s="2155"/>
      <c r="EJ22" s="2155"/>
      <c r="EK22" s="2155"/>
      <c r="EL22" s="2155"/>
      <c r="EM22" s="2155"/>
      <c r="EN22" s="2155"/>
      <c r="EO22" s="2155"/>
      <c r="EP22" s="2155"/>
      <c r="EQ22" s="2155"/>
      <c r="ER22" s="2155"/>
      <c r="ES22" s="2155"/>
      <c r="ET22" s="2155"/>
      <c r="EU22" s="2155"/>
      <c r="EV22" s="2155"/>
      <c r="EW22" s="2155"/>
      <c r="EX22" s="2155"/>
      <c r="EY22" s="2155"/>
      <c r="EZ22" s="2155"/>
      <c r="FA22" s="2155"/>
      <c r="FB22" s="2155"/>
      <c r="FC22" s="2155"/>
      <c r="FD22" s="2155"/>
      <c r="FE22" s="2155"/>
      <c r="FF22" s="2155"/>
      <c r="FG22" s="2155"/>
      <c r="FH22" s="2155"/>
      <c r="FI22" s="2155"/>
      <c r="FJ22" s="2155"/>
      <c r="FK22" s="2155"/>
      <c r="FL22" s="2155"/>
      <c r="FM22" s="2155"/>
      <c r="FN22" s="2155"/>
      <c r="FO22" s="2155"/>
      <c r="FP22" s="2155"/>
      <c r="FQ22" s="2155"/>
      <c r="FR22" s="2155"/>
      <c r="FS22" s="2155"/>
      <c r="FT22" s="2155"/>
      <c r="FU22" s="2155"/>
      <c r="FV22" s="2155"/>
      <c r="FW22" s="2155"/>
      <c r="FX22" s="2155"/>
      <c r="FY22" s="2155"/>
      <c r="FZ22" s="2155"/>
      <c r="GA22" s="2155"/>
      <c r="GB22" s="2155"/>
      <c r="GC22" s="2155"/>
      <c r="GD22" s="2155"/>
      <c r="GE22" s="2155"/>
      <c r="GF22" s="2155"/>
      <c r="GG22" s="2155"/>
      <c r="GH22" s="2155"/>
      <c r="GI22" s="2155"/>
      <c r="GJ22" s="2155"/>
      <c r="GK22" s="2155"/>
      <c r="GL22" s="2155"/>
      <c r="GM22" s="2155"/>
      <c r="GN22" s="2155"/>
      <c r="GO22" s="2155"/>
      <c r="GP22" s="2155"/>
      <c r="GQ22" s="2155"/>
      <c r="GR22" s="2155"/>
      <c r="GS22" s="2155"/>
      <c r="GT22" s="2155"/>
      <c r="GU22" s="2155"/>
      <c r="GV22" s="2155"/>
      <c r="GW22" s="2155"/>
      <c r="GX22" s="2155"/>
      <c r="GY22" s="2155"/>
      <c r="GZ22" s="2155"/>
      <c r="HA22" s="2155"/>
      <c r="HB22" s="2155"/>
      <c r="HC22" s="2155"/>
      <c r="HD22" s="2155"/>
      <c r="HE22" s="2155"/>
      <c r="HF22" s="2155"/>
      <c r="HG22" s="2155"/>
      <c r="HH22" s="2155"/>
      <c r="HI22" s="2155"/>
      <c r="HJ22" s="2155"/>
      <c r="HK22" s="2155"/>
      <c r="HL22" s="2155"/>
      <c r="HM22" s="2155"/>
      <c r="HN22" s="2155"/>
      <c r="HO22" s="2155"/>
      <c r="HP22" s="2155"/>
      <c r="HQ22" s="2155"/>
      <c r="HR22" s="2155"/>
      <c r="HS22" s="2155"/>
      <c r="HT22" s="2155"/>
      <c r="HU22" s="2155"/>
      <c r="HV22" s="2155"/>
      <c r="HW22" s="2155"/>
      <c r="HX22" s="2155"/>
      <c r="HY22" s="2155"/>
      <c r="HZ22" s="2155"/>
      <c r="IA22" s="2155"/>
      <c r="IB22" s="2155"/>
      <c r="IC22" s="2155"/>
      <c r="ID22" s="2155"/>
      <c r="IE22" s="2155"/>
      <c r="IF22" s="2155"/>
      <c r="IG22" s="2155"/>
      <c r="IH22" s="2155"/>
      <c r="II22" s="2155"/>
      <c r="IJ22" s="2155"/>
      <c r="IK22" s="2155"/>
      <c r="IL22" s="2155"/>
      <c r="IM22" s="2155"/>
      <c r="IN22" s="2155"/>
      <c r="IO22" s="2155"/>
      <c r="IP22" s="2155"/>
      <c r="IQ22" s="2155"/>
      <c r="IR22" s="2155"/>
      <c r="IS22" s="2155"/>
      <c r="IT22" s="2155"/>
      <c r="IU22" s="2155"/>
      <c r="IV22" s="2155"/>
    </row>
    <row r="23" spans="1:256" ht="15">
      <c r="A23" s="2156" t="s">
        <v>78</v>
      </c>
      <c r="B23" s="2129">
        <v>2013</v>
      </c>
      <c r="C23" s="2129">
        <v>2014</v>
      </c>
      <c r="D23" s="2157">
        <v>2015</v>
      </c>
      <c r="E23" s="2158">
        <v>2013</v>
      </c>
      <c r="F23" s="2131">
        <v>2014</v>
      </c>
      <c r="G23" s="2159">
        <v>2015</v>
      </c>
      <c r="H23" s="2160"/>
      <c r="I23" s="2160"/>
      <c r="J23" s="2155"/>
      <c r="K23" s="2155"/>
      <c r="L23" s="2155"/>
      <c r="M23" s="2155"/>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c r="AL23" s="2155"/>
      <c r="AM23" s="2155"/>
      <c r="AN23" s="2155"/>
      <c r="AO23" s="2155"/>
      <c r="AP23" s="2155"/>
      <c r="AQ23" s="2155"/>
      <c r="AR23" s="2155"/>
      <c r="AS23" s="2155"/>
      <c r="AT23" s="2155"/>
      <c r="AU23" s="2155"/>
      <c r="AV23" s="2155"/>
      <c r="AW23" s="2155"/>
      <c r="AX23" s="2155"/>
      <c r="AY23" s="2155"/>
      <c r="AZ23" s="2155"/>
      <c r="BA23" s="2155"/>
      <c r="BB23" s="2155"/>
      <c r="BC23" s="2155"/>
      <c r="BD23" s="2155"/>
      <c r="BE23" s="2155"/>
      <c r="BF23" s="2155"/>
      <c r="BG23" s="2155"/>
      <c r="BH23" s="2155"/>
      <c r="BI23" s="2155"/>
      <c r="BJ23" s="2155"/>
      <c r="BK23" s="2155"/>
      <c r="BL23" s="2155"/>
      <c r="BM23" s="2155"/>
      <c r="BN23" s="2155"/>
      <c r="BO23" s="2155"/>
      <c r="BP23" s="2155"/>
      <c r="BQ23" s="2155"/>
      <c r="BR23" s="2155"/>
      <c r="BS23" s="2155"/>
      <c r="BT23" s="2155"/>
      <c r="BU23" s="2155"/>
      <c r="BV23" s="2155"/>
      <c r="BW23" s="2155"/>
      <c r="BX23" s="2155"/>
      <c r="BY23" s="2155"/>
      <c r="BZ23" s="2155"/>
      <c r="CA23" s="2155"/>
      <c r="CB23" s="2155"/>
      <c r="CC23" s="2155"/>
      <c r="CD23" s="2155"/>
      <c r="CE23" s="2155"/>
      <c r="CF23" s="2155"/>
      <c r="CG23" s="2155"/>
      <c r="CH23" s="2155"/>
      <c r="CI23" s="2155"/>
      <c r="CJ23" s="2155"/>
      <c r="CK23" s="2155"/>
      <c r="CL23" s="2155"/>
      <c r="CM23" s="2155"/>
      <c r="CN23" s="2155"/>
      <c r="CO23" s="2155"/>
      <c r="CP23" s="2155"/>
      <c r="CQ23" s="2155"/>
      <c r="CR23" s="2155"/>
      <c r="CS23" s="2155"/>
      <c r="CT23" s="2155"/>
      <c r="CU23" s="2155"/>
      <c r="CV23" s="2155"/>
      <c r="CW23" s="2155"/>
      <c r="CX23" s="2155"/>
      <c r="CY23" s="2155"/>
      <c r="CZ23" s="2155"/>
      <c r="DA23" s="2155"/>
      <c r="DB23" s="2155"/>
      <c r="DC23" s="2155"/>
      <c r="DD23" s="2155"/>
      <c r="DE23" s="2155"/>
      <c r="DF23" s="2155"/>
      <c r="DG23" s="2155"/>
      <c r="DH23" s="2155"/>
      <c r="DI23" s="2155"/>
      <c r="DJ23" s="2155"/>
      <c r="DK23" s="2155"/>
      <c r="DL23" s="2155"/>
      <c r="DM23" s="2155"/>
      <c r="DN23" s="2155"/>
      <c r="DO23" s="2155"/>
      <c r="DP23" s="2155"/>
      <c r="DQ23" s="2155"/>
      <c r="DR23" s="2155"/>
      <c r="DS23" s="2155"/>
      <c r="DT23" s="2155"/>
      <c r="DU23" s="2155"/>
      <c r="DV23" s="2155"/>
      <c r="DW23" s="2155"/>
      <c r="DX23" s="2155"/>
      <c r="DY23" s="2155"/>
      <c r="DZ23" s="2155"/>
      <c r="EA23" s="2155"/>
      <c r="EB23" s="2155"/>
      <c r="EC23" s="2155"/>
      <c r="ED23" s="2155"/>
      <c r="EE23" s="2155"/>
      <c r="EF23" s="2155"/>
      <c r="EG23" s="2155"/>
      <c r="EH23" s="2155"/>
      <c r="EI23" s="2155"/>
      <c r="EJ23" s="2155"/>
      <c r="EK23" s="2155"/>
      <c r="EL23" s="2155"/>
      <c r="EM23" s="2155"/>
      <c r="EN23" s="2155"/>
      <c r="EO23" s="2155"/>
      <c r="EP23" s="2155"/>
      <c r="EQ23" s="2155"/>
      <c r="ER23" s="2155"/>
      <c r="ES23" s="2155"/>
      <c r="ET23" s="2155"/>
      <c r="EU23" s="2155"/>
      <c r="EV23" s="2155"/>
      <c r="EW23" s="2155"/>
      <c r="EX23" s="2155"/>
      <c r="EY23" s="2155"/>
      <c r="EZ23" s="2155"/>
      <c r="FA23" s="2155"/>
      <c r="FB23" s="2155"/>
      <c r="FC23" s="2155"/>
      <c r="FD23" s="2155"/>
      <c r="FE23" s="2155"/>
      <c r="FF23" s="2155"/>
      <c r="FG23" s="2155"/>
      <c r="FH23" s="2155"/>
      <c r="FI23" s="2155"/>
      <c r="FJ23" s="2155"/>
      <c r="FK23" s="2155"/>
      <c r="FL23" s="2155"/>
      <c r="FM23" s="2155"/>
      <c r="FN23" s="2155"/>
      <c r="FO23" s="2155"/>
      <c r="FP23" s="2155"/>
      <c r="FQ23" s="2155"/>
      <c r="FR23" s="2155"/>
      <c r="FS23" s="2155"/>
      <c r="FT23" s="2155"/>
      <c r="FU23" s="2155"/>
      <c r="FV23" s="2155"/>
      <c r="FW23" s="2155"/>
      <c r="FX23" s="2155"/>
      <c r="FY23" s="2155"/>
      <c r="FZ23" s="2155"/>
      <c r="GA23" s="2155"/>
      <c r="GB23" s="2155"/>
      <c r="GC23" s="2155"/>
      <c r="GD23" s="2155"/>
      <c r="GE23" s="2155"/>
      <c r="GF23" s="2155"/>
      <c r="GG23" s="2155"/>
      <c r="GH23" s="2155"/>
      <c r="GI23" s="2155"/>
      <c r="GJ23" s="2155"/>
      <c r="GK23" s="2155"/>
      <c r="GL23" s="2155"/>
      <c r="GM23" s="2155"/>
      <c r="GN23" s="2155"/>
      <c r="GO23" s="2155"/>
      <c r="GP23" s="2155"/>
      <c r="GQ23" s="2155"/>
      <c r="GR23" s="2155"/>
      <c r="GS23" s="2155"/>
      <c r="GT23" s="2155"/>
      <c r="GU23" s="2155"/>
      <c r="GV23" s="2155"/>
      <c r="GW23" s="2155"/>
      <c r="GX23" s="2155"/>
      <c r="GY23" s="2155"/>
      <c r="GZ23" s="2155"/>
      <c r="HA23" s="2155"/>
      <c r="HB23" s="2155"/>
      <c r="HC23" s="2155"/>
      <c r="HD23" s="2155"/>
      <c r="HE23" s="2155"/>
      <c r="HF23" s="2155"/>
      <c r="HG23" s="2155"/>
      <c r="HH23" s="2155"/>
      <c r="HI23" s="2155"/>
      <c r="HJ23" s="2155"/>
      <c r="HK23" s="2155"/>
      <c r="HL23" s="2155"/>
      <c r="HM23" s="2155"/>
      <c r="HN23" s="2155"/>
      <c r="HO23" s="2155"/>
      <c r="HP23" s="2155"/>
      <c r="HQ23" s="2155"/>
      <c r="HR23" s="2155"/>
      <c r="HS23" s="2155"/>
      <c r="HT23" s="2155"/>
      <c r="HU23" s="2155"/>
      <c r="HV23" s="2155"/>
      <c r="HW23" s="2155"/>
      <c r="HX23" s="2155"/>
      <c r="HY23" s="2155"/>
      <c r="HZ23" s="2155"/>
      <c r="IA23" s="2155"/>
      <c r="IB23" s="2155"/>
      <c r="IC23" s="2155"/>
      <c r="ID23" s="2155"/>
      <c r="IE23" s="2155"/>
      <c r="IF23" s="2155"/>
      <c r="IG23" s="2155"/>
      <c r="IH23" s="2155"/>
      <c r="II23" s="2155"/>
      <c r="IJ23" s="2155"/>
      <c r="IK23" s="2155"/>
      <c r="IL23" s="2155"/>
      <c r="IM23" s="2155"/>
      <c r="IN23" s="2155"/>
      <c r="IO23" s="2155"/>
      <c r="IP23" s="2155"/>
      <c r="IQ23" s="2155"/>
      <c r="IR23" s="2155"/>
      <c r="IS23" s="2155"/>
      <c r="IT23" s="2155"/>
      <c r="IU23" s="2155"/>
      <c r="IV23" s="2155"/>
    </row>
    <row r="24" spans="1:256" ht="21" customHeight="1">
      <c r="A24" s="2161" t="s">
        <v>3096</v>
      </c>
      <c r="B24" s="2162">
        <v>94.692517119598691</v>
      </c>
      <c r="C24" s="2162">
        <v>94.033026815216559</v>
      </c>
      <c r="D24" s="2163">
        <v>94.737918809959623</v>
      </c>
      <c r="E24" s="2164">
        <v>94.444426266810893</v>
      </c>
      <c r="F24" s="2165">
        <v>93.748147718064246</v>
      </c>
      <c r="G24" s="2166">
        <v>94.019346919312369</v>
      </c>
      <c r="H24" s="2160"/>
      <c r="I24" s="2160"/>
    </row>
    <row r="25" spans="1:256" ht="21" customHeight="1">
      <c r="A25" s="2167" t="s">
        <v>3097</v>
      </c>
      <c r="B25" s="2168">
        <v>94.431747229610565</v>
      </c>
      <c r="C25" s="2168">
        <v>94.101377441284313</v>
      </c>
      <c r="D25" s="2169">
        <v>96.210999999999999</v>
      </c>
      <c r="E25" s="2170">
        <v>94.183388343504049</v>
      </c>
      <c r="F25" s="2171">
        <v>93.819408863626165</v>
      </c>
      <c r="G25" s="2172">
        <v>95.433000000000007</v>
      </c>
      <c r="H25" s="2160"/>
      <c r="I25" s="2160"/>
    </row>
    <row r="26" spans="1:256" ht="21" customHeight="1">
      <c r="A26" s="2167" t="s">
        <v>3098</v>
      </c>
      <c r="B26" s="2168">
        <v>94.612480299355454</v>
      </c>
      <c r="C26" s="2168">
        <v>94.053378800187559</v>
      </c>
      <c r="D26" s="2169">
        <v>101.71579294789962</v>
      </c>
      <c r="E26" s="2170">
        <v>94.271306723591067</v>
      </c>
      <c r="F26" s="2171">
        <v>93.811474293235236</v>
      </c>
      <c r="G26" s="2172">
        <v>100.75034493403408</v>
      </c>
      <c r="H26" s="2160"/>
      <c r="I26" s="2160"/>
    </row>
    <row r="27" spans="1:256" ht="21" customHeight="1">
      <c r="A27" s="2167" t="s">
        <v>3099</v>
      </c>
      <c r="B27" s="2168">
        <v>95.005695383715562</v>
      </c>
      <c r="C27" s="2168">
        <v>94.189550909417136</v>
      </c>
      <c r="D27" s="2169">
        <v>103.71112839443641</v>
      </c>
      <c r="E27" s="2170">
        <v>94.687544592658213</v>
      </c>
      <c r="F27" s="2171">
        <v>93.959604469303727</v>
      </c>
      <c r="G27" s="2172">
        <v>102.70931358524788</v>
      </c>
      <c r="H27" s="2160"/>
      <c r="I27" s="2160"/>
    </row>
    <row r="28" spans="1:256" ht="21" customHeight="1">
      <c r="A28" s="2167" t="s">
        <v>3100</v>
      </c>
      <c r="B28" s="2168">
        <v>94.925109399772481</v>
      </c>
      <c r="C28" s="2168">
        <v>94.266339344692966</v>
      </c>
      <c r="D28" s="2169">
        <v>101.95610917623981</v>
      </c>
      <c r="E28" s="2173">
        <v>94.584957090212811</v>
      </c>
      <c r="F28" s="2171">
        <v>94.031589060459993</v>
      </c>
      <c r="G28" s="2172">
        <v>101.07428014520794</v>
      </c>
      <c r="H28" s="2154"/>
      <c r="I28" s="2154"/>
    </row>
    <row r="29" spans="1:256" ht="21" customHeight="1">
      <c r="A29" s="2167" t="s">
        <v>3101</v>
      </c>
      <c r="B29" s="2168">
        <v>94.892615378776838</v>
      </c>
      <c r="C29" s="2168">
        <v>94.355303958883113</v>
      </c>
      <c r="D29" s="2169">
        <v>102.35499057640519</v>
      </c>
      <c r="E29" s="2173">
        <v>101.46845901364026</v>
      </c>
      <c r="F29" s="2171">
        <v>94.085349903111322</v>
      </c>
      <c r="G29" s="2172">
        <v>101.46845901364026</v>
      </c>
      <c r="H29" s="2154"/>
      <c r="I29" s="2154"/>
    </row>
    <row r="30" spans="1:256" ht="21" customHeight="1">
      <c r="A30" s="2167" t="s">
        <v>3102</v>
      </c>
      <c r="B30" s="2168">
        <v>94.893058792364243</v>
      </c>
      <c r="C30" s="2168">
        <v>94.42471147163522</v>
      </c>
      <c r="D30" s="2169">
        <v>102.60849631914677</v>
      </c>
      <c r="E30" s="2173">
        <v>94.528520039529667</v>
      </c>
      <c r="F30" s="2171">
        <v>94.151578300819793</v>
      </c>
      <c r="G30" s="2172">
        <v>101.65930113841726</v>
      </c>
      <c r="H30" s="2154"/>
      <c r="I30" s="2154"/>
    </row>
    <row r="31" spans="1:256" ht="21" customHeight="1">
      <c r="A31" s="2167" t="s">
        <v>3103</v>
      </c>
      <c r="B31" s="2168">
        <v>94.872746459522986</v>
      </c>
      <c r="C31" s="2168">
        <v>94.508293218519725</v>
      </c>
      <c r="D31" s="2169"/>
      <c r="E31" s="2173">
        <v>94.545269895528847</v>
      </c>
      <c r="F31" s="2171">
        <v>94.187148677373116</v>
      </c>
      <c r="G31" s="2172"/>
      <c r="H31" s="2154"/>
      <c r="I31" s="2154"/>
    </row>
    <row r="32" spans="1:256" ht="21" customHeight="1">
      <c r="A32" s="2167" t="s">
        <v>3104</v>
      </c>
      <c r="B32" s="2168">
        <v>95.147334958799675</v>
      </c>
      <c r="C32" s="2168">
        <v>94.947994816430466</v>
      </c>
      <c r="D32" s="2169"/>
      <c r="E32" s="2173">
        <v>94.843152998506596</v>
      </c>
      <c r="F32" s="2171">
        <v>94.536291904851026</v>
      </c>
      <c r="G32" s="2172"/>
    </row>
    <row r="33" spans="1:9" ht="21" customHeight="1">
      <c r="A33" s="2167" t="s">
        <v>3105</v>
      </c>
      <c r="B33" s="2168">
        <v>94.591896908785756</v>
      </c>
      <c r="C33" s="2168">
        <v>95.017094855184908</v>
      </c>
      <c r="D33" s="2169"/>
      <c r="E33" s="2173">
        <v>94.34546088376942</v>
      </c>
      <c r="F33" s="2171">
        <v>94.550027986508084</v>
      </c>
      <c r="G33" s="2172"/>
    </row>
    <row r="34" spans="1:9" ht="21" customHeight="1">
      <c r="A34" s="2167" t="s">
        <v>3106</v>
      </c>
      <c r="B34" s="2168">
        <v>94.516315117898571</v>
      </c>
      <c r="C34" s="2168">
        <v>94.646105581368829</v>
      </c>
      <c r="D34" s="2169"/>
      <c r="E34" s="2173">
        <v>94.229001762120902</v>
      </c>
      <c r="F34" s="2171">
        <v>94.137326578736051</v>
      </c>
      <c r="G34" s="2172"/>
    </row>
    <row r="35" spans="1:9" ht="21" customHeight="1" thickBot="1">
      <c r="A35" s="2174" t="s">
        <v>3107</v>
      </c>
      <c r="B35" s="2175">
        <v>94.262693309169521</v>
      </c>
      <c r="C35" s="2175">
        <v>94.376000000000005</v>
      </c>
      <c r="D35" s="2176"/>
      <c r="E35" s="2177">
        <v>94.010954670113279</v>
      </c>
      <c r="F35" s="2178">
        <v>93.814999999999998</v>
      </c>
      <c r="G35" s="2179"/>
    </row>
    <row r="36" spans="1:9" ht="27.75" customHeight="1">
      <c r="A36" s="2180" t="s">
        <v>3563</v>
      </c>
      <c r="B36" s="2154"/>
      <c r="C36" s="2181"/>
      <c r="D36" s="2154"/>
      <c r="E36" s="2154"/>
      <c r="F36" s="2154"/>
      <c r="G36" s="2154"/>
    </row>
    <row r="37" spans="1:9" ht="48.75" customHeight="1">
      <c r="A37" s="3411" t="s">
        <v>3564</v>
      </c>
      <c r="B37" s="3411"/>
      <c r="C37" s="3411"/>
      <c r="D37" s="3411"/>
      <c r="E37" s="3411"/>
      <c r="F37" s="3411"/>
      <c r="G37" s="3411"/>
      <c r="H37" s="3411"/>
      <c r="I37" s="3411"/>
    </row>
    <row r="38" spans="1:9" ht="28.5" customHeight="1">
      <c r="A38" s="3411" t="s">
        <v>3565</v>
      </c>
      <c r="B38" s="3411"/>
      <c r="C38" s="3411"/>
      <c r="D38" s="3411"/>
      <c r="E38" s="3411"/>
      <c r="F38" s="3411"/>
      <c r="G38" s="3411"/>
      <c r="H38" s="3411"/>
      <c r="I38" s="3411"/>
    </row>
    <row r="39" spans="1:9" ht="49.5" customHeight="1">
      <c r="A39" s="3411" t="s">
        <v>3566</v>
      </c>
      <c r="B39" s="3411"/>
      <c r="C39" s="3411"/>
      <c r="D39" s="3411"/>
      <c r="E39" s="3411"/>
      <c r="F39" s="3411"/>
      <c r="G39" s="3411"/>
      <c r="H39" s="3411"/>
      <c r="I39" s="3411"/>
    </row>
    <row r="40" spans="1:9" ht="19.5" customHeight="1">
      <c r="A40" s="3411" t="s">
        <v>3567</v>
      </c>
      <c r="B40" s="3411"/>
      <c r="C40" s="3411"/>
      <c r="D40" s="3411"/>
      <c r="E40" s="3411"/>
      <c r="F40" s="3411"/>
      <c r="G40" s="3411"/>
      <c r="H40" s="3411"/>
      <c r="I40" s="3411"/>
    </row>
    <row r="41" spans="1:9" ht="16.5" customHeight="1">
      <c r="A41" s="3411" t="s">
        <v>3568</v>
      </c>
      <c r="B41" s="3411"/>
      <c r="C41" s="3411"/>
      <c r="D41" s="3411"/>
      <c r="E41" s="3411"/>
      <c r="F41" s="3411"/>
      <c r="G41" s="3411"/>
      <c r="H41" s="3411"/>
      <c r="I41" s="3411"/>
    </row>
    <row r="42" spans="1:9" ht="15">
      <c r="A42" s="2154"/>
      <c r="B42" s="2154"/>
      <c r="C42" s="2154"/>
      <c r="D42" s="2154"/>
      <c r="E42" s="2154"/>
      <c r="F42" s="2154"/>
      <c r="G42" s="2154"/>
      <c r="H42" s="2154"/>
      <c r="I42" s="2154"/>
    </row>
    <row r="43" spans="1:9" ht="15">
      <c r="A43" s="2182" t="s">
        <v>2704</v>
      </c>
      <c r="B43" s="2154"/>
      <c r="C43" s="2154"/>
      <c r="D43" s="2154"/>
      <c r="E43" s="2154"/>
      <c r="F43" s="2154"/>
      <c r="G43" s="2154"/>
      <c r="H43" s="2154"/>
      <c r="I43" s="2154"/>
    </row>
    <row r="44" spans="1:9" ht="15">
      <c r="A44" s="2154"/>
      <c r="B44" s="2154"/>
      <c r="C44" s="2154"/>
      <c r="D44" s="2154"/>
      <c r="E44" s="2154"/>
      <c r="F44" s="2154"/>
      <c r="G44" s="2154"/>
    </row>
    <row r="45" spans="1:9" ht="15">
      <c r="A45" s="2154"/>
      <c r="B45" s="2154"/>
      <c r="C45" s="2154"/>
      <c r="D45" s="2154"/>
      <c r="E45" s="2154"/>
      <c r="F45" s="2154"/>
      <c r="G45" s="2154"/>
    </row>
  </sheetData>
  <mergeCells count="11">
    <mergeCell ref="A1:J1"/>
    <mergeCell ref="B3:D3"/>
    <mergeCell ref="E3:G3"/>
    <mergeCell ref="H3:J3"/>
    <mergeCell ref="B22:D22"/>
    <mergeCell ref="E22:G22"/>
    <mergeCell ref="A37:I37"/>
    <mergeCell ref="A38:I38"/>
    <mergeCell ref="A39:I39"/>
    <mergeCell ref="A40:I40"/>
    <mergeCell ref="A41:I41"/>
  </mergeCells>
  <pageMargins left="0.70866141732283505" right="0.70866141732283505" top="0.74803149606299202" bottom="0.74803149606299202" header="0.31496062992126" footer="0.31496062992126"/>
  <pageSetup paperSize="9" scale="8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8"/>
  <sheetViews>
    <sheetView zoomScaleNormal="100" workbookViewId="0">
      <selection activeCell="V17" sqref="V17"/>
    </sheetView>
  </sheetViews>
  <sheetFormatPr defaultRowHeight="12.75"/>
  <cols>
    <col min="1" max="1" width="15.5703125" style="2184" customWidth="1"/>
    <col min="2" max="2" width="14.85546875" style="2184" hidden="1" customWidth="1"/>
    <col min="3" max="3" width="16.42578125" style="2184" hidden="1" customWidth="1"/>
    <col min="4" max="4" width="15" style="2184" hidden="1" customWidth="1"/>
    <col min="5" max="5" width="17.7109375" style="2184" hidden="1" customWidth="1"/>
    <col min="6" max="6" width="15" style="2184" customWidth="1"/>
    <col min="7" max="7" width="17.7109375" style="2184" customWidth="1"/>
    <col min="8" max="8" width="16.42578125" style="2184" customWidth="1"/>
    <col min="9" max="9" width="18" style="2184" customWidth="1"/>
    <col min="10" max="10" width="16.42578125" style="2184" customWidth="1"/>
    <col min="11" max="11" width="22" style="2184" customWidth="1"/>
    <col min="12" max="16384" width="9.140625" style="2184"/>
  </cols>
  <sheetData>
    <row r="1" spans="1:14" ht="18" customHeight="1">
      <c r="A1" s="2183"/>
      <c r="B1" s="2183"/>
      <c r="C1" s="2183"/>
      <c r="D1" s="2183"/>
      <c r="E1" s="2183"/>
      <c r="F1" s="2183"/>
      <c r="G1" s="2183"/>
      <c r="H1" s="2183"/>
      <c r="I1" s="2183"/>
      <c r="J1" s="2183"/>
      <c r="K1" s="2183"/>
    </row>
    <row r="2" spans="1:14" ht="15.75">
      <c r="A2" s="2185" t="s">
        <v>3569</v>
      </c>
      <c r="B2" s="2183"/>
      <c r="C2" s="2183"/>
      <c r="D2" s="2183"/>
      <c r="E2" s="2186"/>
      <c r="F2" s="2186"/>
      <c r="G2" s="2186"/>
      <c r="H2" s="2186"/>
      <c r="I2" s="2186"/>
      <c r="J2" s="2186"/>
      <c r="K2" s="2186"/>
    </row>
    <row r="3" spans="1:14" ht="13.5" thickBot="1">
      <c r="A3" s="2186"/>
      <c r="B3" s="2186"/>
      <c r="C3" s="2186"/>
      <c r="D3" s="2186"/>
      <c r="E3" s="2186"/>
      <c r="F3" s="2186"/>
      <c r="G3" s="2186"/>
      <c r="H3" s="2186"/>
      <c r="I3" s="2186"/>
      <c r="J3" s="2186"/>
      <c r="K3" s="2186"/>
    </row>
    <row r="4" spans="1:14" s="2188" customFormat="1" ht="20.25" customHeight="1" thickTop="1" thickBot="1">
      <c r="A4" s="2187"/>
      <c r="B4" s="3426" t="s">
        <v>3570</v>
      </c>
      <c r="C4" s="3427"/>
      <c r="D4" s="3426">
        <v>2012</v>
      </c>
      <c r="E4" s="3427"/>
      <c r="F4" s="3426">
        <v>2013</v>
      </c>
      <c r="G4" s="3427"/>
      <c r="H4" s="3426">
        <v>2014</v>
      </c>
      <c r="I4" s="3427"/>
      <c r="J4" s="3426">
        <v>2015</v>
      </c>
      <c r="K4" s="3427"/>
    </row>
    <row r="5" spans="1:14" s="2188" customFormat="1">
      <c r="A5" s="2189"/>
      <c r="B5" s="3428" t="s">
        <v>3571</v>
      </c>
      <c r="C5" s="2190" t="s">
        <v>3572</v>
      </c>
      <c r="D5" s="3428" t="s">
        <v>3573</v>
      </c>
      <c r="E5" s="2190" t="s">
        <v>3574</v>
      </c>
      <c r="F5" s="3428" t="s">
        <v>3573</v>
      </c>
      <c r="G5" s="2190" t="s">
        <v>3574</v>
      </c>
      <c r="H5" s="3428" t="s">
        <v>3573</v>
      </c>
      <c r="I5" s="2190" t="s">
        <v>3574</v>
      </c>
      <c r="J5" s="3428" t="s">
        <v>3573</v>
      </c>
      <c r="K5" s="2190" t="s">
        <v>3574</v>
      </c>
    </row>
    <row r="6" spans="1:14" ht="19.5" customHeight="1" thickBot="1">
      <c r="A6" s="2191"/>
      <c r="B6" s="3429"/>
      <c r="C6" s="2192" t="s">
        <v>3575</v>
      </c>
      <c r="D6" s="3429"/>
      <c r="E6" s="2192" t="s">
        <v>3575</v>
      </c>
      <c r="F6" s="3429"/>
      <c r="G6" s="2192" t="s">
        <v>3575</v>
      </c>
      <c r="H6" s="3429"/>
      <c r="I6" s="2192" t="s">
        <v>3575</v>
      </c>
      <c r="J6" s="3429"/>
      <c r="K6" s="2192" t="s">
        <v>3575</v>
      </c>
    </row>
    <row r="7" spans="1:14" ht="15" customHeight="1" thickTop="1">
      <c r="A7" s="2193" t="s">
        <v>3096</v>
      </c>
      <c r="B7" s="2194">
        <v>101887</v>
      </c>
      <c r="C7" s="2195">
        <v>4102</v>
      </c>
      <c r="D7" s="2194">
        <v>98837</v>
      </c>
      <c r="E7" s="2195">
        <v>5478</v>
      </c>
      <c r="F7" s="2194">
        <v>92894</v>
      </c>
      <c r="G7" s="2195">
        <v>4701</v>
      </c>
      <c r="H7" s="2194">
        <v>96332</v>
      </c>
      <c r="I7" s="2195">
        <v>4190</v>
      </c>
      <c r="J7" s="2194">
        <v>103606</v>
      </c>
      <c r="K7" s="2195">
        <v>4340</v>
      </c>
      <c r="L7" s="2188"/>
    </row>
    <row r="8" spans="1:14" ht="15" customHeight="1">
      <c r="A8" s="2193" t="s">
        <v>3097</v>
      </c>
      <c r="B8" s="2194">
        <v>77390</v>
      </c>
      <c r="C8" s="2195">
        <v>3660</v>
      </c>
      <c r="D8" s="2194">
        <v>79331</v>
      </c>
      <c r="E8" s="2195">
        <v>4102</v>
      </c>
      <c r="F8" s="2194">
        <v>81185</v>
      </c>
      <c r="G8" s="2195">
        <v>3501</v>
      </c>
      <c r="H8" s="2194">
        <v>78984</v>
      </c>
      <c r="I8" s="2196">
        <v>3769</v>
      </c>
      <c r="J8" s="2194">
        <v>91128</v>
      </c>
      <c r="K8" s="2196">
        <v>3534</v>
      </c>
      <c r="L8" s="2197"/>
      <c r="N8" s="2197"/>
    </row>
    <row r="9" spans="1:14" ht="15" customHeight="1">
      <c r="A9" s="2193" t="s">
        <v>3098</v>
      </c>
      <c r="B9" s="2194">
        <v>83349</v>
      </c>
      <c r="C9" s="2195">
        <v>4187</v>
      </c>
      <c r="D9" s="2194">
        <v>83827</v>
      </c>
      <c r="E9" s="2195">
        <v>4188</v>
      </c>
      <c r="F9" s="2194">
        <v>91759</v>
      </c>
      <c r="G9" s="2195">
        <v>3862</v>
      </c>
      <c r="H9" s="2194">
        <v>87977</v>
      </c>
      <c r="I9" s="2195">
        <v>3557</v>
      </c>
      <c r="J9" s="2198">
        <v>96595</v>
      </c>
      <c r="K9" s="2199">
        <v>3988</v>
      </c>
      <c r="L9" s="2197"/>
      <c r="N9" s="2197"/>
    </row>
    <row r="10" spans="1:14" ht="15" customHeight="1">
      <c r="A10" s="2193" t="s">
        <v>3099</v>
      </c>
      <c r="B10" s="2194">
        <v>79173</v>
      </c>
      <c r="C10" s="2195">
        <v>3361</v>
      </c>
      <c r="D10" s="2194">
        <v>79137</v>
      </c>
      <c r="E10" s="2195">
        <v>3778</v>
      </c>
      <c r="F10" s="2194">
        <v>76223</v>
      </c>
      <c r="G10" s="2195">
        <v>3898</v>
      </c>
      <c r="H10" s="2194">
        <v>88404</v>
      </c>
      <c r="I10" s="2195">
        <v>3886</v>
      </c>
      <c r="J10" s="2194">
        <v>90327</v>
      </c>
      <c r="K10" s="2195">
        <v>3671</v>
      </c>
    </row>
    <row r="11" spans="1:14" ht="15" customHeight="1">
      <c r="A11" s="2193" t="s">
        <v>3100</v>
      </c>
      <c r="B11" s="2194">
        <v>68214</v>
      </c>
      <c r="C11" s="2195">
        <v>3078</v>
      </c>
      <c r="D11" s="2194">
        <v>71396</v>
      </c>
      <c r="E11" s="2195">
        <v>3045</v>
      </c>
      <c r="F11" s="2194">
        <v>74596</v>
      </c>
      <c r="G11" s="2195">
        <v>3656</v>
      </c>
      <c r="H11" s="2194">
        <v>78555</v>
      </c>
      <c r="I11" s="2195">
        <v>3798.98041706</v>
      </c>
      <c r="J11" s="2194">
        <v>87067</v>
      </c>
      <c r="K11" s="2195">
        <v>3276</v>
      </c>
    </row>
    <row r="12" spans="1:14" ht="15" customHeight="1">
      <c r="A12" s="2193" t="s">
        <v>3101</v>
      </c>
      <c r="B12" s="2194">
        <v>54591</v>
      </c>
      <c r="C12" s="2195">
        <v>2916</v>
      </c>
      <c r="D12" s="2194">
        <v>54625</v>
      </c>
      <c r="E12" s="2195">
        <v>2957</v>
      </c>
      <c r="F12" s="2194">
        <v>55007</v>
      </c>
      <c r="G12" s="2195">
        <v>2437</v>
      </c>
      <c r="H12" s="2194">
        <v>60445</v>
      </c>
      <c r="I12" s="2195">
        <v>3376</v>
      </c>
      <c r="J12" s="2194">
        <v>65459</v>
      </c>
      <c r="K12" s="2195">
        <v>2971</v>
      </c>
    </row>
    <row r="13" spans="1:14" ht="15" customHeight="1">
      <c r="A13" s="2193" t="s">
        <v>3102</v>
      </c>
      <c r="D13" s="2194">
        <v>76166</v>
      </c>
      <c r="E13" s="2195">
        <v>3070</v>
      </c>
      <c r="F13" s="2194">
        <v>77374</v>
      </c>
      <c r="G13" s="2195">
        <v>2378</v>
      </c>
      <c r="H13" s="2194">
        <v>81935</v>
      </c>
      <c r="I13" s="2199">
        <v>3237</v>
      </c>
      <c r="J13" s="2194"/>
      <c r="K13" s="2199"/>
    </row>
    <row r="14" spans="1:14" ht="15" customHeight="1">
      <c r="A14" s="2193" t="s">
        <v>3103</v>
      </c>
      <c r="D14" s="2194">
        <v>65896</v>
      </c>
      <c r="E14" s="2195">
        <v>2832</v>
      </c>
      <c r="F14" s="2194">
        <v>73454</v>
      </c>
      <c r="G14" s="2195">
        <v>2327</v>
      </c>
      <c r="H14" s="2194">
        <v>78475</v>
      </c>
      <c r="I14" s="2199">
        <v>3363</v>
      </c>
      <c r="J14" s="2194"/>
      <c r="K14" s="2199"/>
      <c r="M14" s="2200"/>
      <c r="N14" s="2197"/>
    </row>
    <row r="15" spans="1:14" ht="15" customHeight="1">
      <c r="A15" s="2193" t="s">
        <v>3104</v>
      </c>
      <c r="D15" s="2194">
        <v>66369</v>
      </c>
      <c r="E15" s="2195">
        <v>2504</v>
      </c>
      <c r="F15" s="2194">
        <v>71951</v>
      </c>
      <c r="G15" s="2195">
        <v>2345</v>
      </c>
      <c r="H15" s="2194">
        <v>74516</v>
      </c>
      <c r="I15" s="2199">
        <v>3055</v>
      </c>
      <c r="J15" s="2194"/>
      <c r="K15" s="2199"/>
      <c r="L15" s="2201"/>
      <c r="M15" s="2197"/>
    </row>
    <row r="16" spans="1:14" ht="15" customHeight="1">
      <c r="A16" s="2193" t="s">
        <v>3105</v>
      </c>
      <c r="D16" s="2194">
        <v>89994</v>
      </c>
      <c r="E16" s="2195">
        <v>3751</v>
      </c>
      <c r="F16" s="2194">
        <v>92520</v>
      </c>
      <c r="G16" s="2195">
        <v>3126</v>
      </c>
      <c r="H16" s="2194">
        <v>101327</v>
      </c>
      <c r="I16" s="2199">
        <v>3703</v>
      </c>
      <c r="J16" s="2194"/>
      <c r="K16" s="2199"/>
    </row>
    <row r="17" spans="1:15" ht="15" customHeight="1">
      <c r="A17" s="2193" t="s">
        <v>3106</v>
      </c>
      <c r="D17" s="2194">
        <v>84398</v>
      </c>
      <c r="E17" s="2195">
        <v>4063</v>
      </c>
      <c r="F17" s="2194">
        <v>89057</v>
      </c>
      <c r="G17" s="2195">
        <v>3885</v>
      </c>
      <c r="H17" s="2194">
        <v>91234</v>
      </c>
      <c r="I17" s="2199">
        <v>3621</v>
      </c>
      <c r="J17" s="2194"/>
      <c r="K17" s="2199"/>
    </row>
    <row r="18" spans="1:15" ht="18" customHeight="1">
      <c r="A18" s="2193" t="s">
        <v>3107</v>
      </c>
      <c r="D18" s="2194">
        <v>115465</v>
      </c>
      <c r="E18" s="2195">
        <v>4610</v>
      </c>
      <c r="F18" s="2194">
        <v>117086</v>
      </c>
      <c r="G18" s="2195">
        <v>4441</v>
      </c>
      <c r="H18" s="2194">
        <v>120784</v>
      </c>
      <c r="I18" s="2195">
        <v>4748</v>
      </c>
      <c r="J18" s="2194"/>
      <c r="K18" s="2195"/>
      <c r="L18" s="2197"/>
      <c r="M18" s="2197"/>
      <c r="N18" s="2197"/>
      <c r="O18" s="2197"/>
    </row>
    <row r="19" spans="1:15" ht="15.75" customHeight="1" thickBot="1">
      <c r="A19" s="2202" t="s">
        <v>3576</v>
      </c>
      <c r="B19" s="2203">
        <f>SUM(B7:B12)</f>
        <v>464604</v>
      </c>
      <c r="C19" s="2203">
        <f>SUM(C7:C12)</f>
        <v>21304</v>
      </c>
      <c r="D19" s="2204">
        <f>SUM(D7:D18)</f>
        <v>965441</v>
      </c>
      <c r="E19" s="2205">
        <f t="shared" ref="E19:G19" si="0">SUM(E7:E18)</f>
        <v>44378</v>
      </c>
      <c r="F19" s="2204">
        <f t="shared" si="0"/>
        <v>993106</v>
      </c>
      <c r="G19" s="2205">
        <f t="shared" si="0"/>
        <v>40557</v>
      </c>
      <c r="H19" s="2204">
        <f>SUM(H7:H18)</f>
        <v>1038968</v>
      </c>
      <c r="I19" s="2205">
        <f>SUM(I7:I18)</f>
        <v>44303.980417059996</v>
      </c>
      <c r="J19" s="2204">
        <f>SUM(J7:J18)</f>
        <v>534182</v>
      </c>
      <c r="K19" s="2205">
        <f>SUM(K7:K18)</f>
        <v>21780</v>
      </c>
      <c r="N19" s="2206"/>
      <c r="O19" s="2206"/>
    </row>
    <row r="20" spans="1:15" ht="13.5" customHeight="1" thickTop="1">
      <c r="A20" s="2186"/>
      <c r="B20" s="2186"/>
      <c r="C20" s="2186"/>
      <c r="D20" s="2207"/>
      <c r="E20" s="2207"/>
      <c r="F20" s="2186"/>
      <c r="G20" s="2186"/>
      <c r="H20" s="2186"/>
      <c r="I20" s="2186"/>
      <c r="J20" s="2186"/>
      <c r="K20" s="2186"/>
    </row>
    <row r="21" spans="1:15">
      <c r="A21" s="2208" t="s">
        <v>3577</v>
      </c>
      <c r="B21" s="2186"/>
      <c r="C21" s="2186"/>
      <c r="D21" s="2183"/>
      <c r="E21" s="2183"/>
      <c r="F21" s="2207"/>
      <c r="G21" s="2207"/>
      <c r="H21" s="2207"/>
      <c r="I21" s="2207"/>
      <c r="J21" s="2207"/>
      <c r="K21" s="2207"/>
    </row>
    <row r="22" spans="1:15">
      <c r="A22" s="2208" t="s">
        <v>3578</v>
      </c>
      <c r="B22" s="2186"/>
      <c r="C22" s="2186"/>
      <c r="D22" s="2209"/>
      <c r="E22" s="2207"/>
      <c r="F22" s="2197"/>
      <c r="G22" s="2197"/>
      <c r="H22" s="2197"/>
      <c r="I22" s="2197"/>
      <c r="J22" s="2197"/>
      <c r="K22" s="2197"/>
    </row>
    <row r="23" spans="1:15">
      <c r="A23" s="2208"/>
      <c r="B23" s="2197"/>
      <c r="C23" s="2197"/>
      <c r="D23" s="2197"/>
      <c r="E23" s="2197"/>
      <c r="F23" s="2197"/>
      <c r="G23" s="2197"/>
      <c r="H23" s="2197"/>
      <c r="I23" s="2197"/>
      <c r="J23" s="2197"/>
      <c r="K23" s="2197"/>
    </row>
    <row r="24" spans="1:15">
      <c r="B24" s="2197"/>
      <c r="C24" s="2197"/>
      <c r="D24" s="2197"/>
      <c r="E24" s="2197"/>
      <c r="F24" s="2197"/>
      <c r="G24" s="2197"/>
      <c r="H24" s="2200"/>
      <c r="I24" s="2200"/>
      <c r="J24" s="2200"/>
      <c r="K24" s="2200"/>
    </row>
    <row r="25" spans="1:15">
      <c r="B25" s="2197"/>
      <c r="C25" s="2197"/>
      <c r="D25" s="2197"/>
      <c r="E25" s="2197"/>
      <c r="F25" s="2197"/>
      <c r="G25" s="2197"/>
      <c r="H25" s="2197"/>
      <c r="I25" s="2197"/>
      <c r="J25" s="2197"/>
      <c r="K25" s="2197"/>
    </row>
    <row r="26" spans="1:15">
      <c r="F26" s="3425"/>
      <c r="G26" s="3425"/>
      <c r="H26" s="3425"/>
      <c r="I26" s="3425"/>
      <c r="J26" s="2197"/>
      <c r="K26" s="2197"/>
    </row>
    <row r="27" spans="1:15">
      <c r="F27" s="2210"/>
      <c r="G27" s="2210"/>
      <c r="H27" s="2210"/>
      <c r="I27" s="2210"/>
      <c r="J27" s="2197"/>
    </row>
    <row r="28" spans="1:15">
      <c r="D28" s="2197"/>
      <c r="E28" s="2197"/>
      <c r="F28" s="2197"/>
      <c r="G28" s="2197"/>
      <c r="H28" s="2197"/>
      <c r="I28" s="2197"/>
      <c r="J28" s="2197"/>
      <c r="K28" s="2197"/>
    </row>
  </sheetData>
  <mergeCells count="12">
    <mergeCell ref="J4:K4"/>
    <mergeCell ref="B5:B6"/>
    <mergeCell ref="D5:D6"/>
    <mergeCell ref="F5:F6"/>
    <mergeCell ref="H5:H6"/>
    <mergeCell ref="J5:J6"/>
    <mergeCell ref="F26:G26"/>
    <mergeCell ref="H26:I26"/>
    <mergeCell ref="B4:C4"/>
    <mergeCell ref="D4:E4"/>
    <mergeCell ref="F4:G4"/>
    <mergeCell ref="H4:I4"/>
  </mergeCells>
  <printOptions horizontalCentered="1"/>
  <pageMargins left="0.75" right="0" top="1.143700787" bottom="0.39370078740157499" header="0" footer="0"/>
  <pageSetup paperSize="9" scale="72"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5"/>
  <sheetViews>
    <sheetView zoomScaleNormal="100" workbookViewId="0">
      <selection activeCell="W16" sqref="W16"/>
    </sheetView>
  </sheetViews>
  <sheetFormatPr defaultRowHeight="11.25"/>
  <cols>
    <col min="1" max="1" width="11.28515625" style="2213" customWidth="1"/>
    <col min="2" max="2" width="35" style="2213" customWidth="1"/>
    <col min="3" max="4" width="8.7109375" style="2214" hidden="1" customWidth="1"/>
    <col min="5" max="6" width="10.140625" style="2213" hidden="1" customWidth="1"/>
    <col min="7" max="12" width="10.140625" style="2213" customWidth="1"/>
    <col min="13" max="13" width="7.5703125" style="2213" customWidth="1"/>
    <col min="14" max="16384" width="9.140625" style="2213"/>
  </cols>
  <sheetData>
    <row r="1" spans="1:12" s="2212" customFormat="1" ht="16.5">
      <c r="A1" s="2211" t="s">
        <v>3579</v>
      </c>
      <c r="B1" s="2211"/>
      <c r="C1" s="2211"/>
      <c r="D1" s="2211"/>
      <c r="H1" s="2213"/>
    </row>
    <row r="2" spans="1:12" s="2212" customFormat="1" ht="16.5">
      <c r="A2" s="2211" t="s">
        <v>3580</v>
      </c>
      <c r="B2" s="2211"/>
      <c r="C2" s="2211"/>
      <c r="D2" s="2211"/>
    </row>
    <row r="3" spans="1:12" ht="12">
      <c r="D3" s="2215"/>
      <c r="E3" s="2215"/>
      <c r="I3" s="2216"/>
      <c r="J3" s="2216"/>
      <c r="K3" s="2216"/>
      <c r="L3" s="2216" t="s">
        <v>49</v>
      </c>
    </row>
    <row r="4" spans="1:12" s="2217" customFormat="1" ht="12" customHeight="1">
      <c r="A4" s="3444" t="s">
        <v>3581</v>
      </c>
      <c r="B4" s="3446" t="s">
        <v>3582</v>
      </c>
      <c r="C4" s="3442" t="s">
        <v>3583</v>
      </c>
      <c r="D4" s="3442" t="s">
        <v>3584</v>
      </c>
      <c r="E4" s="3442" t="s">
        <v>3585</v>
      </c>
      <c r="F4" s="3442" t="s">
        <v>3586</v>
      </c>
      <c r="G4" s="3442" t="s">
        <v>3587</v>
      </c>
      <c r="H4" s="3442" t="s">
        <v>3588</v>
      </c>
      <c r="I4" s="3442" t="s">
        <v>3589</v>
      </c>
      <c r="J4" s="3442" t="s">
        <v>3590</v>
      </c>
      <c r="K4" s="3442" t="s">
        <v>3591</v>
      </c>
      <c r="L4" s="3442" t="s">
        <v>3592</v>
      </c>
    </row>
    <row r="5" spans="1:12" s="2218" customFormat="1" ht="15.75" customHeight="1">
      <c r="A5" s="3445"/>
      <c r="B5" s="3447"/>
      <c r="C5" s="3443"/>
      <c r="D5" s="3443"/>
      <c r="E5" s="3443"/>
      <c r="F5" s="3443"/>
      <c r="G5" s="3443"/>
      <c r="H5" s="3443"/>
      <c r="I5" s="3443"/>
      <c r="J5" s="3443"/>
      <c r="K5" s="3443"/>
      <c r="L5" s="3443"/>
    </row>
    <row r="6" spans="1:12" s="2218" customFormat="1" ht="12.75">
      <c r="A6" s="2219" t="s">
        <v>3593</v>
      </c>
      <c r="B6" s="2220" t="s">
        <v>3594</v>
      </c>
      <c r="C6" s="2221">
        <v>25.5</v>
      </c>
      <c r="D6" s="2221">
        <v>18.399999999999999</v>
      </c>
      <c r="E6" s="2221">
        <v>447.4</v>
      </c>
      <c r="F6" s="2222" t="s">
        <v>3595</v>
      </c>
      <c r="G6" s="2222" t="s">
        <v>3595</v>
      </c>
      <c r="H6" s="2222">
        <v>215</v>
      </c>
      <c r="I6" s="2222">
        <v>127</v>
      </c>
      <c r="J6" s="2222">
        <v>723</v>
      </c>
      <c r="K6" s="2222">
        <v>18.899999999999999</v>
      </c>
      <c r="L6" s="2222">
        <v>3</v>
      </c>
    </row>
    <row r="7" spans="1:12" s="2218" customFormat="1" ht="12.75">
      <c r="A7" s="2219" t="s">
        <v>3596</v>
      </c>
      <c r="B7" s="2220" t="s">
        <v>2390</v>
      </c>
      <c r="C7" s="2221">
        <v>180.9</v>
      </c>
      <c r="D7" s="2221">
        <v>270.7</v>
      </c>
      <c r="E7" s="2221">
        <v>148.6</v>
      </c>
      <c r="F7" s="2221">
        <v>485.4</v>
      </c>
      <c r="G7" s="2221">
        <v>63.3</v>
      </c>
      <c r="H7" s="2222">
        <v>669</v>
      </c>
      <c r="I7" s="2222">
        <v>1597</v>
      </c>
      <c r="J7" s="2222">
        <v>1020</v>
      </c>
      <c r="K7" s="2222">
        <f>25.8+50.5</f>
        <v>76.3</v>
      </c>
      <c r="L7" s="2222">
        <v>20</v>
      </c>
    </row>
    <row r="8" spans="1:12" s="2218" customFormat="1" ht="25.5">
      <c r="A8" s="2219" t="s">
        <v>3597</v>
      </c>
      <c r="B8" s="2220" t="s">
        <v>3598</v>
      </c>
      <c r="C8" s="2221">
        <v>17.2</v>
      </c>
      <c r="D8" s="2222" t="s">
        <v>3595</v>
      </c>
      <c r="E8" s="2222" t="s">
        <v>3595</v>
      </c>
      <c r="F8" s="2222" t="s">
        <v>3595</v>
      </c>
      <c r="G8" s="2222">
        <v>2</v>
      </c>
      <c r="H8" s="2222">
        <v>18</v>
      </c>
      <c r="I8" s="2222">
        <v>8</v>
      </c>
      <c r="J8" s="2222">
        <v>831</v>
      </c>
      <c r="K8" s="2222">
        <v>36</v>
      </c>
      <c r="L8" s="2222" t="s">
        <v>60</v>
      </c>
    </row>
    <row r="9" spans="1:12" s="2218" customFormat="1" ht="12.75">
      <c r="A9" s="2219" t="s">
        <v>3599</v>
      </c>
      <c r="B9" s="2220" t="s">
        <v>2418</v>
      </c>
      <c r="C9" s="2221">
        <v>11.5</v>
      </c>
      <c r="D9" s="2221">
        <v>44.9</v>
      </c>
      <c r="E9" s="2221">
        <v>67.8</v>
      </c>
      <c r="F9" s="2221">
        <v>211.2</v>
      </c>
      <c r="G9" s="2221">
        <v>1292.3</v>
      </c>
      <c r="H9" s="2222">
        <v>2117</v>
      </c>
      <c r="I9" s="2222">
        <v>2305</v>
      </c>
      <c r="J9" s="2222">
        <v>865</v>
      </c>
      <c r="K9" s="2222">
        <f>93+166.5+116.2</f>
        <v>375.7</v>
      </c>
      <c r="L9" s="2222">
        <v>112</v>
      </c>
    </row>
    <row r="10" spans="1:12" s="2218" customFormat="1" ht="25.5">
      <c r="A10" s="2219" t="s">
        <v>3600</v>
      </c>
      <c r="B10" s="2220" t="s">
        <v>3601</v>
      </c>
      <c r="C10" s="2221">
        <v>198</v>
      </c>
      <c r="D10" s="2221">
        <v>38.299999999999997</v>
      </c>
      <c r="E10" s="2221">
        <v>103.3</v>
      </c>
      <c r="F10" s="2221">
        <v>290.89999999999998</v>
      </c>
      <c r="G10" s="2221">
        <v>125</v>
      </c>
      <c r="H10" s="2221">
        <v>600</v>
      </c>
      <c r="I10" s="2221">
        <v>746</v>
      </c>
      <c r="J10" s="2221">
        <v>1237</v>
      </c>
      <c r="K10" s="2221">
        <f>15+24.8+7.574</f>
        <v>47.373999999999995</v>
      </c>
      <c r="L10" s="2221">
        <v>29</v>
      </c>
    </row>
    <row r="11" spans="1:12" s="2218" customFormat="1" ht="12.75">
      <c r="A11" s="2219" t="s">
        <v>3602</v>
      </c>
      <c r="B11" s="2220" t="s">
        <v>3603</v>
      </c>
      <c r="C11" s="2221">
        <v>13.1</v>
      </c>
      <c r="D11" s="2222" t="s">
        <v>3595</v>
      </c>
      <c r="E11" s="2221">
        <v>14.2</v>
      </c>
      <c r="F11" s="2221">
        <v>9.5</v>
      </c>
      <c r="G11" s="2222">
        <v>110</v>
      </c>
      <c r="H11" s="2222">
        <v>204</v>
      </c>
      <c r="I11" s="2222">
        <v>43</v>
      </c>
      <c r="J11" s="2222">
        <v>76</v>
      </c>
      <c r="K11" s="2222" t="s">
        <v>60</v>
      </c>
      <c r="L11" s="2222">
        <v>4</v>
      </c>
    </row>
    <row r="12" spans="1:12" s="2218" customFormat="1" ht="25.5">
      <c r="A12" s="2219" t="s">
        <v>3604</v>
      </c>
      <c r="B12" s="2220" t="s">
        <v>3605</v>
      </c>
      <c r="C12" s="2221">
        <v>1381.9</v>
      </c>
      <c r="D12" s="2221">
        <v>3188.6</v>
      </c>
      <c r="E12" s="2221">
        <v>1347.8</v>
      </c>
      <c r="F12" s="2221">
        <v>1849.7</v>
      </c>
      <c r="G12" s="2221">
        <v>836.3</v>
      </c>
      <c r="H12" s="2221">
        <v>999</v>
      </c>
      <c r="I12" s="2221">
        <v>1839</v>
      </c>
      <c r="J12" s="2221">
        <v>756</v>
      </c>
      <c r="K12" s="2221">
        <f>117+2115.3+1029.635+1631.5</f>
        <v>4893.4350000000004</v>
      </c>
      <c r="L12" s="2221">
        <v>249</v>
      </c>
    </row>
    <row r="13" spans="1:12" s="2218" customFormat="1" ht="13.5" customHeight="1">
      <c r="A13" s="2219" t="s">
        <v>3606</v>
      </c>
      <c r="B13" s="2220" t="s">
        <v>3607</v>
      </c>
      <c r="C13" s="2221">
        <v>42.7</v>
      </c>
      <c r="D13" s="2221">
        <v>18.2</v>
      </c>
      <c r="E13" s="2221">
        <v>7.8</v>
      </c>
      <c r="F13" s="2222" t="s">
        <v>3595</v>
      </c>
      <c r="G13" s="2222">
        <v>235.47</v>
      </c>
      <c r="H13" s="2222">
        <v>462</v>
      </c>
      <c r="I13" s="2222">
        <v>373</v>
      </c>
      <c r="J13" s="2222">
        <v>274</v>
      </c>
      <c r="K13" s="2222">
        <f>109+29.6+2.690464</f>
        <v>141.29046399999999</v>
      </c>
      <c r="L13" s="2222" t="s">
        <v>60</v>
      </c>
    </row>
    <row r="14" spans="1:12" s="2218" customFormat="1" ht="12.75">
      <c r="A14" s="2219" t="s">
        <v>3608</v>
      </c>
      <c r="B14" s="2220" t="s">
        <v>3609</v>
      </c>
      <c r="C14" s="2221">
        <v>3592.9</v>
      </c>
      <c r="D14" s="2221">
        <v>4055.6</v>
      </c>
      <c r="E14" s="2221">
        <v>4563.8999999999996</v>
      </c>
      <c r="F14" s="2221">
        <v>1371.4</v>
      </c>
      <c r="G14" s="2221">
        <f>2160.2+157.809+91.28+1131.944+1104.059</f>
        <v>4645.2920000000004</v>
      </c>
      <c r="H14" s="2221">
        <v>1972</v>
      </c>
      <c r="I14" s="2222">
        <v>5512</v>
      </c>
      <c r="J14" s="2222">
        <v>1386</v>
      </c>
      <c r="K14" s="2222">
        <f>1393.6+25.5+395.9</f>
        <v>1815</v>
      </c>
      <c r="L14" s="2222">
        <v>43</v>
      </c>
    </row>
    <row r="15" spans="1:12" s="2218" customFormat="1" ht="12.75">
      <c r="A15" s="2219" t="s">
        <v>3610</v>
      </c>
      <c r="B15" s="2220" t="s">
        <v>3611</v>
      </c>
      <c r="C15" s="2221">
        <v>1701.1</v>
      </c>
      <c r="D15" s="2221">
        <v>3820</v>
      </c>
      <c r="E15" s="2221">
        <v>4524.5</v>
      </c>
      <c r="F15" s="2221">
        <v>4304.9799999999996</v>
      </c>
      <c r="G15" s="2221">
        <v>3422.2</v>
      </c>
      <c r="H15" s="2221">
        <v>5236</v>
      </c>
      <c r="I15" s="2221">
        <v>7553</v>
      </c>
      <c r="J15" s="2221">
        <v>6124</v>
      </c>
      <c r="K15" s="2221">
        <f>1511+1676+1133.255+1857.4</f>
        <v>6177.6550000000007</v>
      </c>
      <c r="L15" s="2221">
        <v>1956</v>
      </c>
    </row>
    <row r="16" spans="1:12" s="2227" customFormat="1" ht="21.75" customHeight="1">
      <c r="A16" s="2219"/>
      <c r="B16" s="2223" t="s">
        <v>3612</v>
      </c>
      <c r="C16" s="2224">
        <v>1227.8</v>
      </c>
      <c r="D16" s="2224">
        <v>2790.5</v>
      </c>
      <c r="E16" s="2224">
        <v>2636.8</v>
      </c>
      <c r="F16" s="2225">
        <v>2073.69</v>
      </c>
      <c r="G16" s="2225">
        <v>2033</v>
      </c>
      <c r="H16" s="2225">
        <v>3352</v>
      </c>
      <c r="I16" s="2225">
        <v>4228.3999999999996</v>
      </c>
      <c r="J16" s="2225">
        <v>4598</v>
      </c>
      <c r="K16" s="2226">
        <f>1146+983.6+706.663+1202.2</f>
        <v>4038.4629999999997</v>
      </c>
      <c r="L16" s="2226">
        <v>1633</v>
      </c>
    </row>
    <row r="17" spans="1:22" s="2227" customFormat="1" ht="27.75" customHeight="1">
      <c r="A17" s="2219" t="s">
        <v>3613</v>
      </c>
      <c r="B17" s="2220" t="s">
        <v>3614</v>
      </c>
      <c r="C17" s="2222" t="s">
        <v>3595</v>
      </c>
      <c r="D17" s="2222" t="s">
        <v>3595</v>
      </c>
      <c r="E17" s="2222" t="s">
        <v>3595</v>
      </c>
      <c r="F17" s="2222" t="s">
        <v>3595</v>
      </c>
      <c r="G17" s="2221">
        <v>404.2</v>
      </c>
      <c r="H17" s="2221">
        <v>266</v>
      </c>
      <c r="I17" s="2221">
        <v>52</v>
      </c>
      <c r="J17" s="2221">
        <v>33</v>
      </c>
      <c r="K17" s="2221">
        <f>1+1.476353</f>
        <v>2.476353</v>
      </c>
      <c r="L17" s="2222" t="s">
        <v>60</v>
      </c>
    </row>
    <row r="18" spans="1:22" s="2227" customFormat="1" ht="21.75" customHeight="1">
      <c r="A18" s="2219" t="s">
        <v>3615</v>
      </c>
      <c r="B18" s="2220" t="s">
        <v>3616</v>
      </c>
      <c r="C18" s="2222"/>
      <c r="D18" s="2222" t="s">
        <v>3595</v>
      </c>
      <c r="E18" s="2222" t="s">
        <v>3595</v>
      </c>
      <c r="F18" s="2222" t="s">
        <v>3595</v>
      </c>
      <c r="G18" s="2222" t="s">
        <v>3595</v>
      </c>
      <c r="H18" s="2222">
        <v>38</v>
      </c>
      <c r="I18" s="2222">
        <v>8</v>
      </c>
      <c r="J18" s="2221">
        <v>217</v>
      </c>
      <c r="K18" s="2221">
        <f>1+0.6</f>
        <v>1.6</v>
      </c>
      <c r="L18" s="2222" t="s">
        <v>60</v>
      </c>
    </row>
    <row r="19" spans="1:22" s="2227" customFormat="1" ht="21.75" customHeight="1">
      <c r="A19" s="2219" t="s">
        <v>3617</v>
      </c>
      <c r="B19" s="2220" t="s">
        <v>2471</v>
      </c>
      <c r="C19" s="2221">
        <v>54.6</v>
      </c>
      <c r="D19" s="2221">
        <v>30.033999999999999</v>
      </c>
      <c r="E19" s="2221">
        <v>74.054000000000002</v>
      </c>
      <c r="F19" s="2221">
        <v>125</v>
      </c>
      <c r="G19" s="2222">
        <v>18</v>
      </c>
      <c r="H19" s="2222">
        <v>4</v>
      </c>
      <c r="I19" s="2222" t="s">
        <v>3595</v>
      </c>
      <c r="J19" s="2222">
        <v>32</v>
      </c>
      <c r="K19" s="2222">
        <f>16+16.8</f>
        <v>32.799999999999997</v>
      </c>
      <c r="L19" s="2222" t="s">
        <v>60</v>
      </c>
      <c r="V19" s="2228"/>
    </row>
    <row r="20" spans="1:22" s="2227" customFormat="1" ht="21.75" customHeight="1">
      <c r="A20" s="2219" t="s">
        <v>3618</v>
      </c>
      <c r="B20" s="2220" t="s">
        <v>3619</v>
      </c>
      <c r="C20" s="2221">
        <v>2.2000000000000002</v>
      </c>
      <c r="D20" s="2221">
        <v>28.952000000000002</v>
      </c>
      <c r="E20" s="2221">
        <v>119.7</v>
      </c>
      <c r="F20" s="2221">
        <v>145.1</v>
      </c>
      <c r="G20" s="2221">
        <v>2732.2</v>
      </c>
      <c r="H20" s="2222">
        <v>91</v>
      </c>
      <c r="I20" s="2222">
        <v>210</v>
      </c>
      <c r="J20" s="2222">
        <v>184</v>
      </c>
      <c r="K20" s="2222">
        <v>532.20000000000005</v>
      </c>
      <c r="L20" s="2222">
        <v>4</v>
      </c>
    </row>
    <row r="21" spans="1:22" s="2227" customFormat="1" ht="21.75" customHeight="1">
      <c r="A21" s="2219" t="s">
        <v>3620</v>
      </c>
      <c r="B21" s="2220" t="s">
        <v>3621</v>
      </c>
      <c r="C21" s="2222" t="s">
        <v>3595</v>
      </c>
      <c r="D21" s="2222" t="s">
        <v>3595</v>
      </c>
      <c r="E21" s="2222" t="s">
        <v>3595</v>
      </c>
      <c r="F21" s="2222" t="s">
        <v>3595</v>
      </c>
      <c r="G21" s="2221">
        <v>61.8</v>
      </c>
      <c r="H21" s="2221">
        <v>3</v>
      </c>
      <c r="I21" s="2222" t="s">
        <v>3595</v>
      </c>
      <c r="J21" s="2222">
        <v>8</v>
      </c>
      <c r="K21" s="2222" t="s">
        <v>60</v>
      </c>
      <c r="L21" s="2222" t="s">
        <v>60</v>
      </c>
    </row>
    <row r="22" spans="1:22" s="2227" customFormat="1" ht="17.25" customHeight="1">
      <c r="A22" s="3438" t="s">
        <v>81</v>
      </c>
      <c r="B22" s="3439"/>
      <c r="C22" s="2229">
        <f>SUM(C6:C20)-C16</f>
        <v>7221.6000000000013</v>
      </c>
      <c r="D22" s="2229">
        <f>SUM(D6:D20)-D16</f>
        <v>11513.685999999998</v>
      </c>
      <c r="E22" s="2229">
        <f>SUM(E6:E20)-E16</f>
        <v>11419.054</v>
      </c>
      <c r="F22" s="2229">
        <f>SUM(F6:F20)-F16</f>
        <v>8793.18</v>
      </c>
      <c r="G22" s="2229">
        <f t="shared" ref="G22:L22" si="0">SUM(G6:G21)-G16</f>
        <v>13948.062000000002</v>
      </c>
      <c r="H22" s="2229">
        <f t="shared" si="0"/>
        <v>12894</v>
      </c>
      <c r="I22" s="2229">
        <f t="shared" si="0"/>
        <v>20373</v>
      </c>
      <c r="J22" s="2229">
        <f>SUM(J6:J21)-J16</f>
        <v>13766</v>
      </c>
      <c r="K22" s="2229">
        <f t="shared" si="0"/>
        <v>14150.730817</v>
      </c>
      <c r="L22" s="2229">
        <f t="shared" si="0"/>
        <v>2420</v>
      </c>
    </row>
    <row r="23" spans="1:22" s="2231" customFormat="1" ht="19.5" customHeight="1">
      <c r="A23" s="2230" t="s">
        <v>3622</v>
      </c>
      <c r="B23" s="2230"/>
      <c r="C23" s="2230"/>
      <c r="D23" s="2230"/>
      <c r="E23" s="2230"/>
      <c r="F23" s="2230"/>
      <c r="G23" s="2230"/>
      <c r="H23" s="2230"/>
      <c r="I23" s="2230"/>
      <c r="J23" s="2230"/>
      <c r="K23" s="2230"/>
      <c r="L23" s="2230"/>
    </row>
    <row r="24" spans="1:22" s="2231" customFormat="1" ht="15.75" customHeight="1">
      <c r="A24" s="2232" t="s">
        <v>3623</v>
      </c>
      <c r="B24" s="2233"/>
      <c r="C24" s="2233"/>
      <c r="D24" s="2233"/>
      <c r="E24" s="2233"/>
      <c r="F24" s="2233"/>
      <c r="G24" s="2233"/>
      <c r="H24" s="2233"/>
      <c r="I24" s="2233"/>
      <c r="J24" s="2233"/>
      <c r="K24" s="2233"/>
      <c r="L24" s="2233"/>
    </row>
    <row r="25" spans="1:22" s="2235" customFormat="1" ht="12.75">
      <c r="A25" s="2234"/>
      <c r="C25" s="2236"/>
      <c r="D25" s="2236"/>
    </row>
    <row r="26" spans="1:22" s="2212" customFormat="1" ht="16.5">
      <c r="A26" s="2211" t="s">
        <v>3624</v>
      </c>
      <c r="C26" s="2237"/>
      <c r="D26" s="2237"/>
    </row>
    <row r="27" spans="1:22" s="2212" customFormat="1" ht="16.5">
      <c r="A27" s="2211" t="s">
        <v>3625</v>
      </c>
      <c r="C27" s="2237"/>
      <c r="D27" s="2237"/>
    </row>
    <row r="28" spans="1:22" ht="12">
      <c r="B28" s="2238"/>
      <c r="C28" s="2239"/>
      <c r="D28" s="2239"/>
      <c r="E28" s="2239"/>
      <c r="F28" s="2239"/>
      <c r="G28" s="2239"/>
      <c r="H28" s="2239"/>
      <c r="I28" s="2216"/>
      <c r="J28" s="2216"/>
      <c r="K28" s="2216"/>
      <c r="L28" s="2216" t="s">
        <v>49</v>
      </c>
    </row>
    <row r="29" spans="1:22" s="2231" customFormat="1" ht="28.5" customHeight="1">
      <c r="A29" s="3440" t="s">
        <v>3626</v>
      </c>
      <c r="B29" s="3441"/>
      <c r="C29" s="2240" t="s">
        <v>3583</v>
      </c>
      <c r="D29" s="2241" t="s">
        <v>3584</v>
      </c>
      <c r="E29" s="2242" t="s">
        <v>3627</v>
      </c>
      <c r="F29" s="2242" t="s">
        <v>3586</v>
      </c>
      <c r="G29" s="2242" t="s">
        <v>3628</v>
      </c>
      <c r="H29" s="2242" t="s">
        <v>3629</v>
      </c>
      <c r="I29" s="2242" t="s">
        <v>3589</v>
      </c>
      <c r="J29" s="2242" t="s">
        <v>3590</v>
      </c>
      <c r="K29" s="2242" t="s">
        <v>3591</v>
      </c>
      <c r="L29" s="2242" t="s">
        <v>3592</v>
      </c>
    </row>
    <row r="30" spans="1:22" s="2246" customFormat="1" ht="14.1" customHeight="1">
      <c r="A30" s="2243" t="s">
        <v>3630</v>
      </c>
      <c r="B30" s="2244"/>
      <c r="C30" s="2245">
        <f>C31+C43+C62</f>
        <v>7222.4856000000009</v>
      </c>
      <c r="D30" s="2245">
        <f>D31+D43+D62</f>
        <v>11513.725</v>
      </c>
      <c r="E30" s="2245">
        <f>E31+E43+E62</f>
        <v>11419.01</v>
      </c>
      <c r="F30" s="2245">
        <f>F31+F43+F62</f>
        <v>8792.7000000000007</v>
      </c>
      <c r="G30" s="2245">
        <f>G31+G43+G62-1</f>
        <v>13947.599999999999</v>
      </c>
      <c r="H30" s="2245">
        <f>H31+H43+H62</f>
        <v>12893.527</v>
      </c>
      <c r="I30" s="2245">
        <f>I31+I43+I62</f>
        <v>20373.491000000002</v>
      </c>
      <c r="J30" s="2245">
        <f>J31+J43+J62</f>
        <v>13766</v>
      </c>
      <c r="K30" s="2245">
        <f>K31+K43</f>
        <v>14150.680000000002</v>
      </c>
      <c r="L30" s="2245">
        <f>L31+L43</f>
        <v>2420</v>
      </c>
    </row>
    <row r="31" spans="1:22" s="2231" customFormat="1" ht="14.1" customHeight="1">
      <c r="A31" s="2247" t="s">
        <v>3631</v>
      </c>
      <c r="B31" s="2248"/>
      <c r="C31" s="2245">
        <f>C32+C41</f>
        <v>5504.7936000000009</v>
      </c>
      <c r="D31" s="2245">
        <f>D32+D41</f>
        <v>8315.7540000000008</v>
      </c>
      <c r="E31" s="2245">
        <f>E32+E41</f>
        <v>5739.54</v>
      </c>
      <c r="F31" s="2245">
        <f>F32+F41</f>
        <v>6187.2000000000007</v>
      </c>
      <c r="G31" s="2245">
        <f>G32+G41+1</f>
        <v>7952.28</v>
      </c>
      <c r="H31" s="2245">
        <v>7758.951</v>
      </c>
      <c r="I31" s="2245">
        <v>10574.093000000001</v>
      </c>
      <c r="J31" s="2245">
        <f>J32+J41</f>
        <v>7505</v>
      </c>
      <c r="K31" s="2245">
        <f>K32+K41</f>
        <v>10250.720000000001</v>
      </c>
      <c r="L31" s="2245">
        <f>L32+L41</f>
        <v>1568</v>
      </c>
    </row>
    <row r="32" spans="1:22" s="2231" customFormat="1" ht="14.1" customHeight="1">
      <c r="A32" s="3432" t="s">
        <v>3632</v>
      </c>
      <c r="B32" s="3433"/>
      <c r="C32" s="2249">
        <f t="shared" ref="C32:G32" si="1">C33+C39+C40</f>
        <v>5338.2786000000006</v>
      </c>
      <c r="D32" s="2249">
        <f t="shared" si="1"/>
        <v>5936.2070000000012</v>
      </c>
      <c r="E32" s="2249">
        <f t="shared" si="1"/>
        <v>4676.33</v>
      </c>
      <c r="F32" s="2249">
        <f t="shared" si="1"/>
        <v>5500.1</v>
      </c>
      <c r="G32" s="2249">
        <f t="shared" si="1"/>
        <v>7819.28</v>
      </c>
      <c r="H32" s="2249">
        <v>7501.7950000000001</v>
      </c>
      <c r="I32" s="2249">
        <v>9786.9260000000013</v>
      </c>
      <c r="J32" s="2249">
        <f>J33+J39+J40</f>
        <v>7282</v>
      </c>
      <c r="K32" s="2249">
        <f t="shared" ref="K32" si="2">K33+K39+K40+4</f>
        <v>8168.7000000000007</v>
      </c>
      <c r="L32" s="2249">
        <f>L33+L39+L40</f>
        <v>1531</v>
      </c>
    </row>
    <row r="33" spans="1:12" s="2231" customFormat="1" ht="14.1" customHeight="1">
      <c r="A33" s="3432" t="s">
        <v>3633</v>
      </c>
      <c r="B33" s="3433"/>
      <c r="C33" s="2249">
        <v>4680.8676000000005</v>
      </c>
      <c r="D33" s="2249">
        <v>4596.8270000000011</v>
      </c>
      <c r="E33" s="2249">
        <v>3747.21</v>
      </c>
      <c r="F33" s="2249">
        <v>4886.7</v>
      </c>
      <c r="G33" s="2249">
        <v>7169.5300000000007</v>
      </c>
      <c r="H33" s="2249">
        <v>6968.299</v>
      </c>
      <c r="I33" s="2249">
        <v>9424.8260000000009</v>
      </c>
      <c r="J33" s="2249">
        <v>6337</v>
      </c>
      <c r="K33" s="2249">
        <f>112+K34+K35+K36+K37+K38+1965+15+1+1+4+5+1+2+52.68</f>
        <v>7488.7900000000009</v>
      </c>
      <c r="L33" s="2249">
        <f>4+2+2+1+192+SUM(L34:L38)</f>
        <v>1436</v>
      </c>
    </row>
    <row r="34" spans="1:12" s="2231" customFormat="1" ht="14.1" customHeight="1">
      <c r="A34" s="2250" t="s">
        <v>3634</v>
      </c>
      <c r="B34" s="2248"/>
      <c r="C34" s="2249">
        <v>47.320000000000007</v>
      </c>
      <c r="D34" s="2249">
        <v>377.83799999999997</v>
      </c>
      <c r="E34" s="2249">
        <v>75.650000000000006</v>
      </c>
      <c r="F34" s="2249">
        <v>38.099999999999994</v>
      </c>
      <c r="G34" s="2249">
        <v>91.699999999999989</v>
      </c>
      <c r="H34" s="2249">
        <v>92.62</v>
      </c>
      <c r="I34" s="2249">
        <v>595</v>
      </c>
      <c r="J34" s="2249">
        <v>204</v>
      </c>
      <c r="K34" s="2249">
        <f>12+29+16+15.11</f>
        <v>72.11</v>
      </c>
      <c r="L34" s="2249">
        <v>18</v>
      </c>
    </row>
    <row r="35" spans="1:12" s="2231" customFormat="1" ht="14.1" customHeight="1">
      <c r="A35" s="3432" t="s">
        <v>3635</v>
      </c>
      <c r="B35" s="3433"/>
      <c r="C35" s="2249">
        <v>34.097999999999999</v>
      </c>
      <c r="D35" s="2249">
        <v>69.441999999999993</v>
      </c>
      <c r="E35" s="2221">
        <v>208.98</v>
      </c>
      <c r="F35" s="2221">
        <v>64.7</v>
      </c>
      <c r="G35" s="2221">
        <v>256.01</v>
      </c>
      <c r="H35" s="2221">
        <v>184.512</v>
      </c>
      <c r="I35" s="2221">
        <v>366.2</v>
      </c>
      <c r="J35" s="2221">
        <v>322</v>
      </c>
      <c r="K35" s="2221">
        <f>2+384+32+345.98</f>
        <v>763.98</v>
      </c>
      <c r="L35" s="2221">
        <v>4</v>
      </c>
    </row>
    <row r="36" spans="1:12" s="2231" customFormat="1" ht="14.1" customHeight="1">
      <c r="A36" s="3432" t="s">
        <v>3636</v>
      </c>
      <c r="B36" s="3433"/>
      <c r="C36" s="2249">
        <v>522.51099999999997</v>
      </c>
      <c r="D36" s="2249">
        <v>1175.7850000000001</v>
      </c>
      <c r="E36" s="2221">
        <v>1166.77</v>
      </c>
      <c r="F36" s="2221">
        <v>2332.9</v>
      </c>
      <c r="G36" s="2221">
        <v>1598.38</v>
      </c>
      <c r="H36" s="2221">
        <v>4066.7190000000001</v>
      </c>
      <c r="I36" s="2221">
        <v>4294.5</v>
      </c>
      <c r="J36" s="2221">
        <v>3434</v>
      </c>
      <c r="K36" s="2221">
        <f>ROUND(599+1574+466+846.75,0)</f>
        <v>3486</v>
      </c>
      <c r="L36" s="2221">
        <v>767</v>
      </c>
    </row>
    <row r="37" spans="1:12" s="2231" customFormat="1" ht="14.1" customHeight="1">
      <c r="A37" s="3432" t="s">
        <v>3637</v>
      </c>
      <c r="B37" s="3433"/>
      <c r="C37" s="2249">
        <v>177.024</v>
      </c>
      <c r="D37" s="2249">
        <v>58.642000000000003</v>
      </c>
      <c r="E37" s="2221">
        <v>172.48</v>
      </c>
      <c r="F37" s="2221">
        <v>26.7</v>
      </c>
      <c r="G37" s="2221">
        <v>3</v>
      </c>
      <c r="H37" s="2221">
        <v>10.17</v>
      </c>
      <c r="I37" s="2221">
        <v>2</v>
      </c>
      <c r="J37" s="2221">
        <v>856</v>
      </c>
      <c r="K37" s="2221">
        <f>ROUND(57+22+15+21.61,0)</f>
        <v>116</v>
      </c>
      <c r="L37" s="2221">
        <v>12</v>
      </c>
    </row>
    <row r="38" spans="1:12" s="2231" customFormat="1" ht="14.1" customHeight="1">
      <c r="A38" s="3432" t="s">
        <v>3638</v>
      </c>
      <c r="B38" s="3433"/>
      <c r="C38" s="2249">
        <v>3821.4270000000001</v>
      </c>
      <c r="D38" s="2249">
        <v>2801.83</v>
      </c>
      <c r="E38" s="2221">
        <f>1740.46+260.64+43.01</f>
        <v>2044.11</v>
      </c>
      <c r="F38" s="2221">
        <f>1492.6</f>
        <v>1492.6</v>
      </c>
      <c r="G38" s="2221">
        <f>2396+1131.944+1104.059</f>
        <v>4632.0029999999997</v>
      </c>
      <c r="H38" s="2221">
        <v>2313.91</v>
      </c>
      <c r="I38" s="2221">
        <v>4075</v>
      </c>
      <c r="J38" s="2221">
        <v>642</v>
      </c>
      <c r="K38" s="2221">
        <f>74+702+67+49.02</f>
        <v>892.02</v>
      </c>
      <c r="L38" s="2221">
        <v>434</v>
      </c>
    </row>
    <row r="39" spans="1:12" s="2231" customFormat="1" ht="14.1" customHeight="1">
      <c r="A39" s="3432" t="s">
        <v>3639</v>
      </c>
      <c r="B39" s="3433"/>
      <c r="C39" s="2249">
        <v>586.03899999999999</v>
      </c>
      <c r="D39" s="2249">
        <v>1286.931</v>
      </c>
      <c r="E39" s="2221">
        <v>606.26</v>
      </c>
      <c r="F39" s="2221">
        <v>448.1</v>
      </c>
      <c r="G39" s="2221">
        <v>590.49</v>
      </c>
      <c r="H39" s="2221">
        <v>56.49</v>
      </c>
      <c r="I39" s="2221">
        <v>160.1</v>
      </c>
      <c r="J39" s="2221">
        <v>610</v>
      </c>
      <c r="K39" s="2221">
        <f>171+72+3+146+179.22</f>
        <v>571.22</v>
      </c>
      <c r="L39" s="2221">
        <v>79</v>
      </c>
    </row>
    <row r="40" spans="1:12" s="2231" customFormat="1" ht="14.1" customHeight="1">
      <c r="A40" s="3432" t="s">
        <v>3640</v>
      </c>
      <c r="B40" s="3433"/>
      <c r="C40" s="2249">
        <v>71.372000000000298</v>
      </c>
      <c r="D40" s="2249">
        <v>52.448999999999614</v>
      </c>
      <c r="E40" s="2221">
        <v>322.85999999999967</v>
      </c>
      <c r="F40" s="2221">
        <v>165.30000000000018</v>
      </c>
      <c r="G40" s="2221">
        <v>59.259999999999309</v>
      </c>
      <c r="H40" s="2221">
        <v>363.00600000000031</v>
      </c>
      <c r="I40" s="2221">
        <v>202</v>
      </c>
      <c r="J40" s="2221">
        <v>335</v>
      </c>
      <c r="K40" s="2221">
        <f>17+33+20+34.69</f>
        <v>104.69</v>
      </c>
      <c r="L40" s="2221">
        <v>16</v>
      </c>
    </row>
    <row r="41" spans="1:12" s="2231" customFormat="1" ht="14.1" customHeight="1">
      <c r="A41" s="3432" t="s">
        <v>3641</v>
      </c>
      <c r="B41" s="3433"/>
      <c r="C41" s="2249">
        <v>166.51499999999999</v>
      </c>
      <c r="D41" s="2249">
        <v>2379.547</v>
      </c>
      <c r="E41" s="2221">
        <f>E42</f>
        <v>1063.21</v>
      </c>
      <c r="F41" s="2221">
        <f>F42+10.6</f>
        <v>687.1</v>
      </c>
      <c r="G41" s="2221">
        <v>132</v>
      </c>
      <c r="H41" s="2221">
        <v>257.15600000000001</v>
      </c>
      <c r="I41" s="2221">
        <v>787.16699999999992</v>
      </c>
      <c r="J41" s="2221">
        <f>J42+4</f>
        <v>223</v>
      </c>
      <c r="K41" s="2221">
        <f>K42+2+6+61+7+370.1</f>
        <v>2082.02</v>
      </c>
      <c r="L41" s="2221">
        <f>L42</f>
        <v>37</v>
      </c>
    </row>
    <row r="42" spans="1:12" s="2231" customFormat="1" ht="14.1" customHeight="1">
      <c r="A42" s="3432" t="s">
        <v>3642</v>
      </c>
      <c r="B42" s="3433"/>
      <c r="C42" s="2249">
        <v>163.309</v>
      </c>
      <c r="D42" s="2249">
        <v>2379.547</v>
      </c>
      <c r="E42" s="2221">
        <v>1063.21</v>
      </c>
      <c r="F42" s="2221">
        <v>676.5</v>
      </c>
      <c r="G42" s="2221">
        <v>132</v>
      </c>
      <c r="H42" s="2221">
        <v>230.15600000000001</v>
      </c>
      <c r="I42" s="2221">
        <v>387.8</v>
      </c>
      <c r="J42" s="2221">
        <v>219</v>
      </c>
      <c r="K42" s="2221">
        <f>19+5+18+1593.92</f>
        <v>1635.92</v>
      </c>
      <c r="L42" s="2221">
        <v>37</v>
      </c>
    </row>
    <row r="43" spans="1:12" s="2231" customFormat="1" ht="14.1" customHeight="1">
      <c r="A43" s="2247" t="s">
        <v>3643</v>
      </c>
      <c r="B43" s="2248"/>
      <c r="C43" s="2245">
        <f>C44+C48+C51</f>
        <v>1685.3969999999999</v>
      </c>
      <c r="D43" s="2245">
        <f>D44+D48+D51</f>
        <v>3196.002</v>
      </c>
      <c r="E43" s="2245">
        <f>E44+E48+E51</f>
        <v>5679.47</v>
      </c>
      <c r="F43" s="2245">
        <f>F44+F48+F51-1</f>
        <v>2605.5</v>
      </c>
      <c r="G43" s="2245">
        <f>G44+G48+G51</f>
        <v>5996.32</v>
      </c>
      <c r="H43" s="2245">
        <v>5074.576</v>
      </c>
      <c r="I43" s="2245">
        <v>9762.398000000001</v>
      </c>
      <c r="J43" s="2245">
        <f>J44+J48+J51</f>
        <v>6198</v>
      </c>
      <c r="K43" s="2245">
        <f>K44+K48+K51</f>
        <v>3899.9600000000005</v>
      </c>
      <c r="L43" s="2245">
        <f>L44+L48+L51</f>
        <v>852</v>
      </c>
    </row>
    <row r="44" spans="1:12" s="2231" customFormat="1" ht="14.1" customHeight="1">
      <c r="A44" s="3432" t="s">
        <v>3644</v>
      </c>
      <c r="B44" s="3433"/>
      <c r="C44" s="2249">
        <f t="shared" ref="C44:G44" si="3">C45+C46+C47</f>
        <v>295.935</v>
      </c>
      <c r="D44" s="2249">
        <f t="shared" si="3"/>
        <v>1123.9349999999999</v>
      </c>
      <c r="E44" s="2249">
        <f t="shared" si="3"/>
        <v>1929.06</v>
      </c>
      <c r="F44" s="2249">
        <f t="shared" si="3"/>
        <v>1056.0999999999999</v>
      </c>
      <c r="G44" s="2249">
        <f t="shared" si="3"/>
        <v>2019.2</v>
      </c>
      <c r="H44" s="2249">
        <v>3523.1930000000002</v>
      </c>
      <c r="I44" s="2249">
        <v>5852.277</v>
      </c>
      <c r="J44" s="2221">
        <f>J45+J46+J47</f>
        <v>2454</v>
      </c>
      <c r="K44" s="2221">
        <f>K45+K46+K47</f>
        <v>1436.7800000000002</v>
      </c>
      <c r="L44" s="2221">
        <f>SUM(L45:L47)</f>
        <v>475</v>
      </c>
    </row>
    <row r="45" spans="1:12" s="2231" customFormat="1" ht="14.1" customHeight="1">
      <c r="A45" s="3432" t="s">
        <v>3645</v>
      </c>
      <c r="B45" s="3433"/>
      <c r="C45" s="2249">
        <v>126.605</v>
      </c>
      <c r="D45" s="2249">
        <v>577.41300000000001</v>
      </c>
      <c r="E45" s="2221">
        <v>48.98</v>
      </c>
      <c r="F45" s="2221">
        <v>196.3</v>
      </c>
      <c r="G45" s="2221">
        <v>135.30000000000001</v>
      </c>
      <c r="H45" s="2221">
        <v>246.16</v>
      </c>
      <c r="I45" s="2221">
        <v>145.27699999999999</v>
      </c>
      <c r="J45" s="2221">
        <v>168</v>
      </c>
      <c r="K45" s="2221">
        <f>42+20+6+13.42</f>
        <v>81.42</v>
      </c>
      <c r="L45" s="2221">
        <v>12</v>
      </c>
    </row>
    <row r="46" spans="1:12" s="2231" customFormat="1" ht="14.1" customHeight="1">
      <c r="A46" s="3432" t="s">
        <v>3646</v>
      </c>
      <c r="B46" s="3433"/>
      <c r="C46" s="2249">
        <v>38.293999999999997</v>
      </c>
      <c r="D46" s="2249">
        <v>497.54300000000001</v>
      </c>
      <c r="E46" s="2221">
        <v>1414.77</v>
      </c>
      <c r="F46" s="2221">
        <v>509.7</v>
      </c>
      <c r="G46" s="2221">
        <v>1468.47</v>
      </c>
      <c r="H46" s="2221">
        <v>3003.4850000000001</v>
      </c>
      <c r="I46" s="2221">
        <v>5344</v>
      </c>
      <c r="J46" s="2221">
        <v>1851</v>
      </c>
      <c r="K46" s="2221">
        <f>400+198+306+193.22</f>
        <v>1097.22</v>
      </c>
      <c r="L46" s="2221">
        <v>343</v>
      </c>
    </row>
    <row r="47" spans="1:12" s="2231" customFormat="1" ht="14.1" customHeight="1">
      <c r="A47" s="3432" t="s">
        <v>3647</v>
      </c>
      <c r="B47" s="3433"/>
      <c r="C47" s="2249">
        <v>131.036</v>
      </c>
      <c r="D47" s="2249">
        <v>48.978999999999928</v>
      </c>
      <c r="E47" s="2249">
        <v>465.30999999999995</v>
      </c>
      <c r="F47" s="2249">
        <v>350.09999999999997</v>
      </c>
      <c r="G47" s="2249">
        <v>415.43000000000006</v>
      </c>
      <c r="H47" s="2249">
        <v>273.548</v>
      </c>
      <c r="I47" s="2249">
        <v>363</v>
      </c>
      <c r="J47" s="2221">
        <v>435</v>
      </c>
      <c r="K47" s="2221">
        <f>72+110+40+36.14</f>
        <v>258.14</v>
      </c>
      <c r="L47" s="2221">
        <v>120</v>
      </c>
    </row>
    <row r="48" spans="1:12" s="2231" customFormat="1" ht="14.1" customHeight="1">
      <c r="A48" s="3432" t="s">
        <v>3648</v>
      </c>
      <c r="B48" s="3433"/>
      <c r="C48" s="2249">
        <v>45.253</v>
      </c>
      <c r="D48" s="2249">
        <v>25.31</v>
      </c>
      <c r="E48" s="2221">
        <f>E49+43.56+52.26+E50</f>
        <v>553.04000000000008</v>
      </c>
      <c r="F48" s="2221">
        <f>F49+85.6+F50</f>
        <v>121.4</v>
      </c>
      <c r="G48" s="2221">
        <v>69</v>
      </c>
      <c r="H48" s="2221">
        <v>177.81</v>
      </c>
      <c r="I48" s="2221">
        <v>9</v>
      </c>
      <c r="J48" s="2221">
        <f>J49+J50</f>
        <v>89</v>
      </c>
      <c r="K48" s="2221">
        <f>K49+K50</f>
        <v>22.96</v>
      </c>
      <c r="L48" s="2221">
        <f>L49+L50</f>
        <v>46</v>
      </c>
    </row>
    <row r="49" spans="1:16" s="2231" customFormat="1" ht="14.1" customHeight="1">
      <c r="A49" s="3432" t="s">
        <v>3649</v>
      </c>
      <c r="B49" s="3433"/>
      <c r="C49" s="2249" t="s">
        <v>3595</v>
      </c>
      <c r="D49" s="2249" t="s">
        <v>3595</v>
      </c>
      <c r="E49" s="2221">
        <v>448</v>
      </c>
      <c r="F49" s="2221">
        <v>3</v>
      </c>
      <c r="G49" s="2249" t="s">
        <v>3595</v>
      </c>
      <c r="H49" s="2221">
        <v>175.98</v>
      </c>
      <c r="I49" s="2251">
        <v>0</v>
      </c>
      <c r="J49" s="2221">
        <v>1</v>
      </c>
      <c r="K49" s="2251">
        <v>0</v>
      </c>
      <c r="L49" s="2251">
        <v>0</v>
      </c>
    </row>
    <row r="50" spans="1:16" s="2231" customFormat="1" ht="14.1" customHeight="1">
      <c r="A50" s="3432" t="s">
        <v>3650</v>
      </c>
      <c r="B50" s="3433"/>
      <c r="C50" s="2249">
        <v>12.635999999999999</v>
      </c>
      <c r="D50" s="2249" t="s">
        <v>3595</v>
      </c>
      <c r="E50" s="2221">
        <v>9.2200000000000006</v>
      </c>
      <c r="F50" s="2221">
        <v>32.800000000000004</v>
      </c>
      <c r="G50" s="2221">
        <v>5</v>
      </c>
      <c r="H50" s="2251">
        <v>0</v>
      </c>
      <c r="I50" s="2221">
        <v>9</v>
      </c>
      <c r="J50" s="2221">
        <v>88</v>
      </c>
      <c r="K50" s="2221">
        <f>21+1.96</f>
        <v>22.96</v>
      </c>
      <c r="L50" s="2221">
        <v>46</v>
      </c>
    </row>
    <row r="51" spans="1:16" s="2231" customFormat="1" ht="14.1" customHeight="1">
      <c r="A51" s="3432" t="s">
        <v>3651</v>
      </c>
      <c r="B51" s="3433"/>
      <c r="C51" s="2249">
        <v>1344.2090000000001</v>
      </c>
      <c r="D51" s="2249">
        <v>2046.7570000000001</v>
      </c>
      <c r="E51" s="2221">
        <f>E52+14.36+4.01</f>
        <v>3197.3700000000003</v>
      </c>
      <c r="F51" s="2221">
        <f>F52+2</f>
        <v>1429</v>
      </c>
      <c r="G51" s="2221">
        <v>3908.12</v>
      </c>
      <c r="H51" s="2221">
        <v>1373.5729999999999</v>
      </c>
      <c r="I51" s="2221">
        <v>3901.1210000000001</v>
      </c>
      <c r="J51" s="2221">
        <f>J52+J61</f>
        <v>3655</v>
      </c>
      <c r="K51" s="2221">
        <f>K52+K61</f>
        <v>2440.2200000000003</v>
      </c>
      <c r="L51" s="2221">
        <f>L52+L61</f>
        <v>331</v>
      </c>
    </row>
    <row r="52" spans="1:16" s="2231" customFormat="1" ht="14.1" customHeight="1">
      <c r="A52" s="3432" t="s">
        <v>3652</v>
      </c>
      <c r="B52" s="3433"/>
      <c r="C52" s="2249">
        <v>1322</v>
      </c>
      <c r="D52" s="2249">
        <v>1971</v>
      </c>
      <c r="E52" s="2249">
        <v>3179</v>
      </c>
      <c r="F52" s="2249">
        <v>1427</v>
      </c>
      <c r="G52" s="2249">
        <v>3905</v>
      </c>
      <c r="H52" s="2249">
        <v>1372.5729999999999</v>
      </c>
      <c r="I52" s="2249">
        <v>3898.598</v>
      </c>
      <c r="J52" s="2249">
        <f>J53+J55</f>
        <v>3520</v>
      </c>
      <c r="K52" s="2249">
        <f>K53+K55</f>
        <v>2422.3700000000003</v>
      </c>
      <c r="L52" s="2249">
        <f>L53+L55</f>
        <v>316</v>
      </c>
      <c r="P52" s="2252"/>
    </row>
    <row r="53" spans="1:16" s="2231" customFormat="1" ht="14.1" customHeight="1">
      <c r="A53" s="3432" t="s">
        <v>3653</v>
      </c>
      <c r="B53" s="3433"/>
      <c r="C53" s="2249">
        <v>998.47400000000005</v>
      </c>
      <c r="D53" s="2249">
        <v>1284.694</v>
      </c>
      <c r="E53" s="2221">
        <f>E54+90.33</f>
        <v>937.30000000000007</v>
      </c>
      <c r="F53" s="2221">
        <f>F54</f>
        <v>382.1</v>
      </c>
      <c r="G53" s="2221">
        <v>338</v>
      </c>
      <c r="H53" s="2221">
        <v>392.57299999999998</v>
      </c>
      <c r="I53" s="2221">
        <v>360.59800000000001</v>
      </c>
      <c r="J53" s="2221">
        <v>489</v>
      </c>
      <c r="K53" s="2221">
        <f>K54+8+7</f>
        <v>635.89</v>
      </c>
      <c r="L53" s="2221">
        <f>26+L54</f>
        <v>70</v>
      </c>
    </row>
    <row r="54" spans="1:16" s="2231" customFormat="1" ht="14.1" customHeight="1">
      <c r="A54" s="3432" t="s">
        <v>3654</v>
      </c>
      <c r="B54" s="3433"/>
      <c r="C54" s="2249">
        <v>113.974</v>
      </c>
      <c r="D54" s="2249">
        <v>1284.694</v>
      </c>
      <c r="E54" s="2221">
        <v>846.97</v>
      </c>
      <c r="F54" s="2221">
        <v>382.1</v>
      </c>
      <c r="G54" s="2221">
        <v>338</v>
      </c>
      <c r="H54" s="2221">
        <v>392.57299999999998</v>
      </c>
      <c r="I54" s="2221">
        <v>336</v>
      </c>
      <c r="J54" s="2221">
        <v>488</v>
      </c>
      <c r="K54" s="2221">
        <f>116+331+113+60.89</f>
        <v>620.89</v>
      </c>
      <c r="L54" s="2221">
        <v>44</v>
      </c>
    </row>
    <row r="55" spans="1:16" s="2231" customFormat="1" ht="14.1" customHeight="1">
      <c r="A55" s="3432" t="s">
        <v>3655</v>
      </c>
      <c r="B55" s="3433"/>
      <c r="C55" s="2249">
        <f t="shared" ref="C55:G55" si="4">C56+C58</f>
        <v>246</v>
      </c>
      <c r="D55" s="2249">
        <f t="shared" si="4"/>
        <v>669</v>
      </c>
      <c r="E55" s="2249">
        <f t="shared" si="4"/>
        <v>2126</v>
      </c>
      <c r="F55" s="2249">
        <f t="shared" si="4"/>
        <v>974</v>
      </c>
      <c r="G55" s="2249">
        <f t="shared" si="4"/>
        <v>3518</v>
      </c>
      <c r="H55" s="2249">
        <v>980</v>
      </c>
      <c r="I55" s="2249">
        <v>3538</v>
      </c>
      <c r="J55" s="2249">
        <f>J56+J58</f>
        <v>3031</v>
      </c>
      <c r="K55" s="2249">
        <f>K56+K58</f>
        <v>1786.4800000000002</v>
      </c>
      <c r="L55" s="2249">
        <f>L56+L58</f>
        <v>246</v>
      </c>
    </row>
    <row r="56" spans="1:16" s="2231" customFormat="1" ht="14.1" customHeight="1">
      <c r="A56" s="3432" t="s">
        <v>3656</v>
      </c>
      <c r="B56" s="3433"/>
      <c r="C56" s="2249">
        <f>50+160</f>
        <v>210</v>
      </c>
      <c r="D56" s="2249">
        <v>610</v>
      </c>
      <c r="E56" s="2253">
        <v>1921</v>
      </c>
      <c r="F56" s="2253">
        <v>320</v>
      </c>
      <c r="G56" s="2253">
        <v>2887</v>
      </c>
      <c r="H56" s="2221">
        <v>521</v>
      </c>
      <c r="I56" s="2221">
        <v>707</v>
      </c>
      <c r="J56" s="2221">
        <v>363</v>
      </c>
      <c r="K56" s="2221">
        <f>K57+27</f>
        <v>171.72</v>
      </c>
      <c r="L56" s="2221">
        <f>L57</f>
        <v>6</v>
      </c>
    </row>
    <row r="57" spans="1:16" s="2231" customFormat="1" ht="14.1" customHeight="1">
      <c r="A57" s="2250"/>
      <c r="B57" s="2248" t="s">
        <v>3657</v>
      </c>
      <c r="C57" s="2249"/>
      <c r="D57" s="2249">
        <v>610</v>
      </c>
      <c r="E57" s="2221">
        <v>1921</v>
      </c>
      <c r="F57" s="2221">
        <v>320</v>
      </c>
      <c r="G57" s="2221">
        <v>2887</v>
      </c>
      <c r="H57" s="2221">
        <v>513</v>
      </c>
      <c r="I57" s="2221">
        <v>692</v>
      </c>
      <c r="J57" s="2221">
        <v>353</v>
      </c>
      <c r="K57" s="2221">
        <f>67+103+9.75-65+29.97</f>
        <v>144.72</v>
      </c>
      <c r="L57" s="2221">
        <v>6</v>
      </c>
    </row>
    <row r="58" spans="1:16" s="2231" customFormat="1" ht="14.1" customHeight="1">
      <c r="A58" s="3432" t="s">
        <v>3658</v>
      </c>
      <c r="B58" s="3433"/>
      <c r="C58" s="2249">
        <f>6+30</f>
        <v>36</v>
      </c>
      <c r="D58" s="2249">
        <f>18+17+23+1</f>
        <v>59</v>
      </c>
      <c r="E58" s="2221">
        <f>78+8+119</f>
        <v>205</v>
      </c>
      <c r="F58" s="2221">
        <f>348+2+304</f>
        <v>654</v>
      </c>
      <c r="G58" s="2221">
        <f>280+24+2+285+40</f>
        <v>631</v>
      </c>
      <c r="H58" s="2221">
        <v>459</v>
      </c>
      <c r="I58" s="2221">
        <v>2831</v>
      </c>
      <c r="J58" s="2221">
        <f>J59+J60</f>
        <v>2668</v>
      </c>
      <c r="K58" s="2221">
        <f>K59+K60</f>
        <v>1614.7600000000002</v>
      </c>
      <c r="L58" s="2221">
        <f>L59+L60</f>
        <v>240</v>
      </c>
    </row>
    <row r="59" spans="1:16" s="2231" customFormat="1" ht="14.1" customHeight="1">
      <c r="A59" s="2254"/>
      <c r="B59" s="2248" t="s">
        <v>3659</v>
      </c>
      <c r="C59" s="2249"/>
      <c r="D59" s="2251">
        <v>0</v>
      </c>
      <c r="E59" s="2249">
        <v>78</v>
      </c>
      <c r="F59" s="2249">
        <v>305</v>
      </c>
      <c r="G59" s="2249">
        <v>279</v>
      </c>
      <c r="H59" s="2249">
        <v>245</v>
      </c>
      <c r="I59" s="2249">
        <v>2558</v>
      </c>
      <c r="J59" s="2249">
        <v>1894</v>
      </c>
      <c r="K59" s="2249">
        <f>95+169+5+138.61</f>
        <v>407.61</v>
      </c>
      <c r="L59" s="2249">
        <v>148</v>
      </c>
    </row>
    <row r="60" spans="1:16" s="2231" customFormat="1" ht="14.1" customHeight="1">
      <c r="A60" s="2254"/>
      <c r="B60" s="2248" t="s">
        <v>2305</v>
      </c>
      <c r="C60" s="2249"/>
      <c r="D60" s="2249">
        <f t="shared" ref="D60:G60" si="5">D58-D59</f>
        <v>59</v>
      </c>
      <c r="E60" s="2253">
        <f t="shared" si="5"/>
        <v>127</v>
      </c>
      <c r="F60" s="2253">
        <f t="shared" si="5"/>
        <v>349</v>
      </c>
      <c r="G60" s="2253">
        <f t="shared" si="5"/>
        <v>352</v>
      </c>
      <c r="H60" s="2249">
        <v>214</v>
      </c>
      <c r="I60" s="2249">
        <v>273</v>
      </c>
      <c r="J60" s="2249">
        <v>774</v>
      </c>
      <c r="K60" s="2249">
        <f>35+42+102+6.75+6+65+875+11+64.4</f>
        <v>1207.1500000000001</v>
      </c>
      <c r="L60" s="2249">
        <f>65+27</f>
        <v>92</v>
      </c>
    </row>
    <row r="61" spans="1:16" s="2231" customFormat="1" ht="14.1" customHeight="1">
      <c r="A61" s="3432" t="s">
        <v>3660</v>
      </c>
      <c r="B61" s="3433"/>
      <c r="C61" s="2249"/>
      <c r="D61" s="2251">
        <v>0</v>
      </c>
      <c r="E61" s="2251">
        <v>0</v>
      </c>
      <c r="F61" s="2251">
        <v>0</v>
      </c>
      <c r="G61" s="2221">
        <v>3</v>
      </c>
      <c r="H61" s="2221">
        <v>1</v>
      </c>
      <c r="I61" s="2221">
        <v>2.5</v>
      </c>
      <c r="J61" s="2221">
        <f>91+12+32</f>
        <v>135</v>
      </c>
      <c r="K61" s="2221">
        <f>14+3.85</f>
        <v>17.850000000000001</v>
      </c>
      <c r="L61" s="2221">
        <v>15</v>
      </c>
    </row>
    <row r="62" spans="1:16" s="2231" customFormat="1" ht="14.1" customHeight="1">
      <c r="A62" s="3434" t="s">
        <v>3661</v>
      </c>
      <c r="B62" s="3435"/>
      <c r="C62" s="2255">
        <v>32.295000000000002</v>
      </c>
      <c r="D62" s="2255">
        <v>1.9690000000000001</v>
      </c>
      <c r="E62" s="2256">
        <v>0</v>
      </c>
      <c r="F62" s="2256">
        <v>0</v>
      </c>
      <c r="G62" s="2256">
        <v>0</v>
      </c>
      <c r="H62" s="2255">
        <v>60</v>
      </c>
      <c r="I62" s="2255">
        <v>37</v>
      </c>
      <c r="J62" s="2255">
        <v>63</v>
      </c>
      <c r="K62" s="2256">
        <v>0</v>
      </c>
      <c r="L62" s="2256">
        <v>0</v>
      </c>
    </row>
    <row r="63" spans="1:16" s="2257" customFormat="1" ht="39" customHeight="1">
      <c r="A63" s="3436" t="s">
        <v>3662</v>
      </c>
      <c r="B63" s="3436"/>
      <c r="C63" s="3436"/>
      <c r="D63" s="3436"/>
      <c r="E63" s="3436"/>
      <c r="F63" s="3436"/>
      <c r="G63" s="3436"/>
      <c r="H63" s="3436"/>
      <c r="I63" s="3436"/>
      <c r="J63" s="3436"/>
      <c r="K63" s="3436"/>
      <c r="L63" s="3436"/>
    </row>
    <row r="64" spans="1:16" s="2257" customFormat="1" ht="28.5" customHeight="1">
      <c r="A64" s="3437" t="s">
        <v>3663</v>
      </c>
      <c r="B64" s="3437"/>
      <c r="C64" s="3437"/>
      <c r="D64" s="3437"/>
      <c r="E64" s="3437"/>
      <c r="F64" s="3437"/>
      <c r="G64" s="3437"/>
      <c r="H64" s="3437"/>
      <c r="I64" s="3437"/>
      <c r="J64" s="3437"/>
      <c r="K64" s="3437"/>
      <c r="L64" s="3437"/>
    </row>
    <row r="65" spans="1:12" s="2257" customFormat="1" ht="13.5">
      <c r="A65" s="2258" t="s">
        <v>2346</v>
      </c>
      <c r="B65" s="2259"/>
      <c r="C65" s="2259"/>
      <c r="D65" s="2259"/>
      <c r="E65" s="2259"/>
      <c r="F65" s="2259"/>
      <c r="H65" s="3430"/>
      <c r="I65" s="3431"/>
      <c r="J65" s="3431"/>
      <c r="K65" s="2260"/>
      <c r="L65" s="2260"/>
    </row>
    <row r="66" spans="1:12" s="2257" customFormat="1" ht="12">
      <c r="A66" s="2258" t="s">
        <v>2053</v>
      </c>
    </row>
    <row r="67" spans="1:12" s="2231" customFormat="1" ht="12">
      <c r="C67" s="2261"/>
      <c r="D67" s="2261"/>
    </row>
    <row r="68" spans="1:12" s="2231" customFormat="1" ht="12">
      <c r="C68" s="2261"/>
      <c r="D68" s="2261"/>
    </row>
    <row r="69" spans="1:12" s="2231" customFormat="1" ht="12">
      <c r="C69" s="2262"/>
      <c r="D69" s="2262"/>
    </row>
    <row r="70" spans="1:12" s="2231" customFormat="1" ht="12">
      <c r="C70" s="2261"/>
      <c r="D70" s="2261"/>
    </row>
    <row r="71" spans="1:12" s="2231" customFormat="1" ht="12">
      <c r="C71" s="2261"/>
      <c r="D71" s="2261"/>
    </row>
    <row r="72" spans="1:12" ht="12">
      <c r="A72" s="2263"/>
      <c r="H72" s="2231"/>
      <c r="I72" s="2231"/>
      <c r="J72" s="2231"/>
      <c r="K72" s="2231"/>
      <c r="L72" s="2231"/>
    </row>
    <row r="73" spans="1:12">
      <c r="A73" s="2263"/>
    </row>
    <row r="74" spans="1:12">
      <c r="A74" s="2263"/>
    </row>
    <row r="75" spans="1:12">
      <c r="A75" s="2263"/>
    </row>
    <row r="76" spans="1:12">
      <c r="A76" s="2263"/>
    </row>
    <row r="77" spans="1:12">
      <c r="A77" s="2263"/>
    </row>
    <row r="78" spans="1:12">
      <c r="A78" s="2263"/>
    </row>
    <row r="79" spans="1:12">
      <c r="A79" s="2263"/>
    </row>
    <row r="80" spans="1:12">
      <c r="A80" s="2263"/>
    </row>
    <row r="81" spans="1:1">
      <c r="A81" s="2263"/>
    </row>
    <row r="82" spans="1:1">
      <c r="A82" s="2263"/>
    </row>
    <row r="83" spans="1:1">
      <c r="A83" s="2263"/>
    </row>
    <row r="84" spans="1:1">
      <c r="A84" s="2263"/>
    </row>
    <row r="85" spans="1:1">
      <c r="A85" s="2263"/>
    </row>
    <row r="86" spans="1:1">
      <c r="A86" s="2263"/>
    </row>
    <row r="87" spans="1:1">
      <c r="A87" s="2263"/>
    </row>
    <row r="88" spans="1:1">
      <c r="A88" s="2263"/>
    </row>
    <row r="89" spans="1:1">
      <c r="A89" s="2263"/>
    </row>
    <row r="90" spans="1:1">
      <c r="A90" s="2263"/>
    </row>
    <row r="91" spans="1:1">
      <c r="A91" s="2263"/>
    </row>
    <row r="92" spans="1:1">
      <c r="A92" s="2263"/>
    </row>
    <row r="93" spans="1:1">
      <c r="A93" s="2263"/>
    </row>
    <row r="94" spans="1:1">
      <c r="A94" s="2263"/>
    </row>
    <row r="95" spans="1:1">
      <c r="A95" s="2263"/>
    </row>
  </sheetData>
  <mergeCells count="43">
    <mergeCell ref="L4:L5"/>
    <mergeCell ref="A4:A5"/>
    <mergeCell ref="B4:B5"/>
    <mergeCell ref="C4:C5"/>
    <mergeCell ref="D4:D5"/>
    <mergeCell ref="E4:E5"/>
    <mergeCell ref="F4:F5"/>
    <mergeCell ref="G4:G5"/>
    <mergeCell ref="H4:H5"/>
    <mergeCell ref="I4:I5"/>
    <mergeCell ref="J4:J5"/>
    <mergeCell ref="K4:K5"/>
    <mergeCell ref="A42:B42"/>
    <mergeCell ref="A22:B22"/>
    <mergeCell ref="A29:B29"/>
    <mergeCell ref="A32:B32"/>
    <mergeCell ref="A33:B33"/>
    <mergeCell ref="A35:B35"/>
    <mergeCell ref="A36:B36"/>
    <mergeCell ref="A37:B37"/>
    <mergeCell ref="A38:B38"/>
    <mergeCell ref="A39:B39"/>
    <mergeCell ref="A40:B40"/>
    <mergeCell ref="A41:B41"/>
    <mergeCell ref="A55:B55"/>
    <mergeCell ref="A44:B44"/>
    <mergeCell ref="A45:B45"/>
    <mergeCell ref="A46:B46"/>
    <mergeCell ref="A47:B47"/>
    <mergeCell ref="A48:B48"/>
    <mergeCell ref="A49:B49"/>
    <mergeCell ref="A50:B50"/>
    <mergeCell ref="A51:B51"/>
    <mergeCell ref="A52:B52"/>
    <mergeCell ref="A53:B53"/>
    <mergeCell ref="A54:B54"/>
    <mergeCell ref="H65:J65"/>
    <mergeCell ref="A56:B56"/>
    <mergeCell ref="A58:B58"/>
    <mergeCell ref="A61:B61"/>
    <mergeCell ref="A62:B62"/>
    <mergeCell ref="A63:L63"/>
    <mergeCell ref="A64:L64"/>
  </mergeCells>
  <printOptions horizontalCentered="1" verticalCentered="1"/>
  <pageMargins left="0.55118110236220497" right="0" top="0.118110236220472" bottom="0" header="0" footer="0"/>
  <pageSetup paperSize="9" scale="73"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79"/>
  <sheetViews>
    <sheetView zoomScaleNormal="100" workbookViewId="0">
      <selection activeCell="X12" sqref="X12"/>
    </sheetView>
  </sheetViews>
  <sheetFormatPr defaultRowHeight="11.25"/>
  <cols>
    <col min="1" max="1" width="14.42578125" style="2334" customWidth="1"/>
    <col min="2" max="2" width="28.140625" style="2334" customWidth="1"/>
    <col min="3" max="6" width="8.7109375" style="2334" hidden="1" customWidth="1"/>
    <col min="7" max="12" width="10.28515625" style="2334" customWidth="1"/>
    <col min="13" max="34" width="9.140625" style="2266"/>
    <col min="35" max="16384" width="9.140625" style="2334"/>
  </cols>
  <sheetData>
    <row r="1" spans="1:34" s="2266" customFormat="1" ht="16.5">
      <c r="A1" s="2264" t="s">
        <v>3664</v>
      </c>
      <c r="B1" s="2265"/>
      <c r="E1" s="2267"/>
      <c r="F1" s="2267"/>
    </row>
    <row r="2" spans="1:34" s="2266" customFormat="1" ht="15.75" customHeight="1">
      <c r="A2" s="2264" t="s">
        <v>3580</v>
      </c>
      <c r="B2" s="2265"/>
      <c r="E2" s="2267"/>
      <c r="F2" s="2267"/>
    </row>
    <row r="3" spans="1:34" s="2266" customFormat="1" ht="14.25" customHeight="1">
      <c r="D3" s="2268"/>
      <c r="E3" s="2268"/>
      <c r="I3" s="2269"/>
      <c r="J3" s="2269"/>
      <c r="K3" s="2269"/>
      <c r="L3" s="2269" t="s">
        <v>49</v>
      </c>
    </row>
    <row r="4" spans="1:34" s="2271" customFormat="1" ht="12" customHeight="1">
      <c r="A4" s="3465" t="s">
        <v>3581</v>
      </c>
      <c r="B4" s="3467" t="s">
        <v>3582</v>
      </c>
      <c r="C4" s="3463" t="s">
        <v>3583</v>
      </c>
      <c r="D4" s="3463" t="s">
        <v>3584</v>
      </c>
      <c r="E4" s="3463" t="s">
        <v>3585</v>
      </c>
      <c r="F4" s="3463" t="s">
        <v>3665</v>
      </c>
      <c r="G4" s="3463" t="s">
        <v>3628</v>
      </c>
      <c r="H4" s="3463" t="s">
        <v>3666</v>
      </c>
      <c r="I4" s="3463" t="s">
        <v>3589</v>
      </c>
      <c r="J4" s="3463" t="s">
        <v>3590</v>
      </c>
      <c r="K4" s="3463" t="s">
        <v>3591</v>
      </c>
      <c r="L4" s="3463" t="s">
        <v>3592</v>
      </c>
      <c r="M4" s="2270"/>
      <c r="N4" s="2270"/>
      <c r="O4" s="2270"/>
      <c r="P4" s="2270"/>
      <c r="Q4" s="2270"/>
      <c r="R4" s="2270"/>
      <c r="S4" s="2270"/>
      <c r="T4" s="2270"/>
      <c r="U4" s="2270"/>
      <c r="V4" s="2270"/>
      <c r="W4" s="2270"/>
      <c r="X4" s="2270"/>
      <c r="Y4" s="2270"/>
      <c r="Z4" s="2270"/>
      <c r="AA4" s="2270"/>
      <c r="AB4" s="2270"/>
      <c r="AC4" s="2270"/>
      <c r="AD4" s="2270"/>
      <c r="AE4" s="2270"/>
      <c r="AF4" s="2270"/>
      <c r="AG4" s="2270"/>
      <c r="AH4" s="2270"/>
    </row>
    <row r="5" spans="1:34" s="2271" customFormat="1" ht="19.5" customHeight="1">
      <c r="A5" s="3466"/>
      <c r="B5" s="3468"/>
      <c r="C5" s="3464"/>
      <c r="D5" s="3464"/>
      <c r="E5" s="3464"/>
      <c r="F5" s="3464"/>
      <c r="G5" s="3464"/>
      <c r="H5" s="3464"/>
      <c r="I5" s="3464"/>
      <c r="J5" s="3464"/>
      <c r="K5" s="3464"/>
      <c r="L5" s="3464"/>
      <c r="M5" s="2270"/>
      <c r="N5" s="2270"/>
      <c r="O5" s="2270"/>
      <c r="P5" s="2270"/>
      <c r="Q5" s="2270"/>
      <c r="R5" s="2270"/>
      <c r="S5" s="2270"/>
      <c r="T5" s="2270"/>
      <c r="U5" s="2270"/>
      <c r="V5" s="2270"/>
      <c r="W5" s="2270"/>
      <c r="X5" s="2270"/>
      <c r="Y5" s="2270"/>
      <c r="Z5" s="2270"/>
      <c r="AA5" s="2270"/>
      <c r="AB5" s="2270"/>
      <c r="AC5" s="2270"/>
      <c r="AD5" s="2270"/>
      <c r="AE5" s="2270"/>
      <c r="AF5" s="2270"/>
      <c r="AG5" s="2270"/>
      <c r="AH5" s="2270"/>
    </row>
    <row r="6" spans="1:34" s="2271" customFormat="1" ht="19.5" customHeight="1">
      <c r="A6" s="2272" t="s">
        <v>3593</v>
      </c>
      <c r="B6" s="2273" t="s">
        <v>3594</v>
      </c>
      <c r="C6" s="2274">
        <v>270.8</v>
      </c>
      <c r="D6" s="2274">
        <v>112.9</v>
      </c>
      <c r="E6" s="2275">
        <f>2.8+6.98</f>
        <v>9.7800000000000011</v>
      </c>
      <c r="F6" s="2275">
        <v>0.90500000000000003</v>
      </c>
      <c r="G6" s="2275">
        <v>10.1</v>
      </c>
      <c r="H6" s="2275">
        <v>535</v>
      </c>
      <c r="I6" s="2275">
        <v>696</v>
      </c>
      <c r="J6" s="2275">
        <v>527</v>
      </c>
      <c r="K6" s="2276">
        <f>45+1</f>
        <v>46</v>
      </c>
      <c r="L6" s="2276" t="s">
        <v>3595</v>
      </c>
      <c r="M6" s="2270"/>
      <c r="N6" s="2270"/>
      <c r="O6" s="2270"/>
      <c r="P6" s="2270"/>
      <c r="Q6" s="2270"/>
      <c r="R6" s="2270"/>
      <c r="S6" s="2270"/>
      <c r="T6" s="2270"/>
      <c r="U6" s="2270"/>
      <c r="V6" s="2270"/>
      <c r="W6" s="2270"/>
      <c r="X6" s="2270"/>
      <c r="Y6" s="2270"/>
      <c r="Z6" s="2270"/>
      <c r="AA6" s="2270"/>
      <c r="AB6" s="2270"/>
      <c r="AC6" s="2270"/>
      <c r="AD6" s="2270"/>
      <c r="AE6" s="2270"/>
      <c r="AF6" s="2270"/>
      <c r="AG6" s="2270"/>
      <c r="AH6" s="2270"/>
    </row>
    <row r="7" spans="1:34" s="2271" customFormat="1" ht="19.5" customHeight="1">
      <c r="A7" s="2277" t="s">
        <v>3596</v>
      </c>
      <c r="B7" s="2278" t="s">
        <v>2390</v>
      </c>
      <c r="C7" s="2279">
        <v>335.3</v>
      </c>
      <c r="D7" s="2279">
        <v>235.3</v>
      </c>
      <c r="E7" s="2280">
        <f>14.3+190.9</f>
        <v>205.20000000000002</v>
      </c>
      <c r="F7" s="2280">
        <v>114.2</v>
      </c>
      <c r="G7" s="2280">
        <v>347.4</v>
      </c>
      <c r="H7" s="2280">
        <v>992</v>
      </c>
      <c r="I7" s="2280">
        <v>449</v>
      </c>
      <c r="J7" s="2280">
        <v>213</v>
      </c>
      <c r="K7" s="2280">
        <f>72+4.2+147.3</f>
        <v>223.5</v>
      </c>
      <c r="L7" s="2280">
        <v>2</v>
      </c>
      <c r="M7" s="2281"/>
      <c r="N7" s="2270"/>
      <c r="O7" s="2270"/>
      <c r="P7" s="2270"/>
      <c r="Q7" s="2270"/>
      <c r="R7" s="2270"/>
      <c r="S7" s="2270"/>
      <c r="T7" s="2270"/>
      <c r="U7" s="2270"/>
      <c r="V7" s="2270"/>
      <c r="W7" s="2270"/>
      <c r="X7" s="2270"/>
      <c r="Y7" s="2270"/>
      <c r="Z7" s="2270"/>
      <c r="AA7" s="2270"/>
      <c r="AB7" s="2270"/>
      <c r="AC7" s="2270"/>
      <c r="AD7" s="2270"/>
      <c r="AE7" s="2270"/>
      <c r="AF7" s="2270"/>
      <c r="AG7" s="2270"/>
      <c r="AH7" s="2270"/>
    </row>
    <row r="8" spans="1:34" s="2271" customFormat="1" ht="24.75" customHeight="1">
      <c r="A8" s="2277" t="s">
        <v>3597</v>
      </c>
      <c r="B8" s="2278" t="s">
        <v>3598</v>
      </c>
      <c r="C8" s="2279" t="s">
        <v>3595</v>
      </c>
      <c r="D8" s="2279" t="s">
        <v>3595</v>
      </c>
      <c r="E8" s="2280" t="s">
        <v>3595</v>
      </c>
      <c r="F8" s="2280" t="s">
        <v>3595</v>
      </c>
      <c r="G8" s="2280">
        <v>15.56</v>
      </c>
      <c r="H8" s="2280" t="s">
        <v>3595</v>
      </c>
      <c r="I8" s="2280" t="s">
        <v>3595</v>
      </c>
      <c r="J8" s="2282" t="s">
        <v>3595</v>
      </c>
      <c r="K8" s="2282" t="s">
        <v>3595</v>
      </c>
      <c r="L8" s="2282" t="s">
        <v>3595</v>
      </c>
      <c r="M8" s="2281"/>
      <c r="N8" s="2270"/>
      <c r="O8" s="2270"/>
      <c r="P8" s="2270"/>
      <c r="Q8" s="2270"/>
      <c r="R8" s="2270"/>
      <c r="S8" s="2270"/>
      <c r="T8" s="2270"/>
      <c r="U8" s="2270"/>
      <c r="V8" s="2270"/>
      <c r="W8" s="2270"/>
      <c r="X8" s="2270"/>
      <c r="Y8" s="2270"/>
      <c r="Z8" s="2270"/>
      <c r="AA8" s="2270"/>
      <c r="AB8" s="2270"/>
      <c r="AC8" s="2270"/>
      <c r="AD8" s="2270"/>
      <c r="AE8" s="2270"/>
      <c r="AF8" s="2270"/>
      <c r="AG8" s="2270"/>
      <c r="AH8" s="2270"/>
    </row>
    <row r="9" spans="1:34" s="2271" customFormat="1" ht="34.5" customHeight="1">
      <c r="A9" s="2277" t="s">
        <v>3667</v>
      </c>
      <c r="B9" s="2278" t="s">
        <v>3668</v>
      </c>
      <c r="C9" s="2279" t="s">
        <v>3595</v>
      </c>
      <c r="D9" s="2279" t="s">
        <v>3595</v>
      </c>
      <c r="E9" s="2280" t="s">
        <v>3595</v>
      </c>
      <c r="F9" s="2280" t="s">
        <v>3595</v>
      </c>
      <c r="G9" s="2280" t="s">
        <v>3595</v>
      </c>
      <c r="H9" s="2280">
        <v>1</v>
      </c>
      <c r="I9" s="2280">
        <v>6</v>
      </c>
      <c r="J9" s="2280" t="s">
        <v>3595</v>
      </c>
      <c r="K9" s="2282" t="s">
        <v>3595</v>
      </c>
      <c r="L9" s="2282" t="s">
        <v>3595</v>
      </c>
      <c r="M9" s="2281"/>
      <c r="N9" s="2270"/>
      <c r="O9" s="2270"/>
      <c r="P9" s="2270"/>
      <c r="Q9" s="2270"/>
      <c r="R9" s="2270"/>
      <c r="S9" s="2270"/>
      <c r="T9" s="2270"/>
      <c r="U9" s="2270"/>
      <c r="V9" s="2270"/>
      <c r="W9" s="2270"/>
      <c r="X9" s="2270"/>
      <c r="Y9" s="2270"/>
      <c r="Z9" s="2270"/>
      <c r="AA9" s="2270"/>
      <c r="AB9" s="2270"/>
      <c r="AC9" s="2270"/>
      <c r="AD9" s="2270"/>
      <c r="AE9" s="2270"/>
      <c r="AF9" s="2270"/>
      <c r="AG9" s="2270"/>
      <c r="AH9" s="2270"/>
    </row>
    <row r="10" spans="1:34" s="2271" customFormat="1" ht="19.5" customHeight="1">
      <c r="A10" s="2277" t="s">
        <v>3599</v>
      </c>
      <c r="B10" s="2278" t="s">
        <v>2418</v>
      </c>
      <c r="C10" s="2274">
        <v>26</v>
      </c>
      <c r="D10" s="2274">
        <v>29.968</v>
      </c>
      <c r="E10" s="2275">
        <v>2.4710000000000001</v>
      </c>
      <c r="F10" s="2275">
        <v>3.8</v>
      </c>
      <c r="G10" s="2280" t="s">
        <v>3595</v>
      </c>
      <c r="H10" s="2280">
        <v>308</v>
      </c>
      <c r="I10" s="2280">
        <v>114</v>
      </c>
      <c r="J10" s="2280">
        <v>425</v>
      </c>
      <c r="K10" s="2282" t="s">
        <v>3595</v>
      </c>
      <c r="L10" s="2282" t="s">
        <v>3595</v>
      </c>
      <c r="M10" s="2281"/>
      <c r="N10" s="2270"/>
      <c r="O10" s="2270"/>
      <c r="P10" s="2270"/>
      <c r="Q10" s="2270"/>
      <c r="R10" s="2270"/>
      <c r="S10" s="2270"/>
      <c r="T10" s="2270"/>
      <c r="U10" s="2270"/>
      <c r="V10" s="2270"/>
      <c r="W10" s="2270"/>
      <c r="X10" s="2270"/>
      <c r="Y10" s="2270"/>
      <c r="Z10" s="2270"/>
      <c r="AA10" s="2270"/>
      <c r="AB10" s="2270"/>
      <c r="AC10" s="2270"/>
      <c r="AD10" s="2270"/>
      <c r="AE10" s="2270"/>
      <c r="AF10" s="2270"/>
      <c r="AG10" s="2270"/>
      <c r="AH10" s="2270"/>
    </row>
    <row r="11" spans="1:34" s="2271" customFormat="1" ht="39.75" customHeight="1">
      <c r="A11" s="2277" t="s">
        <v>3600</v>
      </c>
      <c r="B11" s="2278" t="s">
        <v>3601</v>
      </c>
      <c r="C11" s="2274">
        <v>5.508</v>
      </c>
      <c r="D11" s="2274">
        <v>17.231999999999999</v>
      </c>
      <c r="E11" s="2275">
        <f>3.388+18.834</f>
        <v>22.222000000000001</v>
      </c>
      <c r="F11" s="2275">
        <v>33.9</v>
      </c>
      <c r="G11" s="2275">
        <v>0.89</v>
      </c>
      <c r="H11" s="2275">
        <v>78</v>
      </c>
      <c r="I11" s="2275">
        <v>90</v>
      </c>
      <c r="J11" s="2275">
        <v>108</v>
      </c>
      <c r="K11" s="2275">
        <f>44.6+15.3+0.8</f>
        <v>60.7</v>
      </c>
      <c r="L11" s="2275">
        <v>52</v>
      </c>
      <c r="M11" s="2281"/>
      <c r="N11" s="2270"/>
      <c r="O11" s="2270"/>
      <c r="P11" s="2270"/>
      <c r="Q11" s="2270"/>
      <c r="R11" s="2270"/>
      <c r="S11" s="2270"/>
      <c r="T11" s="2270"/>
      <c r="U11" s="2270"/>
      <c r="V11" s="2270"/>
      <c r="W11" s="2270"/>
      <c r="X11" s="2270"/>
      <c r="Y11" s="2270"/>
      <c r="Z11" s="2270"/>
      <c r="AA11" s="2270"/>
      <c r="AB11" s="2270"/>
      <c r="AC11" s="2270"/>
      <c r="AD11" s="2270"/>
      <c r="AE11" s="2270"/>
      <c r="AF11" s="2270"/>
      <c r="AG11" s="2270"/>
      <c r="AH11" s="2270"/>
    </row>
    <row r="12" spans="1:34" s="2271" customFormat="1" ht="19.5" customHeight="1">
      <c r="A12" s="2277" t="s">
        <v>3602</v>
      </c>
      <c r="B12" s="2278" t="s">
        <v>3603</v>
      </c>
      <c r="C12" s="2274">
        <v>1.7749999999999999</v>
      </c>
      <c r="D12" s="2274">
        <v>5.2679999999999998</v>
      </c>
      <c r="E12" s="2275">
        <v>12.94</v>
      </c>
      <c r="F12" s="2275">
        <v>9</v>
      </c>
      <c r="G12" s="2280" t="s">
        <v>3595</v>
      </c>
      <c r="H12" s="2280">
        <v>33</v>
      </c>
      <c r="I12" s="2280">
        <v>167</v>
      </c>
      <c r="J12" s="2280">
        <v>71</v>
      </c>
      <c r="K12" s="2280">
        <f>0.755+8.6+10.2</f>
        <v>19.555</v>
      </c>
      <c r="L12" s="2280">
        <v>2</v>
      </c>
      <c r="M12" s="2281"/>
      <c r="N12" s="2270"/>
      <c r="O12" s="2270"/>
      <c r="P12" s="2270"/>
      <c r="Q12" s="2270"/>
      <c r="R12" s="2270"/>
      <c r="S12" s="2270"/>
      <c r="T12" s="2270"/>
      <c r="U12" s="2270"/>
      <c r="V12" s="2270"/>
      <c r="W12" s="2270"/>
      <c r="X12" s="2270"/>
      <c r="Y12" s="2270"/>
      <c r="Z12" s="2270"/>
      <c r="AA12" s="2270"/>
      <c r="AB12" s="2270"/>
      <c r="AC12" s="2270"/>
      <c r="AD12" s="2270"/>
      <c r="AE12" s="2270"/>
      <c r="AF12" s="2270"/>
      <c r="AG12" s="2270"/>
      <c r="AH12" s="2270"/>
    </row>
    <row r="13" spans="1:34" s="2271" customFormat="1" ht="23.25" customHeight="1">
      <c r="A13" s="2277" t="s">
        <v>3604</v>
      </c>
      <c r="B13" s="2278" t="s">
        <v>3605</v>
      </c>
      <c r="C13" s="2274">
        <v>391</v>
      </c>
      <c r="D13" s="2274">
        <v>1068.3</v>
      </c>
      <c r="E13" s="2275">
        <f>32.489+887.884</f>
        <v>920.37300000000005</v>
      </c>
      <c r="F13" s="2275">
        <v>711.4</v>
      </c>
      <c r="G13" s="2275">
        <v>1002</v>
      </c>
      <c r="H13" s="2280">
        <v>1850</v>
      </c>
      <c r="I13" s="2280">
        <v>1017</v>
      </c>
      <c r="J13" s="2280">
        <v>3044</v>
      </c>
      <c r="K13" s="2280">
        <f>410+24.9+5.2</f>
        <v>440.09999999999997</v>
      </c>
      <c r="L13" s="2282" t="s">
        <v>3595</v>
      </c>
      <c r="M13" s="2281"/>
      <c r="N13" s="2270"/>
      <c r="O13" s="2270"/>
      <c r="P13" s="2270"/>
      <c r="Q13" s="2270"/>
      <c r="R13" s="2270"/>
      <c r="S13" s="2270"/>
      <c r="T13" s="2270"/>
      <c r="U13" s="2270"/>
      <c r="V13" s="2270"/>
      <c r="W13" s="2270"/>
      <c r="X13" s="2270"/>
      <c r="Y13" s="2270"/>
      <c r="Z13" s="2270"/>
      <c r="AA13" s="2270"/>
      <c r="AB13" s="2270"/>
      <c r="AC13" s="2270"/>
      <c r="AD13" s="2270"/>
      <c r="AE13" s="2270"/>
      <c r="AF13" s="2270"/>
      <c r="AG13" s="2270"/>
      <c r="AH13" s="2270"/>
    </row>
    <row r="14" spans="1:34" s="2271" customFormat="1" ht="22.5" customHeight="1">
      <c r="A14" s="2277" t="s">
        <v>3606</v>
      </c>
      <c r="B14" s="2278" t="s">
        <v>3607</v>
      </c>
      <c r="C14" s="2274" t="s">
        <v>3595</v>
      </c>
      <c r="D14" s="2274" t="s">
        <v>3595</v>
      </c>
      <c r="E14" s="2275">
        <v>0.48199999999999998</v>
      </c>
      <c r="F14" s="2280" t="s">
        <v>3595</v>
      </c>
      <c r="G14" s="2280" t="s">
        <v>3595</v>
      </c>
      <c r="H14" s="2280">
        <v>195</v>
      </c>
      <c r="I14" s="2280">
        <v>19</v>
      </c>
      <c r="J14" s="2280">
        <v>181</v>
      </c>
      <c r="K14" s="2282">
        <f>13.4+1151.378</f>
        <v>1164.778</v>
      </c>
      <c r="L14" s="2282" t="s">
        <v>3595</v>
      </c>
      <c r="M14" s="2281"/>
      <c r="N14" s="2270"/>
      <c r="O14" s="2270"/>
      <c r="P14" s="2270"/>
      <c r="Q14" s="2270"/>
      <c r="R14" s="2270"/>
      <c r="S14" s="2270"/>
      <c r="T14" s="2270"/>
      <c r="U14" s="2270"/>
      <c r="V14" s="2270"/>
      <c r="W14" s="2270"/>
      <c r="X14" s="2270"/>
      <c r="Y14" s="2270"/>
      <c r="Z14" s="2270"/>
      <c r="AA14" s="2270"/>
      <c r="AB14" s="2270"/>
      <c r="AC14" s="2270"/>
      <c r="AD14" s="2270"/>
      <c r="AE14" s="2270"/>
      <c r="AF14" s="2270"/>
      <c r="AG14" s="2270"/>
      <c r="AH14" s="2270"/>
    </row>
    <row r="15" spans="1:34" s="2271" customFormat="1" ht="22.5" customHeight="1">
      <c r="A15" s="2277" t="s">
        <v>3608</v>
      </c>
      <c r="B15" s="2278" t="s">
        <v>3669</v>
      </c>
      <c r="C15" s="2274">
        <v>12.14</v>
      </c>
      <c r="D15" s="2274">
        <v>113</v>
      </c>
      <c r="E15" s="2275">
        <v>209</v>
      </c>
      <c r="F15" s="2275">
        <v>209.2</v>
      </c>
      <c r="G15" s="2280">
        <v>1063</v>
      </c>
      <c r="H15" s="2280">
        <v>1253</v>
      </c>
      <c r="I15" s="2280">
        <v>2381</v>
      </c>
      <c r="J15" s="2280">
        <v>618</v>
      </c>
      <c r="K15" s="2280">
        <f>307+101.1+170.794</f>
        <v>578.89400000000001</v>
      </c>
      <c r="L15" s="2280">
        <v>15</v>
      </c>
      <c r="M15" s="2281"/>
      <c r="N15" s="2270"/>
      <c r="O15" s="2270"/>
      <c r="P15" s="2270"/>
      <c r="Q15" s="2270"/>
      <c r="R15" s="2270"/>
      <c r="S15" s="2270"/>
      <c r="T15" s="2270"/>
      <c r="U15" s="2270"/>
      <c r="V15" s="2270"/>
      <c r="W15" s="2270"/>
      <c r="X15" s="2270"/>
      <c r="Y15" s="2270"/>
      <c r="Z15" s="2270"/>
      <c r="AA15" s="2270"/>
      <c r="AB15" s="2270"/>
      <c r="AC15" s="2270"/>
      <c r="AD15" s="2270"/>
      <c r="AE15" s="2270"/>
      <c r="AF15" s="2270"/>
      <c r="AG15" s="2270"/>
      <c r="AH15" s="2270"/>
    </row>
    <row r="16" spans="1:34" s="2284" customFormat="1" ht="24" customHeight="1">
      <c r="A16" s="2277" t="s">
        <v>3610</v>
      </c>
      <c r="B16" s="2278" t="s">
        <v>3611</v>
      </c>
      <c r="C16" s="2279">
        <v>90.756</v>
      </c>
      <c r="D16" s="2279">
        <v>245.41200000000001</v>
      </c>
      <c r="E16" s="2280">
        <v>213</v>
      </c>
      <c r="F16" s="2280">
        <v>329.8</v>
      </c>
      <c r="G16" s="2280">
        <v>124</v>
      </c>
      <c r="H16" s="2280">
        <v>164</v>
      </c>
      <c r="I16" s="2280">
        <v>253.6</v>
      </c>
      <c r="J16" s="2280">
        <v>862</v>
      </c>
      <c r="K16" s="2280">
        <f>241+75.6+92.296</f>
        <v>408.89600000000002</v>
      </c>
      <c r="L16" s="2280">
        <v>45</v>
      </c>
      <c r="M16" s="2281"/>
      <c r="N16" s="2283"/>
      <c r="O16" s="2283"/>
      <c r="P16" s="2283"/>
      <c r="Q16" s="2283"/>
      <c r="R16" s="2283"/>
      <c r="S16" s="2283"/>
      <c r="T16" s="2283"/>
      <c r="U16" s="2283"/>
      <c r="V16" s="2283"/>
      <c r="W16" s="2283"/>
      <c r="X16" s="2283"/>
      <c r="Y16" s="2283"/>
      <c r="Z16" s="2283"/>
      <c r="AA16" s="2283"/>
      <c r="AB16" s="2283"/>
      <c r="AC16" s="2283"/>
      <c r="AD16" s="2283"/>
      <c r="AE16" s="2283"/>
      <c r="AF16" s="2283"/>
      <c r="AG16" s="2283"/>
      <c r="AH16" s="2283"/>
    </row>
    <row r="17" spans="1:34" s="2284" customFormat="1" ht="24" customHeight="1">
      <c r="A17" s="2277" t="s">
        <v>3613</v>
      </c>
      <c r="B17" s="2278" t="s">
        <v>3614</v>
      </c>
      <c r="C17" s="2279" t="s">
        <v>3595</v>
      </c>
      <c r="D17" s="2279" t="s">
        <v>3595</v>
      </c>
      <c r="E17" s="2280" t="s">
        <v>3595</v>
      </c>
      <c r="F17" s="2280" t="s">
        <v>3595</v>
      </c>
      <c r="G17" s="2280">
        <v>71.3</v>
      </c>
      <c r="H17" s="2275">
        <v>34</v>
      </c>
      <c r="I17" s="2275">
        <v>28</v>
      </c>
      <c r="J17" s="2275">
        <v>152</v>
      </c>
      <c r="K17" s="2275">
        <v>5.04</v>
      </c>
      <c r="L17" s="2282" t="s">
        <v>3595</v>
      </c>
      <c r="M17" s="2281"/>
      <c r="N17" s="2283"/>
      <c r="O17" s="2283"/>
      <c r="P17" s="2283"/>
      <c r="Q17" s="2283"/>
      <c r="R17" s="2283"/>
      <c r="S17" s="2283"/>
      <c r="T17" s="2283"/>
      <c r="U17" s="2283"/>
      <c r="V17" s="2283"/>
      <c r="W17" s="2283"/>
      <c r="X17" s="2283"/>
      <c r="Y17" s="2283"/>
      <c r="Z17" s="2283"/>
      <c r="AA17" s="2283"/>
      <c r="AB17" s="2283"/>
      <c r="AC17" s="2283"/>
      <c r="AD17" s="2283"/>
      <c r="AE17" s="2283"/>
      <c r="AF17" s="2283"/>
      <c r="AG17" s="2283"/>
      <c r="AH17" s="2283"/>
    </row>
    <row r="18" spans="1:34" s="2284" customFormat="1" ht="24" customHeight="1">
      <c r="A18" s="2277" t="s">
        <v>3615</v>
      </c>
      <c r="B18" s="2278" t="s">
        <v>3616</v>
      </c>
      <c r="C18" s="2279" t="s">
        <v>3595</v>
      </c>
      <c r="D18" s="2279" t="s">
        <v>3595</v>
      </c>
      <c r="E18" s="2280" t="s">
        <v>3595</v>
      </c>
      <c r="F18" s="2280" t="s">
        <v>3595</v>
      </c>
      <c r="G18" s="2280" t="s">
        <v>3595</v>
      </c>
      <c r="H18" s="2280">
        <v>8</v>
      </c>
      <c r="I18" s="2280">
        <v>11</v>
      </c>
      <c r="J18" s="2280">
        <f>43+1.5</f>
        <v>44.5</v>
      </c>
      <c r="K18" s="2282" t="s">
        <v>3595</v>
      </c>
      <c r="L18" s="2282">
        <v>16</v>
      </c>
      <c r="M18" s="2281"/>
      <c r="N18" s="2283"/>
      <c r="O18" s="2283"/>
      <c r="P18" s="2283"/>
      <c r="Q18" s="2283"/>
      <c r="R18" s="2283"/>
      <c r="S18" s="2283"/>
      <c r="T18" s="2283"/>
      <c r="U18" s="2283"/>
      <c r="V18" s="2283"/>
      <c r="W18" s="2283"/>
      <c r="X18" s="2283"/>
      <c r="Y18" s="2283"/>
      <c r="Z18" s="2283"/>
      <c r="AA18" s="2283"/>
      <c r="AB18" s="2283"/>
      <c r="AC18" s="2283"/>
      <c r="AD18" s="2283"/>
      <c r="AE18" s="2283"/>
      <c r="AF18" s="2283"/>
      <c r="AG18" s="2283"/>
      <c r="AH18" s="2283"/>
    </row>
    <row r="19" spans="1:34" s="2284" customFormat="1" ht="24" customHeight="1">
      <c r="A19" s="2277" t="s">
        <v>3617</v>
      </c>
      <c r="B19" s="2278" t="s">
        <v>2471</v>
      </c>
      <c r="C19" s="2279" t="s">
        <v>3595</v>
      </c>
      <c r="D19" s="2279" t="s">
        <v>3595</v>
      </c>
      <c r="E19" s="2280">
        <v>18.298999999999999</v>
      </c>
      <c r="F19" s="2280" t="s">
        <v>3595</v>
      </c>
      <c r="G19" s="2280" t="s">
        <v>3595</v>
      </c>
      <c r="H19" s="2280">
        <v>575</v>
      </c>
      <c r="I19" s="2280" t="s">
        <v>3595</v>
      </c>
      <c r="J19" s="2280">
        <v>13</v>
      </c>
      <c r="K19" s="2282" t="s">
        <v>3595</v>
      </c>
      <c r="L19" s="2282" t="s">
        <v>3595</v>
      </c>
      <c r="M19" s="2281"/>
      <c r="N19" s="2283"/>
      <c r="O19" s="2283"/>
      <c r="P19" s="2283"/>
      <c r="Q19" s="2283"/>
      <c r="R19" s="2283"/>
      <c r="S19" s="2283"/>
      <c r="T19" s="2283"/>
      <c r="U19" s="2283"/>
      <c r="V19" s="2283"/>
      <c r="W19" s="2283"/>
      <c r="X19" s="2283"/>
      <c r="Y19" s="2283"/>
      <c r="Z19" s="2283"/>
      <c r="AA19" s="2283"/>
      <c r="AB19" s="2283"/>
      <c r="AC19" s="2283"/>
      <c r="AD19" s="2283"/>
      <c r="AE19" s="2283"/>
      <c r="AF19" s="2283"/>
      <c r="AG19" s="2283"/>
      <c r="AH19" s="2283"/>
    </row>
    <row r="20" spans="1:34" s="2284" customFormat="1" ht="24" customHeight="1">
      <c r="A20" s="2277" t="s">
        <v>3618</v>
      </c>
      <c r="B20" s="2278" t="s">
        <v>3619</v>
      </c>
      <c r="C20" s="2279" t="s">
        <v>3595</v>
      </c>
      <c r="D20" s="2279" t="s">
        <v>3595</v>
      </c>
      <c r="E20" s="2280" t="s">
        <v>3595</v>
      </c>
      <c r="F20" s="2280" t="s">
        <v>3595</v>
      </c>
      <c r="G20" s="2280">
        <v>1374.999</v>
      </c>
      <c r="H20" s="2280">
        <v>72</v>
      </c>
      <c r="I20" s="2280">
        <v>274</v>
      </c>
      <c r="J20" s="2280">
        <v>40</v>
      </c>
      <c r="K20" s="2282">
        <v>531</v>
      </c>
      <c r="L20" s="2282" t="s">
        <v>3595</v>
      </c>
      <c r="M20" s="2281"/>
      <c r="N20" s="2283"/>
      <c r="O20" s="2283"/>
      <c r="P20" s="2283"/>
      <c r="Q20" s="2283"/>
      <c r="R20" s="2283"/>
      <c r="S20" s="2283"/>
      <c r="T20" s="2283"/>
      <c r="U20" s="2283"/>
      <c r="V20" s="2283"/>
      <c r="W20" s="2283"/>
      <c r="X20" s="2283"/>
      <c r="Y20" s="2283"/>
      <c r="Z20" s="2283"/>
      <c r="AA20" s="2283"/>
      <c r="AB20" s="2283"/>
      <c r="AC20" s="2283"/>
      <c r="AD20" s="2283"/>
      <c r="AE20" s="2283"/>
      <c r="AF20" s="2283"/>
      <c r="AG20" s="2283"/>
      <c r="AH20" s="2283"/>
    </row>
    <row r="21" spans="1:34" s="2284" customFormat="1" ht="24" customHeight="1">
      <c r="A21" s="2277" t="s">
        <v>3620</v>
      </c>
      <c r="B21" s="2278" t="s">
        <v>3621</v>
      </c>
      <c r="C21" s="2279" t="s">
        <v>3595</v>
      </c>
      <c r="D21" s="2279" t="s">
        <v>3595</v>
      </c>
      <c r="E21" s="2280" t="s">
        <v>3595</v>
      </c>
      <c r="F21" s="2280" t="s">
        <v>3595</v>
      </c>
      <c r="G21" s="2280" t="s">
        <v>3595</v>
      </c>
      <c r="H21" s="2280" t="s">
        <v>3595</v>
      </c>
      <c r="I21" s="2280">
        <v>42</v>
      </c>
      <c r="J21" s="2280">
        <f>7+4.6</f>
        <v>11.6</v>
      </c>
      <c r="K21" s="2282" t="s">
        <v>3595</v>
      </c>
      <c r="L21" s="2282" t="s">
        <v>3595</v>
      </c>
      <c r="M21" s="2281"/>
      <c r="N21" s="2283"/>
      <c r="O21" s="2283"/>
      <c r="P21" s="2283"/>
      <c r="Q21" s="2283"/>
      <c r="R21" s="2283"/>
      <c r="S21" s="2283"/>
      <c r="T21" s="2283"/>
      <c r="U21" s="2283"/>
      <c r="V21" s="2283"/>
      <c r="W21" s="2283"/>
      <c r="X21" s="2283"/>
      <c r="Y21" s="2283"/>
      <c r="Z21" s="2283"/>
      <c r="AA21" s="2283"/>
      <c r="AB21" s="2283"/>
      <c r="AC21" s="2283"/>
      <c r="AD21" s="2283"/>
      <c r="AE21" s="2283"/>
      <c r="AF21" s="2283"/>
      <c r="AG21" s="2283"/>
      <c r="AH21" s="2283"/>
    </row>
    <row r="22" spans="1:34" s="2284" customFormat="1" ht="24" customHeight="1">
      <c r="A22" s="2277" t="s">
        <v>3670</v>
      </c>
      <c r="B22" s="2278" t="s">
        <v>3671</v>
      </c>
      <c r="C22" s="2279" t="s">
        <v>3595</v>
      </c>
      <c r="D22" s="2279" t="s">
        <v>3595</v>
      </c>
      <c r="E22" s="2280" t="s">
        <v>3595</v>
      </c>
      <c r="F22" s="2280" t="s">
        <v>3595</v>
      </c>
      <c r="G22" s="2280" t="s">
        <v>3595</v>
      </c>
      <c r="H22" s="2280">
        <v>3</v>
      </c>
      <c r="I22" s="2280" t="s">
        <v>3595</v>
      </c>
      <c r="J22" s="2280">
        <v>19</v>
      </c>
      <c r="K22" s="2280">
        <v>2</v>
      </c>
      <c r="L22" s="2282" t="s">
        <v>60</v>
      </c>
      <c r="M22" s="2281"/>
      <c r="N22" s="2283"/>
      <c r="O22" s="2283"/>
      <c r="P22" s="2283"/>
      <c r="Q22" s="2283"/>
      <c r="R22" s="2283"/>
      <c r="S22" s="2283"/>
      <c r="T22" s="2283"/>
      <c r="U22" s="2283"/>
      <c r="V22" s="2283"/>
      <c r="W22" s="2283"/>
      <c r="X22" s="2283"/>
      <c r="Y22" s="2283"/>
      <c r="Z22" s="2283"/>
      <c r="AA22" s="2283"/>
      <c r="AB22" s="2283"/>
      <c r="AC22" s="2283"/>
      <c r="AD22" s="2283"/>
      <c r="AE22" s="2283"/>
      <c r="AF22" s="2283"/>
      <c r="AG22" s="2283"/>
      <c r="AH22" s="2283"/>
    </row>
    <row r="23" spans="1:34" s="2284" customFormat="1" ht="16.5" hidden="1" customHeight="1">
      <c r="A23" s="2277"/>
      <c r="B23" s="2278"/>
      <c r="C23" s="2279"/>
      <c r="D23" s="2279"/>
      <c r="E23" s="2280"/>
      <c r="F23" s="2280"/>
      <c r="G23" s="2280"/>
      <c r="H23" s="2280"/>
      <c r="I23" s="2280"/>
      <c r="J23" s="2280"/>
      <c r="K23" s="2280"/>
      <c r="L23" s="2280"/>
      <c r="M23" s="2283"/>
      <c r="N23" s="2283"/>
      <c r="O23" s="2283"/>
      <c r="P23" s="2283"/>
      <c r="Q23" s="2283"/>
      <c r="R23" s="2283"/>
      <c r="S23" s="2283"/>
      <c r="T23" s="2283"/>
      <c r="U23" s="2283"/>
      <c r="V23" s="2283"/>
      <c r="W23" s="2283"/>
      <c r="X23" s="2283"/>
      <c r="Y23" s="2283"/>
      <c r="Z23" s="2283"/>
      <c r="AA23" s="2283"/>
      <c r="AB23" s="2283"/>
      <c r="AC23" s="2283"/>
      <c r="AD23" s="2283"/>
      <c r="AE23" s="2283"/>
      <c r="AF23" s="2283"/>
      <c r="AG23" s="2283"/>
      <c r="AH23" s="2283"/>
    </row>
    <row r="24" spans="1:34" s="2287" customFormat="1" ht="18" customHeight="1">
      <c r="A24" s="3449" t="s">
        <v>3576</v>
      </c>
      <c r="B24" s="3450"/>
      <c r="C24" s="2285">
        <f>SUM(C6:C22)+1</f>
        <v>1134.2790000000002</v>
      </c>
      <c r="D24" s="2285">
        <f>SUM(D6:D22)-1</f>
        <v>1826.38</v>
      </c>
      <c r="E24" s="2286">
        <f>SUM(E6:E22)-2</f>
        <v>1611.7670000000001</v>
      </c>
      <c r="F24" s="2286">
        <f>SUM(F6:F22)</f>
        <v>1412.2049999999999</v>
      </c>
      <c r="G24" s="2286">
        <f>SUM(G6:G22)</f>
        <v>4009.2489999999998</v>
      </c>
      <c r="H24" s="2286">
        <f>SUM(H6:H22)</f>
        <v>6101</v>
      </c>
      <c r="I24" s="2286">
        <f>SUM(I6:I22)+1</f>
        <v>5548.6</v>
      </c>
      <c r="J24" s="2286">
        <f>SUM(J6:J22)</f>
        <v>6329.1</v>
      </c>
      <c r="K24" s="2286">
        <f>SUM(K6:K22)</f>
        <v>3480.4630000000002</v>
      </c>
      <c r="L24" s="2286">
        <f>SUM(L6:L22)</f>
        <v>132</v>
      </c>
      <c r="M24" s="2270"/>
      <c r="N24" s="2270"/>
      <c r="O24" s="2270"/>
      <c r="P24" s="2270"/>
      <c r="Q24" s="2270"/>
      <c r="R24" s="2270"/>
      <c r="S24" s="2270"/>
      <c r="T24" s="2270"/>
      <c r="U24" s="2270"/>
      <c r="V24" s="2270"/>
      <c r="W24" s="2270"/>
      <c r="X24" s="2270"/>
      <c r="Y24" s="2270"/>
      <c r="Z24" s="2270"/>
      <c r="AA24" s="2270"/>
      <c r="AB24" s="2270"/>
      <c r="AC24" s="2270"/>
      <c r="AD24" s="2270"/>
      <c r="AE24" s="2270"/>
      <c r="AF24" s="2270"/>
      <c r="AG24" s="2270"/>
      <c r="AH24" s="2270"/>
    </row>
    <row r="25" spans="1:34" s="2266" customFormat="1" ht="24.75" customHeight="1">
      <c r="A25" s="3451" t="s">
        <v>3672</v>
      </c>
      <c r="B25" s="3451"/>
      <c r="C25" s="3451"/>
      <c r="D25" s="3451"/>
      <c r="E25" s="3451"/>
      <c r="F25" s="3451"/>
      <c r="G25" s="3451"/>
      <c r="H25" s="3451"/>
      <c r="I25" s="3451"/>
      <c r="J25" s="3451"/>
      <c r="K25" s="3451"/>
      <c r="L25" s="2288"/>
    </row>
    <row r="26" spans="1:34" s="2266" customFormat="1" ht="16.5" customHeight="1">
      <c r="A26" s="2289"/>
      <c r="B26" s="2289"/>
      <c r="C26" s="2289"/>
      <c r="D26" s="2289"/>
      <c r="E26" s="2289"/>
      <c r="F26" s="2289"/>
      <c r="G26" s="2289"/>
      <c r="H26" s="2289"/>
      <c r="I26" s="2289"/>
      <c r="J26" s="2289"/>
      <c r="K26" s="2289"/>
      <c r="L26" s="2289"/>
    </row>
    <row r="27" spans="1:34" s="2266" customFormat="1" ht="16.5">
      <c r="A27" s="2264" t="s">
        <v>3673</v>
      </c>
      <c r="B27" s="2290"/>
      <c r="E27" s="2291"/>
      <c r="F27" s="2291"/>
      <c r="N27" s="2292"/>
    </row>
    <row r="28" spans="1:34" s="2266" customFormat="1" ht="16.5">
      <c r="A28" s="2264" t="s">
        <v>3625</v>
      </c>
      <c r="B28" s="2290"/>
      <c r="E28" s="2291"/>
      <c r="F28" s="2291"/>
      <c r="N28" s="2292"/>
    </row>
    <row r="29" spans="1:34" s="2293" customFormat="1" ht="12" customHeight="1">
      <c r="A29" s="2266"/>
      <c r="B29" s="2266"/>
      <c r="C29" s="2266"/>
      <c r="D29" s="2268"/>
      <c r="E29" s="2268"/>
      <c r="F29" s="2266"/>
      <c r="I29" s="2269"/>
      <c r="J29" s="2269"/>
      <c r="K29" s="2269"/>
      <c r="L29" s="2269" t="s">
        <v>49</v>
      </c>
    </row>
    <row r="30" spans="1:34" s="2298" customFormat="1" ht="27.75" customHeight="1">
      <c r="A30" s="3452" t="s">
        <v>3674</v>
      </c>
      <c r="B30" s="3453"/>
      <c r="C30" s="2294" t="s">
        <v>3583</v>
      </c>
      <c r="D30" s="2295" t="s">
        <v>3584</v>
      </c>
      <c r="E30" s="2296" t="s">
        <v>3585</v>
      </c>
      <c r="F30" s="2296" t="s">
        <v>3586</v>
      </c>
      <c r="G30" s="2296" t="s">
        <v>3628</v>
      </c>
      <c r="H30" s="2296" t="s">
        <v>3629</v>
      </c>
      <c r="I30" s="2296" t="s">
        <v>3589</v>
      </c>
      <c r="J30" s="2296" t="s">
        <v>3590</v>
      </c>
      <c r="K30" s="2296" t="s">
        <v>3591</v>
      </c>
      <c r="L30" s="2296" t="s">
        <v>3592</v>
      </c>
      <c r="M30" s="2297"/>
      <c r="N30" s="2297"/>
      <c r="O30" s="2297"/>
      <c r="P30" s="2297"/>
      <c r="Q30" s="2297"/>
      <c r="R30" s="2297"/>
      <c r="S30" s="2297"/>
      <c r="T30" s="2297"/>
      <c r="U30" s="2297"/>
      <c r="V30" s="2297"/>
      <c r="W30" s="2297"/>
      <c r="X30" s="2297"/>
      <c r="Y30" s="2297"/>
      <c r="Z30" s="2297"/>
      <c r="AA30" s="2297"/>
      <c r="AB30" s="2297"/>
      <c r="AC30" s="2297"/>
      <c r="AD30" s="2297"/>
      <c r="AE30" s="2297"/>
      <c r="AF30" s="2297"/>
      <c r="AG30" s="2297"/>
      <c r="AH30" s="2297"/>
    </row>
    <row r="31" spans="1:34" s="2287" customFormat="1" ht="16.5" customHeight="1">
      <c r="A31" s="3454" t="s">
        <v>3630</v>
      </c>
      <c r="B31" s="3455"/>
      <c r="C31" s="2299">
        <f>C32+C40+C62</f>
        <v>1133.704</v>
      </c>
      <c r="D31" s="2299">
        <f>D32+D40+D62</f>
        <v>1825.7029999999997</v>
      </c>
      <c r="E31" s="2300">
        <f>E32+E40+E62</f>
        <v>1612.22</v>
      </c>
      <c r="F31" s="2300">
        <f>F32+F40+F62+1</f>
        <v>1412.15</v>
      </c>
      <c r="G31" s="2300">
        <f t="shared" ref="G31:L31" si="0">G32+G40+G62</f>
        <v>4009.1</v>
      </c>
      <c r="H31" s="2300">
        <f t="shared" si="0"/>
        <v>6100.9639999999999</v>
      </c>
      <c r="I31" s="2300">
        <f t="shared" si="0"/>
        <v>5548.9219999999996</v>
      </c>
      <c r="J31" s="2300">
        <f>J32+J40+J62</f>
        <v>6329</v>
      </c>
      <c r="K31" s="2300">
        <f t="shared" si="0"/>
        <v>3480.3</v>
      </c>
      <c r="L31" s="2300">
        <f t="shared" si="0"/>
        <v>132.26670000000001</v>
      </c>
      <c r="M31" s="2270"/>
      <c r="N31" s="2301"/>
      <c r="O31" s="2301"/>
      <c r="P31" s="2270"/>
      <c r="Q31" s="2270"/>
      <c r="R31" s="2270"/>
      <c r="S31" s="2270"/>
      <c r="T31" s="2270"/>
      <c r="U31" s="2270"/>
      <c r="V31" s="2270"/>
      <c r="W31" s="2270"/>
      <c r="X31" s="2270"/>
      <c r="Y31" s="2270"/>
      <c r="Z31" s="2270"/>
      <c r="AA31" s="2270"/>
      <c r="AB31" s="2270"/>
      <c r="AC31" s="2270"/>
      <c r="AD31" s="2270"/>
      <c r="AE31" s="2270"/>
      <c r="AF31" s="2270"/>
      <c r="AG31" s="2270"/>
      <c r="AH31" s="2270"/>
    </row>
    <row r="32" spans="1:34" s="2287" customFormat="1" ht="16.5" customHeight="1">
      <c r="A32" s="3456" t="s">
        <v>3675</v>
      </c>
      <c r="B32" s="3457"/>
      <c r="C32" s="2302">
        <v>13.042000000000002</v>
      </c>
      <c r="D32" s="2303">
        <f t="shared" ref="D32:G32" si="1">D33+D38</f>
        <v>243.16899999999998</v>
      </c>
      <c r="E32" s="2304">
        <f t="shared" si="1"/>
        <v>296.18</v>
      </c>
      <c r="F32" s="2304">
        <f t="shared" si="1"/>
        <v>381.5</v>
      </c>
      <c r="G32" s="2304">
        <f t="shared" si="1"/>
        <v>947.1</v>
      </c>
      <c r="H32" s="2304">
        <v>318.47099999999995</v>
      </c>
      <c r="I32" s="2305">
        <v>878.52699999999993</v>
      </c>
      <c r="J32" s="2305">
        <f>J33+J38</f>
        <v>1079</v>
      </c>
      <c r="K32" s="2305">
        <f>K33+K38</f>
        <v>2161.1</v>
      </c>
      <c r="L32" s="2305">
        <f>L33+L38</f>
        <v>60</v>
      </c>
      <c r="M32" s="2270"/>
      <c r="N32" s="2301"/>
      <c r="O32" s="2301"/>
      <c r="P32" s="2301"/>
      <c r="Q32" s="2270"/>
      <c r="R32" s="2270"/>
      <c r="S32" s="2270"/>
      <c r="T32" s="2270"/>
      <c r="U32" s="2270"/>
      <c r="V32" s="2270"/>
      <c r="W32" s="2270"/>
      <c r="X32" s="2270"/>
      <c r="Y32" s="2270"/>
      <c r="Z32" s="2270"/>
      <c r="AA32" s="2270"/>
      <c r="AB32" s="2270"/>
      <c r="AC32" s="2270"/>
      <c r="AD32" s="2270"/>
      <c r="AE32" s="2270"/>
      <c r="AF32" s="2270"/>
      <c r="AG32" s="2270"/>
      <c r="AH32" s="2270"/>
    </row>
    <row r="33" spans="1:34" s="2287" customFormat="1" ht="16.5" customHeight="1">
      <c r="A33" s="2306" t="s">
        <v>3676</v>
      </c>
      <c r="B33" s="2307"/>
      <c r="C33" s="2308">
        <v>13.042000000000002</v>
      </c>
      <c r="D33" s="2309">
        <v>148.74799999999999</v>
      </c>
      <c r="E33" s="2310">
        <f>E34+E36</f>
        <v>283.47000000000003</v>
      </c>
      <c r="F33" s="2310">
        <f>F34</f>
        <v>356.8</v>
      </c>
      <c r="G33" s="2310">
        <v>881.1</v>
      </c>
      <c r="H33" s="2310">
        <v>290.45799999999997</v>
      </c>
      <c r="I33" s="2310">
        <v>848.26099999999997</v>
      </c>
      <c r="J33" s="2310">
        <f>J34+J36+J37</f>
        <v>876</v>
      </c>
      <c r="K33" s="2310">
        <f>K34+K36</f>
        <v>2085.1</v>
      </c>
      <c r="L33" s="2310">
        <f>L34+L36</f>
        <v>44</v>
      </c>
      <c r="M33" s="2270"/>
      <c r="N33" s="2301"/>
      <c r="O33" s="2301"/>
      <c r="P33" s="2270"/>
      <c r="Q33" s="2270"/>
      <c r="R33" s="2270"/>
      <c r="S33" s="2270"/>
      <c r="T33" s="2270"/>
      <c r="U33" s="2270"/>
      <c r="V33" s="2270"/>
      <c r="W33" s="2270"/>
      <c r="X33" s="2270"/>
      <c r="Y33" s="2270"/>
      <c r="Z33" s="2270"/>
      <c r="AA33" s="2270"/>
      <c r="AB33" s="2270"/>
      <c r="AC33" s="2270"/>
      <c r="AD33" s="2270"/>
      <c r="AE33" s="2270"/>
      <c r="AF33" s="2270"/>
      <c r="AG33" s="2270"/>
      <c r="AH33" s="2270"/>
    </row>
    <row r="34" spans="1:34" s="2287" customFormat="1" ht="16.5" customHeight="1">
      <c r="A34" s="2306" t="s">
        <v>3677</v>
      </c>
      <c r="B34" s="2307"/>
      <c r="C34" s="2308">
        <v>13.042000000000002</v>
      </c>
      <c r="D34" s="2309">
        <v>148.74799999999999</v>
      </c>
      <c r="E34" s="2310">
        <v>282.3</v>
      </c>
      <c r="F34" s="2310">
        <v>356.8</v>
      </c>
      <c r="G34" s="2310">
        <v>94</v>
      </c>
      <c r="H34" s="2310">
        <v>183.214</v>
      </c>
      <c r="I34" s="2310">
        <v>728.26099999999997</v>
      </c>
      <c r="J34" s="2310">
        <v>735</v>
      </c>
      <c r="K34" s="2310">
        <f>2+27+8+K35+0.2+12+1+78+20+1+1+1151</f>
        <v>1970.2</v>
      </c>
      <c r="L34" s="2310">
        <f>6+L35</f>
        <v>38</v>
      </c>
      <c r="M34" s="2270"/>
      <c r="N34" s="2301"/>
      <c r="O34" s="2301"/>
      <c r="P34" s="2270"/>
      <c r="Q34" s="2270"/>
      <c r="R34" s="2270"/>
      <c r="S34" s="2270"/>
      <c r="T34" s="2270"/>
      <c r="U34" s="2270"/>
      <c r="V34" s="2270"/>
      <c r="W34" s="2270"/>
      <c r="X34" s="2270"/>
      <c r="Y34" s="2270"/>
      <c r="Z34" s="2270"/>
      <c r="AA34" s="2270"/>
      <c r="AB34" s="2270"/>
      <c r="AC34" s="2270"/>
      <c r="AD34" s="2270"/>
      <c r="AE34" s="2270"/>
      <c r="AF34" s="2270"/>
      <c r="AG34" s="2270"/>
      <c r="AH34" s="2270"/>
    </row>
    <row r="35" spans="1:34" s="2287" customFormat="1" ht="16.5" customHeight="1">
      <c r="A35" s="2306" t="s">
        <v>3678</v>
      </c>
      <c r="B35" s="2307"/>
      <c r="C35" s="2308">
        <v>1.9730000000000001</v>
      </c>
      <c r="D35" s="2309">
        <v>65.108999999999995</v>
      </c>
      <c r="E35" s="2310">
        <v>150.26</v>
      </c>
      <c r="F35" s="2310">
        <v>288.3</v>
      </c>
      <c r="G35" s="2310">
        <v>10.1</v>
      </c>
      <c r="H35" s="2310">
        <v>43.88</v>
      </c>
      <c r="I35" s="2310">
        <v>184</v>
      </c>
      <c r="J35" s="2310">
        <v>214</v>
      </c>
      <c r="K35" s="2310">
        <f>543+64+62</f>
        <v>669</v>
      </c>
      <c r="L35" s="2310">
        <v>32</v>
      </c>
      <c r="M35" s="2270"/>
      <c r="N35" s="2301"/>
      <c r="O35" s="2301"/>
      <c r="P35" s="2270"/>
      <c r="Q35" s="2270"/>
      <c r="R35" s="2270"/>
      <c r="S35" s="2270"/>
      <c r="T35" s="2270"/>
      <c r="U35" s="2270"/>
      <c r="V35" s="2270"/>
      <c r="W35" s="2270"/>
      <c r="X35" s="2270"/>
      <c r="Y35" s="2270"/>
      <c r="Z35" s="2270"/>
      <c r="AA35" s="2270"/>
      <c r="AB35" s="2270"/>
      <c r="AC35" s="2270"/>
      <c r="AD35" s="2270"/>
      <c r="AE35" s="2270"/>
      <c r="AF35" s="2270"/>
      <c r="AG35" s="2270"/>
      <c r="AH35" s="2270"/>
    </row>
    <row r="36" spans="1:34" s="2287" customFormat="1" ht="16.5" customHeight="1">
      <c r="A36" s="2306" t="s">
        <v>3679</v>
      </c>
      <c r="B36" s="2307"/>
      <c r="C36" s="2311">
        <v>0</v>
      </c>
      <c r="D36" s="2311">
        <v>0</v>
      </c>
      <c r="E36" s="2312">
        <v>1.17</v>
      </c>
      <c r="F36" s="2313">
        <v>0</v>
      </c>
      <c r="G36" s="2310">
        <v>787</v>
      </c>
      <c r="H36" s="2310">
        <v>61.248999999999995</v>
      </c>
      <c r="I36" s="2313">
        <v>0</v>
      </c>
      <c r="J36" s="2310">
        <v>125</v>
      </c>
      <c r="K36" s="2310">
        <v>114.9</v>
      </c>
      <c r="L36" s="2310">
        <v>6</v>
      </c>
      <c r="M36" s="2270"/>
      <c r="N36" s="2301"/>
      <c r="O36" s="2301"/>
      <c r="P36" s="2270"/>
      <c r="Q36" s="2270"/>
      <c r="R36" s="2270"/>
      <c r="S36" s="2270"/>
      <c r="T36" s="2270"/>
      <c r="U36" s="2270"/>
      <c r="V36" s="2270"/>
      <c r="W36" s="2270"/>
      <c r="X36" s="2270"/>
      <c r="Y36" s="2270"/>
      <c r="Z36" s="2270"/>
      <c r="AA36" s="2270"/>
      <c r="AB36" s="2270"/>
      <c r="AC36" s="2270"/>
      <c r="AD36" s="2270"/>
      <c r="AE36" s="2270"/>
      <c r="AF36" s="2270"/>
      <c r="AG36" s="2270"/>
      <c r="AH36" s="2270"/>
    </row>
    <row r="37" spans="1:34" s="2287" customFormat="1" ht="16.5" customHeight="1">
      <c r="A37" s="2306" t="s">
        <v>2389</v>
      </c>
      <c r="B37" s="2307"/>
      <c r="C37" s="2314" t="s">
        <v>3595</v>
      </c>
      <c r="D37" s="2311" t="s">
        <v>3595</v>
      </c>
      <c r="E37" s="2313" t="s">
        <v>3595</v>
      </c>
      <c r="F37" s="2313" t="s">
        <v>3595</v>
      </c>
      <c r="G37" s="2313" t="s">
        <v>3595</v>
      </c>
      <c r="H37" s="2275">
        <v>46</v>
      </c>
      <c r="I37" s="2275">
        <v>120</v>
      </c>
      <c r="J37" s="2275">
        <v>16</v>
      </c>
      <c r="K37" s="2313">
        <v>0</v>
      </c>
      <c r="L37" s="2313">
        <v>0</v>
      </c>
      <c r="M37" s="2270"/>
      <c r="N37" s="2301"/>
      <c r="O37" s="2301"/>
      <c r="P37" s="2270"/>
      <c r="Q37" s="2270"/>
      <c r="R37" s="2270"/>
      <c r="S37" s="2270"/>
      <c r="T37" s="2270"/>
      <c r="U37" s="2270"/>
      <c r="V37" s="2270"/>
      <c r="W37" s="2270"/>
      <c r="X37" s="2270"/>
      <c r="Y37" s="2270"/>
      <c r="Z37" s="2270"/>
      <c r="AA37" s="2270"/>
      <c r="AB37" s="2270"/>
      <c r="AC37" s="2270"/>
      <c r="AD37" s="2270"/>
      <c r="AE37" s="2270"/>
      <c r="AF37" s="2270"/>
      <c r="AG37" s="2270"/>
      <c r="AH37" s="2270"/>
    </row>
    <row r="38" spans="1:34" s="2287" customFormat="1" ht="16.5" customHeight="1">
      <c r="A38" s="2306" t="s">
        <v>3680</v>
      </c>
      <c r="B38" s="2307"/>
      <c r="C38" s="2311" t="s">
        <v>3595</v>
      </c>
      <c r="D38" s="2309">
        <v>94.421000000000006</v>
      </c>
      <c r="E38" s="2310">
        <f>E39</f>
        <v>12.71</v>
      </c>
      <c r="F38" s="2310">
        <f>F39</f>
        <v>24.7</v>
      </c>
      <c r="G38" s="2310">
        <v>66</v>
      </c>
      <c r="H38" s="2310">
        <v>28.012999999999998</v>
      </c>
      <c r="I38" s="2310">
        <v>30.265999999999998</v>
      </c>
      <c r="J38" s="2310">
        <v>203</v>
      </c>
      <c r="K38" s="2310">
        <f>24+35+K39+1</f>
        <v>76</v>
      </c>
      <c r="L38" s="2315">
        <f>14+L39</f>
        <v>16</v>
      </c>
      <c r="M38" s="2270"/>
      <c r="N38" s="2301"/>
      <c r="O38" s="2301"/>
      <c r="P38" s="2270"/>
      <c r="Q38" s="2270"/>
      <c r="R38" s="2270"/>
      <c r="S38" s="2270"/>
      <c r="T38" s="2270"/>
      <c r="U38" s="2270"/>
      <c r="V38" s="2270"/>
      <c r="W38" s="2270"/>
      <c r="X38" s="2270"/>
      <c r="Y38" s="2270"/>
      <c r="Z38" s="2270"/>
      <c r="AA38" s="2270"/>
      <c r="AB38" s="2270"/>
      <c r="AC38" s="2270"/>
      <c r="AD38" s="2270"/>
      <c r="AE38" s="2270"/>
      <c r="AF38" s="2270"/>
      <c r="AG38" s="2270"/>
      <c r="AH38" s="2270"/>
    </row>
    <row r="39" spans="1:34" s="2287" customFormat="1" ht="16.5" customHeight="1">
      <c r="A39" s="2306" t="s">
        <v>3681</v>
      </c>
      <c r="B39" s="2307"/>
      <c r="C39" s="2311" t="s">
        <v>3595</v>
      </c>
      <c r="D39" s="2309">
        <v>94.421000000000006</v>
      </c>
      <c r="E39" s="2310">
        <v>12.71</v>
      </c>
      <c r="F39" s="2310">
        <v>24.7</v>
      </c>
      <c r="G39" s="2310">
        <v>56</v>
      </c>
      <c r="H39" s="2310">
        <v>25.18</v>
      </c>
      <c r="I39" s="2310">
        <v>6.266</v>
      </c>
      <c r="J39" s="2310">
        <v>108</v>
      </c>
      <c r="K39" s="2310">
        <f>14+2</f>
        <v>16</v>
      </c>
      <c r="L39" s="2310">
        <v>2</v>
      </c>
      <c r="M39" s="2270"/>
      <c r="N39" s="2301"/>
      <c r="O39" s="2301"/>
      <c r="P39" s="2270"/>
      <c r="Q39" s="2270"/>
      <c r="R39" s="2270"/>
      <c r="S39" s="2270"/>
      <c r="T39" s="2270"/>
      <c r="U39" s="2270"/>
      <c r="V39" s="2270"/>
      <c r="W39" s="2270"/>
      <c r="X39" s="2270"/>
      <c r="Y39" s="2270"/>
      <c r="Z39" s="2270"/>
      <c r="AA39" s="2270"/>
      <c r="AB39" s="2270"/>
      <c r="AC39" s="2270"/>
      <c r="AD39" s="2270"/>
      <c r="AE39" s="2270"/>
      <c r="AF39" s="2270"/>
      <c r="AG39" s="2270"/>
      <c r="AH39" s="2270"/>
    </row>
    <row r="40" spans="1:34" s="2287" customFormat="1" ht="16.5" customHeight="1">
      <c r="A40" s="2316" t="s">
        <v>3682</v>
      </c>
      <c r="B40" s="2307"/>
      <c r="C40" s="2302">
        <f t="shared" ref="C40:G40" si="2">C41+C50</f>
        <v>1005.755</v>
      </c>
      <c r="D40" s="2302">
        <f t="shared" si="2"/>
        <v>1551.723</v>
      </c>
      <c r="E40" s="2305">
        <f t="shared" si="2"/>
        <v>1316.04</v>
      </c>
      <c r="F40" s="2305">
        <f t="shared" si="2"/>
        <v>1029.6500000000001</v>
      </c>
      <c r="G40" s="2305">
        <f t="shared" si="2"/>
        <v>3062</v>
      </c>
      <c r="H40" s="2305">
        <v>5694.4930000000004</v>
      </c>
      <c r="I40" s="2305">
        <v>4670.3949999999995</v>
      </c>
      <c r="J40" s="2305">
        <f>J41+J50</f>
        <v>5242</v>
      </c>
      <c r="K40" s="2305">
        <f>K41+K50+34</f>
        <v>1319.2</v>
      </c>
      <c r="L40" s="2305">
        <f>0.2667+L41+L50</f>
        <v>72.2667</v>
      </c>
      <c r="M40" s="2270"/>
      <c r="N40" s="2301"/>
      <c r="O40" s="2301"/>
      <c r="P40" s="2270"/>
      <c r="Q40" s="2270"/>
      <c r="R40" s="2270"/>
      <c r="S40" s="2270"/>
      <c r="T40" s="2270"/>
      <c r="U40" s="2270"/>
      <c r="V40" s="2270"/>
      <c r="W40" s="2270"/>
      <c r="X40" s="2270"/>
      <c r="Y40" s="2270"/>
      <c r="Z40" s="2270"/>
      <c r="AA40" s="2270"/>
      <c r="AB40" s="2270"/>
      <c r="AC40" s="2270"/>
      <c r="AD40" s="2270"/>
      <c r="AE40" s="2270"/>
      <c r="AF40" s="2270"/>
      <c r="AG40" s="2270"/>
      <c r="AH40" s="2270"/>
    </row>
    <row r="41" spans="1:34" s="2287" customFormat="1" ht="16.5" customHeight="1">
      <c r="A41" s="2306" t="s">
        <v>3683</v>
      </c>
      <c r="B41" s="2307"/>
      <c r="C41" s="2308">
        <f t="shared" ref="C41:G41" si="3">C42+C43+C44+C45+C46+C47+C48+C49</f>
        <v>862.04899999999998</v>
      </c>
      <c r="D41" s="2308">
        <f t="shared" si="3"/>
        <v>1186.0229999999999</v>
      </c>
      <c r="E41" s="2310">
        <f t="shared" si="3"/>
        <v>589.54000000000008</v>
      </c>
      <c r="F41" s="2310">
        <f t="shared" si="3"/>
        <v>669.3</v>
      </c>
      <c r="G41" s="2310">
        <f t="shared" si="3"/>
        <v>1288.0000000000002</v>
      </c>
      <c r="H41" s="2310">
        <v>4502.7430000000004</v>
      </c>
      <c r="I41" s="2310">
        <v>3255.1949999999997</v>
      </c>
      <c r="J41" s="2310">
        <f>SUM(J42:J49)</f>
        <v>4444</v>
      </c>
      <c r="K41" s="2310">
        <f>K42+K43+K44+K45+K46+K47+K48+K49</f>
        <v>950</v>
      </c>
      <c r="L41" s="2310">
        <f>L42+L43+L44+L45+L46+L47+L48+L49</f>
        <v>55</v>
      </c>
      <c r="M41" s="2270"/>
      <c r="N41" s="2301"/>
      <c r="O41" s="2301"/>
      <c r="P41" s="2270"/>
      <c r="Q41" s="2270"/>
      <c r="R41" s="2270"/>
      <c r="S41" s="2270"/>
      <c r="T41" s="2270"/>
      <c r="U41" s="2270"/>
      <c r="V41" s="2270"/>
      <c r="W41" s="2270"/>
      <c r="X41" s="2270"/>
      <c r="Y41" s="2270"/>
      <c r="Z41" s="2270"/>
      <c r="AA41" s="2270"/>
      <c r="AB41" s="2270"/>
      <c r="AC41" s="2270"/>
      <c r="AD41" s="2270"/>
      <c r="AE41" s="2270"/>
      <c r="AF41" s="2270"/>
      <c r="AG41" s="2270"/>
      <c r="AH41" s="2270"/>
    </row>
    <row r="42" spans="1:34" s="2287" customFormat="1" ht="16.5" customHeight="1">
      <c r="A42" s="2306" t="s">
        <v>3684</v>
      </c>
      <c r="B42" s="2307"/>
      <c r="C42" s="2317">
        <v>0</v>
      </c>
      <c r="D42" s="2317">
        <v>0</v>
      </c>
      <c r="E42" s="2310">
        <v>4.47</v>
      </c>
      <c r="F42" s="2318">
        <v>0</v>
      </c>
      <c r="G42" s="2318">
        <v>0</v>
      </c>
      <c r="H42" s="2318">
        <v>0</v>
      </c>
      <c r="I42" s="2318">
        <v>0</v>
      </c>
      <c r="J42" s="2310">
        <v>1</v>
      </c>
      <c r="K42" s="2318">
        <v>0</v>
      </c>
      <c r="L42" s="2318">
        <v>0</v>
      </c>
      <c r="M42" s="2270"/>
      <c r="N42" s="2301"/>
      <c r="O42" s="2301"/>
      <c r="P42" s="2270"/>
      <c r="Q42" s="2270"/>
      <c r="R42" s="2270"/>
      <c r="S42" s="2270"/>
      <c r="T42" s="2270"/>
      <c r="U42" s="2270"/>
      <c r="V42" s="2270"/>
      <c r="W42" s="2270"/>
      <c r="X42" s="2270"/>
      <c r="Y42" s="2270"/>
      <c r="Z42" s="2270"/>
      <c r="AA42" s="2270"/>
      <c r="AB42" s="2270"/>
      <c r="AC42" s="2270"/>
      <c r="AD42" s="2270"/>
      <c r="AE42" s="2270"/>
      <c r="AF42" s="2270"/>
      <c r="AG42" s="2270"/>
      <c r="AH42" s="2270"/>
    </row>
    <row r="43" spans="1:34" s="2287" customFormat="1" ht="16.5" customHeight="1">
      <c r="A43" s="2306" t="s">
        <v>3685</v>
      </c>
      <c r="B43" s="2307"/>
      <c r="C43" s="2317">
        <v>0</v>
      </c>
      <c r="D43" s="2317">
        <v>0</v>
      </c>
      <c r="E43" s="2318">
        <v>0</v>
      </c>
      <c r="F43" s="2318">
        <v>0</v>
      </c>
      <c r="G43" s="2318">
        <v>0</v>
      </c>
      <c r="H43" s="2310">
        <v>39</v>
      </c>
      <c r="I43" s="2310">
        <v>6.0620000000000003</v>
      </c>
      <c r="J43" s="2310">
        <v>498</v>
      </c>
      <c r="K43" s="2310">
        <f>124+3+3</f>
        <v>130</v>
      </c>
      <c r="L43" s="2318">
        <v>0</v>
      </c>
      <c r="M43" s="2270"/>
      <c r="N43" s="2301"/>
      <c r="O43" s="2301"/>
      <c r="P43" s="2270"/>
      <c r="Q43" s="2270"/>
      <c r="R43" s="2270"/>
      <c r="S43" s="2270"/>
      <c r="T43" s="2270"/>
      <c r="U43" s="2270"/>
      <c r="V43" s="2270"/>
      <c r="W43" s="2270"/>
      <c r="X43" s="2270"/>
      <c r="Y43" s="2270"/>
      <c r="Z43" s="2270"/>
      <c r="AA43" s="2270"/>
      <c r="AB43" s="2270"/>
      <c r="AC43" s="2270"/>
      <c r="AD43" s="2270"/>
      <c r="AE43" s="2270"/>
      <c r="AF43" s="2270"/>
      <c r="AG43" s="2270"/>
      <c r="AH43" s="2270"/>
    </row>
    <row r="44" spans="1:34" s="2287" customFormat="1" ht="16.5" customHeight="1">
      <c r="A44" s="2306" t="s">
        <v>3686</v>
      </c>
      <c r="B44" s="2307"/>
      <c r="C44" s="2308">
        <v>291.45299999999997</v>
      </c>
      <c r="D44" s="2309">
        <v>267.36399999999998</v>
      </c>
      <c r="E44" s="2310">
        <v>234.77</v>
      </c>
      <c r="F44" s="2310">
        <v>95</v>
      </c>
      <c r="G44" s="2310">
        <v>71.3</v>
      </c>
      <c r="H44" s="2310">
        <v>1182.8969999999999</v>
      </c>
      <c r="I44" s="2310">
        <v>151</v>
      </c>
      <c r="J44" s="2310">
        <v>897</v>
      </c>
      <c r="K44" s="2310">
        <f>50+1+167</f>
        <v>218</v>
      </c>
      <c r="L44" s="2318">
        <v>0</v>
      </c>
      <c r="M44" s="2270"/>
      <c r="N44" s="2301"/>
      <c r="O44" s="2301"/>
      <c r="P44" s="2270"/>
      <c r="Q44" s="2270"/>
      <c r="R44" s="2270"/>
      <c r="S44" s="2270"/>
      <c r="T44" s="2270"/>
      <c r="U44" s="2270"/>
      <c r="V44" s="2270"/>
      <c r="W44" s="2270"/>
      <c r="X44" s="2270"/>
      <c r="Y44" s="2270"/>
      <c r="Z44" s="2270"/>
      <c r="AA44" s="2270"/>
      <c r="AB44" s="2270"/>
      <c r="AC44" s="2270"/>
      <c r="AD44" s="2270"/>
      <c r="AE44" s="2270"/>
      <c r="AF44" s="2270"/>
      <c r="AG44" s="2270"/>
      <c r="AH44" s="2270"/>
    </row>
    <row r="45" spans="1:34" s="2287" customFormat="1" ht="16.5" customHeight="1">
      <c r="A45" s="2306" t="s">
        <v>3687</v>
      </c>
      <c r="B45" s="2307"/>
      <c r="C45" s="2308">
        <v>269.738</v>
      </c>
      <c r="D45" s="2309">
        <v>146.17500000000001</v>
      </c>
      <c r="E45" s="2310">
        <v>9.6</v>
      </c>
      <c r="F45" s="2310">
        <v>9</v>
      </c>
      <c r="G45" s="2310">
        <v>9</v>
      </c>
      <c r="H45" s="2310">
        <v>671</v>
      </c>
      <c r="I45" s="2310">
        <v>78</v>
      </c>
      <c r="J45" s="2310">
        <v>16</v>
      </c>
      <c r="K45" s="2315">
        <v>6</v>
      </c>
      <c r="L45" s="2318">
        <v>0</v>
      </c>
      <c r="M45" s="2270"/>
      <c r="N45" s="2301"/>
      <c r="O45" s="2301"/>
      <c r="P45" s="2270"/>
      <c r="Q45" s="2270"/>
      <c r="R45" s="2270"/>
      <c r="S45" s="2270"/>
      <c r="T45" s="2270"/>
      <c r="U45" s="2270"/>
      <c r="V45" s="2270"/>
      <c r="W45" s="2270"/>
      <c r="X45" s="2270"/>
      <c r="Y45" s="2270"/>
      <c r="Z45" s="2270"/>
      <c r="AA45" s="2270"/>
      <c r="AB45" s="2270"/>
      <c r="AC45" s="2270"/>
      <c r="AD45" s="2270"/>
      <c r="AE45" s="2270"/>
      <c r="AF45" s="2270"/>
      <c r="AG45" s="2270"/>
      <c r="AH45" s="2270"/>
    </row>
    <row r="46" spans="1:34" s="2287" customFormat="1" ht="16.5" customHeight="1">
      <c r="A46" s="2306" t="s">
        <v>3688</v>
      </c>
      <c r="B46" s="2307"/>
      <c r="C46" s="2308">
        <v>5.508</v>
      </c>
      <c r="D46" s="2309">
        <v>127.434</v>
      </c>
      <c r="E46" s="2310">
        <v>139.93</v>
      </c>
      <c r="F46" s="2310">
        <v>86</v>
      </c>
      <c r="G46" s="2310">
        <v>98.1</v>
      </c>
      <c r="H46" s="2310">
        <v>352.358</v>
      </c>
      <c r="I46" s="2310">
        <v>55</v>
      </c>
      <c r="J46" s="2310">
        <v>72</v>
      </c>
      <c r="K46" s="2315">
        <f>3+10</f>
        <v>13</v>
      </c>
      <c r="L46" s="2318">
        <v>0</v>
      </c>
      <c r="M46" s="2270"/>
      <c r="N46" s="2301"/>
      <c r="O46" s="2301"/>
      <c r="P46" s="2270"/>
      <c r="Q46" s="2270"/>
      <c r="R46" s="2270"/>
      <c r="S46" s="2270"/>
      <c r="T46" s="2270"/>
      <c r="U46" s="2270"/>
      <c r="V46" s="2270"/>
      <c r="W46" s="2270"/>
      <c r="X46" s="2270"/>
      <c r="Y46" s="2270"/>
      <c r="Z46" s="2270"/>
      <c r="AA46" s="2270"/>
      <c r="AB46" s="2270"/>
      <c r="AC46" s="2270"/>
      <c r="AD46" s="2270"/>
      <c r="AE46" s="2270"/>
      <c r="AF46" s="2270"/>
      <c r="AG46" s="2270"/>
      <c r="AH46" s="2270"/>
    </row>
    <row r="47" spans="1:34" s="2287" customFormat="1" ht="16.5" customHeight="1">
      <c r="A47" s="2306" t="s">
        <v>3689</v>
      </c>
      <c r="B47" s="2307"/>
      <c r="C47" s="2308">
        <v>187.185</v>
      </c>
      <c r="D47" s="2309">
        <v>175.42099999999999</v>
      </c>
      <c r="E47" s="2310">
        <v>166.91</v>
      </c>
      <c r="F47" s="2310">
        <v>209.9</v>
      </c>
      <c r="G47" s="2310">
        <v>109</v>
      </c>
      <c r="H47" s="2275">
        <v>77</v>
      </c>
      <c r="I47" s="2310">
        <v>5</v>
      </c>
      <c r="J47" s="2310">
        <v>157</v>
      </c>
      <c r="K47" s="2310">
        <f>8+48+13</f>
        <v>69</v>
      </c>
      <c r="L47" s="2310">
        <v>3</v>
      </c>
      <c r="M47" s="2270"/>
      <c r="N47" s="2301"/>
      <c r="O47" s="2301"/>
      <c r="P47" s="2270"/>
      <c r="Q47" s="2270"/>
      <c r="R47" s="2270"/>
      <c r="S47" s="2270"/>
      <c r="T47" s="2270"/>
      <c r="U47" s="2270"/>
      <c r="V47" s="2270"/>
      <c r="W47" s="2270"/>
      <c r="X47" s="2270"/>
      <c r="Y47" s="2270"/>
      <c r="Z47" s="2270"/>
      <c r="AA47" s="2270"/>
      <c r="AB47" s="2270"/>
      <c r="AC47" s="2270"/>
      <c r="AD47" s="2270"/>
      <c r="AE47" s="2270"/>
      <c r="AF47" s="2270"/>
      <c r="AG47" s="2270"/>
      <c r="AH47" s="2270"/>
    </row>
    <row r="48" spans="1:34" s="2287" customFormat="1" ht="16.5" customHeight="1">
      <c r="A48" s="2306" t="s">
        <v>3690</v>
      </c>
      <c r="B48" s="2307"/>
      <c r="C48" s="2308">
        <v>13.68</v>
      </c>
      <c r="D48" s="2309">
        <v>35.116</v>
      </c>
      <c r="E48" s="2310">
        <v>20.440000000000001</v>
      </c>
      <c r="F48" s="2310">
        <v>70.400000000000006</v>
      </c>
      <c r="G48" s="2310">
        <v>325.3</v>
      </c>
      <c r="H48" s="2310">
        <v>77.007999999999996</v>
      </c>
      <c r="I48" s="2310">
        <v>77</v>
      </c>
      <c r="J48" s="2310">
        <v>47</v>
      </c>
      <c r="K48" s="2310">
        <f>27+5+14</f>
        <v>46</v>
      </c>
      <c r="L48" s="2318">
        <v>0</v>
      </c>
      <c r="M48" s="2270"/>
      <c r="N48" s="2301"/>
      <c r="O48" s="2301"/>
      <c r="P48" s="2270"/>
      <c r="Q48" s="2270"/>
      <c r="R48" s="2270"/>
      <c r="S48" s="2270"/>
      <c r="T48" s="2270"/>
      <c r="U48" s="2270"/>
      <c r="V48" s="2270"/>
      <c r="W48" s="2270"/>
      <c r="X48" s="2270"/>
      <c r="Y48" s="2270"/>
      <c r="Z48" s="2270"/>
      <c r="AA48" s="2270"/>
      <c r="AB48" s="2270"/>
      <c r="AC48" s="2270"/>
      <c r="AD48" s="2270"/>
      <c r="AE48" s="2270"/>
      <c r="AF48" s="2270"/>
      <c r="AG48" s="2270"/>
      <c r="AH48" s="2270"/>
    </row>
    <row r="49" spans="1:34" s="2287" customFormat="1" ht="16.5" customHeight="1">
      <c r="A49" s="2306" t="s">
        <v>3691</v>
      </c>
      <c r="B49" s="2307"/>
      <c r="C49" s="2308">
        <v>94.485000000000014</v>
      </c>
      <c r="D49" s="2308">
        <v>434.51299999999998</v>
      </c>
      <c r="E49" s="2310">
        <v>13.420000000000041</v>
      </c>
      <c r="F49" s="2310">
        <v>198.99999999999997</v>
      </c>
      <c r="G49" s="2310">
        <v>675.30000000000018</v>
      </c>
      <c r="H49" s="2310">
        <v>2103.48</v>
      </c>
      <c r="I49" s="2310">
        <v>2883.1329999999998</v>
      </c>
      <c r="J49" s="2310">
        <v>2756</v>
      </c>
      <c r="K49" s="2310">
        <f>96+371+1</f>
        <v>468</v>
      </c>
      <c r="L49" s="2310">
        <v>52</v>
      </c>
      <c r="M49" s="2270"/>
      <c r="N49" s="2301"/>
      <c r="O49" s="2301"/>
      <c r="P49" s="2270"/>
      <c r="Q49" s="2270"/>
      <c r="R49" s="2270"/>
      <c r="S49" s="2270"/>
      <c r="T49" s="2270"/>
      <c r="U49" s="2270"/>
      <c r="V49" s="2270"/>
      <c r="W49" s="2270"/>
      <c r="X49" s="2270"/>
      <c r="Y49" s="2270"/>
      <c r="Z49" s="2270"/>
      <c r="AA49" s="2270"/>
      <c r="AB49" s="2270"/>
      <c r="AC49" s="2270"/>
      <c r="AD49" s="2270"/>
      <c r="AE49" s="2270"/>
      <c r="AF49" s="2270"/>
      <c r="AG49" s="2270"/>
      <c r="AH49" s="2270"/>
    </row>
    <row r="50" spans="1:34" s="2287" customFormat="1" ht="16.5" customHeight="1">
      <c r="A50" s="2306" t="s">
        <v>3692</v>
      </c>
      <c r="B50" s="2307"/>
      <c r="C50" s="2308">
        <v>143.70599999999999</v>
      </c>
      <c r="D50" s="2309">
        <f t="shared" ref="D50:G50" si="4">D51+D61</f>
        <v>365.7</v>
      </c>
      <c r="E50" s="2319">
        <f t="shared" si="4"/>
        <v>726.5</v>
      </c>
      <c r="F50" s="2319">
        <f t="shared" si="4"/>
        <v>360.35</v>
      </c>
      <c r="G50" s="2319">
        <f t="shared" si="4"/>
        <v>1774</v>
      </c>
      <c r="H50" s="2319">
        <v>1191.75</v>
      </c>
      <c r="I50" s="2319">
        <v>1415.2</v>
      </c>
      <c r="J50" s="2310">
        <f>J51+J61</f>
        <v>798</v>
      </c>
      <c r="K50" s="2310">
        <f>K51+K61+14</f>
        <v>335.2</v>
      </c>
      <c r="L50" s="2310">
        <f>L51+L61</f>
        <v>17</v>
      </c>
      <c r="M50" s="2270"/>
      <c r="N50" s="2301"/>
      <c r="O50" s="2301"/>
      <c r="P50" s="2270"/>
      <c r="Q50" s="2270"/>
      <c r="R50" s="2270"/>
      <c r="S50" s="2270"/>
      <c r="T50" s="2270"/>
      <c r="U50" s="2270"/>
      <c r="V50" s="2270"/>
      <c r="W50" s="2270"/>
      <c r="X50" s="2270"/>
      <c r="Y50" s="2270"/>
      <c r="Z50" s="2270"/>
      <c r="AA50" s="2270"/>
      <c r="AB50" s="2270"/>
      <c r="AC50" s="2270"/>
      <c r="AD50" s="2270"/>
      <c r="AE50" s="2270"/>
      <c r="AF50" s="2270"/>
      <c r="AG50" s="2270"/>
      <c r="AH50" s="2270"/>
    </row>
    <row r="51" spans="1:34" s="2287" customFormat="1" ht="16.5" customHeight="1">
      <c r="A51" s="2306" t="s">
        <v>3693</v>
      </c>
      <c r="B51" s="2307"/>
      <c r="C51" s="2308">
        <f>134.39</f>
        <v>134.38999999999999</v>
      </c>
      <c r="D51" s="2309">
        <v>331</v>
      </c>
      <c r="E51" s="2319">
        <v>723</v>
      </c>
      <c r="F51" s="2319">
        <v>349</v>
      </c>
      <c r="G51" s="2319">
        <v>1774</v>
      </c>
      <c r="H51" s="2319">
        <v>973.75</v>
      </c>
      <c r="I51" s="2319">
        <v>1370.2</v>
      </c>
      <c r="J51" s="2310">
        <f>J52+J54</f>
        <v>576</v>
      </c>
      <c r="K51" s="2310">
        <f>K52+K54</f>
        <v>278.2</v>
      </c>
      <c r="L51" s="2310">
        <f>L52+L54</f>
        <v>9</v>
      </c>
      <c r="M51" s="2270"/>
      <c r="N51" s="2301"/>
      <c r="O51" s="2301"/>
      <c r="P51" s="2270"/>
      <c r="Q51" s="2270"/>
      <c r="R51" s="2270"/>
      <c r="S51" s="2270"/>
      <c r="T51" s="2270"/>
      <c r="U51" s="2270"/>
      <c r="V51" s="2270"/>
      <c r="W51" s="2270"/>
      <c r="X51" s="2270"/>
      <c r="Y51" s="2270"/>
      <c r="Z51" s="2270"/>
      <c r="AA51" s="2270"/>
      <c r="AB51" s="2270"/>
      <c r="AC51" s="2270"/>
      <c r="AD51" s="2270"/>
      <c r="AE51" s="2270"/>
      <c r="AF51" s="2270"/>
      <c r="AG51" s="2270"/>
      <c r="AH51" s="2270"/>
    </row>
    <row r="52" spans="1:34" s="2287" customFormat="1" ht="16.5" customHeight="1">
      <c r="A52" s="3458" t="s">
        <v>3694</v>
      </c>
      <c r="B52" s="3459"/>
      <c r="C52" s="2311">
        <v>0</v>
      </c>
      <c r="D52" s="2311">
        <v>0</v>
      </c>
      <c r="E52" s="2313">
        <v>0</v>
      </c>
      <c r="F52" s="2313">
        <v>0</v>
      </c>
      <c r="G52" s="2313">
        <v>0</v>
      </c>
      <c r="H52" s="2310">
        <v>45.35</v>
      </c>
      <c r="I52" s="2313">
        <v>0</v>
      </c>
      <c r="J52" s="2310">
        <v>175</v>
      </c>
      <c r="K52" s="2310">
        <f>1+K53</f>
        <v>190</v>
      </c>
      <c r="L52" s="2310">
        <f>L53</f>
        <v>9</v>
      </c>
      <c r="M52" s="2270"/>
      <c r="N52" s="2301"/>
      <c r="O52" s="2301"/>
      <c r="P52" s="2270"/>
      <c r="Q52" s="2270"/>
      <c r="R52" s="2270"/>
      <c r="S52" s="2270"/>
      <c r="T52" s="2270"/>
      <c r="U52" s="2270"/>
      <c r="V52" s="2270"/>
      <c r="W52" s="2270"/>
      <c r="X52" s="2270"/>
      <c r="Y52" s="2270"/>
      <c r="Z52" s="2270"/>
      <c r="AA52" s="2270"/>
      <c r="AB52" s="2270"/>
      <c r="AC52" s="2270"/>
      <c r="AD52" s="2270"/>
      <c r="AE52" s="2270"/>
      <c r="AF52" s="2270"/>
      <c r="AG52" s="2270"/>
      <c r="AH52" s="2270"/>
    </row>
    <row r="53" spans="1:34" s="2287" customFormat="1" ht="16.5" customHeight="1">
      <c r="A53" s="3460" t="s">
        <v>3695</v>
      </c>
      <c r="B53" s="3459"/>
      <c r="C53" s="2311">
        <v>0</v>
      </c>
      <c r="D53" s="2311">
        <v>0</v>
      </c>
      <c r="E53" s="2313">
        <v>0</v>
      </c>
      <c r="F53" s="2313">
        <v>0</v>
      </c>
      <c r="G53" s="2313">
        <v>0</v>
      </c>
      <c r="H53" s="2310">
        <v>45.35</v>
      </c>
      <c r="I53" s="2313">
        <v>0</v>
      </c>
      <c r="J53" s="2310">
        <v>174</v>
      </c>
      <c r="K53" s="2310">
        <f>188+1</f>
        <v>189</v>
      </c>
      <c r="L53" s="2310">
        <v>9</v>
      </c>
      <c r="M53" s="2270"/>
      <c r="N53" s="2301"/>
      <c r="O53" s="2301"/>
      <c r="P53" s="2270"/>
      <c r="Q53" s="2270"/>
      <c r="R53" s="2270"/>
      <c r="S53" s="2270"/>
      <c r="T53" s="2270"/>
      <c r="U53" s="2270"/>
      <c r="V53" s="2270"/>
      <c r="W53" s="2270"/>
      <c r="X53" s="2270"/>
      <c r="Y53" s="2270"/>
      <c r="Z53" s="2270"/>
      <c r="AA53" s="2270"/>
      <c r="AB53" s="2270"/>
      <c r="AC53" s="2270"/>
      <c r="AD53" s="2270"/>
      <c r="AE53" s="2270"/>
      <c r="AF53" s="2270"/>
      <c r="AG53" s="2270"/>
      <c r="AH53" s="2270"/>
    </row>
    <row r="54" spans="1:34" s="2287" customFormat="1" ht="16.5" customHeight="1">
      <c r="A54" s="2306" t="s">
        <v>3696</v>
      </c>
      <c r="B54" s="2307"/>
      <c r="C54" s="2308">
        <f t="shared" ref="C54:J54" si="5">C55+C58</f>
        <v>2</v>
      </c>
      <c r="D54" s="2308">
        <f t="shared" si="5"/>
        <v>30.9</v>
      </c>
      <c r="E54" s="2310">
        <f t="shared" si="5"/>
        <v>45.099999999999994</v>
      </c>
      <c r="F54" s="2310">
        <f t="shared" si="5"/>
        <v>12</v>
      </c>
      <c r="G54" s="2310">
        <f t="shared" si="5"/>
        <v>1702.8</v>
      </c>
      <c r="H54" s="2310">
        <v>928.4</v>
      </c>
      <c r="I54" s="2310">
        <v>1370.2</v>
      </c>
      <c r="J54" s="2310">
        <f t="shared" si="5"/>
        <v>401</v>
      </c>
      <c r="K54" s="2310">
        <f>K55+K58</f>
        <v>88.2</v>
      </c>
      <c r="L54" s="2313">
        <f>L55+L56</f>
        <v>0</v>
      </c>
      <c r="M54" s="2270"/>
      <c r="N54" s="2301"/>
      <c r="O54" s="2301"/>
      <c r="P54" s="2270"/>
      <c r="Q54" s="2270"/>
      <c r="R54" s="2270"/>
      <c r="S54" s="2270"/>
      <c r="T54" s="2270"/>
      <c r="U54" s="2270"/>
      <c r="V54" s="2270"/>
      <c r="W54" s="2270"/>
      <c r="X54" s="2270"/>
      <c r="Y54" s="2270"/>
      <c r="Z54" s="2270"/>
      <c r="AA54" s="2270"/>
      <c r="AB54" s="2270"/>
      <c r="AC54" s="2270"/>
      <c r="AD54" s="2270"/>
      <c r="AE54" s="2270"/>
      <c r="AF54" s="2270"/>
      <c r="AG54" s="2270"/>
      <c r="AH54" s="2270"/>
    </row>
    <row r="55" spans="1:34" s="2287" customFormat="1" ht="16.5" customHeight="1">
      <c r="A55" s="3460" t="s">
        <v>3697</v>
      </c>
      <c r="B55" s="3459"/>
      <c r="C55" s="2308">
        <v>2</v>
      </c>
      <c r="D55" s="2309">
        <f>D56</f>
        <v>30.9</v>
      </c>
      <c r="E55" s="2319">
        <f>E56</f>
        <v>27.4</v>
      </c>
      <c r="F55" s="2319">
        <f>F56</f>
        <v>12</v>
      </c>
      <c r="G55" s="2319">
        <f>G56</f>
        <v>1027</v>
      </c>
      <c r="H55" s="2319">
        <v>677</v>
      </c>
      <c r="I55" s="2319">
        <v>556</v>
      </c>
      <c r="J55" s="2310">
        <v>360</v>
      </c>
      <c r="K55" s="2313">
        <f>K56+K57</f>
        <v>0</v>
      </c>
      <c r="L55" s="2313">
        <f>L56+L57</f>
        <v>0</v>
      </c>
      <c r="M55" s="2270"/>
      <c r="N55" s="2301"/>
      <c r="O55" s="2301"/>
      <c r="P55" s="2270"/>
      <c r="Q55" s="2270"/>
      <c r="R55" s="2270"/>
      <c r="S55" s="2270"/>
      <c r="T55" s="2270"/>
      <c r="U55" s="2270"/>
      <c r="V55" s="2270"/>
      <c r="W55" s="2270"/>
      <c r="X55" s="2270"/>
      <c r="Y55" s="2270"/>
      <c r="Z55" s="2270"/>
      <c r="AA55" s="2270"/>
      <c r="AB55" s="2270"/>
      <c r="AC55" s="2270"/>
      <c r="AD55" s="2270"/>
      <c r="AE55" s="2270"/>
      <c r="AF55" s="2270"/>
      <c r="AG55" s="2270"/>
      <c r="AH55" s="2270"/>
    </row>
    <row r="56" spans="1:34" s="2287" customFormat="1" ht="16.5" customHeight="1">
      <c r="A56" s="2320" t="s">
        <v>3657</v>
      </c>
      <c r="B56" s="2307"/>
      <c r="C56" s="2308"/>
      <c r="D56" s="2309">
        <v>30.9</v>
      </c>
      <c r="E56" s="2310">
        <v>27.4</v>
      </c>
      <c r="F56" s="2310">
        <v>12</v>
      </c>
      <c r="G56" s="2310">
        <v>1027</v>
      </c>
      <c r="H56" s="2310">
        <v>61</v>
      </c>
      <c r="I56" s="2310">
        <v>308.2</v>
      </c>
      <c r="J56" s="2310">
        <v>21</v>
      </c>
      <c r="K56" s="2313">
        <v>0</v>
      </c>
      <c r="L56" s="2313">
        <v>0</v>
      </c>
      <c r="M56" s="2270"/>
      <c r="N56" s="2301"/>
      <c r="O56" s="2301"/>
      <c r="P56" s="2270"/>
      <c r="Q56" s="2270"/>
      <c r="R56" s="2270"/>
      <c r="S56" s="2270"/>
      <c r="T56" s="2270"/>
      <c r="U56" s="2270"/>
      <c r="V56" s="2270"/>
      <c r="W56" s="2270"/>
      <c r="X56" s="2270"/>
      <c r="Y56" s="2270"/>
      <c r="Z56" s="2270"/>
      <c r="AA56" s="2270"/>
      <c r="AB56" s="2270"/>
      <c r="AC56" s="2270"/>
      <c r="AD56" s="2270"/>
      <c r="AE56" s="2270"/>
      <c r="AF56" s="2270"/>
      <c r="AG56" s="2270"/>
      <c r="AH56" s="2270"/>
    </row>
    <row r="57" spans="1:34" s="2287" customFormat="1" ht="16.5" customHeight="1">
      <c r="A57" s="2320" t="s">
        <v>2168</v>
      </c>
      <c r="B57" s="2307"/>
      <c r="C57" s="2308"/>
      <c r="D57" s="2311">
        <v>0</v>
      </c>
      <c r="E57" s="2313">
        <v>0</v>
      </c>
      <c r="F57" s="2313">
        <v>0</v>
      </c>
      <c r="G57" s="2313">
        <v>0</v>
      </c>
      <c r="H57" s="2310">
        <v>616</v>
      </c>
      <c r="I57" s="2310">
        <v>247.8</v>
      </c>
      <c r="J57" s="2310">
        <v>339</v>
      </c>
      <c r="K57" s="2313">
        <v>0</v>
      </c>
      <c r="L57" s="2313">
        <v>0</v>
      </c>
      <c r="M57" s="2270"/>
      <c r="N57" s="2301"/>
      <c r="O57" s="2301"/>
      <c r="P57" s="2270"/>
      <c r="Q57" s="2270"/>
      <c r="R57" s="2270"/>
      <c r="S57" s="2270"/>
      <c r="T57" s="2270"/>
      <c r="U57" s="2270"/>
      <c r="V57" s="2270"/>
      <c r="W57" s="2270"/>
      <c r="X57" s="2270"/>
      <c r="Y57" s="2270"/>
      <c r="Z57" s="2270"/>
      <c r="AA57" s="2270"/>
      <c r="AB57" s="2270"/>
      <c r="AC57" s="2270"/>
      <c r="AD57" s="2270"/>
      <c r="AE57" s="2270"/>
      <c r="AF57" s="2270"/>
      <c r="AG57" s="2270"/>
      <c r="AH57" s="2270"/>
    </row>
    <row r="58" spans="1:34" s="2287" customFormat="1" ht="16.5" customHeight="1">
      <c r="A58" s="3460" t="s">
        <v>3698</v>
      </c>
      <c r="B58" s="3459"/>
      <c r="C58" s="2311">
        <v>0</v>
      </c>
      <c r="D58" s="2311">
        <v>0</v>
      </c>
      <c r="E58" s="2310">
        <f>E59+E60</f>
        <v>17.7</v>
      </c>
      <c r="F58" s="2313">
        <v>0</v>
      </c>
      <c r="G58" s="2310">
        <f>G59+G60</f>
        <v>675.8</v>
      </c>
      <c r="H58" s="2310">
        <v>251</v>
      </c>
      <c r="I58" s="2310">
        <v>814.2</v>
      </c>
      <c r="J58" s="2310">
        <v>41</v>
      </c>
      <c r="K58" s="2310">
        <f>K59+K60</f>
        <v>88.2</v>
      </c>
      <c r="L58" s="2313">
        <v>0</v>
      </c>
      <c r="M58" s="2270"/>
      <c r="N58" s="2301"/>
      <c r="O58" s="2301"/>
      <c r="P58" s="2270"/>
      <c r="Q58" s="2270"/>
      <c r="R58" s="2270"/>
      <c r="S58" s="2270"/>
      <c r="T58" s="2270"/>
      <c r="U58" s="2270"/>
      <c r="V58" s="2270"/>
      <c r="W58" s="2270"/>
      <c r="X58" s="2270"/>
      <c r="Y58" s="2270"/>
      <c r="Z58" s="2270"/>
      <c r="AA58" s="2270"/>
      <c r="AB58" s="2270"/>
      <c r="AC58" s="2270"/>
      <c r="AD58" s="2270"/>
      <c r="AE58" s="2270"/>
      <c r="AF58" s="2270"/>
      <c r="AG58" s="2270"/>
      <c r="AH58" s="2270"/>
    </row>
    <row r="59" spans="1:34" s="2287" customFormat="1" ht="16.5" customHeight="1">
      <c r="A59" s="2320" t="s">
        <v>3659</v>
      </c>
      <c r="B59" s="2321"/>
      <c r="C59" s="2322"/>
      <c r="D59" s="2311">
        <v>0</v>
      </c>
      <c r="E59" s="2313">
        <v>0</v>
      </c>
      <c r="F59" s="2313">
        <v>0</v>
      </c>
      <c r="G59" s="2313">
        <v>0</v>
      </c>
      <c r="H59" s="2313">
        <v>0</v>
      </c>
      <c r="I59" s="2319">
        <v>2.2000000000000002</v>
      </c>
      <c r="J59" s="2310">
        <v>6</v>
      </c>
      <c r="K59" s="2313">
        <v>0</v>
      </c>
      <c r="L59" s="2313">
        <v>0</v>
      </c>
      <c r="M59" s="2270"/>
      <c r="N59" s="2301"/>
      <c r="O59" s="2301"/>
      <c r="P59" s="2270"/>
      <c r="Q59" s="2270"/>
      <c r="R59" s="2270"/>
      <c r="S59" s="2270"/>
      <c r="T59" s="2270"/>
      <c r="U59" s="2270"/>
      <c r="V59" s="2270"/>
      <c r="W59" s="2270"/>
      <c r="X59" s="2270"/>
      <c r="Y59" s="2270"/>
      <c r="Z59" s="2270"/>
      <c r="AA59" s="2270"/>
      <c r="AB59" s="2270"/>
      <c r="AC59" s="2270"/>
      <c r="AD59" s="2270"/>
      <c r="AE59" s="2270"/>
      <c r="AF59" s="2270"/>
      <c r="AG59" s="2270"/>
      <c r="AH59" s="2270"/>
    </row>
    <row r="60" spans="1:34" s="2287" customFormat="1" ht="16.5" customHeight="1">
      <c r="A60" s="2320" t="s">
        <v>2168</v>
      </c>
      <c r="B60" s="2321"/>
      <c r="C60" s="2322"/>
      <c r="D60" s="2311">
        <v>0</v>
      </c>
      <c r="E60" s="2310">
        <f>1.7+16</f>
        <v>17.7</v>
      </c>
      <c r="F60" s="2313">
        <v>0</v>
      </c>
      <c r="G60" s="2310">
        <f>23+36+616.8</f>
        <v>675.8</v>
      </c>
      <c r="H60" s="2310">
        <v>251.4</v>
      </c>
      <c r="I60" s="2310">
        <v>812</v>
      </c>
      <c r="J60" s="2310">
        <v>35</v>
      </c>
      <c r="K60" s="2310">
        <f>13+74+0.3+0.9</f>
        <v>88.2</v>
      </c>
      <c r="L60" s="2313">
        <v>0</v>
      </c>
      <c r="M60" s="2270"/>
      <c r="N60" s="2301"/>
      <c r="O60" s="2301"/>
      <c r="P60" s="2270"/>
      <c r="Q60" s="2270"/>
      <c r="R60" s="2270"/>
      <c r="S60" s="2270"/>
      <c r="T60" s="2270"/>
      <c r="U60" s="2270"/>
      <c r="V60" s="2270"/>
      <c r="W60" s="2270"/>
      <c r="X60" s="2270"/>
      <c r="Y60" s="2270"/>
      <c r="Z60" s="2270"/>
      <c r="AA60" s="2270"/>
      <c r="AB60" s="2270"/>
      <c r="AC60" s="2270"/>
      <c r="AD60" s="2270"/>
      <c r="AE60" s="2270"/>
      <c r="AF60" s="2270"/>
      <c r="AG60" s="2270"/>
      <c r="AH60" s="2270"/>
    </row>
    <row r="61" spans="1:34" s="2287" customFormat="1" ht="16.5" customHeight="1">
      <c r="A61" s="2323" t="s">
        <v>3699</v>
      </c>
      <c r="B61" s="2321"/>
      <c r="C61" s="2322"/>
      <c r="D61" s="2309">
        <v>34.700000000000003</v>
      </c>
      <c r="E61" s="2319">
        <v>3.5</v>
      </c>
      <c r="F61" s="2319">
        <v>11.35</v>
      </c>
      <c r="G61" s="2313">
        <v>0</v>
      </c>
      <c r="H61" s="2319">
        <v>218</v>
      </c>
      <c r="I61" s="2319">
        <v>45</v>
      </c>
      <c r="J61" s="2310">
        <v>222</v>
      </c>
      <c r="K61" s="2310">
        <v>43</v>
      </c>
      <c r="L61" s="2310">
        <v>8</v>
      </c>
      <c r="M61" s="2270"/>
      <c r="N61" s="2301"/>
      <c r="O61" s="2301"/>
      <c r="P61" s="2270"/>
      <c r="Q61" s="2270"/>
      <c r="R61" s="2270"/>
      <c r="S61" s="2270"/>
      <c r="T61" s="2270"/>
      <c r="U61" s="2270"/>
      <c r="V61" s="2270"/>
      <c r="W61" s="2270"/>
      <c r="X61" s="2270"/>
      <c r="Y61" s="2270"/>
      <c r="Z61" s="2270"/>
      <c r="AA61" s="2270"/>
      <c r="AB61" s="2270"/>
      <c r="AC61" s="2270"/>
      <c r="AD61" s="2270"/>
      <c r="AE61" s="2270"/>
      <c r="AF61" s="2270"/>
      <c r="AG61" s="2270"/>
      <c r="AH61" s="2270"/>
    </row>
    <row r="62" spans="1:34" s="2287" customFormat="1" ht="12.75" customHeight="1">
      <c r="A62" s="2324" t="s">
        <v>3700</v>
      </c>
      <c r="B62" s="2325"/>
      <c r="C62" s="2326">
        <v>114.907</v>
      </c>
      <c r="D62" s="2326">
        <v>30.811</v>
      </c>
      <c r="E62" s="2327">
        <v>0</v>
      </c>
      <c r="F62" s="2327">
        <v>0</v>
      </c>
      <c r="G62" s="2327">
        <v>0</v>
      </c>
      <c r="H62" s="2328">
        <v>88</v>
      </c>
      <c r="I62" s="2327">
        <v>0</v>
      </c>
      <c r="J62" s="2328">
        <v>8</v>
      </c>
      <c r="K62" s="2327">
        <v>0</v>
      </c>
      <c r="L62" s="2327">
        <v>0</v>
      </c>
      <c r="M62" s="2270"/>
      <c r="N62" s="2301"/>
      <c r="O62" s="2301"/>
      <c r="P62" s="2270"/>
      <c r="Q62" s="2270"/>
      <c r="R62" s="2270"/>
      <c r="S62" s="2270"/>
      <c r="T62" s="2270"/>
      <c r="U62" s="2270"/>
      <c r="V62" s="2270"/>
      <c r="W62" s="2270"/>
      <c r="X62" s="2270"/>
      <c r="Y62" s="2270"/>
      <c r="Z62" s="2270"/>
      <c r="AA62" s="2270"/>
      <c r="AB62" s="2270"/>
      <c r="AC62" s="2270"/>
      <c r="AD62" s="2270"/>
      <c r="AE62" s="2270"/>
      <c r="AF62" s="2270"/>
      <c r="AG62" s="2270"/>
      <c r="AH62" s="2270"/>
    </row>
    <row r="63" spans="1:34" s="2329" customFormat="1" ht="39" customHeight="1">
      <c r="A63" s="3461" t="s">
        <v>3662</v>
      </c>
      <c r="B63" s="3461"/>
      <c r="C63" s="3461"/>
      <c r="D63" s="3461"/>
      <c r="E63" s="3461"/>
      <c r="F63" s="3461"/>
      <c r="G63" s="3461"/>
      <c r="H63" s="3461"/>
      <c r="I63" s="3461"/>
      <c r="J63" s="3461"/>
      <c r="K63" s="3461"/>
      <c r="L63" s="3461"/>
    </row>
    <row r="64" spans="1:34" s="2329" customFormat="1" ht="13.5" customHeight="1">
      <c r="A64" s="3462" t="s">
        <v>3663</v>
      </c>
      <c r="B64" s="3462"/>
      <c r="C64" s="3462"/>
      <c r="D64" s="3462"/>
      <c r="E64" s="3462"/>
      <c r="F64" s="3462"/>
      <c r="G64" s="3462"/>
      <c r="H64" s="3462"/>
      <c r="I64" s="3462"/>
      <c r="J64" s="3462"/>
      <c r="K64" s="3462"/>
      <c r="L64" s="3462"/>
    </row>
    <row r="65" spans="1:12" s="2329" customFormat="1" ht="13.5">
      <c r="A65" s="2330" t="s">
        <v>2346</v>
      </c>
      <c r="B65" s="2331"/>
      <c r="C65" s="2331"/>
      <c r="D65" s="2331"/>
      <c r="E65" s="2331"/>
      <c r="F65" s="2331"/>
      <c r="H65" s="3430"/>
      <c r="I65" s="3448"/>
      <c r="J65" s="3448"/>
      <c r="K65" s="2260"/>
      <c r="L65" s="2260"/>
    </row>
    <row r="66" spans="1:12" s="2329" customFormat="1" ht="12">
      <c r="A66" s="2330" t="s">
        <v>2053</v>
      </c>
    </row>
    <row r="67" spans="1:12" s="2266" customFormat="1" ht="12">
      <c r="E67" s="2332"/>
      <c r="F67" s="2333"/>
    </row>
    <row r="68" spans="1:12" s="2266" customFormat="1" ht="12">
      <c r="E68" s="2332"/>
      <c r="F68" s="2332"/>
    </row>
    <row r="69" spans="1:12" s="2266" customFormat="1" ht="12">
      <c r="E69" s="2332"/>
      <c r="F69" s="2332"/>
    </row>
    <row r="70" spans="1:12" s="2266" customFormat="1" ht="12">
      <c r="E70" s="2332"/>
      <c r="F70" s="2332"/>
    </row>
    <row r="71" spans="1:12" s="2266" customFormat="1" ht="12">
      <c r="E71" s="2332"/>
      <c r="F71" s="2332"/>
    </row>
    <row r="72" spans="1:12" s="2266" customFormat="1" ht="12">
      <c r="E72" s="2332"/>
      <c r="F72" s="2332"/>
    </row>
    <row r="73" spans="1:12" s="2266" customFormat="1" ht="12">
      <c r="E73" s="2270"/>
      <c r="F73" s="2270"/>
    </row>
    <row r="74" spans="1:12" s="2266" customFormat="1" ht="12">
      <c r="E74" s="2270"/>
      <c r="F74" s="2270"/>
    </row>
    <row r="75" spans="1:12" s="2266" customFormat="1" ht="12">
      <c r="E75" s="2270"/>
      <c r="F75" s="2270"/>
    </row>
    <row r="76" spans="1:12" s="2266" customFormat="1" ht="12">
      <c r="E76" s="2270"/>
      <c r="F76" s="2270"/>
    </row>
    <row r="77" spans="1:12" s="2266" customFormat="1" ht="12">
      <c r="E77" s="2270"/>
      <c r="F77" s="2270"/>
    </row>
    <row r="78" spans="1:12" s="2266" customFormat="1" ht="12">
      <c r="E78" s="2270"/>
      <c r="F78" s="2270"/>
    </row>
    <row r="79" spans="1:12" ht="12">
      <c r="E79" s="2271"/>
      <c r="F79" s="2271"/>
    </row>
  </sheetData>
  <mergeCells count="24">
    <mergeCell ref="L4:L5"/>
    <mergeCell ref="A4:A5"/>
    <mergeCell ref="B4:B5"/>
    <mergeCell ref="C4:C5"/>
    <mergeCell ref="D4:D5"/>
    <mergeCell ref="E4:E5"/>
    <mergeCell ref="F4:F5"/>
    <mergeCell ref="G4:G5"/>
    <mergeCell ref="H4:H5"/>
    <mergeCell ref="I4:I5"/>
    <mergeCell ref="J4:J5"/>
    <mergeCell ref="K4:K5"/>
    <mergeCell ref="H65:J65"/>
    <mergeCell ref="A24:B24"/>
    <mergeCell ref="A25:K25"/>
    <mergeCell ref="A30:B30"/>
    <mergeCell ref="A31:B31"/>
    <mergeCell ref="A32:B32"/>
    <mergeCell ref="A52:B52"/>
    <mergeCell ref="A53:B53"/>
    <mergeCell ref="A55:B55"/>
    <mergeCell ref="A58:B58"/>
    <mergeCell ref="A63:L63"/>
    <mergeCell ref="A64:L64"/>
  </mergeCells>
  <printOptions horizontalCentered="1" verticalCentered="1"/>
  <pageMargins left="0" right="0" top="0" bottom="0" header="0.31496062992125984" footer="0.11811023622047245"/>
  <pageSetup paperSize="9" scale="68"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zoomScaleNormal="100" workbookViewId="0">
      <selection activeCell="N9" sqref="N9"/>
    </sheetView>
  </sheetViews>
  <sheetFormatPr defaultRowHeight="15"/>
  <cols>
    <col min="1" max="1" width="30.5703125" style="2335" customWidth="1"/>
    <col min="2" max="2" width="16.7109375" style="2335" customWidth="1"/>
    <col min="3" max="3" width="30.5703125" style="2335" customWidth="1"/>
    <col min="4" max="4" width="19.85546875" style="2335" customWidth="1"/>
    <col min="5" max="5" width="18.7109375" style="2335" customWidth="1"/>
    <col min="6" max="16384" width="9.140625" style="2335"/>
  </cols>
  <sheetData>
    <row r="2" spans="1:4" ht="42" customHeight="1">
      <c r="A2" s="3469" t="s">
        <v>3701</v>
      </c>
      <c r="B2" s="3469"/>
      <c r="C2" s="3469"/>
      <c r="D2" s="3469"/>
    </row>
    <row r="3" spans="1:4" ht="30" customHeight="1" thickBot="1">
      <c r="A3" s="2336"/>
      <c r="B3" s="2336"/>
      <c r="C3" s="2336"/>
      <c r="D3" s="2337" t="s">
        <v>3702</v>
      </c>
    </row>
    <row r="4" spans="1:4" ht="53.25" customHeight="1" thickBot="1">
      <c r="A4" s="3470" t="s">
        <v>3703</v>
      </c>
      <c r="B4" s="3471"/>
      <c r="C4" s="3470" t="s">
        <v>3704</v>
      </c>
      <c r="D4" s="3470"/>
    </row>
    <row r="5" spans="1:4" ht="41.25" customHeight="1" thickBot="1">
      <c r="A5" s="2338" t="s">
        <v>3705</v>
      </c>
      <c r="B5" s="2339">
        <v>282002</v>
      </c>
      <c r="C5" s="2338" t="s">
        <v>3706</v>
      </c>
      <c r="D5" s="2340">
        <v>226835</v>
      </c>
    </row>
    <row r="6" spans="1:4" s="2344" customFormat="1" ht="30" customHeight="1">
      <c r="A6" s="2341" t="s">
        <v>3707</v>
      </c>
      <c r="B6" s="2342">
        <v>54130.7</v>
      </c>
      <c r="C6" s="2341" t="s">
        <v>3657</v>
      </c>
      <c r="D6" s="2343">
        <v>108074.26</v>
      </c>
    </row>
    <row r="7" spans="1:4" s="2344" customFormat="1" ht="30" customHeight="1">
      <c r="A7" s="2345" t="s">
        <v>3657</v>
      </c>
      <c r="B7" s="2346">
        <v>22879.24</v>
      </c>
      <c r="C7" s="2345" t="s">
        <v>3708</v>
      </c>
      <c r="D7" s="2347">
        <v>18519.77</v>
      </c>
    </row>
    <row r="8" spans="1:4" s="2344" customFormat="1" ht="30" customHeight="1">
      <c r="A8" s="2345" t="s">
        <v>3709</v>
      </c>
      <c r="B8" s="2346">
        <v>20882.86</v>
      </c>
      <c r="C8" s="2345" t="s">
        <v>3710</v>
      </c>
      <c r="D8" s="2347">
        <v>10807.28</v>
      </c>
    </row>
    <row r="9" spans="1:4" s="2344" customFormat="1" ht="30" customHeight="1">
      <c r="A9" s="2345" t="s">
        <v>3711</v>
      </c>
      <c r="B9" s="2346">
        <v>20546.650000000001</v>
      </c>
      <c r="C9" s="2345" t="s">
        <v>3707</v>
      </c>
      <c r="D9" s="2347">
        <v>9569.2099999999991</v>
      </c>
    </row>
    <row r="10" spans="1:4" s="2344" customFormat="1" ht="30" customHeight="1">
      <c r="A10" s="2345" t="s">
        <v>3710</v>
      </c>
      <c r="B10" s="2346">
        <v>13456.65</v>
      </c>
      <c r="C10" s="2345" t="s">
        <v>3712</v>
      </c>
      <c r="D10" s="2347">
        <v>5044.97</v>
      </c>
    </row>
    <row r="11" spans="1:4" s="2344" customFormat="1" ht="30" customHeight="1">
      <c r="A11" s="2345" t="s">
        <v>3713</v>
      </c>
      <c r="B11" s="2346">
        <v>13448.75</v>
      </c>
      <c r="C11" s="2345" t="s">
        <v>3714</v>
      </c>
      <c r="D11" s="2347">
        <v>4701.59</v>
      </c>
    </row>
    <row r="12" spans="1:4" s="2344" customFormat="1" ht="30" customHeight="1">
      <c r="A12" s="2345" t="s">
        <v>3715</v>
      </c>
      <c r="B12" s="2346">
        <v>10718.54</v>
      </c>
      <c r="C12" s="2345" t="s">
        <v>3715</v>
      </c>
      <c r="D12" s="2347">
        <v>3580.19</v>
      </c>
    </row>
    <row r="13" spans="1:4" s="2344" customFormat="1" ht="30" customHeight="1">
      <c r="A13" s="2345" t="s">
        <v>3716</v>
      </c>
      <c r="B13" s="2346">
        <v>9861.6</v>
      </c>
      <c r="C13" s="2345" t="s">
        <v>3709</v>
      </c>
      <c r="D13" s="2347">
        <v>3354.11</v>
      </c>
    </row>
    <row r="14" spans="1:4" s="2344" customFormat="1" ht="30" customHeight="1">
      <c r="A14" s="2345" t="s">
        <v>3717</v>
      </c>
      <c r="B14" s="2346">
        <v>9188.35</v>
      </c>
      <c r="C14" s="2345" t="s">
        <v>3713</v>
      </c>
      <c r="D14" s="2347">
        <v>2946.86</v>
      </c>
    </row>
    <row r="15" spans="1:4" s="2344" customFormat="1" ht="30" customHeight="1" thickBot="1">
      <c r="A15" s="2348" t="s">
        <v>3708</v>
      </c>
      <c r="B15" s="2349">
        <v>6822.88</v>
      </c>
      <c r="C15" s="2348" t="s">
        <v>3711</v>
      </c>
      <c r="D15" s="2350">
        <v>2770.36</v>
      </c>
    </row>
    <row r="16" spans="1:4" s="2344" customFormat="1" ht="17.25" customHeight="1">
      <c r="A16" s="3472" t="s">
        <v>3718</v>
      </c>
      <c r="B16" s="3472"/>
      <c r="C16" s="3472"/>
      <c r="D16" s="3472"/>
    </row>
    <row r="17" spans="1:2">
      <c r="A17" s="2351" t="s">
        <v>3719</v>
      </c>
      <c r="B17" s="2352"/>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5"/>
  <sheetViews>
    <sheetView zoomScale="64" zoomScaleNormal="64" zoomScaleSheetLayoutView="70" workbookViewId="0">
      <pane xSplit="2" ySplit="4" topLeftCell="C5" activePane="bottomRight" state="frozen"/>
      <selection pane="topRight" activeCell="C1" sqref="C1"/>
      <selection pane="bottomLeft" activeCell="A6" sqref="A6"/>
      <selection pane="bottomRight" activeCell="N7" sqref="N7"/>
    </sheetView>
  </sheetViews>
  <sheetFormatPr defaultRowHeight="19.5"/>
  <cols>
    <col min="1" max="1" width="4.85546875" style="2412" customWidth="1"/>
    <col min="2" max="2" width="57.28515625" style="2366" customWidth="1"/>
    <col min="3" max="3" width="16.5703125" style="2353" customWidth="1"/>
    <col min="4" max="4" width="18" style="2353" customWidth="1"/>
    <col min="5" max="5" width="18.140625" style="2353" customWidth="1"/>
    <col min="6" max="6" width="20" style="2353" customWidth="1"/>
    <col min="7" max="8" width="17.85546875" style="2353" customWidth="1"/>
    <col min="9" max="9" width="16" style="2353" customWidth="1"/>
    <col min="10" max="10" width="13.28515625" style="2353" bestFit="1" customWidth="1"/>
    <col min="11" max="16384" width="9.140625" style="2353"/>
  </cols>
  <sheetData>
    <row r="1" spans="1:9" ht="27" customHeight="1">
      <c r="A1" s="3475" t="s">
        <v>3720</v>
      </c>
      <c r="B1" s="3476"/>
      <c r="C1" s="3476"/>
      <c r="D1" s="3476"/>
      <c r="E1" s="3476"/>
      <c r="F1" s="3476"/>
      <c r="G1" s="3476"/>
      <c r="H1" s="3476"/>
    </row>
    <row r="2" spans="1:9" ht="34.5" customHeight="1" thickBot="1">
      <c r="A2" s="2354"/>
      <c r="B2" s="2355"/>
      <c r="C2" s="2356"/>
      <c r="D2" s="2356"/>
      <c r="E2" s="2356"/>
      <c r="F2" s="2356"/>
      <c r="G2" s="2356"/>
      <c r="H2" s="2356" t="s">
        <v>49</v>
      </c>
      <c r="I2" s="2356"/>
    </row>
    <row r="3" spans="1:9" s="2358" customFormat="1" ht="45.75" customHeight="1" thickBot="1">
      <c r="A3" s="3477"/>
      <c r="B3" s="3479"/>
      <c r="C3" s="3481" t="s">
        <v>3721</v>
      </c>
      <c r="D3" s="3482"/>
      <c r="E3" s="3482"/>
      <c r="F3" s="3482"/>
      <c r="G3" s="3483" t="s">
        <v>3722</v>
      </c>
      <c r="H3" s="2357" t="s">
        <v>3723</v>
      </c>
    </row>
    <row r="4" spans="1:9" s="2358" customFormat="1" ht="79.5" customHeight="1">
      <c r="A4" s="3478"/>
      <c r="B4" s="3480"/>
      <c r="C4" s="2359" t="s">
        <v>3724</v>
      </c>
      <c r="D4" s="2359" t="s">
        <v>3725</v>
      </c>
      <c r="E4" s="2360" t="s">
        <v>3726</v>
      </c>
      <c r="F4" s="2361" t="s">
        <v>3727</v>
      </c>
      <c r="G4" s="3484"/>
      <c r="H4" s="2359" t="s">
        <v>3724</v>
      </c>
    </row>
    <row r="5" spans="1:9" s="2366" customFormat="1" ht="17.25" customHeight="1">
      <c r="A5" s="2362"/>
      <c r="B5" s="2363"/>
      <c r="C5" s="2364"/>
      <c r="D5" s="2365"/>
      <c r="E5" s="2365"/>
      <c r="F5" s="2365"/>
      <c r="G5" s="2365"/>
      <c r="H5" s="2365"/>
    </row>
    <row r="6" spans="1:9" s="2369" customFormat="1" ht="27.75" customHeight="1">
      <c r="A6" s="2362" t="s">
        <v>3728</v>
      </c>
      <c r="B6" s="2367" t="s">
        <v>3729</v>
      </c>
      <c r="C6" s="2368">
        <f t="shared" ref="C6:H6" si="0">C7+C41+C71</f>
        <v>-6766</v>
      </c>
      <c r="D6" s="2368">
        <f t="shared" si="0"/>
        <v>-3398</v>
      </c>
      <c r="E6" s="2368">
        <f t="shared" si="0"/>
        <v>-8120</v>
      </c>
      <c r="F6" s="2368">
        <f t="shared" si="0"/>
        <v>-3111</v>
      </c>
      <c r="G6" s="2368">
        <f t="shared" si="0"/>
        <v>-21395</v>
      </c>
      <c r="H6" s="2368">
        <f t="shared" si="0"/>
        <v>-5938</v>
      </c>
    </row>
    <row r="7" spans="1:9" s="2369" customFormat="1" ht="27.75" customHeight="1">
      <c r="A7" s="2362" t="s">
        <v>3730</v>
      </c>
      <c r="B7" s="2367" t="s">
        <v>3731</v>
      </c>
      <c r="C7" s="2368">
        <f t="shared" ref="C7:H7" si="1">C8+C18</f>
        <v>-8196</v>
      </c>
      <c r="D7" s="2368">
        <f t="shared" si="1"/>
        <v>-8501</v>
      </c>
      <c r="E7" s="2368">
        <f t="shared" si="1"/>
        <v>-14246</v>
      </c>
      <c r="F7" s="2368">
        <f t="shared" si="1"/>
        <v>-16868</v>
      </c>
      <c r="G7" s="2368">
        <f t="shared" si="1"/>
        <v>-47811</v>
      </c>
      <c r="H7" s="2368">
        <f t="shared" si="1"/>
        <v>-8104</v>
      </c>
    </row>
    <row r="8" spans="1:9" s="2369" customFormat="1" ht="27.75" customHeight="1">
      <c r="A8" s="2362"/>
      <c r="B8" s="2367" t="s">
        <v>3732</v>
      </c>
      <c r="C8" s="2368">
        <f t="shared" ref="C8:H8" si="2">C9+C10</f>
        <v>-13571</v>
      </c>
      <c r="D8" s="2368">
        <f t="shared" si="2"/>
        <v>-15458</v>
      </c>
      <c r="E8" s="2368">
        <f t="shared" si="2"/>
        <v>-18251</v>
      </c>
      <c r="F8" s="2368">
        <f t="shared" si="2"/>
        <v>-21685</v>
      </c>
      <c r="G8" s="2368">
        <f t="shared" si="2"/>
        <v>-68965</v>
      </c>
      <c r="H8" s="2368">
        <f t="shared" si="2"/>
        <v>-13405</v>
      </c>
    </row>
    <row r="9" spans="1:9" s="2366" customFormat="1" ht="27.75" customHeight="1">
      <c r="A9" s="2362"/>
      <c r="B9" s="2370" t="s">
        <v>3733</v>
      </c>
      <c r="C9" s="2371">
        <f t="shared" ref="C9:H10" si="3">C12+C15</f>
        <v>20467</v>
      </c>
      <c r="D9" s="2371">
        <f t="shared" si="3"/>
        <v>24552</v>
      </c>
      <c r="E9" s="2371">
        <f t="shared" si="3"/>
        <v>25422</v>
      </c>
      <c r="F9" s="2371">
        <f t="shared" si="3"/>
        <v>24750</v>
      </c>
      <c r="G9" s="2371">
        <f t="shared" si="3"/>
        <v>95191</v>
      </c>
      <c r="H9" s="2371">
        <f t="shared" si="3"/>
        <v>23349</v>
      </c>
    </row>
    <row r="10" spans="1:9" s="2366" customFormat="1" ht="27.75" customHeight="1">
      <c r="A10" s="2362"/>
      <c r="B10" s="2370" t="s">
        <v>3734</v>
      </c>
      <c r="C10" s="2372">
        <f t="shared" si="3"/>
        <v>-34038</v>
      </c>
      <c r="D10" s="2372">
        <f t="shared" si="3"/>
        <v>-40010</v>
      </c>
      <c r="E10" s="2372">
        <f t="shared" si="3"/>
        <v>-43673</v>
      </c>
      <c r="F10" s="2372">
        <f t="shared" si="3"/>
        <v>-46435</v>
      </c>
      <c r="G10" s="2372">
        <f t="shared" si="3"/>
        <v>-164156</v>
      </c>
      <c r="H10" s="2372">
        <f t="shared" si="3"/>
        <v>-36754</v>
      </c>
    </row>
    <row r="11" spans="1:9" s="2366" customFormat="1" ht="27.75" customHeight="1">
      <c r="A11" s="2362"/>
      <c r="B11" s="2370" t="s">
        <v>3735</v>
      </c>
      <c r="C11" s="2371">
        <f t="shared" ref="C11:H11" si="4">C12+C13</f>
        <v>-16058</v>
      </c>
      <c r="D11" s="2371">
        <f t="shared" si="4"/>
        <v>-18217</v>
      </c>
      <c r="E11" s="2371">
        <f t="shared" si="4"/>
        <v>-20694</v>
      </c>
      <c r="F11" s="2371">
        <f t="shared" si="4"/>
        <v>-24431</v>
      </c>
      <c r="G11" s="2371">
        <f t="shared" si="4"/>
        <v>-79400</v>
      </c>
      <c r="H11" s="2371">
        <f t="shared" si="4"/>
        <v>-15472</v>
      </c>
    </row>
    <row r="12" spans="1:9" s="2366" customFormat="1" ht="27.75" customHeight="1">
      <c r="A12" s="2362"/>
      <c r="B12" s="2370" t="s">
        <v>3736</v>
      </c>
      <c r="C12" s="2371">
        <v>17217</v>
      </c>
      <c r="D12" s="2371">
        <v>21027</v>
      </c>
      <c r="E12" s="2371">
        <v>22092</v>
      </c>
      <c r="F12" s="2371">
        <v>21255</v>
      </c>
      <c r="G12" s="2371">
        <v>81591</v>
      </c>
      <c r="H12" s="2371">
        <v>20749</v>
      </c>
    </row>
    <row r="13" spans="1:9" s="2366" customFormat="1" ht="27.75" customHeight="1">
      <c r="A13" s="2362"/>
      <c r="B13" s="2370" t="s">
        <v>3737</v>
      </c>
      <c r="C13" s="2371">
        <v>-33275</v>
      </c>
      <c r="D13" s="2371">
        <v>-39244</v>
      </c>
      <c r="E13" s="2371">
        <v>-42786</v>
      </c>
      <c r="F13" s="2371">
        <v>-45686</v>
      </c>
      <c r="G13" s="2371">
        <v>-160991</v>
      </c>
      <c r="H13" s="2371">
        <v>-36221</v>
      </c>
    </row>
    <row r="14" spans="1:9" s="2366" customFormat="1" ht="27.75" customHeight="1">
      <c r="A14" s="2373"/>
      <c r="B14" s="2370" t="s">
        <v>3738</v>
      </c>
      <c r="C14" s="2372">
        <f t="shared" ref="C14:H14" si="5">C15+C16</f>
        <v>2487</v>
      </c>
      <c r="D14" s="2372">
        <f t="shared" si="5"/>
        <v>2759</v>
      </c>
      <c r="E14" s="2372">
        <f t="shared" si="5"/>
        <v>2443</v>
      </c>
      <c r="F14" s="2372">
        <f t="shared" si="5"/>
        <v>2746</v>
      </c>
      <c r="G14" s="2372">
        <f t="shared" si="5"/>
        <v>10435</v>
      </c>
      <c r="H14" s="2372">
        <f t="shared" si="5"/>
        <v>2067</v>
      </c>
    </row>
    <row r="15" spans="1:9" s="2366" customFormat="1" ht="27.75" customHeight="1">
      <c r="A15" s="2362"/>
      <c r="B15" s="2370" t="s">
        <v>3736</v>
      </c>
      <c r="C15" s="2371">
        <v>3250</v>
      </c>
      <c r="D15" s="2371">
        <v>3525</v>
      </c>
      <c r="E15" s="2371">
        <v>3330</v>
      </c>
      <c r="F15" s="2371">
        <v>3495</v>
      </c>
      <c r="G15" s="2371">
        <v>13600</v>
      </c>
      <c r="H15" s="2371">
        <v>2600</v>
      </c>
    </row>
    <row r="16" spans="1:9" s="2366" customFormat="1" ht="27.75" customHeight="1">
      <c r="A16" s="2362"/>
      <c r="B16" s="2370" t="s">
        <v>3737</v>
      </c>
      <c r="C16" s="2372">
        <v>-763</v>
      </c>
      <c r="D16" s="2372">
        <v>-766</v>
      </c>
      <c r="E16" s="2372">
        <v>-887</v>
      </c>
      <c r="F16" s="2372">
        <v>-749</v>
      </c>
      <c r="G16" s="2372">
        <v>-3165</v>
      </c>
      <c r="H16" s="2372">
        <v>-533</v>
      </c>
    </row>
    <row r="17" spans="1:12" s="2366" customFormat="1" ht="27.75" customHeight="1">
      <c r="A17" s="2362"/>
      <c r="B17" s="2370" t="s">
        <v>3739</v>
      </c>
      <c r="C17" s="2371">
        <v>-152</v>
      </c>
      <c r="D17" s="2371">
        <v>-222</v>
      </c>
      <c r="E17" s="2371">
        <v>-186</v>
      </c>
      <c r="F17" s="2371">
        <v>-152</v>
      </c>
      <c r="G17" s="2371">
        <v>-712</v>
      </c>
      <c r="H17" s="2371">
        <v>-192</v>
      </c>
    </row>
    <row r="18" spans="1:12" s="2369" customFormat="1" ht="27.75" customHeight="1">
      <c r="A18" s="2362"/>
      <c r="B18" s="2367" t="s">
        <v>3740</v>
      </c>
      <c r="C18" s="2374">
        <f t="shared" ref="C18:H18" si="6">C19+C30</f>
        <v>5375</v>
      </c>
      <c r="D18" s="2374">
        <f t="shared" si="6"/>
        <v>6957</v>
      </c>
      <c r="E18" s="2374">
        <f t="shared" si="6"/>
        <v>4005</v>
      </c>
      <c r="F18" s="2374">
        <f t="shared" si="6"/>
        <v>4817</v>
      </c>
      <c r="G18" s="2374">
        <f t="shared" si="6"/>
        <v>21154</v>
      </c>
      <c r="H18" s="2374">
        <f t="shared" si="6"/>
        <v>5301</v>
      </c>
    </row>
    <row r="19" spans="1:12" s="2366" customFormat="1" ht="27.75" customHeight="1">
      <c r="A19" s="2362"/>
      <c r="B19" s="2370" t="s">
        <v>3741</v>
      </c>
      <c r="C19" s="2372">
        <f t="shared" ref="C19:H19" si="7">C20+C24+C27</f>
        <v>22874</v>
      </c>
      <c r="D19" s="2372">
        <f t="shared" si="7"/>
        <v>24796</v>
      </c>
      <c r="E19" s="2372">
        <f t="shared" si="7"/>
        <v>23818</v>
      </c>
      <c r="F19" s="2372">
        <f t="shared" si="7"/>
        <v>26233</v>
      </c>
      <c r="G19" s="2372">
        <f t="shared" si="7"/>
        <v>97721</v>
      </c>
      <c r="H19" s="2372">
        <f t="shared" si="7"/>
        <v>25727</v>
      </c>
    </row>
    <row r="20" spans="1:12" s="2366" customFormat="1" ht="27.75" customHeight="1">
      <c r="A20" s="2362"/>
      <c r="B20" s="2370" t="s">
        <v>3742</v>
      </c>
      <c r="C20" s="2371">
        <f t="shared" ref="C20:H20" si="8">SUM(C21:C23)</f>
        <v>2968</v>
      </c>
      <c r="D20" s="2371">
        <f t="shared" si="8"/>
        <v>2360</v>
      </c>
      <c r="E20" s="2371">
        <f t="shared" si="8"/>
        <v>2748</v>
      </c>
      <c r="F20" s="2371">
        <f t="shared" si="8"/>
        <v>3090</v>
      </c>
      <c r="G20" s="2371">
        <f t="shared" si="8"/>
        <v>11166</v>
      </c>
      <c r="H20" s="2371">
        <f t="shared" si="8"/>
        <v>3156</v>
      </c>
    </row>
    <row r="21" spans="1:12" s="2378" customFormat="1" ht="27.75" customHeight="1">
      <c r="A21" s="2375"/>
      <c r="B21" s="2376" t="s">
        <v>3743</v>
      </c>
      <c r="C21" s="2377">
        <v>2259</v>
      </c>
      <c r="D21" s="2377">
        <v>1688</v>
      </c>
      <c r="E21" s="2377">
        <v>2040</v>
      </c>
      <c r="F21" s="2377">
        <v>2359</v>
      </c>
      <c r="G21" s="2377">
        <v>8346</v>
      </c>
      <c r="H21" s="2377">
        <v>2236</v>
      </c>
    </row>
    <row r="22" spans="1:12" s="2378" customFormat="1" ht="27.75" customHeight="1">
      <c r="A22" s="2375"/>
      <c r="B22" s="2376" t="s">
        <v>3744</v>
      </c>
      <c r="C22" s="2377">
        <v>164</v>
      </c>
      <c r="D22" s="2377">
        <v>177</v>
      </c>
      <c r="E22" s="2377">
        <v>171</v>
      </c>
      <c r="F22" s="2377">
        <v>200</v>
      </c>
      <c r="G22" s="2377">
        <v>712</v>
      </c>
      <c r="H22" s="2377">
        <v>180</v>
      </c>
    </row>
    <row r="23" spans="1:12" s="2378" customFormat="1" ht="27.75" customHeight="1">
      <c r="A23" s="2375"/>
      <c r="B23" s="2376" t="s">
        <v>3745</v>
      </c>
      <c r="C23" s="2377">
        <v>545</v>
      </c>
      <c r="D23" s="2377">
        <v>495</v>
      </c>
      <c r="E23" s="2377">
        <v>537</v>
      </c>
      <c r="F23" s="2377">
        <v>531</v>
      </c>
      <c r="G23" s="2377">
        <v>2108</v>
      </c>
      <c r="H23" s="2377">
        <v>740</v>
      </c>
    </row>
    <row r="24" spans="1:12" s="2366" customFormat="1" ht="27.75" customHeight="1">
      <c r="A24" s="2373"/>
      <c r="B24" s="2370" t="s">
        <v>3746</v>
      </c>
      <c r="C24" s="2372">
        <f t="shared" ref="C24:H24" si="9">C25+C26</f>
        <v>11516</v>
      </c>
      <c r="D24" s="2372">
        <f t="shared" si="9"/>
        <v>11061</v>
      </c>
      <c r="E24" s="2372">
        <f t="shared" si="9"/>
        <v>9655</v>
      </c>
      <c r="F24" s="2372">
        <f t="shared" si="9"/>
        <v>12072</v>
      </c>
      <c r="G24" s="2372">
        <f t="shared" si="9"/>
        <v>44304</v>
      </c>
      <c r="H24" s="2372">
        <f t="shared" si="9"/>
        <v>11862</v>
      </c>
    </row>
    <row r="25" spans="1:12" s="2378" customFormat="1" ht="27.75" customHeight="1">
      <c r="A25" s="2375"/>
      <c r="B25" s="2376" t="s">
        <v>3747</v>
      </c>
      <c r="C25" s="2377">
        <v>4203</v>
      </c>
      <c r="D25" s="2377">
        <v>3922</v>
      </c>
      <c r="E25" s="2377">
        <v>3038</v>
      </c>
      <c r="F25" s="2377">
        <v>4237</v>
      </c>
      <c r="G25" s="2377">
        <v>15400</v>
      </c>
      <c r="H25" s="2377">
        <v>4182</v>
      </c>
    </row>
    <row r="26" spans="1:12" s="2378" customFormat="1" ht="27.75" customHeight="1">
      <c r="A26" s="2379"/>
      <c r="B26" s="2376" t="s">
        <v>3748</v>
      </c>
      <c r="C26" s="2377">
        <v>7313</v>
      </c>
      <c r="D26" s="2377">
        <v>7139</v>
      </c>
      <c r="E26" s="2377">
        <v>6617</v>
      </c>
      <c r="F26" s="2377">
        <f>7806+29</f>
        <v>7835</v>
      </c>
      <c r="G26" s="2377">
        <f>28875+29</f>
        <v>28904</v>
      </c>
      <c r="H26" s="2377">
        <v>7680</v>
      </c>
    </row>
    <row r="27" spans="1:12" s="2366" customFormat="1" ht="27.75" customHeight="1">
      <c r="A27" s="2362"/>
      <c r="B27" s="2370" t="s">
        <v>3749</v>
      </c>
      <c r="C27" s="2372">
        <f t="shared" ref="C27:H27" si="10">C28+C29</f>
        <v>8390</v>
      </c>
      <c r="D27" s="2372">
        <f t="shared" si="10"/>
        <v>11375</v>
      </c>
      <c r="E27" s="2372">
        <f t="shared" si="10"/>
        <v>11415</v>
      </c>
      <c r="F27" s="2372">
        <f t="shared" si="10"/>
        <v>11071</v>
      </c>
      <c r="G27" s="2372">
        <f t="shared" si="10"/>
        <v>42251</v>
      </c>
      <c r="H27" s="2372">
        <f t="shared" si="10"/>
        <v>10709</v>
      </c>
      <c r="I27" s="2380"/>
      <c r="J27" s="2380"/>
      <c r="K27" s="2380"/>
      <c r="L27" s="2380"/>
    </row>
    <row r="28" spans="1:12" s="2378" customFormat="1" ht="27.75" customHeight="1">
      <c r="A28" s="2375"/>
      <c r="B28" s="2376" t="s">
        <v>3750</v>
      </c>
      <c r="C28" s="2377">
        <v>8012</v>
      </c>
      <c r="D28" s="2377">
        <v>10816</v>
      </c>
      <c r="E28" s="2377">
        <v>10696</v>
      </c>
      <c r="F28" s="2377">
        <v>10557</v>
      </c>
      <c r="G28" s="2377">
        <v>40081</v>
      </c>
      <c r="H28" s="2377">
        <v>10437</v>
      </c>
      <c r="I28" s="2380"/>
      <c r="J28" s="2380"/>
      <c r="K28" s="2380"/>
      <c r="L28" s="2380"/>
    </row>
    <row r="29" spans="1:12" s="2378" customFormat="1" ht="27.75" customHeight="1">
      <c r="A29" s="2375"/>
      <c r="B29" s="2376" t="s">
        <v>3751</v>
      </c>
      <c r="C29" s="2377">
        <v>378</v>
      </c>
      <c r="D29" s="2377">
        <v>559</v>
      </c>
      <c r="E29" s="2377">
        <v>719</v>
      </c>
      <c r="F29" s="2377">
        <v>514</v>
      </c>
      <c r="G29" s="2377">
        <v>2170</v>
      </c>
      <c r="H29" s="2377">
        <v>272</v>
      </c>
      <c r="I29" s="2381"/>
    </row>
    <row r="30" spans="1:12" s="2366" customFormat="1" ht="27.75" customHeight="1">
      <c r="A30" s="2362"/>
      <c r="B30" s="2370" t="s">
        <v>3752</v>
      </c>
      <c r="C30" s="2371">
        <f t="shared" ref="C30:H30" si="11">C31+C35+C38</f>
        <v>-17499</v>
      </c>
      <c r="D30" s="2371">
        <f t="shared" si="11"/>
        <v>-17839</v>
      </c>
      <c r="E30" s="2371">
        <f t="shared" si="11"/>
        <v>-19813</v>
      </c>
      <c r="F30" s="2371">
        <f t="shared" si="11"/>
        <v>-21416</v>
      </c>
      <c r="G30" s="2371">
        <f t="shared" si="11"/>
        <v>-76567</v>
      </c>
      <c r="H30" s="2371">
        <f t="shared" si="11"/>
        <v>-20426</v>
      </c>
    </row>
    <row r="31" spans="1:12" s="2366" customFormat="1" ht="27.75" customHeight="1">
      <c r="A31" s="2362"/>
      <c r="B31" s="2370" t="s">
        <v>3742</v>
      </c>
      <c r="C31" s="2371">
        <f t="shared" ref="C31:H31" si="12">SUM(C32:C34)</f>
        <v>-4453</v>
      </c>
      <c r="D31" s="2371">
        <f t="shared" si="12"/>
        <v>-4240</v>
      </c>
      <c r="E31" s="2371">
        <f t="shared" si="12"/>
        <v>-4569</v>
      </c>
      <c r="F31" s="2371">
        <f t="shared" si="12"/>
        <v>-5223</v>
      </c>
      <c r="G31" s="2371">
        <f t="shared" si="12"/>
        <v>-18485</v>
      </c>
      <c r="H31" s="2371">
        <f t="shared" si="12"/>
        <v>-4755</v>
      </c>
    </row>
    <row r="32" spans="1:12" s="2378" customFormat="1" ht="27.75" customHeight="1">
      <c r="A32" s="2375"/>
      <c r="B32" s="2376" t="s">
        <v>3743</v>
      </c>
      <c r="C32" s="2377">
        <v>-148</v>
      </c>
      <c r="D32" s="2377">
        <v>-195</v>
      </c>
      <c r="E32" s="2377">
        <v>-174</v>
      </c>
      <c r="F32" s="2377">
        <v>-165</v>
      </c>
      <c r="G32" s="2377">
        <v>-682</v>
      </c>
      <c r="H32" s="2377">
        <v>-153</v>
      </c>
    </row>
    <row r="33" spans="1:9" s="2378" customFormat="1" ht="27.75" customHeight="1">
      <c r="A33" s="2375"/>
      <c r="B33" s="2376" t="s">
        <v>3744</v>
      </c>
      <c r="C33" s="2377">
        <v>-2102</v>
      </c>
      <c r="D33" s="2377">
        <v>-2391</v>
      </c>
      <c r="E33" s="2377">
        <v>-2517</v>
      </c>
      <c r="F33" s="2377">
        <v>-2875</v>
      </c>
      <c r="G33" s="2377">
        <v>-9885</v>
      </c>
      <c r="H33" s="2377">
        <v>-2426</v>
      </c>
      <c r="I33" s="2382"/>
    </row>
    <row r="34" spans="1:9" s="2378" customFormat="1" ht="27.75" customHeight="1">
      <c r="A34" s="2375"/>
      <c r="B34" s="2376" t="s">
        <v>3745</v>
      </c>
      <c r="C34" s="2377">
        <v>-2203</v>
      </c>
      <c r="D34" s="2377">
        <v>-1654</v>
      </c>
      <c r="E34" s="2377">
        <v>-1878</v>
      </c>
      <c r="F34" s="2377">
        <v>-2183</v>
      </c>
      <c r="G34" s="2377">
        <v>-7918</v>
      </c>
      <c r="H34" s="2377">
        <v>-2176</v>
      </c>
    </row>
    <row r="35" spans="1:9" s="2366" customFormat="1" ht="27.75" customHeight="1">
      <c r="A35" s="2373"/>
      <c r="B35" s="2370" t="s">
        <v>3746</v>
      </c>
      <c r="C35" s="2372">
        <f t="shared" ref="C35:H35" si="13">C36+C37</f>
        <v>-3551</v>
      </c>
      <c r="D35" s="2372">
        <f t="shared" si="13"/>
        <v>-3291</v>
      </c>
      <c r="E35" s="2372">
        <f t="shared" si="13"/>
        <v>-4099</v>
      </c>
      <c r="F35" s="2372">
        <f t="shared" si="13"/>
        <v>-3785</v>
      </c>
      <c r="G35" s="2372">
        <f t="shared" si="13"/>
        <v>-14726</v>
      </c>
      <c r="H35" s="2372">
        <f t="shared" si="13"/>
        <v>-4023</v>
      </c>
    </row>
    <row r="36" spans="1:9" s="2378" customFormat="1" ht="27.75" customHeight="1">
      <c r="A36" s="2375"/>
      <c r="B36" s="2376" t="s">
        <v>3747</v>
      </c>
      <c r="C36" s="2377">
        <v>-261</v>
      </c>
      <c r="D36" s="2377">
        <v>-342</v>
      </c>
      <c r="E36" s="2377">
        <v>-334</v>
      </c>
      <c r="F36" s="2377">
        <v>-477</v>
      </c>
      <c r="G36" s="2377">
        <v>-1414</v>
      </c>
      <c r="H36" s="2377">
        <v>-487</v>
      </c>
    </row>
    <row r="37" spans="1:9" s="2378" customFormat="1" ht="27.75" customHeight="1">
      <c r="A37" s="2379"/>
      <c r="B37" s="2376" t="s">
        <v>3748</v>
      </c>
      <c r="C37" s="2377">
        <v>-3290</v>
      </c>
      <c r="D37" s="2377">
        <v>-2949</v>
      </c>
      <c r="E37" s="2377">
        <v>-3765</v>
      </c>
      <c r="F37" s="2377">
        <v>-3308</v>
      </c>
      <c r="G37" s="2377">
        <v>-13312</v>
      </c>
      <c r="H37" s="2377">
        <v>-3536</v>
      </c>
    </row>
    <row r="38" spans="1:9" s="2366" customFormat="1" ht="27.75" customHeight="1">
      <c r="A38" s="2362"/>
      <c r="B38" s="2370" t="s">
        <v>3749</v>
      </c>
      <c r="C38" s="2383">
        <f t="shared" ref="C38:H38" si="14">C39+C40</f>
        <v>-9495</v>
      </c>
      <c r="D38" s="2383">
        <f t="shared" si="14"/>
        <v>-10308</v>
      </c>
      <c r="E38" s="2383">
        <f t="shared" si="14"/>
        <v>-11145</v>
      </c>
      <c r="F38" s="2383">
        <f t="shared" si="14"/>
        <v>-12408</v>
      </c>
      <c r="G38" s="2383">
        <f t="shared" si="14"/>
        <v>-43356</v>
      </c>
      <c r="H38" s="2383">
        <f t="shared" si="14"/>
        <v>-11648</v>
      </c>
    </row>
    <row r="39" spans="1:9" s="2378" customFormat="1" ht="27.75" customHeight="1">
      <c r="A39" s="2379"/>
      <c r="B39" s="2376" t="s">
        <v>3750</v>
      </c>
      <c r="C39" s="2384">
        <v>-8948</v>
      </c>
      <c r="D39" s="2384">
        <v>-9727</v>
      </c>
      <c r="E39" s="2384">
        <v>-10517</v>
      </c>
      <c r="F39" s="2384">
        <v>-11983</v>
      </c>
      <c r="G39" s="2384">
        <v>-41175</v>
      </c>
      <c r="H39" s="2384">
        <v>-11139</v>
      </c>
      <c r="I39" s="2381"/>
    </row>
    <row r="40" spans="1:9" s="2378" customFormat="1" ht="27.75" customHeight="1">
      <c r="A40" s="2379"/>
      <c r="B40" s="2376" t="s">
        <v>3751</v>
      </c>
      <c r="C40" s="2384">
        <v>-547</v>
      </c>
      <c r="D40" s="2384">
        <v>-581</v>
      </c>
      <c r="E40" s="2384">
        <v>-628</v>
      </c>
      <c r="F40" s="2384">
        <v>-425</v>
      </c>
      <c r="G40" s="2384">
        <v>-2181</v>
      </c>
      <c r="H40" s="2384">
        <v>-509</v>
      </c>
    </row>
    <row r="41" spans="1:9" s="2366" customFormat="1" ht="27.75" customHeight="1">
      <c r="A41" s="2362" t="s">
        <v>3753</v>
      </c>
      <c r="B41" s="2367" t="s">
        <v>3754</v>
      </c>
      <c r="C41" s="2385">
        <f t="shared" ref="C41:H41" si="15">C42+C59</f>
        <v>3620</v>
      </c>
      <c r="D41" s="2385">
        <f t="shared" si="15"/>
        <v>6844</v>
      </c>
      <c r="E41" s="2385">
        <f t="shared" si="15"/>
        <v>6800</v>
      </c>
      <c r="F41" s="2385">
        <f t="shared" si="15"/>
        <v>15603</v>
      </c>
      <c r="G41" s="2385">
        <f t="shared" si="15"/>
        <v>32867</v>
      </c>
      <c r="H41" s="2385">
        <f t="shared" si="15"/>
        <v>4012</v>
      </c>
    </row>
    <row r="42" spans="1:9" s="2366" customFormat="1" ht="27.75" customHeight="1">
      <c r="A42" s="2362"/>
      <c r="B42" s="2370" t="s">
        <v>3755</v>
      </c>
      <c r="C42" s="2371">
        <f t="shared" ref="C42:H42" si="16">C43+C44+C46+C48</f>
        <v>44287</v>
      </c>
      <c r="D42" s="2371">
        <f t="shared" si="16"/>
        <v>56222</v>
      </c>
      <c r="E42" s="2371">
        <f t="shared" si="16"/>
        <v>51203</v>
      </c>
      <c r="F42" s="2371">
        <f t="shared" si="16"/>
        <v>56350</v>
      </c>
      <c r="G42" s="2371">
        <f t="shared" si="16"/>
        <v>208062</v>
      </c>
      <c r="H42" s="2371">
        <f t="shared" si="16"/>
        <v>49049</v>
      </c>
    </row>
    <row r="43" spans="1:9" s="2366" customFormat="1" ht="27.75" customHeight="1">
      <c r="A43" s="2362"/>
      <c r="B43" s="2370" t="s">
        <v>3756</v>
      </c>
      <c r="C43" s="2371">
        <v>4</v>
      </c>
      <c r="D43" s="2371">
        <v>3</v>
      </c>
      <c r="E43" s="2371">
        <v>2</v>
      </c>
      <c r="F43" s="2371">
        <v>17</v>
      </c>
      <c r="G43" s="2371">
        <v>26</v>
      </c>
      <c r="H43" s="2371">
        <v>11</v>
      </c>
    </row>
    <row r="44" spans="1:9" s="2366" customFormat="1" ht="27.75" customHeight="1">
      <c r="A44" s="2362"/>
      <c r="B44" s="2370" t="s">
        <v>3757</v>
      </c>
      <c r="C44" s="2371">
        <f>51+C45</f>
        <v>26125</v>
      </c>
      <c r="D44" s="2371">
        <f>114+D45</f>
        <v>33932</v>
      </c>
      <c r="E44" s="2371">
        <f>235+E45</f>
        <v>30917</v>
      </c>
      <c r="F44" s="2371">
        <f>121+F45</f>
        <v>33662</v>
      </c>
      <c r="G44" s="2371">
        <f>521+G45</f>
        <v>124636</v>
      </c>
      <c r="H44" s="2371">
        <f>145+H45</f>
        <v>28044</v>
      </c>
    </row>
    <row r="45" spans="1:9" s="2378" customFormat="1" ht="24.75" customHeight="1">
      <c r="A45" s="2386"/>
      <c r="B45" s="2376" t="s">
        <v>3758</v>
      </c>
      <c r="C45" s="2377">
        <v>26074</v>
      </c>
      <c r="D45" s="2377">
        <v>33818</v>
      </c>
      <c r="E45" s="2377">
        <v>30682</v>
      </c>
      <c r="F45" s="2377">
        <v>33541</v>
      </c>
      <c r="G45" s="2377">
        <v>124115</v>
      </c>
      <c r="H45" s="2377">
        <v>27899</v>
      </c>
    </row>
    <row r="46" spans="1:9" s="2366" customFormat="1" ht="27.75" customHeight="1">
      <c r="A46" s="2362"/>
      <c r="B46" s="2370" t="s">
        <v>3759</v>
      </c>
      <c r="C46" s="2371">
        <f>250+C47</f>
        <v>10591</v>
      </c>
      <c r="D46" s="2371">
        <f>576+D47</f>
        <v>13988</v>
      </c>
      <c r="E46" s="2371">
        <f>345+E47</f>
        <v>12513</v>
      </c>
      <c r="F46" s="2371">
        <f>474+F47</f>
        <v>13776</v>
      </c>
      <c r="G46" s="2371">
        <f>1645+G47</f>
        <v>50868</v>
      </c>
      <c r="H46" s="2371">
        <f>947+H47</f>
        <v>13356</v>
      </c>
    </row>
    <row r="47" spans="1:9" s="2378" customFormat="1" ht="24.75" customHeight="1">
      <c r="A47" s="2386"/>
      <c r="B47" s="2376" t="s">
        <v>3758</v>
      </c>
      <c r="C47" s="2377">
        <v>10341</v>
      </c>
      <c r="D47" s="2377">
        <v>13412</v>
      </c>
      <c r="E47" s="2377">
        <v>12168</v>
      </c>
      <c r="F47" s="2377">
        <v>13302</v>
      </c>
      <c r="G47" s="2377">
        <v>49223</v>
      </c>
      <c r="H47" s="2377">
        <v>12409</v>
      </c>
    </row>
    <row r="48" spans="1:9" s="2366" customFormat="1" ht="27.75" customHeight="1">
      <c r="A48" s="2373"/>
      <c r="B48" s="2370" t="s">
        <v>3760</v>
      </c>
      <c r="C48" s="2371">
        <f t="shared" ref="C48:H48" si="17">SUM(C49:C52)</f>
        <v>7567</v>
      </c>
      <c r="D48" s="2371">
        <f t="shared" si="17"/>
        <v>8299</v>
      </c>
      <c r="E48" s="2371">
        <f t="shared" si="17"/>
        <v>7771</v>
      </c>
      <c r="F48" s="2371">
        <f t="shared" si="17"/>
        <v>8895</v>
      </c>
      <c r="G48" s="2371">
        <f t="shared" si="17"/>
        <v>32532</v>
      </c>
      <c r="H48" s="2371">
        <f t="shared" si="17"/>
        <v>7638</v>
      </c>
    </row>
    <row r="49" spans="1:8" s="2378" customFormat="1" ht="27.75" customHeight="1">
      <c r="A49" s="2379"/>
      <c r="B49" s="2376" t="s">
        <v>3761</v>
      </c>
      <c r="C49" s="2371">
        <v>0</v>
      </c>
      <c r="D49" s="2371">
        <v>0</v>
      </c>
      <c r="E49" s="2371">
        <v>0</v>
      </c>
      <c r="F49" s="2371">
        <v>0</v>
      </c>
      <c r="G49" s="2371">
        <v>0</v>
      </c>
      <c r="H49" s="2372">
        <v>0</v>
      </c>
    </row>
    <row r="50" spans="1:8" s="2378" customFormat="1" ht="27.75" customHeight="1">
      <c r="A50" s="2379"/>
      <c r="B50" s="2376" t="s">
        <v>3762</v>
      </c>
      <c r="C50" s="2371">
        <v>166</v>
      </c>
      <c r="D50" s="2371">
        <v>201</v>
      </c>
      <c r="E50" s="2371">
        <v>209</v>
      </c>
      <c r="F50" s="2371">
        <v>202</v>
      </c>
      <c r="G50" s="2371">
        <v>778</v>
      </c>
      <c r="H50" s="2372">
        <v>271</v>
      </c>
    </row>
    <row r="51" spans="1:8" s="2378" customFormat="1" ht="27.75" customHeight="1">
      <c r="A51" s="2379"/>
      <c r="B51" s="2376" t="s">
        <v>3763</v>
      </c>
      <c r="C51" s="2371">
        <v>3494</v>
      </c>
      <c r="D51" s="2371">
        <v>3548</v>
      </c>
      <c r="E51" s="2371">
        <v>3425</v>
      </c>
      <c r="F51" s="2371">
        <v>4124</v>
      </c>
      <c r="G51" s="2371">
        <v>14591</v>
      </c>
      <c r="H51" s="2372">
        <v>3750</v>
      </c>
    </row>
    <row r="52" spans="1:8" s="2378" customFormat="1" ht="27.75" customHeight="1">
      <c r="A52" s="2379"/>
      <c r="B52" s="2376" t="s">
        <v>3764</v>
      </c>
      <c r="C52" s="2371">
        <f>412+C53</f>
        <v>3907</v>
      </c>
      <c r="D52" s="2371">
        <f>18+D53</f>
        <v>4550</v>
      </c>
      <c r="E52" s="2371">
        <f>25+E53</f>
        <v>4137</v>
      </c>
      <c r="F52" s="2371">
        <f>74+F53</f>
        <v>4569</v>
      </c>
      <c r="G52" s="2371">
        <f>529+G53</f>
        <v>17163</v>
      </c>
      <c r="H52" s="2372">
        <f>60+H53</f>
        <v>3617</v>
      </c>
    </row>
    <row r="53" spans="1:8" s="2378" customFormat="1" ht="27.75" customHeight="1" thickBot="1">
      <c r="A53" s="2387"/>
      <c r="B53" s="2388" t="s">
        <v>3758</v>
      </c>
      <c r="C53" s="2389">
        <v>3495</v>
      </c>
      <c r="D53" s="2389">
        <v>4532</v>
      </c>
      <c r="E53" s="2389">
        <v>4112</v>
      </c>
      <c r="F53" s="2389">
        <v>4495</v>
      </c>
      <c r="G53" s="2389">
        <v>16634</v>
      </c>
      <c r="H53" s="2390">
        <v>3557</v>
      </c>
    </row>
    <row r="54" spans="1:8" ht="43.5" customHeight="1">
      <c r="A54" s="2391" t="s">
        <v>2429</v>
      </c>
      <c r="B54" s="2378"/>
    </row>
    <row r="55" spans="1:8" ht="39" customHeight="1" thickBot="1">
      <c r="A55" s="2392"/>
      <c r="C55" s="2356"/>
      <c r="D55" s="2356"/>
      <c r="H55" s="2356" t="s">
        <v>49</v>
      </c>
    </row>
    <row r="56" spans="1:8" s="2366" customFormat="1" ht="41.25" customHeight="1" thickBot="1">
      <c r="A56" s="3477"/>
      <c r="B56" s="3485"/>
      <c r="C56" s="3481" t="s">
        <v>3721</v>
      </c>
      <c r="D56" s="3482"/>
      <c r="E56" s="3482"/>
      <c r="F56" s="3482"/>
      <c r="G56" s="3483" t="s">
        <v>3722</v>
      </c>
      <c r="H56" s="2357" t="s">
        <v>3723</v>
      </c>
    </row>
    <row r="57" spans="1:8" s="2366" customFormat="1" ht="54.75" customHeight="1">
      <c r="A57" s="3478"/>
      <c r="B57" s="3486"/>
      <c r="C57" s="2359" t="s">
        <v>3765</v>
      </c>
      <c r="D57" s="2359" t="s">
        <v>3766</v>
      </c>
      <c r="E57" s="2361" t="s">
        <v>3726</v>
      </c>
      <c r="F57" s="2361" t="s">
        <v>3727</v>
      </c>
      <c r="G57" s="3484"/>
      <c r="H57" s="2359" t="s">
        <v>3724</v>
      </c>
    </row>
    <row r="58" spans="1:8" s="2366" customFormat="1" ht="21" customHeight="1">
      <c r="A58" s="2362"/>
      <c r="B58" s="2393"/>
      <c r="C58" s="2372"/>
      <c r="D58" s="2372"/>
      <c r="E58" s="2372"/>
      <c r="F58" s="2372"/>
      <c r="G58" s="2365"/>
      <c r="H58" s="2365"/>
    </row>
    <row r="59" spans="1:8" s="2366" customFormat="1" ht="24.75" customHeight="1">
      <c r="A59" s="2394"/>
      <c r="B59" s="2370" t="s">
        <v>3752</v>
      </c>
      <c r="C59" s="2372">
        <f t="shared" ref="C59:H59" si="18">C60+C61+C63+C65</f>
        <v>-40667</v>
      </c>
      <c r="D59" s="2372">
        <f t="shared" si="18"/>
        <v>-49378</v>
      </c>
      <c r="E59" s="2372">
        <f t="shared" si="18"/>
        <v>-44403</v>
      </c>
      <c r="F59" s="2372">
        <f t="shared" si="18"/>
        <v>-40747</v>
      </c>
      <c r="G59" s="2372">
        <f t="shared" si="18"/>
        <v>-175195</v>
      </c>
      <c r="H59" s="2372">
        <f t="shared" si="18"/>
        <v>-45037</v>
      </c>
    </row>
    <row r="60" spans="1:8" s="2366" customFormat="1" ht="24.75" customHeight="1">
      <c r="A60" s="2394"/>
      <c r="B60" s="2370" t="s">
        <v>3767</v>
      </c>
      <c r="C60" s="2395">
        <v>-58</v>
      </c>
      <c r="D60" s="2395">
        <v>-75</v>
      </c>
      <c r="E60" s="2395">
        <v>-62</v>
      </c>
      <c r="F60" s="2395">
        <v>-76</v>
      </c>
      <c r="G60" s="2395">
        <v>-271</v>
      </c>
      <c r="H60" s="2372">
        <v>-58</v>
      </c>
    </row>
    <row r="61" spans="1:8" s="2366" customFormat="1" ht="24.75" customHeight="1">
      <c r="A61" s="2394"/>
      <c r="B61" s="2370" t="s">
        <v>3757</v>
      </c>
      <c r="C61" s="2395">
        <f>-555+C62</f>
        <v>-30304</v>
      </c>
      <c r="D61" s="2395">
        <f>-1396+D62</f>
        <v>-34523</v>
      </c>
      <c r="E61" s="2395">
        <f>-3163+E62</f>
        <v>-34022</v>
      </c>
      <c r="F61" s="2395">
        <f>-1759+F62</f>
        <v>-29783</v>
      </c>
      <c r="G61" s="2395">
        <f>-6873+G62</f>
        <v>-128632</v>
      </c>
      <c r="H61" s="2372">
        <f>-715+H62</f>
        <v>-33439</v>
      </c>
    </row>
    <row r="62" spans="1:8" s="2378" customFormat="1" ht="24.75" customHeight="1">
      <c r="A62" s="2386"/>
      <c r="B62" s="2376" t="s">
        <v>3758</v>
      </c>
      <c r="C62" s="2377">
        <v>-29749</v>
      </c>
      <c r="D62" s="2377">
        <v>-33127</v>
      </c>
      <c r="E62" s="2377">
        <v>-30859</v>
      </c>
      <c r="F62" s="2377">
        <v>-28024</v>
      </c>
      <c r="G62" s="2377">
        <v>-121759</v>
      </c>
      <c r="H62" s="2377">
        <v>-32724</v>
      </c>
    </row>
    <row r="63" spans="1:8" s="2366" customFormat="1" ht="24.75" customHeight="1">
      <c r="A63" s="2394"/>
      <c r="B63" s="2370" t="s">
        <v>3759</v>
      </c>
      <c r="C63" s="2395">
        <f>-189+C64</f>
        <v>-1846</v>
      </c>
      <c r="D63" s="2395">
        <f>-4258+D64</f>
        <v>-6103</v>
      </c>
      <c r="E63" s="2395">
        <f>-296+E64</f>
        <v>-2015</v>
      </c>
      <c r="F63" s="2395">
        <f>-1269+F64</f>
        <v>-2830</v>
      </c>
      <c r="G63" s="2395">
        <f>-6012+G64</f>
        <v>-12794</v>
      </c>
      <c r="H63" s="2372">
        <f>-1101+H64</f>
        <v>-2924</v>
      </c>
    </row>
    <row r="64" spans="1:8" s="2378" customFormat="1" ht="24.75" customHeight="1">
      <c r="A64" s="2386"/>
      <c r="B64" s="2376" t="s">
        <v>3758</v>
      </c>
      <c r="C64" s="2377">
        <v>-1657</v>
      </c>
      <c r="D64" s="2377">
        <v>-1845</v>
      </c>
      <c r="E64" s="2377">
        <v>-1719</v>
      </c>
      <c r="F64" s="2377">
        <v>-1561</v>
      </c>
      <c r="G64" s="2377">
        <v>-6782</v>
      </c>
      <c r="H64" s="2377">
        <v>-1823</v>
      </c>
    </row>
    <row r="65" spans="1:9" s="2366" customFormat="1" ht="24.75" customHeight="1">
      <c r="A65" s="2394"/>
      <c r="B65" s="2370" t="s">
        <v>3760</v>
      </c>
      <c r="C65" s="2395">
        <f t="shared" ref="C65:H65" si="19">SUM(C66:C69)</f>
        <v>-8459</v>
      </c>
      <c r="D65" s="2395">
        <f t="shared" si="19"/>
        <v>-8677</v>
      </c>
      <c r="E65" s="2395">
        <f t="shared" si="19"/>
        <v>-8304</v>
      </c>
      <c r="F65" s="2395">
        <f t="shared" si="19"/>
        <v>-8058</v>
      </c>
      <c r="G65" s="2395">
        <f t="shared" si="19"/>
        <v>-33498</v>
      </c>
      <c r="H65" s="2395">
        <f t="shared" si="19"/>
        <v>-8616</v>
      </c>
    </row>
    <row r="66" spans="1:9" s="2378" customFormat="1" ht="24.75" customHeight="1">
      <c r="A66" s="2386"/>
      <c r="B66" s="2376" t="s">
        <v>3761</v>
      </c>
      <c r="C66" s="2395">
        <v>-237</v>
      </c>
      <c r="D66" s="2395">
        <v>-74</v>
      </c>
      <c r="E66" s="2395">
        <v>-259</v>
      </c>
      <c r="F66" s="2395">
        <v>-95</v>
      </c>
      <c r="G66" s="2395">
        <v>-665</v>
      </c>
      <c r="H66" s="2372">
        <v>-239</v>
      </c>
    </row>
    <row r="67" spans="1:9" s="2378" customFormat="1" ht="24.75" customHeight="1">
      <c r="A67" s="2386"/>
      <c r="B67" s="2376" t="s">
        <v>3762</v>
      </c>
      <c r="C67" s="2395">
        <v>0</v>
      </c>
      <c r="D67" s="2395">
        <v>0</v>
      </c>
      <c r="E67" s="2395">
        <v>0</v>
      </c>
      <c r="F67" s="2395">
        <v>0</v>
      </c>
      <c r="G67" s="2395">
        <v>0</v>
      </c>
      <c r="H67" s="2372">
        <v>0</v>
      </c>
    </row>
    <row r="68" spans="1:9" s="2378" customFormat="1" ht="24.75" customHeight="1">
      <c r="A68" s="2386"/>
      <c r="B68" s="2376" t="s">
        <v>3763</v>
      </c>
      <c r="C68" s="2395">
        <v>-1241</v>
      </c>
      <c r="D68" s="2395">
        <v>-1156</v>
      </c>
      <c r="E68" s="2395">
        <v>-1044</v>
      </c>
      <c r="F68" s="2395">
        <v>-1320</v>
      </c>
      <c r="G68" s="2395">
        <v>-4761</v>
      </c>
      <c r="H68" s="2372">
        <v>-1255</v>
      </c>
    </row>
    <row r="69" spans="1:9" s="2378" customFormat="1" ht="24.75" customHeight="1">
      <c r="A69" s="2386"/>
      <c r="B69" s="2376" t="s">
        <v>3764</v>
      </c>
      <c r="C69" s="2395">
        <f>-1339+C70</f>
        <v>-6981</v>
      </c>
      <c r="D69" s="2395">
        <f>-1164+D70</f>
        <v>-7447</v>
      </c>
      <c r="E69" s="2395">
        <f>-1149+E70</f>
        <v>-7001</v>
      </c>
      <c r="F69" s="2395">
        <f>-1328+F70</f>
        <v>-6643</v>
      </c>
      <c r="G69" s="2395">
        <f>-4980+G70</f>
        <v>-28072</v>
      </c>
      <c r="H69" s="2372">
        <f>-1378+H70</f>
        <v>-7122</v>
      </c>
    </row>
    <row r="70" spans="1:9" s="2378" customFormat="1" ht="24.75" customHeight="1">
      <c r="A70" s="2386"/>
      <c r="B70" s="2376" t="s">
        <v>3758</v>
      </c>
      <c r="C70" s="2377">
        <v>-5642</v>
      </c>
      <c r="D70" s="2377">
        <v>-6283</v>
      </c>
      <c r="E70" s="2377">
        <v>-5852</v>
      </c>
      <c r="F70" s="2377">
        <v>-5315</v>
      </c>
      <c r="G70" s="2377">
        <v>-23092</v>
      </c>
      <c r="H70" s="2377">
        <v>-5744</v>
      </c>
    </row>
    <row r="71" spans="1:9" s="2366" customFormat="1" ht="24.75" customHeight="1">
      <c r="A71" s="2394" t="s">
        <v>3768</v>
      </c>
      <c r="B71" s="2367" t="s">
        <v>3769</v>
      </c>
      <c r="C71" s="2385">
        <f t="shared" ref="C71:F71" si="20">C72+C75</f>
        <v>-2190</v>
      </c>
      <c r="D71" s="2385">
        <f t="shared" si="20"/>
        <v>-1741</v>
      </c>
      <c r="E71" s="2385">
        <f t="shared" si="20"/>
        <v>-674</v>
      </c>
      <c r="F71" s="2385">
        <f t="shared" si="20"/>
        <v>-1846</v>
      </c>
      <c r="G71" s="2385">
        <f>G72+G75</f>
        <v>-6451</v>
      </c>
      <c r="H71" s="2385">
        <f>H72+H75</f>
        <v>-1846</v>
      </c>
    </row>
    <row r="72" spans="1:9" s="2366" customFormat="1" ht="24.75" customHeight="1">
      <c r="A72" s="2394"/>
      <c r="B72" s="2370" t="s">
        <v>3741</v>
      </c>
      <c r="C72" s="2395">
        <f t="shared" ref="C72:H72" si="21">C73+C74</f>
        <v>2749</v>
      </c>
      <c r="D72" s="2395">
        <f t="shared" si="21"/>
        <v>2523</v>
      </c>
      <c r="E72" s="2395">
        <f t="shared" si="21"/>
        <v>2928</v>
      </c>
      <c r="F72" s="2395">
        <f t="shared" si="21"/>
        <v>2571</v>
      </c>
      <c r="G72" s="2395">
        <f t="shared" si="21"/>
        <v>10771</v>
      </c>
      <c r="H72" s="2395">
        <f t="shared" si="21"/>
        <v>2580</v>
      </c>
    </row>
    <row r="73" spans="1:9" s="2366" customFormat="1" ht="24.75" customHeight="1">
      <c r="A73" s="2394"/>
      <c r="B73" s="2370" t="s">
        <v>3770</v>
      </c>
      <c r="C73" s="2372">
        <v>2625</v>
      </c>
      <c r="D73" s="2372">
        <v>2299</v>
      </c>
      <c r="E73" s="2372">
        <v>2825</v>
      </c>
      <c r="F73" s="2372">
        <v>2235</v>
      </c>
      <c r="G73" s="2372">
        <v>9984</v>
      </c>
      <c r="H73" s="2372">
        <v>1567</v>
      </c>
    </row>
    <row r="74" spans="1:9" s="2366" customFormat="1" ht="24.75" customHeight="1">
      <c r="A74" s="2394"/>
      <c r="B74" s="2370" t="s">
        <v>3771</v>
      </c>
      <c r="C74" s="2395">
        <v>124</v>
      </c>
      <c r="D74" s="2395">
        <v>224</v>
      </c>
      <c r="E74" s="2395">
        <v>103</v>
      </c>
      <c r="F74" s="2395">
        <v>336</v>
      </c>
      <c r="G74" s="2372">
        <v>787</v>
      </c>
      <c r="H74" s="2372">
        <v>1013</v>
      </c>
    </row>
    <row r="75" spans="1:9" s="2366" customFormat="1" ht="24.75" customHeight="1">
      <c r="A75" s="2394"/>
      <c r="B75" s="2370" t="s">
        <v>3752</v>
      </c>
      <c r="C75" s="2395">
        <f t="shared" ref="C75:H75" si="22">C76+C77</f>
        <v>-4939</v>
      </c>
      <c r="D75" s="2395">
        <f t="shared" si="22"/>
        <v>-4264</v>
      </c>
      <c r="E75" s="2395">
        <f t="shared" si="22"/>
        <v>-3602</v>
      </c>
      <c r="F75" s="2395">
        <f t="shared" si="22"/>
        <v>-4417</v>
      </c>
      <c r="G75" s="2395">
        <f t="shared" si="22"/>
        <v>-17222</v>
      </c>
      <c r="H75" s="2395">
        <f t="shared" si="22"/>
        <v>-4426</v>
      </c>
    </row>
    <row r="76" spans="1:9" s="2366" customFormat="1" ht="24.75" customHeight="1">
      <c r="A76" s="2394"/>
      <c r="B76" s="2370" t="s">
        <v>3770</v>
      </c>
      <c r="C76" s="2372">
        <v>-2012</v>
      </c>
      <c r="D76" s="2372">
        <v>-1932</v>
      </c>
      <c r="E76" s="2372">
        <v>-1578</v>
      </c>
      <c r="F76" s="2372">
        <v>-1759</v>
      </c>
      <c r="G76" s="2372">
        <v>-7281</v>
      </c>
      <c r="H76" s="2372">
        <v>-1458</v>
      </c>
    </row>
    <row r="77" spans="1:9" s="2366" customFormat="1" ht="24.75" customHeight="1">
      <c r="A77" s="2394"/>
      <c r="B77" s="2370" t="s">
        <v>3771</v>
      </c>
      <c r="C77" s="2372">
        <f>-35+C78</f>
        <v>-2927</v>
      </c>
      <c r="D77" s="2372">
        <f>-115+D78</f>
        <v>-2332</v>
      </c>
      <c r="E77" s="2372">
        <f>-96+E78</f>
        <v>-2024</v>
      </c>
      <c r="F77" s="2372">
        <f>-55+F78</f>
        <v>-2658</v>
      </c>
      <c r="G77" s="2372">
        <f>-301+G78</f>
        <v>-9941</v>
      </c>
      <c r="H77" s="2372">
        <f>-24+H78</f>
        <v>-2968</v>
      </c>
    </row>
    <row r="78" spans="1:9" s="2378" customFormat="1" ht="24.75" customHeight="1">
      <c r="A78" s="2386"/>
      <c r="B78" s="2376" t="s">
        <v>3758</v>
      </c>
      <c r="C78" s="2377">
        <v>-2892</v>
      </c>
      <c r="D78" s="2377">
        <v>-2217</v>
      </c>
      <c r="E78" s="2377">
        <v>-1928</v>
      </c>
      <c r="F78" s="2377">
        <v>-2603</v>
      </c>
      <c r="G78" s="2377">
        <v>-9640</v>
      </c>
      <c r="H78" s="2377">
        <v>-2944</v>
      </c>
    </row>
    <row r="79" spans="1:9" s="2366" customFormat="1" ht="24.75" customHeight="1">
      <c r="A79" s="2394" t="s">
        <v>3772</v>
      </c>
      <c r="B79" s="2367" t="s">
        <v>3773</v>
      </c>
      <c r="C79" s="2396">
        <f t="shared" ref="C79:H79" si="23">C80+C82</f>
        <v>14128.675717218965</v>
      </c>
      <c r="D79" s="2396">
        <f t="shared" si="23"/>
        <v>-1119.2028019873669</v>
      </c>
      <c r="E79" s="2396">
        <f t="shared" si="23"/>
        <v>-1671.1418302376114</v>
      </c>
      <c r="F79" s="2396">
        <f t="shared" si="23"/>
        <v>7247.5657294733755</v>
      </c>
      <c r="G79" s="2396">
        <f t="shared" si="23"/>
        <v>18585.595211242769</v>
      </c>
      <c r="H79" s="2396">
        <f t="shared" si="23"/>
        <v>3460.718061497535</v>
      </c>
      <c r="I79" s="2397"/>
    </row>
    <row r="80" spans="1:9" s="2366" customFormat="1" ht="24.75" customHeight="1">
      <c r="A80" s="2394" t="s">
        <v>3774</v>
      </c>
      <c r="B80" s="2367" t="s">
        <v>3775</v>
      </c>
      <c r="C80" s="2396">
        <f t="shared" ref="C80:H80" si="24">C81</f>
        <v>-20</v>
      </c>
      <c r="D80" s="2396">
        <f t="shared" si="24"/>
        <v>-23</v>
      </c>
      <c r="E80" s="2396">
        <f t="shared" si="24"/>
        <v>-52</v>
      </c>
      <c r="F80" s="2396">
        <f t="shared" si="24"/>
        <v>-51</v>
      </c>
      <c r="G80" s="2396">
        <f t="shared" si="24"/>
        <v>-146</v>
      </c>
      <c r="H80" s="2396">
        <f t="shared" si="24"/>
        <v>-23.949859700000001</v>
      </c>
      <c r="I80" s="2397"/>
    </row>
    <row r="81" spans="1:10" s="2378" customFormat="1" ht="24.75" customHeight="1">
      <c r="A81" s="2386"/>
      <c r="B81" s="2376" t="s">
        <v>3776</v>
      </c>
      <c r="C81" s="2377">
        <v>-20</v>
      </c>
      <c r="D81" s="2377">
        <v>-23</v>
      </c>
      <c r="E81" s="2377">
        <v>-52</v>
      </c>
      <c r="F81" s="2377">
        <v>-51</v>
      </c>
      <c r="G81" s="2398">
        <v>-146</v>
      </c>
      <c r="H81" s="2398">
        <v>-23.949859700000001</v>
      </c>
      <c r="I81" s="2399"/>
    </row>
    <row r="82" spans="1:10" s="2366" customFormat="1" ht="24.75" customHeight="1">
      <c r="A82" s="2394" t="s">
        <v>3777</v>
      </c>
      <c r="B82" s="2367" t="s">
        <v>3778</v>
      </c>
      <c r="C82" s="2385">
        <f t="shared" ref="C82:H82" si="25">C83+C88+C99+C114</f>
        <v>14148.675717218965</v>
      </c>
      <c r="D82" s="2385">
        <f t="shared" si="25"/>
        <v>-1096.2028019873669</v>
      </c>
      <c r="E82" s="2385">
        <f t="shared" si="25"/>
        <v>-1619.1418302376114</v>
      </c>
      <c r="F82" s="2385">
        <f t="shared" si="25"/>
        <v>7298.5657294733755</v>
      </c>
      <c r="G82" s="2385">
        <f t="shared" si="25"/>
        <v>18731.595211242769</v>
      </c>
      <c r="H82" s="2385">
        <f t="shared" si="25"/>
        <v>3484.6679211975352</v>
      </c>
      <c r="I82" s="2397"/>
    </row>
    <row r="83" spans="1:10" s="2369" customFormat="1" ht="24.75" customHeight="1">
      <c r="A83" s="2394"/>
      <c r="B83" s="2367" t="s">
        <v>3779</v>
      </c>
      <c r="C83" s="2396">
        <f t="shared" ref="C83:H83" si="26">C84+C86</f>
        <v>-23929.512449687303</v>
      </c>
      <c r="D83" s="2396">
        <f t="shared" si="26"/>
        <v>4833.8025551779865</v>
      </c>
      <c r="E83" s="2396">
        <f t="shared" si="26"/>
        <v>29903.460061855076</v>
      </c>
      <c r="F83" s="2396">
        <f t="shared" si="26"/>
        <v>6037.5074636248028</v>
      </c>
      <c r="G83" s="2396">
        <f t="shared" si="26"/>
        <v>16845.257630970562</v>
      </c>
      <c r="H83" s="2396">
        <f t="shared" si="26"/>
        <v>16577.323172535733</v>
      </c>
      <c r="I83" s="2400"/>
    </row>
    <row r="84" spans="1:10" s="2366" customFormat="1" ht="24.75" customHeight="1">
      <c r="A84" s="2394"/>
      <c r="B84" s="2370" t="s">
        <v>3780</v>
      </c>
      <c r="C84" s="2371">
        <f>-75+C85</f>
        <v>20003.930466114813</v>
      </c>
      <c r="D84" s="2371">
        <f>-884+D85</f>
        <v>-32984.187008734581</v>
      </c>
      <c r="E84" s="2371">
        <f>-244+E85</f>
        <v>-41774.143184111294</v>
      </c>
      <c r="F84" s="2371">
        <f>-1578+F85</f>
        <v>-68546.17941483407</v>
      </c>
      <c r="G84" s="2371">
        <f>-2781+G85</f>
        <v>-123300.57914156513</v>
      </c>
      <c r="H84" s="2371">
        <f>-113.833313169998+H85</f>
        <v>-59086.636634608032</v>
      </c>
      <c r="I84" s="2397"/>
    </row>
    <row r="85" spans="1:10" s="2378" customFormat="1" ht="24.75" customHeight="1">
      <c r="A85" s="2386"/>
      <c r="B85" s="2376" t="s">
        <v>3758</v>
      </c>
      <c r="C85" s="2384">
        <v>20078.930466114813</v>
      </c>
      <c r="D85" s="2384">
        <v>-32100.187008734581</v>
      </c>
      <c r="E85" s="2384">
        <v>-41530.143184111294</v>
      </c>
      <c r="F85" s="2384">
        <v>-66968.17941483407</v>
      </c>
      <c r="G85" s="2384">
        <v>-120519.57914156513</v>
      </c>
      <c r="H85" s="2384">
        <v>-58972.803321438034</v>
      </c>
      <c r="I85" s="2401"/>
      <c r="J85" s="2382"/>
    </row>
    <row r="86" spans="1:10" s="2366" customFormat="1" ht="24.75" customHeight="1">
      <c r="A86" s="2394"/>
      <c r="B86" s="2370" t="s">
        <v>3781</v>
      </c>
      <c r="C86" s="2372">
        <f>1583+C87</f>
        <v>-43933.442915802116</v>
      </c>
      <c r="D86" s="2372">
        <f>5462+D87</f>
        <v>37817.989563912568</v>
      </c>
      <c r="E86" s="2372">
        <f>1787+E87</f>
        <v>71677.603245966369</v>
      </c>
      <c r="F86" s="2372">
        <f>3981+F87</f>
        <v>74583.686878458873</v>
      </c>
      <c r="G86" s="2372">
        <f>12813+G87</f>
        <v>140145.83677253569</v>
      </c>
      <c r="H86" s="2372">
        <f>2118.20923033119+H87</f>
        <v>75663.959807143765</v>
      </c>
      <c r="I86" s="2397"/>
    </row>
    <row r="87" spans="1:10" s="2378" customFormat="1" ht="24.75" customHeight="1">
      <c r="A87" s="2386"/>
      <c r="B87" s="2376" t="s">
        <v>3758</v>
      </c>
      <c r="C87" s="2384">
        <v>-45516.442915802116</v>
      </c>
      <c r="D87" s="2384">
        <v>32355.989563912568</v>
      </c>
      <c r="E87" s="2384">
        <v>69890.603245966369</v>
      </c>
      <c r="F87" s="2384">
        <v>70602.686878458873</v>
      </c>
      <c r="G87" s="2384">
        <v>127332.83677253569</v>
      </c>
      <c r="H87" s="2384">
        <v>73545.75057681257</v>
      </c>
      <c r="I87" s="2401"/>
      <c r="J87" s="2382"/>
    </row>
    <row r="88" spans="1:10" s="2366" customFormat="1" ht="24.75" customHeight="1">
      <c r="A88" s="2394"/>
      <c r="B88" s="2367" t="s">
        <v>3782</v>
      </c>
      <c r="C88" s="2396">
        <f t="shared" ref="C88:H88" si="27">C89+C94</f>
        <v>-1610.2509229949237</v>
      </c>
      <c r="D88" s="2396">
        <f t="shared" si="27"/>
        <v>-1088.4394470698007</v>
      </c>
      <c r="E88" s="2396">
        <f t="shared" si="27"/>
        <v>-3894.6069398056879</v>
      </c>
      <c r="F88" s="2396">
        <f t="shared" si="27"/>
        <v>-6431.7731030420182</v>
      </c>
      <c r="G88" s="2396">
        <f t="shared" si="27"/>
        <v>-13025.070412912428</v>
      </c>
      <c r="H88" s="2396">
        <f t="shared" si="27"/>
        <v>-4935.2250387108797</v>
      </c>
      <c r="I88" s="2397"/>
    </row>
    <row r="89" spans="1:10" s="2366" customFormat="1" ht="24.75" customHeight="1">
      <c r="A89" s="2394"/>
      <c r="B89" s="2367" t="s">
        <v>3783</v>
      </c>
      <c r="C89" s="2374">
        <v>-9358.7862487897</v>
      </c>
      <c r="D89" s="2374">
        <v>-8613.2585377450887</v>
      </c>
      <c r="E89" s="2374">
        <v>-10769.307746723871</v>
      </c>
      <c r="F89" s="2374">
        <v>-12977.759432560382</v>
      </c>
      <c r="G89" s="2396">
        <v>-41719.111965819044</v>
      </c>
      <c r="H89" s="2385">
        <v>-6988.1205144251344</v>
      </c>
      <c r="I89" s="2397"/>
    </row>
    <row r="90" spans="1:10" s="2366" customFormat="1" ht="24.75" customHeight="1">
      <c r="A90" s="2394"/>
      <c r="B90" s="2370" t="s">
        <v>3784</v>
      </c>
      <c r="C90" s="2371">
        <f>-1964+C91</f>
        <v>-7140.3503741527893</v>
      </c>
      <c r="D90" s="2371">
        <f>-1470+D91</f>
        <v>-6470.2809764215617</v>
      </c>
      <c r="E90" s="2371">
        <f>-1767+E91</f>
        <v>-8068.6154227067091</v>
      </c>
      <c r="F90" s="2371">
        <f>-3362+F91</f>
        <v>-10093.031602792267</v>
      </c>
      <c r="G90" s="2371">
        <f>-8563+G91</f>
        <v>-31772.278376073329</v>
      </c>
      <c r="H90" s="2371">
        <f>3105.76271517281+H91</f>
        <v>-3882.3102899334563</v>
      </c>
      <c r="I90" s="2397"/>
    </row>
    <row r="91" spans="1:10" s="2378" customFormat="1" ht="24.75" customHeight="1">
      <c r="A91" s="2386"/>
      <c r="B91" s="2376" t="s">
        <v>3758</v>
      </c>
      <c r="C91" s="2398">
        <v>-5176.3503741527893</v>
      </c>
      <c r="D91" s="2398">
        <v>-5000.2809764215617</v>
      </c>
      <c r="E91" s="2398">
        <v>-6301.6154227067091</v>
      </c>
      <c r="F91" s="2398">
        <v>-6731.0316027922672</v>
      </c>
      <c r="G91" s="2384">
        <v>-23209.278376073329</v>
      </c>
      <c r="H91" s="2384">
        <v>-6988.0730051062665</v>
      </c>
      <c r="I91" s="2401"/>
    </row>
    <row r="92" spans="1:10" s="2366" customFormat="1" ht="24.75" customHeight="1">
      <c r="A92" s="2394"/>
      <c r="B92" s="2370" t="s">
        <v>3785</v>
      </c>
      <c r="C92" s="2371">
        <f t="shared" ref="C92:G92" si="28">C93</f>
        <v>-2218.4358746369098</v>
      </c>
      <c r="D92" s="2371">
        <f t="shared" si="28"/>
        <v>-2142.9775613235265</v>
      </c>
      <c r="E92" s="2371">
        <f t="shared" si="28"/>
        <v>-2700.6923240171614</v>
      </c>
      <c r="F92" s="2371">
        <f t="shared" si="28"/>
        <v>-2884.7278297681146</v>
      </c>
      <c r="G92" s="2371">
        <f t="shared" si="28"/>
        <v>-9946.8335897457127</v>
      </c>
      <c r="H92" s="2371">
        <f>H93</f>
        <v>-3105.8102244916736</v>
      </c>
      <c r="I92" s="2397"/>
    </row>
    <row r="93" spans="1:10" s="2378" customFormat="1" ht="24.75" customHeight="1">
      <c r="A93" s="2386"/>
      <c r="B93" s="2376" t="s">
        <v>3758</v>
      </c>
      <c r="C93" s="2398">
        <v>-2218.4358746369098</v>
      </c>
      <c r="D93" s="2398">
        <v>-2142.9775613235265</v>
      </c>
      <c r="E93" s="2398">
        <v>-2700.6923240171614</v>
      </c>
      <c r="F93" s="2398">
        <v>-2884.7278297681146</v>
      </c>
      <c r="G93" s="2384">
        <v>-9946.8335897457127</v>
      </c>
      <c r="H93" s="2384">
        <v>-3105.8102244916736</v>
      </c>
      <c r="I93" s="2401"/>
    </row>
    <row r="94" spans="1:10" s="2366" customFormat="1" ht="24.75" customHeight="1">
      <c r="A94" s="2394"/>
      <c r="B94" s="2367" t="s">
        <v>3786</v>
      </c>
      <c r="C94" s="2396">
        <f t="shared" ref="C94:H94" si="29">C95+C97</f>
        <v>7748.5353257947763</v>
      </c>
      <c r="D94" s="2396">
        <f t="shared" si="29"/>
        <v>7524.819090675288</v>
      </c>
      <c r="E94" s="2396">
        <f t="shared" si="29"/>
        <v>6874.7008069181829</v>
      </c>
      <c r="F94" s="2396">
        <f t="shared" si="29"/>
        <v>6545.9863295183641</v>
      </c>
      <c r="G94" s="2396">
        <f t="shared" si="29"/>
        <v>28694.041552906616</v>
      </c>
      <c r="H94" s="2396">
        <f t="shared" si="29"/>
        <v>2052.8954757142546</v>
      </c>
      <c r="I94" s="2397"/>
    </row>
    <row r="95" spans="1:10" s="2403" customFormat="1" ht="24.75" customHeight="1">
      <c r="A95" s="2394"/>
      <c r="B95" s="2370" t="s">
        <v>3784</v>
      </c>
      <c r="C95" s="2371">
        <f>2846+C96</f>
        <v>6506.4282606358211</v>
      </c>
      <c r="D95" s="2371">
        <f>2536+D96</f>
        <v>6400.6552725402307</v>
      </c>
      <c r="E95" s="2371">
        <f>1654+E96</f>
        <v>5912.1606455345463</v>
      </c>
      <c r="F95" s="2371">
        <f>1369+F96</f>
        <v>5677.7890636146913</v>
      </c>
      <c r="G95" s="2371">
        <f>8405+G96</f>
        <v>24497.033242325291</v>
      </c>
      <c r="H95" s="2371">
        <f>-1368.3760265+H96</f>
        <v>2658.0950601994036</v>
      </c>
      <c r="I95" s="2402"/>
    </row>
    <row r="96" spans="1:10" s="2378" customFormat="1" ht="24.75" customHeight="1">
      <c r="A96" s="2386"/>
      <c r="B96" s="2376" t="s">
        <v>3758</v>
      </c>
      <c r="C96" s="2398">
        <v>3660.4282606358211</v>
      </c>
      <c r="D96" s="2398">
        <v>3864.6552725402312</v>
      </c>
      <c r="E96" s="2398">
        <v>4258.1606455345463</v>
      </c>
      <c r="F96" s="2398">
        <v>4308.7890636146913</v>
      </c>
      <c r="G96" s="2384">
        <v>16092.033242325289</v>
      </c>
      <c r="H96" s="2384">
        <v>4026.4710866994037</v>
      </c>
      <c r="I96" s="2401"/>
    </row>
    <row r="97" spans="1:9" s="2403" customFormat="1" ht="24.75" customHeight="1">
      <c r="A97" s="2394"/>
      <c r="B97" s="2370" t="s">
        <v>3785</v>
      </c>
      <c r="C97" s="2371">
        <f>327+C98</f>
        <v>1242.1070651589553</v>
      </c>
      <c r="D97" s="2371">
        <f>158+D98</f>
        <v>1124.1638181350577</v>
      </c>
      <c r="E97" s="2371">
        <f>-102+E98</f>
        <v>962.54016138363659</v>
      </c>
      <c r="F97" s="2371">
        <f>-209+F98</f>
        <v>868.19726590367281</v>
      </c>
      <c r="G97" s="2371">
        <f>174+G98</f>
        <v>4197.0083105813228</v>
      </c>
      <c r="H97" s="2371">
        <f>-1611.81735616+H98</f>
        <v>-605.19958448514899</v>
      </c>
      <c r="I97" s="2402"/>
    </row>
    <row r="98" spans="1:9" s="2378" customFormat="1" ht="24.75" customHeight="1">
      <c r="A98" s="2386"/>
      <c r="B98" s="2376" t="s">
        <v>3758</v>
      </c>
      <c r="C98" s="2398">
        <v>915.10706515895527</v>
      </c>
      <c r="D98" s="2398">
        <v>966.1638181350578</v>
      </c>
      <c r="E98" s="2398">
        <v>1064.5401613836366</v>
      </c>
      <c r="F98" s="2398">
        <v>1077.1972659036728</v>
      </c>
      <c r="G98" s="2384">
        <v>4023.0083105813223</v>
      </c>
      <c r="H98" s="2384">
        <v>1006.6177716748509</v>
      </c>
      <c r="I98" s="2401"/>
    </row>
    <row r="99" spans="1:9" s="2366" customFormat="1" ht="24.75" customHeight="1">
      <c r="A99" s="2394"/>
      <c r="B99" s="2367" t="s">
        <v>3787</v>
      </c>
      <c r="C99" s="2396">
        <f t="shared" ref="C99:H99" si="30">C100+C107</f>
        <v>45778.439089901192</v>
      </c>
      <c r="D99" s="2396">
        <f t="shared" si="30"/>
        <v>4077.4340899044473</v>
      </c>
      <c r="E99" s="2396">
        <f t="shared" si="30"/>
        <v>-24233.994952287001</v>
      </c>
      <c r="F99" s="2396">
        <f t="shared" si="30"/>
        <v>12308.831368890591</v>
      </c>
      <c r="G99" s="2396">
        <f t="shared" si="30"/>
        <v>37930.407993184635</v>
      </c>
      <c r="H99" s="2396">
        <f t="shared" si="30"/>
        <v>-3702.7164854300354</v>
      </c>
      <c r="I99" s="2397"/>
    </row>
    <row r="100" spans="1:9" s="2366" customFormat="1" ht="24.75" customHeight="1">
      <c r="A100" s="2394"/>
      <c r="B100" s="2367" t="s">
        <v>3788</v>
      </c>
      <c r="C100" s="2396">
        <f t="shared" ref="C100:H100" si="31">C101+C102+C103+C104+C106</f>
        <v>139040.8468134026</v>
      </c>
      <c r="D100" s="2396">
        <f t="shared" si="31"/>
        <v>156858.51570181726</v>
      </c>
      <c r="E100" s="2396">
        <f t="shared" si="31"/>
        <v>89389.635347933101</v>
      </c>
      <c r="F100" s="2396">
        <f t="shared" si="31"/>
        <v>129984.33091511023</v>
      </c>
      <c r="G100" s="2396">
        <f t="shared" si="31"/>
        <v>515273.32877826312</v>
      </c>
      <c r="H100" s="2396">
        <f t="shared" si="31"/>
        <v>122028.94061253998</v>
      </c>
      <c r="I100" s="2397"/>
    </row>
    <row r="101" spans="1:9" s="2366" customFormat="1" ht="24.75" customHeight="1">
      <c r="A101" s="2394"/>
      <c r="B101" s="2370" t="s">
        <v>3789</v>
      </c>
      <c r="C101" s="2395">
        <v>0</v>
      </c>
      <c r="D101" s="2395">
        <v>0</v>
      </c>
      <c r="E101" s="2395">
        <v>0</v>
      </c>
      <c r="F101" s="2371">
        <v>0</v>
      </c>
      <c r="G101" s="2395">
        <v>0</v>
      </c>
      <c r="H101" s="2371">
        <v>0</v>
      </c>
      <c r="I101" s="2397"/>
    </row>
    <row r="102" spans="1:9" s="2366" customFormat="1" ht="24.75" customHeight="1">
      <c r="A102" s="2394"/>
      <c r="B102" s="2370" t="s">
        <v>3790</v>
      </c>
      <c r="C102" s="2383">
        <v>0</v>
      </c>
      <c r="D102" s="2383">
        <v>0</v>
      </c>
      <c r="E102" s="2383">
        <v>0</v>
      </c>
      <c r="F102" s="2383">
        <v>0</v>
      </c>
      <c r="G102" s="2395">
        <v>0</v>
      </c>
      <c r="H102" s="2371">
        <v>0</v>
      </c>
      <c r="I102" s="2397"/>
    </row>
    <row r="103" spans="1:9" s="2403" customFormat="1" ht="24.75" customHeight="1">
      <c r="A103" s="2394"/>
      <c r="B103" s="2370" t="s">
        <v>3791</v>
      </c>
      <c r="C103" s="2371">
        <v>22533.212842658773</v>
      </c>
      <c r="D103" s="2371">
        <v>43989.666130767233</v>
      </c>
      <c r="E103" s="2371">
        <v>-53385.015351618174</v>
      </c>
      <c r="F103" s="2371">
        <v>-21988.238815492587</v>
      </c>
      <c r="G103" s="2383">
        <v>-8850.3751936847548</v>
      </c>
      <c r="H103" s="2383">
        <v>-33482.393030981781</v>
      </c>
      <c r="I103" s="2402"/>
    </row>
    <row r="104" spans="1:9" s="2366" customFormat="1" ht="24.75" customHeight="1">
      <c r="A104" s="2394"/>
      <c r="B104" s="2370" t="s">
        <v>3792</v>
      </c>
      <c r="C104" s="2371">
        <f t="shared" ref="C104:H104" si="32">C105</f>
        <v>116709.63397074382</v>
      </c>
      <c r="D104" s="2371">
        <f t="shared" si="32"/>
        <v>112739.84957105003</v>
      </c>
      <c r="E104" s="2371">
        <f t="shared" si="32"/>
        <v>142080.65069955128</v>
      </c>
      <c r="F104" s="2371">
        <f t="shared" si="32"/>
        <v>151762.56973060282</v>
      </c>
      <c r="G104" s="2371">
        <f t="shared" si="32"/>
        <v>523292.70397194789</v>
      </c>
      <c r="H104" s="2371">
        <f t="shared" si="32"/>
        <v>155948.33364352176</v>
      </c>
      <c r="I104" s="2397"/>
    </row>
    <row r="105" spans="1:9" s="2378" customFormat="1" ht="24.75" customHeight="1">
      <c r="A105" s="2386"/>
      <c r="B105" s="2376" t="s">
        <v>3758</v>
      </c>
      <c r="C105" s="2384">
        <v>116709.63397074382</v>
      </c>
      <c r="D105" s="2384">
        <v>112739.84957105003</v>
      </c>
      <c r="E105" s="2384">
        <v>142080.65069955128</v>
      </c>
      <c r="F105" s="2384">
        <v>151762.56973060282</v>
      </c>
      <c r="G105" s="2384">
        <v>523292.70397194789</v>
      </c>
      <c r="H105" s="2384">
        <v>155948.33364352176</v>
      </c>
      <c r="I105" s="2401"/>
    </row>
    <row r="106" spans="1:9" s="2366" customFormat="1" ht="24.75" customHeight="1">
      <c r="A106" s="2394"/>
      <c r="B106" s="2370" t="s">
        <v>3793</v>
      </c>
      <c r="C106" s="2371">
        <v>-202</v>
      </c>
      <c r="D106" s="2371">
        <v>129</v>
      </c>
      <c r="E106" s="2371">
        <v>694</v>
      </c>
      <c r="F106" s="2371">
        <v>210</v>
      </c>
      <c r="G106" s="2371">
        <v>831</v>
      </c>
      <c r="H106" s="2371">
        <v>-437</v>
      </c>
      <c r="I106" s="2397"/>
    </row>
    <row r="107" spans="1:9" s="2366" customFormat="1" ht="24.75" customHeight="1">
      <c r="A107" s="2394"/>
      <c r="B107" s="2367" t="s">
        <v>3786</v>
      </c>
      <c r="C107" s="2385">
        <f t="shared" ref="C107:H107" si="33">C108+C109+C110+C111+C113</f>
        <v>-93262.407723501412</v>
      </c>
      <c r="D107" s="2385">
        <f t="shared" si="33"/>
        <v>-152781.08161191281</v>
      </c>
      <c r="E107" s="2385">
        <f t="shared" si="33"/>
        <v>-113623.6303002201</v>
      </c>
      <c r="F107" s="2385">
        <f t="shared" si="33"/>
        <v>-117675.49954621964</v>
      </c>
      <c r="G107" s="2385">
        <f t="shared" si="33"/>
        <v>-477342.92078507849</v>
      </c>
      <c r="H107" s="2385">
        <f t="shared" si="33"/>
        <v>-125731.65709797002</v>
      </c>
      <c r="I107" s="2397"/>
    </row>
    <row r="108" spans="1:9" s="2366" customFormat="1" ht="24.75" customHeight="1">
      <c r="A108" s="2394"/>
      <c r="B108" s="2370" t="s">
        <v>3789</v>
      </c>
      <c r="C108" s="2371">
        <v>1767</v>
      </c>
      <c r="D108" s="2371">
        <v>2381</v>
      </c>
      <c r="E108" s="2371">
        <v>-245</v>
      </c>
      <c r="F108" s="2371">
        <v>510</v>
      </c>
      <c r="G108" s="2371">
        <v>4413</v>
      </c>
      <c r="H108" s="2371">
        <v>-106</v>
      </c>
      <c r="I108" s="2397"/>
    </row>
    <row r="109" spans="1:9" s="2366" customFormat="1" ht="24.75" customHeight="1">
      <c r="A109" s="2394"/>
      <c r="B109" s="2370" t="s">
        <v>3790</v>
      </c>
      <c r="C109" s="2371">
        <v>18</v>
      </c>
      <c r="D109" s="2371">
        <v>-30</v>
      </c>
      <c r="E109" s="2371">
        <v>-1</v>
      </c>
      <c r="F109" s="2371">
        <v>-4.4800000000000004</v>
      </c>
      <c r="G109" s="2371">
        <v>-17.48</v>
      </c>
      <c r="H109" s="2371">
        <v>24</v>
      </c>
      <c r="I109" s="2397"/>
    </row>
    <row r="110" spans="1:9" s="2403" customFormat="1" ht="24.75" customHeight="1">
      <c r="A110" s="2394"/>
      <c r="B110" s="2370" t="s">
        <v>3791</v>
      </c>
      <c r="C110" s="2371">
        <v>9009.1581163896954</v>
      </c>
      <c r="D110" s="2371">
        <v>-44726.576857213164</v>
      </c>
      <c r="E110" s="2371">
        <v>-2322.9557558353627</v>
      </c>
      <c r="F110" s="2371">
        <v>4542.9337115803719</v>
      </c>
      <c r="G110" s="2383">
        <v>-33497.440785078477</v>
      </c>
      <c r="H110" s="2383">
        <v>-12496.621294907778</v>
      </c>
      <c r="I110" s="2402"/>
    </row>
    <row r="111" spans="1:9" s="2366" customFormat="1" ht="24.75" customHeight="1">
      <c r="A111" s="2394"/>
      <c r="B111" s="2370" t="s">
        <v>3792</v>
      </c>
      <c r="C111" s="2371">
        <f>-732+C112</f>
        <v>-107177.5658398911</v>
      </c>
      <c r="D111" s="2371">
        <f>943+D112</f>
        <v>-111441.50475469966</v>
      </c>
      <c r="E111" s="2371">
        <f>-533+E112</f>
        <v>-114360.67454438473</v>
      </c>
      <c r="F111" s="2371">
        <f>-484+F112</f>
        <v>-126293.95325780001</v>
      </c>
      <c r="G111" s="2371">
        <f>-806+G112</f>
        <v>-459274</v>
      </c>
      <c r="H111" s="2371">
        <f>-1258.28679559403+H112</f>
        <v>-115546.28679559403</v>
      </c>
      <c r="I111" s="2397"/>
    </row>
    <row r="112" spans="1:9" s="2378" customFormat="1" ht="24.75" customHeight="1">
      <c r="A112" s="2386"/>
      <c r="B112" s="2376" t="s">
        <v>3758</v>
      </c>
      <c r="C112" s="2384">
        <v>-106445.5658398911</v>
      </c>
      <c r="D112" s="2384">
        <v>-112384.50475469966</v>
      </c>
      <c r="E112" s="2384">
        <v>-113827.67454438473</v>
      </c>
      <c r="F112" s="2384">
        <v>-125809.95325780001</v>
      </c>
      <c r="G112" s="2384">
        <v>-458468</v>
      </c>
      <c r="H112" s="2384">
        <v>-114288</v>
      </c>
      <c r="I112" s="2401"/>
    </row>
    <row r="113" spans="1:9" s="2366" customFormat="1" ht="24.75" customHeight="1">
      <c r="A113" s="2394"/>
      <c r="B113" s="2370" t="s">
        <v>3793</v>
      </c>
      <c r="C113" s="2395">
        <v>3121</v>
      </c>
      <c r="D113" s="2395">
        <v>1036</v>
      </c>
      <c r="E113" s="2395">
        <v>3306</v>
      </c>
      <c r="F113" s="2371">
        <v>3570</v>
      </c>
      <c r="G113" s="2395">
        <v>11033</v>
      </c>
      <c r="H113" s="2371">
        <v>2393.2509925317877</v>
      </c>
      <c r="I113" s="2397"/>
    </row>
    <row r="114" spans="1:9" s="2366" customFormat="1" ht="24.75" customHeight="1">
      <c r="A114" s="2394"/>
      <c r="B114" s="2367" t="s">
        <v>3794</v>
      </c>
      <c r="C114" s="2396">
        <f t="shared" ref="C114:H114" si="34">SUM(C115:C119)</f>
        <v>-6090</v>
      </c>
      <c r="D114" s="2396">
        <f t="shared" si="34"/>
        <v>-8919</v>
      </c>
      <c r="E114" s="2396">
        <f t="shared" si="34"/>
        <v>-3394</v>
      </c>
      <c r="F114" s="2396">
        <f t="shared" si="34"/>
        <v>-4616</v>
      </c>
      <c r="G114" s="2396">
        <f t="shared" si="34"/>
        <v>-23019</v>
      </c>
      <c r="H114" s="2396">
        <f t="shared" si="34"/>
        <v>-4454.7137271972824</v>
      </c>
      <c r="I114" s="2397"/>
    </row>
    <row r="115" spans="1:9" s="2366" customFormat="1" ht="24.75" customHeight="1">
      <c r="A115" s="2394"/>
      <c r="B115" s="2370" t="s">
        <v>3795</v>
      </c>
      <c r="C115" s="2395">
        <v>0</v>
      </c>
      <c r="D115" s="2395">
        <v>0</v>
      </c>
      <c r="E115" s="2395">
        <v>-2509</v>
      </c>
      <c r="F115" s="2371">
        <v>-2391</v>
      </c>
      <c r="G115" s="2395">
        <v>-4900</v>
      </c>
      <c r="H115" s="2371">
        <v>-1342.0993030500001</v>
      </c>
      <c r="I115" s="2397"/>
    </row>
    <row r="116" spans="1:9" s="2366" customFormat="1" ht="24.75" customHeight="1">
      <c r="A116" s="2394"/>
      <c r="B116" s="2370" t="s">
        <v>3796</v>
      </c>
      <c r="C116" s="2395">
        <v>-14</v>
      </c>
      <c r="D116" s="2395">
        <v>-17</v>
      </c>
      <c r="E116" s="2395">
        <v>7</v>
      </c>
      <c r="F116" s="2371">
        <v>52</v>
      </c>
      <c r="G116" s="2395">
        <v>28</v>
      </c>
      <c r="H116" s="2371">
        <v>-0.19373935000038148</v>
      </c>
      <c r="I116" s="2397"/>
    </row>
    <row r="117" spans="1:9" s="2366" customFormat="1" ht="24.75" customHeight="1">
      <c r="A117" s="2394"/>
      <c r="B117" s="2370" t="s">
        <v>3797</v>
      </c>
      <c r="C117" s="2395">
        <v>-4</v>
      </c>
      <c r="D117" s="2395">
        <v>-25</v>
      </c>
      <c r="E117" s="2395">
        <v>-5</v>
      </c>
      <c r="F117" s="2371">
        <v>0</v>
      </c>
      <c r="G117" s="2395">
        <v>-34</v>
      </c>
      <c r="H117" s="2395">
        <v>313.98731483273144</v>
      </c>
      <c r="I117" s="2397"/>
    </row>
    <row r="118" spans="1:9" s="2366" customFormat="1" ht="24.75" customHeight="1">
      <c r="A118" s="2394"/>
      <c r="B118" s="2370" t="s">
        <v>3798</v>
      </c>
      <c r="C118" s="2395">
        <v>-6072</v>
      </c>
      <c r="D118" s="2395">
        <v>-8877</v>
      </c>
      <c r="E118" s="2395">
        <v>-887</v>
      </c>
      <c r="F118" s="2371">
        <v>-2277</v>
      </c>
      <c r="G118" s="2395">
        <v>-18113</v>
      </c>
      <c r="H118" s="2395">
        <v>-3426.4079996300134</v>
      </c>
      <c r="I118" s="2397"/>
    </row>
    <row r="119" spans="1:9" s="2366" customFormat="1" ht="24.75" customHeight="1">
      <c r="A119" s="2394"/>
      <c r="B119" s="2370" t="s">
        <v>3799</v>
      </c>
      <c r="C119" s="2404">
        <v>0</v>
      </c>
      <c r="D119" s="2404">
        <v>0</v>
      </c>
      <c r="E119" s="2404">
        <v>0</v>
      </c>
      <c r="F119" s="2372">
        <v>0</v>
      </c>
      <c r="G119" s="2395">
        <v>0</v>
      </c>
      <c r="H119" s="2395">
        <v>0</v>
      </c>
      <c r="I119" s="2397"/>
    </row>
    <row r="120" spans="1:9" s="2366" customFormat="1" ht="24.75" customHeight="1">
      <c r="A120" s="2394" t="s">
        <v>3800</v>
      </c>
      <c r="B120" s="2367" t="s">
        <v>3801</v>
      </c>
      <c r="C120" s="2396">
        <f t="shared" ref="C120:H120" si="35">-(C6+C79)</f>
        <v>-7362.6757172189646</v>
      </c>
      <c r="D120" s="2396">
        <f t="shared" si="35"/>
        <v>4517.2028019873669</v>
      </c>
      <c r="E120" s="2396">
        <f t="shared" si="35"/>
        <v>9791.1418302376114</v>
      </c>
      <c r="F120" s="2396">
        <f t="shared" si="35"/>
        <v>-4136.5657294733755</v>
      </c>
      <c r="G120" s="2396">
        <f t="shared" si="35"/>
        <v>2809.4047887572306</v>
      </c>
      <c r="H120" s="2396">
        <f t="shared" si="35"/>
        <v>2477.281938502465</v>
      </c>
      <c r="I120" s="2397"/>
    </row>
    <row r="121" spans="1:9" s="2366" customFormat="1" ht="7.5" customHeight="1" thickBot="1">
      <c r="A121" s="2405"/>
      <c r="B121" s="2406"/>
      <c r="C121" s="2407"/>
      <c r="D121" s="2407"/>
      <c r="E121" s="2407"/>
      <c r="F121" s="2408"/>
      <c r="G121" s="2409"/>
      <c r="H121" s="2409"/>
    </row>
    <row r="122" spans="1:9" s="2358" customFormat="1" ht="24.75" customHeight="1">
      <c r="A122" s="3473" t="s">
        <v>3802</v>
      </c>
      <c r="B122" s="3474"/>
      <c r="C122" s="3474"/>
      <c r="D122" s="3474"/>
      <c r="E122" s="3474"/>
      <c r="F122" s="3474"/>
      <c r="G122" s="2410"/>
      <c r="H122" s="2353"/>
    </row>
    <row r="123" spans="1:9" s="2358" customFormat="1" ht="20.25">
      <c r="A123" s="2411" t="s">
        <v>2346</v>
      </c>
      <c r="C123" s="2410"/>
      <c r="D123" s="2410"/>
      <c r="E123" s="2410"/>
      <c r="F123" s="2410"/>
      <c r="G123" s="2410"/>
      <c r="H123" s="2353"/>
    </row>
    <row r="124" spans="1:9" ht="20.25">
      <c r="A124" s="2411" t="s">
        <v>3803</v>
      </c>
      <c r="C124" s="2410"/>
    </row>
    <row r="125" spans="1:9" ht="23.25">
      <c r="C125" s="2413"/>
      <c r="D125" s="2413"/>
      <c r="E125" s="2413"/>
      <c r="F125" s="2413"/>
      <c r="G125" s="2413"/>
      <c r="H125" s="2413"/>
    </row>
    <row r="126" spans="1:9">
      <c r="C126" s="2414"/>
      <c r="D126" s="2414"/>
      <c r="E126" s="2414"/>
      <c r="F126" s="2414"/>
      <c r="G126" s="2414"/>
      <c r="H126" s="2414"/>
    </row>
    <row r="127" spans="1:9">
      <c r="C127" s="2414"/>
      <c r="D127" s="2414"/>
      <c r="E127" s="2414"/>
      <c r="F127" s="2414"/>
      <c r="G127" s="2414"/>
      <c r="H127" s="2414"/>
    </row>
    <row r="128" spans="1:9">
      <c r="C128" s="2410"/>
    </row>
    <row r="131" spans="3:3">
      <c r="C131" s="2410"/>
    </row>
    <row r="133" spans="3:3">
      <c r="C133" s="2410"/>
    </row>
    <row r="135" spans="3:3">
      <c r="C135" s="2410"/>
    </row>
  </sheetData>
  <mergeCells count="10">
    <mergeCell ref="A122:F122"/>
    <mergeCell ref="A1:H1"/>
    <mergeCell ref="A3:A4"/>
    <mergeCell ref="B3:B4"/>
    <mergeCell ref="C3:F3"/>
    <mergeCell ref="G3:G4"/>
    <mergeCell ref="A56:A57"/>
    <mergeCell ref="B56:B57"/>
    <mergeCell ref="C56:F56"/>
    <mergeCell ref="G56:G57"/>
  </mergeCells>
  <printOptions horizontalCentered="1"/>
  <pageMargins left="0" right="0" top="0.5" bottom="0" header="0" footer="0"/>
  <pageSetup paperSize="9" scale="46" orientation="portrait" r:id="rId1"/>
  <headerFooter scaleWithDoc="0" alignWithMargins="0"/>
  <rowBreaks count="1" manualBreakCount="1">
    <brk id="5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40"/>
  <sheetViews>
    <sheetView zoomScaleNormal="100" workbookViewId="0">
      <pane xSplit="27" ySplit="3" topLeftCell="AD4" activePane="bottomRight" state="frozen"/>
      <selection pane="topRight" activeCell="AB1" sqref="AB1"/>
      <selection pane="bottomLeft" activeCell="A4" sqref="A4"/>
      <selection pane="bottomRight" activeCell="AJ27" sqref="AJ27"/>
    </sheetView>
  </sheetViews>
  <sheetFormatPr defaultColWidth="30.42578125" defaultRowHeight="12.75"/>
  <cols>
    <col min="1" max="1" width="35.140625" style="2932" customWidth="1"/>
    <col min="2" max="10" width="10.85546875" style="2933" hidden="1" customWidth="1"/>
    <col min="11" max="15" width="11.7109375" style="2933" hidden="1" customWidth="1"/>
    <col min="16" max="29" width="11.85546875" style="2933" hidden="1" customWidth="1"/>
    <col min="30" max="42" width="11.85546875" style="2933" bestFit="1" customWidth="1"/>
    <col min="43" max="256" width="30.42578125" style="2933"/>
    <col min="257" max="257" width="34.85546875" style="2933" customWidth="1"/>
    <col min="258" max="266" width="10.85546875" style="2933" customWidth="1"/>
    <col min="267" max="278" width="11.7109375" style="2933" customWidth="1"/>
    <col min="279" max="279" width="30.42578125" style="2933"/>
    <col min="280" max="280" width="37" style="2933" customWidth="1"/>
    <col min="281" max="512" width="30.42578125" style="2933"/>
    <col min="513" max="513" width="34.85546875" style="2933" customWidth="1"/>
    <col min="514" max="522" width="10.85546875" style="2933" customWidth="1"/>
    <col min="523" max="534" width="11.7109375" style="2933" customWidth="1"/>
    <col min="535" max="535" width="30.42578125" style="2933"/>
    <col min="536" max="536" width="37" style="2933" customWidth="1"/>
    <col min="537" max="768" width="30.42578125" style="2933"/>
    <col min="769" max="769" width="34.85546875" style="2933" customWidth="1"/>
    <col min="770" max="778" width="10.85546875" style="2933" customWidth="1"/>
    <col min="779" max="790" width="11.7109375" style="2933" customWidth="1"/>
    <col min="791" max="791" width="30.42578125" style="2933"/>
    <col min="792" max="792" width="37" style="2933" customWidth="1"/>
    <col min="793" max="1024" width="30.42578125" style="2933"/>
    <col min="1025" max="1025" width="34.85546875" style="2933" customWidth="1"/>
    <col min="1026" max="1034" width="10.85546875" style="2933" customWidth="1"/>
    <col min="1035" max="1046" width="11.7109375" style="2933" customWidth="1"/>
    <col min="1047" max="1047" width="30.42578125" style="2933"/>
    <col min="1048" max="1048" width="37" style="2933" customWidth="1"/>
    <col min="1049" max="1280" width="30.42578125" style="2933"/>
    <col min="1281" max="1281" width="34.85546875" style="2933" customWidth="1"/>
    <col min="1282" max="1290" width="10.85546875" style="2933" customWidth="1"/>
    <col min="1291" max="1302" width="11.7109375" style="2933" customWidth="1"/>
    <col min="1303" max="1303" width="30.42578125" style="2933"/>
    <col min="1304" max="1304" width="37" style="2933" customWidth="1"/>
    <col min="1305" max="1536" width="30.42578125" style="2933"/>
    <col min="1537" max="1537" width="34.85546875" style="2933" customWidth="1"/>
    <col min="1538" max="1546" width="10.85546875" style="2933" customWidth="1"/>
    <col min="1547" max="1558" width="11.7109375" style="2933" customWidth="1"/>
    <col min="1559" max="1559" width="30.42578125" style="2933"/>
    <col min="1560" max="1560" width="37" style="2933" customWidth="1"/>
    <col min="1561" max="1792" width="30.42578125" style="2933"/>
    <col min="1793" max="1793" width="34.85546875" style="2933" customWidth="1"/>
    <col min="1794" max="1802" width="10.85546875" style="2933" customWidth="1"/>
    <col min="1803" max="1814" width="11.7109375" style="2933" customWidth="1"/>
    <col min="1815" max="1815" width="30.42578125" style="2933"/>
    <col min="1816" max="1816" width="37" style="2933" customWidth="1"/>
    <col min="1817" max="2048" width="30.42578125" style="2933"/>
    <col min="2049" max="2049" width="34.85546875" style="2933" customWidth="1"/>
    <col min="2050" max="2058" width="10.85546875" style="2933" customWidth="1"/>
    <col min="2059" max="2070" width="11.7109375" style="2933" customWidth="1"/>
    <col min="2071" max="2071" width="30.42578125" style="2933"/>
    <col min="2072" max="2072" width="37" style="2933" customWidth="1"/>
    <col min="2073" max="2304" width="30.42578125" style="2933"/>
    <col min="2305" max="2305" width="34.85546875" style="2933" customWidth="1"/>
    <col min="2306" max="2314" width="10.85546875" style="2933" customWidth="1"/>
    <col min="2315" max="2326" width="11.7109375" style="2933" customWidth="1"/>
    <col min="2327" max="2327" width="30.42578125" style="2933"/>
    <col min="2328" max="2328" width="37" style="2933" customWidth="1"/>
    <col min="2329" max="2560" width="30.42578125" style="2933"/>
    <col min="2561" max="2561" width="34.85546875" style="2933" customWidth="1"/>
    <col min="2562" max="2570" width="10.85546875" style="2933" customWidth="1"/>
    <col min="2571" max="2582" width="11.7109375" style="2933" customWidth="1"/>
    <col min="2583" max="2583" width="30.42578125" style="2933"/>
    <col min="2584" max="2584" width="37" style="2933" customWidth="1"/>
    <col min="2585" max="2816" width="30.42578125" style="2933"/>
    <col min="2817" max="2817" width="34.85546875" style="2933" customWidth="1"/>
    <col min="2818" max="2826" width="10.85546875" style="2933" customWidth="1"/>
    <col min="2827" max="2838" width="11.7109375" style="2933" customWidth="1"/>
    <col min="2839" max="2839" width="30.42578125" style="2933"/>
    <col min="2840" max="2840" width="37" style="2933" customWidth="1"/>
    <col min="2841" max="3072" width="30.42578125" style="2933"/>
    <col min="3073" max="3073" width="34.85546875" style="2933" customWidth="1"/>
    <col min="3074" max="3082" width="10.85546875" style="2933" customWidth="1"/>
    <col min="3083" max="3094" width="11.7109375" style="2933" customWidth="1"/>
    <col min="3095" max="3095" width="30.42578125" style="2933"/>
    <col min="3096" max="3096" width="37" style="2933" customWidth="1"/>
    <col min="3097" max="3328" width="30.42578125" style="2933"/>
    <col min="3329" max="3329" width="34.85546875" style="2933" customWidth="1"/>
    <col min="3330" max="3338" width="10.85546875" style="2933" customWidth="1"/>
    <col min="3339" max="3350" width="11.7109375" style="2933" customWidth="1"/>
    <col min="3351" max="3351" width="30.42578125" style="2933"/>
    <col min="3352" max="3352" width="37" style="2933" customWidth="1"/>
    <col min="3353" max="3584" width="30.42578125" style="2933"/>
    <col min="3585" max="3585" width="34.85546875" style="2933" customWidth="1"/>
    <col min="3586" max="3594" width="10.85546875" style="2933" customWidth="1"/>
    <col min="3595" max="3606" width="11.7109375" style="2933" customWidth="1"/>
    <col min="3607" max="3607" width="30.42578125" style="2933"/>
    <col min="3608" max="3608" width="37" style="2933" customWidth="1"/>
    <col min="3609" max="3840" width="30.42578125" style="2933"/>
    <col min="3841" max="3841" width="34.85546875" style="2933" customWidth="1"/>
    <col min="3842" max="3850" width="10.85546875" style="2933" customWidth="1"/>
    <col min="3851" max="3862" width="11.7109375" style="2933" customWidth="1"/>
    <col min="3863" max="3863" width="30.42578125" style="2933"/>
    <col min="3864" max="3864" width="37" style="2933" customWidth="1"/>
    <col min="3865" max="4096" width="30.42578125" style="2933"/>
    <col min="4097" max="4097" width="34.85546875" style="2933" customWidth="1"/>
    <col min="4098" max="4106" width="10.85546875" style="2933" customWidth="1"/>
    <col min="4107" max="4118" width="11.7109375" style="2933" customWidth="1"/>
    <col min="4119" max="4119" width="30.42578125" style="2933"/>
    <col min="4120" max="4120" width="37" style="2933" customWidth="1"/>
    <col min="4121" max="4352" width="30.42578125" style="2933"/>
    <col min="4353" max="4353" width="34.85546875" style="2933" customWidth="1"/>
    <col min="4354" max="4362" width="10.85546875" style="2933" customWidth="1"/>
    <col min="4363" max="4374" width="11.7109375" style="2933" customWidth="1"/>
    <col min="4375" max="4375" width="30.42578125" style="2933"/>
    <col min="4376" max="4376" width="37" style="2933" customWidth="1"/>
    <col min="4377" max="4608" width="30.42578125" style="2933"/>
    <col min="4609" max="4609" width="34.85546875" style="2933" customWidth="1"/>
    <col min="4610" max="4618" width="10.85546875" style="2933" customWidth="1"/>
    <col min="4619" max="4630" width="11.7109375" style="2933" customWidth="1"/>
    <col min="4631" max="4631" width="30.42578125" style="2933"/>
    <col min="4632" max="4632" width="37" style="2933" customWidth="1"/>
    <col min="4633" max="4864" width="30.42578125" style="2933"/>
    <col min="4865" max="4865" width="34.85546875" style="2933" customWidth="1"/>
    <col min="4866" max="4874" width="10.85546875" style="2933" customWidth="1"/>
    <col min="4875" max="4886" width="11.7109375" style="2933" customWidth="1"/>
    <col min="4887" max="4887" width="30.42578125" style="2933"/>
    <col min="4888" max="4888" width="37" style="2933" customWidth="1"/>
    <col min="4889" max="5120" width="30.42578125" style="2933"/>
    <col min="5121" max="5121" width="34.85546875" style="2933" customWidth="1"/>
    <col min="5122" max="5130" width="10.85546875" style="2933" customWidth="1"/>
    <col min="5131" max="5142" width="11.7109375" style="2933" customWidth="1"/>
    <col min="5143" max="5143" width="30.42578125" style="2933"/>
    <col min="5144" max="5144" width="37" style="2933" customWidth="1"/>
    <col min="5145" max="5376" width="30.42578125" style="2933"/>
    <col min="5377" max="5377" width="34.85546875" style="2933" customWidth="1"/>
    <col min="5378" max="5386" width="10.85546875" style="2933" customWidth="1"/>
    <col min="5387" max="5398" width="11.7109375" style="2933" customWidth="1"/>
    <col min="5399" max="5399" width="30.42578125" style="2933"/>
    <col min="5400" max="5400" width="37" style="2933" customWidth="1"/>
    <col min="5401" max="5632" width="30.42578125" style="2933"/>
    <col min="5633" max="5633" width="34.85546875" style="2933" customWidth="1"/>
    <col min="5634" max="5642" width="10.85546875" style="2933" customWidth="1"/>
    <col min="5643" max="5654" width="11.7109375" style="2933" customWidth="1"/>
    <col min="5655" max="5655" width="30.42578125" style="2933"/>
    <col min="5656" max="5656" width="37" style="2933" customWidth="1"/>
    <col min="5657" max="5888" width="30.42578125" style="2933"/>
    <col min="5889" max="5889" width="34.85546875" style="2933" customWidth="1"/>
    <col min="5890" max="5898" width="10.85546875" style="2933" customWidth="1"/>
    <col min="5899" max="5910" width="11.7109375" style="2933" customWidth="1"/>
    <col min="5911" max="5911" width="30.42578125" style="2933"/>
    <col min="5912" max="5912" width="37" style="2933" customWidth="1"/>
    <col min="5913" max="6144" width="30.42578125" style="2933"/>
    <col min="6145" max="6145" width="34.85546875" style="2933" customWidth="1"/>
    <col min="6146" max="6154" width="10.85546875" style="2933" customWidth="1"/>
    <col min="6155" max="6166" width="11.7109375" style="2933" customWidth="1"/>
    <col min="6167" max="6167" width="30.42578125" style="2933"/>
    <col min="6168" max="6168" width="37" style="2933" customWidth="1"/>
    <col min="6169" max="6400" width="30.42578125" style="2933"/>
    <col min="6401" max="6401" width="34.85546875" style="2933" customWidth="1"/>
    <col min="6402" max="6410" width="10.85546875" style="2933" customWidth="1"/>
    <col min="6411" max="6422" width="11.7109375" style="2933" customWidth="1"/>
    <col min="6423" max="6423" width="30.42578125" style="2933"/>
    <col min="6424" max="6424" width="37" style="2933" customWidth="1"/>
    <col min="6425" max="6656" width="30.42578125" style="2933"/>
    <col min="6657" max="6657" width="34.85546875" style="2933" customWidth="1"/>
    <col min="6658" max="6666" width="10.85546875" style="2933" customWidth="1"/>
    <col min="6667" max="6678" width="11.7109375" style="2933" customWidth="1"/>
    <col min="6679" max="6679" width="30.42578125" style="2933"/>
    <col min="6680" max="6680" width="37" style="2933" customWidth="1"/>
    <col min="6681" max="6912" width="30.42578125" style="2933"/>
    <col min="6913" max="6913" width="34.85546875" style="2933" customWidth="1"/>
    <col min="6914" max="6922" width="10.85546875" style="2933" customWidth="1"/>
    <col min="6923" max="6934" width="11.7109375" style="2933" customWidth="1"/>
    <col min="6935" max="6935" width="30.42578125" style="2933"/>
    <col min="6936" max="6936" width="37" style="2933" customWidth="1"/>
    <col min="6937" max="7168" width="30.42578125" style="2933"/>
    <col min="7169" max="7169" width="34.85546875" style="2933" customWidth="1"/>
    <col min="7170" max="7178" width="10.85546875" style="2933" customWidth="1"/>
    <col min="7179" max="7190" width="11.7109375" style="2933" customWidth="1"/>
    <col min="7191" max="7191" width="30.42578125" style="2933"/>
    <col min="7192" max="7192" width="37" style="2933" customWidth="1"/>
    <col min="7193" max="7424" width="30.42578125" style="2933"/>
    <col min="7425" max="7425" width="34.85546875" style="2933" customWidth="1"/>
    <col min="7426" max="7434" width="10.85546875" style="2933" customWidth="1"/>
    <col min="7435" max="7446" width="11.7109375" style="2933" customWidth="1"/>
    <col min="7447" max="7447" width="30.42578125" style="2933"/>
    <col min="7448" max="7448" width="37" style="2933" customWidth="1"/>
    <col min="7449" max="7680" width="30.42578125" style="2933"/>
    <col min="7681" max="7681" width="34.85546875" style="2933" customWidth="1"/>
    <col min="7682" max="7690" width="10.85546875" style="2933" customWidth="1"/>
    <col min="7691" max="7702" width="11.7109375" style="2933" customWidth="1"/>
    <col min="7703" max="7703" width="30.42578125" style="2933"/>
    <col min="7704" max="7704" width="37" style="2933" customWidth="1"/>
    <col min="7705" max="7936" width="30.42578125" style="2933"/>
    <col min="7937" max="7937" width="34.85546875" style="2933" customWidth="1"/>
    <col min="7938" max="7946" width="10.85546875" style="2933" customWidth="1"/>
    <col min="7947" max="7958" width="11.7109375" style="2933" customWidth="1"/>
    <col min="7959" max="7959" width="30.42578125" style="2933"/>
    <col min="7960" max="7960" width="37" style="2933" customWidth="1"/>
    <col min="7961" max="8192" width="30.42578125" style="2933"/>
    <col min="8193" max="8193" width="34.85546875" style="2933" customWidth="1"/>
    <col min="8194" max="8202" width="10.85546875" style="2933" customWidth="1"/>
    <col min="8203" max="8214" width="11.7109375" style="2933" customWidth="1"/>
    <col min="8215" max="8215" width="30.42578125" style="2933"/>
    <col min="8216" max="8216" width="37" style="2933" customWidth="1"/>
    <col min="8217" max="8448" width="30.42578125" style="2933"/>
    <col min="8449" max="8449" width="34.85546875" style="2933" customWidth="1"/>
    <col min="8450" max="8458" width="10.85546875" style="2933" customWidth="1"/>
    <col min="8459" max="8470" width="11.7109375" style="2933" customWidth="1"/>
    <col min="8471" max="8471" width="30.42578125" style="2933"/>
    <col min="8472" max="8472" width="37" style="2933" customWidth="1"/>
    <col min="8473" max="8704" width="30.42578125" style="2933"/>
    <col min="8705" max="8705" width="34.85546875" style="2933" customWidth="1"/>
    <col min="8706" max="8714" width="10.85546875" style="2933" customWidth="1"/>
    <col min="8715" max="8726" width="11.7109375" style="2933" customWidth="1"/>
    <col min="8727" max="8727" width="30.42578125" style="2933"/>
    <col min="8728" max="8728" width="37" style="2933" customWidth="1"/>
    <col min="8729" max="8960" width="30.42578125" style="2933"/>
    <col min="8961" max="8961" width="34.85546875" style="2933" customWidth="1"/>
    <col min="8962" max="8970" width="10.85546875" style="2933" customWidth="1"/>
    <col min="8971" max="8982" width="11.7109375" style="2933" customWidth="1"/>
    <col min="8983" max="8983" width="30.42578125" style="2933"/>
    <col min="8984" max="8984" width="37" style="2933" customWidth="1"/>
    <col min="8985" max="9216" width="30.42578125" style="2933"/>
    <col min="9217" max="9217" width="34.85546875" style="2933" customWidth="1"/>
    <col min="9218" max="9226" width="10.85546875" style="2933" customWidth="1"/>
    <col min="9227" max="9238" width="11.7109375" style="2933" customWidth="1"/>
    <col min="9239" max="9239" width="30.42578125" style="2933"/>
    <col min="9240" max="9240" width="37" style="2933" customWidth="1"/>
    <col min="9241" max="9472" width="30.42578125" style="2933"/>
    <col min="9473" max="9473" width="34.85546875" style="2933" customWidth="1"/>
    <col min="9474" max="9482" width="10.85546875" style="2933" customWidth="1"/>
    <col min="9483" max="9494" width="11.7109375" style="2933" customWidth="1"/>
    <col min="9495" max="9495" width="30.42578125" style="2933"/>
    <col min="9496" max="9496" width="37" style="2933" customWidth="1"/>
    <col min="9497" max="9728" width="30.42578125" style="2933"/>
    <col min="9729" max="9729" width="34.85546875" style="2933" customWidth="1"/>
    <col min="9730" max="9738" width="10.85546875" style="2933" customWidth="1"/>
    <col min="9739" max="9750" width="11.7109375" style="2933" customWidth="1"/>
    <col min="9751" max="9751" width="30.42578125" style="2933"/>
    <col min="9752" max="9752" width="37" style="2933" customWidth="1"/>
    <col min="9753" max="9984" width="30.42578125" style="2933"/>
    <col min="9985" max="9985" width="34.85546875" style="2933" customWidth="1"/>
    <col min="9986" max="9994" width="10.85546875" style="2933" customWidth="1"/>
    <col min="9995" max="10006" width="11.7109375" style="2933" customWidth="1"/>
    <col min="10007" max="10007" width="30.42578125" style="2933"/>
    <col min="10008" max="10008" width="37" style="2933" customWidth="1"/>
    <col min="10009" max="10240" width="30.42578125" style="2933"/>
    <col min="10241" max="10241" width="34.85546875" style="2933" customWidth="1"/>
    <col min="10242" max="10250" width="10.85546875" style="2933" customWidth="1"/>
    <col min="10251" max="10262" width="11.7109375" style="2933" customWidth="1"/>
    <col min="10263" max="10263" width="30.42578125" style="2933"/>
    <col min="10264" max="10264" width="37" style="2933" customWidth="1"/>
    <col min="10265" max="10496" width="30.42578125" style="2933"/>
    <col min="10497" max="10497" width="34.85546875" style="2933" customWidth="1"/>
    <col min="10498" max="10506" width="10.85546875" style="2933" customWidth="1"/>
    <col min="10507" max="10518" width="11.7109375" style="2933" customWidth="1"/>
    <col min="10519" max="10519" width="30.42578125" style="2933"/>
    <col min="10520" max="10520" width="37" style="2933" customWidth="1"/>
    <col min="10521" max="10752" width="30.42578125" style="2933"/>
    <col min="10753" max="10753" width="34.85546875" style="2933" customWidth="1"/>
    <col min="10754" max="10762" width="10.85546875" style="2933" customWidth="1"/>
    <col min="10763" max="10774" width="11.7109375" style="2933" customWidth="1"/>
    <col min="10775" max="10775" width="30.42578125" style="2933"/>
    <col min="10776" max="10776" width="37" style="2933" customWidth="1"/>
    <col min="10777" max="11008" width="30.42578125" style="2933"/>
    <col min="11009" max="11009" width="34.85546875" style="2933" customWidth="1"/>
    <col min="11010" max="11018" width="10.85546875" style="2933" customWidth="1"/>
    <col min="11019" max="11030" width="11.7109375" style="2933" customWidth="1"/>
    <col min="11031" max="11031" width="30.42578125" style="2933"/>
    <col min="11032" max="11032" width="37" style="2933" customWidth="1"/>
    <col min="11033" max="11264" width="30.42578125" style="2933"/>
    <col min="11265" max="11265" width="34.85546875" style="2933" customWidth="1"/>
    <col min="11266" max="11274" width="10.85546875" style="2933" customWidth="1"/>
    <col min="11275" max="11286" width="11.7109375" style="2933" customWidth="1"/>
    <col min="11287" max="11287" width="30.42578125" style="2933"/>
    <col min="11288" max="11288" width="37" style="2933" customWidth="1"/>
    <col min="11289" max="11520" width="30.42578125" style="2933"/>
    <col min="11521" max="11521" width="34.85546875" style="2933" customWidth="1"/>
    <col min="11522" max="11530" width="10.85546875" style="2933" customWidth="1"/>
    <col min="11531" max="11542" width="11.7109375" style="2933" customWidth="1"/>
    <col min="11543" max="11543" width="30.42578125" style="2933"/>
    <col min="11544" max="11544" width="37" style="2933" customWidth="1"/>
    <col min="11545" max="11776" width="30.42578125" style="2933"/>
    <col min="11777" max="11777" width="34.85546875" style="2933" customWidth="1"/>
    <col min="11778" max="11786" width="10.85546875" style="2933" customWidth="1"/>
    <col min="11787" max="11798" width="11.7109375" style="2933" customWidth="1"/>
    <col min="11799" max="11799" width="30.42578125" style="2933"/>
    <col min="11800" max="11800" width="37" style="2933" customWidth="1"/>
    <col min="11801" max="12032" width="30.42578125" style="2933"/>
    <col min="12033" max="12033" width="34.85546875" style="2933" customWidth="1"/>
    <col min="12034" max="12042" width="10.85546875" style="2933" customWidth="1"/>
    <col min="12043" max="12054" width="11.7109375" style="2933" customWidth="1"/>
    <col min="12055" max="12055" width="30.42578125" style="2933"/>
    <col min="12056" max="12056" width="37" style="2933" customWidth="1"/>
    <col min="12057" max="12288" width="30.42578125" style="2933"/>
    <col min="12289" max="12289" width="34.85546875" style="2933" customWidth="1"/>
    <col min="12290" max="12298" width="10.85546875" style="2933" customWidth="1"/>
    <col min="12299" max="12310" width="11.7109375" style="2933" customWidth="1"/>
    <col min="12311" max="12311" width="30.42578125" style="2933"/>
    <col min="12312" max="12312" width="37" style="2933" customWidth="1"/>
    <col min="12313" max="12544" width="30.42578125" style="2933"/>
    <col min="12545" max="12545" width="34.85546875" style="2933" customWidth="1"/>
    <col min="12546" max="12554" width="10.85546875" style="2933" customWidth="1"/>
    <col min="12555" max="12566" width="11.7109375" style="2933" customWidth="1"/>
    <col min="12567" max="12567" width="30.42578125" style="2933"/>
    <col min="12568" max="12568" width="37" style="2933" customWidth="1"/>
    <col min="12569" max="12800" width="30.42578125" style="2933"/>
    <col min="12801" max="12801" width="34.85546875" style="2933" customWidth="1"/>
    <col min="12802" max="12810" width="10.85546875" style="2933" customWidth="1"/>
    <col min="12811" max="12822" width="11.7109375" style="2933" customWidth="1"/>
    <col min="12823" max="12823" width="30.42578125" style="2933"/>
    <col min="12824" max="12824" width="37" style="2933" customWidth="1"/>
    <col min="12825" max="13056" width="30.42578125" style="2933"/>
    <col min="13057" max="13057" width="34.85546875" style="2933" customWidth="1"/>
    <col min="13058" max="13066" width="10.85546875" style="2933" customWidth="1"/>
    <col min="13067" max="13078" width="11.7109375" style="2933" customWidth="1"/>
    <col min="13079" max="13079" width="30.42578125" style="2933"/>
    <col min="13080" max="13080" width="37" style="2933" customWidth="1"/>
    <col min="13081" max="13312" width="30.42578125" style="2933"/>
    <col min="13313" max="13313" width="34.85546875" style="2933" customWidth="1"/>
    <col min="13314" max="13322" width="10.85546875" style="2933" customWidth="1"/>
    <col min="13323" max="13334" width="11.7109375" style="2933" customWidth="1"/>
    <col min="13335" max="13335" width="30.42578125" style="2933"/>
    <col min="13336" max="13336" width="37" style="2933" customWidth="1"/>
    <col min="13337" max="13568" width="30.42578125" style="2933"/>
    <col min="13569" max="13569" width="34.85546875" style="2933" customWidth="1"/>
    <col min="13570" max="13578" width="10.85546875" style="2933" customWidth="1"/>
    <col min="13579" max="13590" width="11.7109375" style="2933" customWidth="1"/>
    <col min="13591" max="13591" width="30.42578125" style="2933"/>
    <col min="13592" max="13592" width="37" style="2933" customWidth="1"/>
    <col min="13593" max="13824" width="30.42578125" style="2933"/>
    <col min="13825" max="13825" width="34.85546875" style="2933" customWidth="1"/>
    <col min="13826" max="13834" width="10.85546875" style="2933" customWidth="1"/>
    <col min="13835" max="13846" width="11.7109375" style="2933" customWidth="1"/>
    <col min="13847" max="13847" width="30.42578125" style="2933"/>
    <col min="13848" max="13848" width="37" style="2933" customWidth="1"/>
    <col min="13849" max="14080" width="30.42578125" style="2933"/>
    <col min="14081" max="14081" width="34.85546875" style="2933" customWidth="1"/>
    <col min="14082" max="14090" width="10.85546875" style="2933" customWidth="1"/>
    <col min="14091" max="14102" width="11.7109375" style="2933" customWidth="1"/>
    <col min="14103" max="14103" width="30.42578125" style="2933"/>
    <col min="14104" max="14104" width="37" style="2933" customWidth="1"/>
    <col min="14105" max="14336" width="30.42578125" style="2933"/>
    <col min="14337" max="14337" width="34.85546875" style="2933" customWidth="1"/>
    <col min="14338" max="14346" width="10.85546875" style="2933" customWidth="1"/>
    <col min="14347" max="14358" width="11.7109375" style="2933" customWidth="1"/>
    <col min="14359" max="14359" width="30.42578125" style="2933"/>
    <col min="14360" max="14360" width="37" style="2933" customWidth="1"/>
    <col min="14361" max="14592" width="30.42578125" style="2933"/>
    <col min="14593" max="14593" width="34.85546875" style="2933" customWidth="1"/>
    <col min="14594" max="14602" width="10.85546875" style="2933" customWidth="1"/>
    <col min="14603" max="14614" width="11.7109375" style="2933" customWidth="1"/>
    <col min="14615" max="14615" width="30.42578125" style="2933"/>
    <col min="14616" max="14616" width="37" style="2933" customWidth="1"/>
    <col min="14617" max="14848" width="30.42578125" style="2933"/>
    <col min="14849" max="14849" width="34.85546875" style="2933" customWidth="1"/>
    <col min="14850" max="14858" width="10.85546875" style="2933" customWidth="1"/>
    <col min="14859" max="14870" width="11.7109375" style="2933" customWidth="1"/>
    <col min="14871" max="14871" width="30.42578125" style="2933"/>
    <col min="14872" max="14872" width="37" style="2933" customWidth="1"/>
    <col min="14873" max="15104" width="30.42578125" style="2933"/>
    <col min="15105" max="15105" width="34.85546875" style="2933" customWidth="1"/>
    <col min="15106" max="15114" width="10.85546875" style="2933" customWidth="1"/>
    <col min="15115" max="15126" width="11.7109375" style="2933" customWidth="1"/>
    <col min="15127" max="15127" width="30.42578125" style="2933"/>
    <col min="15128" max="15128" width="37" style="2933" customWidth="1"/>
    <col min="15129" max="15360" width="30.42578125" style="2933"/>
    <col min="15361" max="15361" width="34.85546875" style="2933" customWidth="1"/>
    <col min="15362" max="15370" width="10.85546875" style="2933" customWidth="1"/>
    <col min="15371" max="15382" width="11.7109375" style="2933" customWidth="1"/>
    <col min="15383" max="15383" width="30.42578125" style="2933"/>
    <col min="15384" max="15384" width="37" style="2933" customWidth="1"/>
    <col min="15385" max="15616" width="30.42578125" style="2933"/>
    <col min="15617" max="15617" width="34.85546875" style="2933" customWidth="1"/>
    <col min="15618" max="15626" width="10.85546875" style="2933" customWidth="1"/>
    <col min="15627" max="15638" width="11.7109375" style="2933" customWidth="1"/>
    <col min="15639" max="15639" width="30.42578125" style="2933"/>
    <col min="15640" max="15640" width="37" style="2933" customWidth="1"/>
    <col min="15641" max="15872" width="30.42578125" style="2933"/>
    <col min="15873" max="15873" width="34.85546875" style="2933" customWidth="1"/>
    <col min="15874" max="15882" width="10.85546875" style="2933" customWidth="1"/>
    <col min="15883" max="15894" width="11.7109375" style="2933" customWidth="1"/>
    <col min="15895" max="15895" width="30.42578125" style="2933"/>
    <col min="15896" max="15896" width="37" style="2933" customWidth="1"/>
    <col min="15897" max="16128" width="30.42578125" style="2933"/>
    <col min="16129" max="16129" width="34.85546875" style="2933" customWidth="1"/>
    <col min="16130" max="16138" width="10.85546875" style="2933" customWidth="1"/>
    <col min="16139" max="16150" width="11.7109375" style="2933" customWidth="1"/>
    <col min="16151" max="16151" width="30.42578125" style="2933"/>
    <col min="16152" max="16152" width="37" style="2933" customWidth="1"/>
    <col min="16153" max="16384" width="30.42578125" style="2933"/>
  </cols>
  <sheetData>
    <row r="1" spans="1:42" s="2931" customFormat="1" ht="23.25">
      <c r="A1" s="2930" t="s">
        <v>4437</v>
      </c>
    </row>
    <row r="2" spans="1:42" ht="13.5" thickBot="1"/>
    <row r="3" spans="1:42" s="2938" customFormat="1" ht="26.25" customHeight="1">
      <c r="A3" s="2934"/>
      <c r="B3" s="2935">
        <v>40910</v>
      </c>
      <c r="C3" s="2936">
        <v>40941</v>
      </c>
      <c r="D3" s="2936">
        <v>40971</v>
      </c>
      <c r="E3" s="2936">
        <v>41003</v>
      </c>
      <c r="F3" s="2936">
        <v>41034</v>
      </c>
      <c r="G3" s="2936">
        <v>41066</v>
      </c>
      <c r="H3" s="2936">
        <v>41097</v>
      </c>
      <c r="I3" s="2936">
        <v>41129</v>
      </c>
      <c r="J3" s="2936">
        <v>41161</v>
      </c>
      <c r="K3" s="2936">
        <v>41192</v>
      </c>
      <c r="L3" s="2936">
        <v>41224</v>
      </c>
      <c r="M3" s="2936">
        <v>41255</v>
      </c>
      <c r="N3" s="2936">
        <v>41275</v>
      </c>
      <c r="O3" s="2936">
        <v>41307</v>
      </c>
      <c r="P3" s="2937">
        <v>41336</v>
      </c>
      <c r="Q3" s="2937">
        <v>41399</v>
      </c>
      <c r="R3" s="2937">
        <v>41431</v>
      </c>
      <c r="S3" s="2937">
        <v>41462</v>
      </c>
      <c r="T3" s="2937">
        <v>41494</v>
      </c>
      <c r="U3" s="2937">
        <v>41526</v>
      </c>
      <c r="V3" s="2937">
        <v>41557</v>
      </c>
      <c r="W3" s="2937">
        <v>41588</v>
      </c>
      <c r="X3" s="2937">
        <v>41619</v>
      </c>
      <c r="Y3" s="2937">
        <v>41640</v>
      </c>
      <c r="Z3" s="2937">
        <v>41671</v>
      </c>
      <c r="AA3" s="2937">
        <v>41700</v>
      </c>
      <c r="AB3" s="2937">
        <v>41732</v>
      </c>
      <c r="AC3" s="2937">
        <v>41762</v>
      </c>
      <c r="AD3" s="2937">
        <v>41794</v>
      </c>
      <c r="AE3" s="2937">
        <v>41825</v>
      </c>
      <c r="AF3" s="2937">
        <v>41857</v>
      </c>
      <c r="AG3" s="2937">
        <v>41889</v>
      </c>
      <c r="AH3" s="2937">
        <v>41919</v>
      </c>
      <c r="AI3" s="2937">
        <v>41950</v>
      </c>
      <c r="AJ3" s="2937">
        <v>41980</v>
      </c>
      <c r="AK3" s="2937">
        <v>42012</v>
      </c>
      <c r="AL3" s="2937">
        <v>42037</v>
      </c>
      <c r="AM3" s="2937">
        <v>42064</v>
      </c>
      <c r="AN3" s="2937">
        <v>42096</v>
      </c>
      <c r="AO3" s="2937">
        <v>42127</v>
      </c>
      <c r="AP3" s="2937">
        <v>42159</v>
      </c>
    </row>
    <row r="4" spans="1:42" ht="26.25" customHeight="1">
      <c r="A4" s="2939" t="s">
        <v>4417</v>
      </c>
      <c r="B4" s="2940">
        <v>430</v>
      </c>
      <c r="C4" s="2941">
        <v>430</v>
      </c>
      <c r="D4" s="2941">
        <v>432</v>
      </c>
      <c r="E4" s="2941">
        <v>431</v>
      </c>
      <c r="F4" s="2941">
        <v>431</v>
      </c>
      <c r="G4" s="2941">
        <v>430</v>
      </c>
      <c r="H4" s="2941">
        <v>432</v>
      </c>
      <c r="I4" s="2941">
        <v>433</v>
      </c>
      <c r="J4" s="2941">
        <v>436</v>
      </c>
      <c r="K4" s="2941">
        <v>437</v>
      </c>
      <c r="L4" s="2941">
        <v>438</v>
      </c>
      <c r="M4" s="2941">
        <v>441</v>
      </c>
      <c r="N4" s="2941">
        <v>442</v>
      </c>
      <c r="O4" s="2941">
        <v>443</v>
      </c>
      <c r="P4" s="2942">
        <v>446</v>
      </c>
      <c r="Q4" s="2942">
        <v>447</v>
      </c>
      <c r="R4" s="2942">
        <v>450</v>
      </c>
      <c r="S4" s="2942">
        <v>448</v>
      </c>
      <c r="T4" s="2942">
        <v>448</v>
      </c>
      <c r="U4" s="2942">
        <v>449</v>
      </c>
      <c r="V4" s="2942">
        <v>448</v>
      </c>
      <c r="W4" s="2942">
        <v>449</v>
      </c>
      <c r="X4" s="2942">
        <v>450</v>
      </c>
      <c r="Y4" s="2942">
        <v>450</v>
      </c>
      <c r="Z4" s="2942">
        <v>449</v>
      </c>
      <c r="AA4" s="2942">
        <v>451</v>
      </c>
      <c r="AB4" s="2942">
        <v>451</v>
      </c>
      <c r="AC4" s="2942">
        <v>452</v>
      </c>
      <c r="AD4" s="2942">
        <v>454</v>
      </c>
      <c r="AE4" s="2942">
        <v>453</v>
      </c>
      <c r="AF4" s="2942">
        <v>453</v>
      </c>
      <c r="AG4" s="2942">
        <v>453</v>
      </c>
      <c r="AH4" s="2942">
        <v>453</v>
      </c>
      <c r="AI4" s="2942">
        <v>453</v>
      </c>
      <c r="AJ4" s="2942">
        <v>455</v>
      </c>
      <c r="AK4" s="2942">
        <v>456</v>
      </c>
      <c r="AL4" s="2942">
        <v>454</v>
      </c>
      <c r="AM4" s="2942">
        <v>459</v>
      </c>
      <c r="AN4" s="2942">
        <v>461</v>
      </c>
      <c r="AO4" s="2942">
        <v>462</v>
      </c>
      <c r="AP4" s="2942">
        <v>460</v>
      </c>
    </row>
    <row r="5" spans="1:42" ht="6.75" customHeight="1" thickBot="1">
      <c r="A5" s="2943"/>
      <c r="B5" s="2941"/>
      <c r="C5" s="2941"/>
      <c r="D5" s="2941"/>
      <c r="E5" s="2941"/>
      <c r="F5" s="2941"/>
      <c r="G5" s="2941"/>
      <c r="H5" s="2941"/>
      <c r="I5" s="2941"/>
      <c r="J5" s="2941"/>
      <c r="K5" s="2941"/>
      <c r="L5" s="2941"/>
      <c r="M5" s="2941"/>
      <c r="N5" s="2941"/>
      <c r="O5" s="2941"/>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row>
    <row r="6" spans="1:42" ht="12.75" customHeight="1" thickBot="1">
      <c r="A6" s="2944"/>
      <c r="B6" s="2945"/>
      <c r="C6" s="2946"/>
      <c r="D6" s="2946"/>
      <c r="E6" s="2946"/>
      <c r="F6" s="2946"/>
      <c r="G6" s="2946"/>
      <c r="H6" s="2946"/>
      <c r="I6" s="2946"/>
      <c r="J6" s="2946"/>
      <c r="K6" s="2946"/>
      <c r="L6" s="2946"/>
      <c r="M6" s="2946"/>
      <c r="N6" s="2946"/>
      <c r="O6" s="2946"/>
      <c r="P6" s="2947"/>
      <c r="Q6" s="2947"/>
      <c r="R6" s="2947"/>
      <c r="S6" s="2947"/>
      <c r="T6" s="2947"/>
      <c r="U6" s="2947"/>
      <c r="V6" s="2947"/>
      <c r="W6" s="2947"/>
      <c r="X6" s="2947"/>
      <c r="Y6" s="2947"/>
      <c r="Z6" s="2947"/>
      <c r="AA6" s="2947"/>
      <c r="AB6" s="2947"/>
      <c r="AC6" s="2947"/>
      <c r="AD6" s="2947"/>
      <c r="AE6" s="2947"/>
      <c r="AF6" s="2947"/>
      <c r="AG6" s="2947"/>
      <c r="AH6" s="2947"/>
      <c r="AI6" s="2947"/>
      <c r="AJ6" s="2947"/>
      <c r="AK6" s="2947"/>
      <c r="AL6" s="2947"/>
      <c r="AM6" s="2947"/>
      <c r="AN6" s="2947"/>
      <c r="AO6" s="2947"/>
      <c r="AP6" s="2947"/>
    </row>
    <row r="7" spans="1:42" s="2950" customFormat="1" ht="27" customHeight="1">
      <c r="A7" s="2939" t="s">
        <v>4418</v>
      </c>
      <c r="B7" s="2948">
        <v>4736872</v>
      </c>
      <c r="C7" s="2948">
        <v>4319467</v>
      </c>
      <c r="D7" s="2948">
        <v>4841422</v>
      </c>
      <c r="E7" s="2948">
        <v>4758541</v>
      </c>
      <c r="F7" s="2948">
        <v>4845776</v>
      </c>
      <c r="G7" s="2948">
        <v>4496701</v>
      </c>
      <c r="H7" s="2948">
        <v>4733299</v>
      </c>
      <c r="I7" s="2948">
        <v>4753864</v>
      </c>
      <c r="J7" s="2948">
        <v>4589854</v>
      </c>
      <c r="K7" s="2948">
        <v>5016549</v>
      </c>
      <c r="L7" s="2948">
        <v>4831238</v>
      </c>
      <c r="M7" s="2948">
        <v>6407067</v>
      </c>
      <c r="N7" s="2948">
        <v>4875444</v>
      </c>
      <c r="O7" s="2948">
        <v>4576070</v>
      </c>
      <c r="P7" s="2949">
        <v>5159362</v>
      </c>
      <c r="Q7" s="2949">
        <v>5247975</v>
      </c>
      <c r="R7" s="2949">
        <v>4677566</v>
      </c>
      <c r="S7" s="2949">
        <v>5215652</v>
      </c>
      <c r="T7" s="2949">
        <v>5146740</v>
      </c>
      <c r="U7" s="2949">
        <v>4946438</v>
      </c>
      <c r="V7" s="2949">
        <v>5139787</v>
      </c>
      <c r="W7" s="2949">
        <v>5093468</v>
      </c>
      <c r="X7" s="2949">
        <v>6796552</v>
      </c>
      <c r="Y7" s="2949">
        <v>5089885</v>
      </c>
      <c r="Z7" s="2949">
        <v>4795824</v>
      </c>
      <c r="AA7" s="2949">
        <v>5439117</v>
      </c>
      <c r="AB7" s="2949">
        <v>5556138</v>
      </c>
      <c r="AC7" s="2949">
        <v>5635041</v>
      </c>
      <c r="AD7" s="2949">
        <v>5320280</v>
      </c>
      <c r="AE7" s="2949">
        <v>5507836</v>
      </c>
      <c r="AF7" s="2949">
        <v>5233474</v>
      </c>
      <c r="AG7" s="2949">
        <v>5283765</v>
      </c>
      <c r="AH7" s="2949">
        <v>5542287</v>
      </c>
      <c r="AI7" s="2949">
        <v>5430649</v>
      </c>
      <c r="AJ7" s="2949">
        <v>7185702</v>
      </c>
      <c r="AK7" s="2949">
        <v>5576038</v>
      </c>
      <c r="AL7" s="2949">
        <v>5217581</v>
      </c>
      <c r="AM7" s="2949">
        <v>5980306</v>
      </c>
      <c r="AN7" s="2949">
        <v>5385116</v>
      </c>
      <c r="AO7" s="2949">
        <v>5476327</v>
      </c>
      <c r="AP7" s="2949">
        <v>5381144</v>
      </c>
    </row>
    <row r="8" spans="1:42" s="2953" customFormat="1" ht="26.25" customHeight="1" thickBot="1">
      <c r="A8" s="2939" t="s">
        <v>4419</v>
      </c>
      <c r="B8" s="2951">
        <v>9717.9310000000005</v>
      </c>
      <c r="C8" s="2951">
        <v>8695.5310000000009</v>
      </c>
      <c r="D8" s="2951">
        <v>9537</v>
      </c>
      <c r="E8" s="2951">
        <v>9328.3799999999992</v>
      </c>
      <c r="F8" s="2951">
        <v>9365.3790000000008</v>
      </c>
      <c r="G8" s="2951">
        <v>8566.6859999999997</v>
      </c>
      <c r="H8" s="2951">
        <v>9187.1509999999998</v>
      </c>
      <c r="I8" s="2951">
        <v>9327.4629999999997</v>
      </c>
      <c r="J8" s="2951">
        <v>8899.0619999999999</v>
      </c>
      <c r="K8" s="2951">
        <v>10019.85</v>
      </c>
      <c r="L8" s="2951">
        <v>9953.0740000000005</v>
      </c>
      <c r="M8" s="2951">
        <v>14412.458000000001</v>
      </c>
      <c r="N8" s="2951">
        <v>10301.35</v>
      </c>
      <c r="O8" s="2951">
        <v>9300.4850000000006</v>
      </c>
      <c r="P8" s="2952">
        <v>10679.24</v>
      </c>
      <c r="Q8" s="2952">
        <v>11267.702789999999</v>
      </c>
      <c r="R8" s="2952">
        <v>9276.9660000000003</v>
      </c>
      <c r="S8" s="2952">
        <v>10612.598168220002</v>
      </c>
      <c r="T8" s="2952">
        <v>10549.572</v>
      </c>
      <c r="U8" s="2952">
        <v>9942</v>
      </c>
      <c r="V8" s="2952">
        <v>10729.645</v>
      </c>
      <c r="W8" s="2952">
        <v>10840.106</v>
      </c>
      <c r="X8" s="2952">
        <v>15747.023999999999</v>
      </c>
      <c r="Y8" s="2952">
        <v>11116.937</v>
      </c>
      <c r="Z8" s="2952">
        <v>12597.385472538999</v>
      </c>
      <c r="AA8" s="2952">
        <v>11425</v>
      </c>
      <c r="AB8" s="2952">
        <v>11616.532999999999</v>
      </c>
      <c r="AC8" s="2952">
        <v>11411.8463010512</v>
      </c>
      <c r="AD8" s="2952">
        <v>10729.509122245256</v>
      </c>
      <c r="AE8" s="2952">
        <v>11263.006257917899</v>
      </c>
      <c r="AF8" s="2952">
        <v>10996.251</v>
      </c>
      <c r="AG8" s="2952">
        <v>10655</v>
      </c>
      <c r="AH8" s="2952">
        <v>11325.603999999999</v>
      </c>
      <c r="AI8" s="2952">
        <v>11628.968000000001</v>
      </c>
      <c r="AJ8" s="2952">
        <v>17038.289164287296</v>
      </c>
      <c r="AK8" s="2952">
        <v>11990.63</v>
      </c>
      <c r="AL8" s="2952">
        <v>11039</v>
      </c>
      <c r="AM8" s="2952">
        <v>12689.204079463199</v>
      </c>
      <c r="AN8" s="2952">
        <v>11416</v>
      </c>
      <c r="AO8" s="2952">
        <v>11568.88887716</v>
      </c>
      <c r="AP8" s="2952">
        <v>11032.510690999999</v>
      </c>
    </row>
    <row r="9" spans="1:42" ht="12.75" customHeight="1" thickBot="1">
      <c r="A9" s="2944"/>
      <c r="B9" s="2945"/>
      <c r="C9" s="2946"/>
      <c r="D9" s="2946"/>
      <c r="E9" s="2946"/>
      <c r="F9" s="2946"/>
      <c r="G9" s="2946"/>
      <c r="H9" s="2946"/>
      <c r="I9" s="2946"/>
      <c r="J9" s="2946"/>
      <c r="K9" s="2946"/>
      <c r="L9" s="2946"/>
      <c r="M9" s="2946"/>
      <c r="N9" s="2946"/>
      <c r="O9" s="2946"/>
      <c r="P9" s="2947"/>
      <c r="Q9" s="2947"/>
      <c r="R9" s="2947"/>
      <c r="S9" s="2947"/>
      <c r="T9" s="2947"/>
      <c r="U9" s="2947"/>
      <c r="V9" s="2947"/>
      <c r="W9" s="2947"/>
      <c r="X9" s="2947"/>
      <c r="Y9" s="2947"/>
      <c r="Z9" s="2947"/>
      <c r="AA9" s="2947"/>
      <c r="AB9" s="2947"/>
      <c r="AC9" s="2947"/>
      <c r="AD9" s="2947"/>
      <c r="AE9" s="2947"/>
      <c r="AF9" s="2947"/>
      <c r="AG9" s="2947"/>
      <c r="AH9" s="2947"/>
      <c r="AI9" s="2947"/>
      <c r="AJ9" s="2947"/>
      <c r="AK9" s="2947"/>
      <c r="AL9" s="2947"/>
      <c r="AM9" s="2947"/>
      <c r="AN9" s="2947"/>
      <c r="AO9" s="2947"/>
      <c r="AP9" s="2947"/>
    </row>
    <row r="10" spans="1:42" s="2950" customFormat="1" ht="21" customHeight="1">
      <c r="A10" s="2954" t="s">
        <v>4420</v>
      </c>
      <c r="B10" s="2948"/>
      <c r="C10" s="2948"/>
      <c r="D10" s="2948"/>
      <c r="E10" s="2948"/>
      <c r="F10" s="2948"/>
      <c r="G10" s="2948"/>
      <c r="H10" s="2948"/>
      <c r="I10" s="2948"/>
      <c r="J10" s="2948"/>
      <c r="K10" s="2948"/>
      <c r="L10" s="2948"/>
      <c r="M10" s="2948"/>
      <c r="N10" s="2948"/>
      <c r="O10" s="2948"/>
      <c r="P10" s="2949"/>
      <c r="Q10" s="2949"/>
      <c r="R10" s="2949"/>
      <c r="S10" s="2949"/>
      <c r="T10" s="2949"/>
      <c r="U10" s="2949"/>
      <c r="V10" s="2949"/>
      <c r="W10" s="2949"/>
      <c r="X10" s="2949"/>
      <c r="Y10" s="2949"/>
      <c r="Z10" s="2949"/>
      <c r="AA10" s="2949"/>
      <c r="AB10" s="2949"/>
      <c r="AC10" s="2949"/>
      <c r="AD10" s="2949"/>
      <c r="AE10" s="2949"/>
      <c r="AF10" s="2949"/>
      <c r="AG10" s="2949"/>
      <c r="AH10" s="2949"/>
      <c r="AI10" s="2949"/>
      <c r="AJ10" s="2949"/>
      <c r="AK10" s="2949"/>
      <c r="AL10" s="2949"/>
      <c r="AM10" s="2949"/>
      <c r="AN10" s="2949"/>
      <c r="AO10" s="2949"/>
      <c r="AP10" s="2949"/>
    </row>
    <row r="11" spans="1:42" s="2950" customFormat="1" ht="21" customHeight="1">
      <c r="A11" s="2954" t="s">
        <v>4421</v>
      </c>
      <c r="B11" s="2948">
        <v>217833</v>
      </c>
      <c r="C11" s="2948">
        <v>218440</v>
      </c>
      <c r="D11" s="2948">
        <v>220363</v>
      </c>
      <c r="E11" s="2948">
        <v>222289</v>
      </c>
      <c r="F11" s="2948">
        <v>223633</v>
      </c>
      <c r="G11" s="2948">
        <v>226293</v>
      </c>
      <c r="H11" s="2948">
        <v>228062</v>
      </c>
      <c r="I11" s="2948">
        <v>230520</v>
      </c>
      <c r="J11" s="2948">
        <v>232313</v>
      </c>
      <c r="K11" s="2948">
        <v>234282</v>
      </c>
      <c r="L11" s="2948">
        <v>236503</v>
      </c>
      <c r="M11" s="2948">
        <v>237812</v>
      </c>
      <c r="N11" s="2948">
        <v>239431</v>
      </c>
      <c r="O11" s="2948">
        <v>240890</v>
      </c>
      <c r="P11" s="2949">
        <v>243148</v>
      </c>
      <c r="Q11" s="2949">
        <v>247861</v>
      </c>
      <c r="R11" s="2949">
        <v>249000</v>
      </c>
      <c r="S11" s="2949">
        <v>248770</v>
      </c>
      <c r="T11" s="2949">
        <v>249862</v>
      </c>
      <c r="U11" s="2949">
        <v>249642</v>
      </c>
      <c r="V11" s="2949">
        <v>250272</v>
      </c>
      <c r="W11" s="2949">
        <v>257682</v>
      </c>
      <c r="X11" s="2949">
        <v>252165</v>
      </c>
      <c r="Y11" s="2949">
        <v>252070</v>
      </c>
      <c r="Z11" s="2949">
        <v>252161</v>
      </c>
      <c r="AA11" s="2949">
        <v>252895</v>
      </c>
      <c r="AB11" s="2949">
        <v>252541</v>
      </c>
      <c r="AC11" s="2949">
        <v>252930</v>
      </c>
      <c r="AD11" s="2949">
        <v>253033</v>
      </c>
      <c r="AE11" s="2949">
        <v>253289</v>
      </c>
      <c r="AF11" s="2949">
        <v>252512</v>
      </c>
      <c r="AG11" s="2949">
        <v>252682</v>
      </c>
      <c r="AH11" s="2949">
        <v>252812</v>
      </c>
      <c r="AI11" s="2949">
        <v>252541</v>
      </c>
      <c r="AJ11" s="2949">
        <v>250726</v>
      </c>
      <c r="AK11" s="2949">
        <v>265937</v>
      </c>
      <c r="AL11" s="2949">
        <v>266358</v>
      </c>
      <c r="AM11" s="2949">
        <v>266642</v>
      </c>
      <c r="AN11" s="2949">
        <v>266410</v>
      </c>
      <c r="AO11" s="2949">
        <v>268626</v>
      </c>
      <c r="AP11" s="2949">
        <v>267241</v>
      </c>
    </row>
    <row r="12" spans="1:42" s="2950" customFormat="1" ht="21" customHeight="1">
      <c r="A12" s="2954" t="s">
        <v>4422</v>
      </c>
      <c r="B12" s="2948">
        <v>1125462</v>
      </c>
      <c r="C12" s="2948">
        <v>1123191</v>
      </c>
      <c r="D12" s="2948">
        <v>1131773</v>
      </c>
      <c r="E12" s="2948">
        <v>1137796</v>
      </c>
      <c r="F12" s="2948">
        <v>1145652</v>
      </c>
      <c r="G12" s="2948">
        <v>1152561</v>
      </c>
      <c r="H12" s="2948">
        <v>1158333</v>
      </c>
      <c r="I12" s="2948">
        <v>1156033</v>
      </c>
      <c r="J12" s="2948">
        <v>1160146</v>
      </c>
      <c r="K12" s="2948">
        <v>1166886</v>
      </c>
      <c r="L12" s="2948">
        <v>1173671</v>
      </c>
      <c r="M12" s="2948">
        <v>1172152</v>
      </c>
      <c r="N12" s="2948">
        <v>1179490</v>
      </c>
      <c r="O12" s="2948">
        <v>1183780</v>
      </c>
      <c r="P12" s="2949">
        <v>1182678</v>
      </c>
      <c r="Q12" s="2949">
        <v>1183040</v>
      </c>
      <c r="R12" s="2949">
        <v>1190074</v>
      </c>
      <c r="S12" s="2949">
        <v>1195802</v>
      </c>
      <c r="T12" s="2949">
        <v>1180108</v>
      </c>
      <c r="U12" s="2949">
        <v>1187521</v>
      </c>
      <c r="V12" s="2949">
        <v>1191561</v>
      </c>
      <c r="W12" s="2949">
        <v>1201494</v>
      </c>
      <c r="X12" s="2949">
        <f>1175622+37972</f>
        <v>1213594</v>
      </c>
      <c r="Y12" s="2949">
        <f>1184810+38424</f>
        <v>1223234</v>
      </c>
      <c r="Z12" s="2949">
        <v>1226926</v>
      </c>
      <c r="AA12" s="2949">
        <v>1236622</v>
      </c>
      <c r="AB12" s="2949">
        <v>1248579</v>
      </c>
      <c r="AC12" s="2949">
        <v>1259241</v>
      </c>
      <c r="AD12" s="2949">
        <v>1271746</v>
      </c>
      <c r="AE12" s="2949">
        <v>1280600</v>
      </c>
      <c r="AF12" s="2949">
        <v>1292888</v>
      </c>
      <c r="AG12" s="2949">
        <v>1303518</v>
      </c>
      <c r="AH12" s="2949">
        <v>1303973</v>
      </c>
      <c r="AI12" s="2949">
        <v>1307517</v>
      </c>
      <c r="AJ12" s="2949">
        <v>1311014</v>
      </c>
      <c r="AK12" s="2949">
        <v>1317748</v>
      </c>
      <c r="AL12" s="2949">
        <v>1306992</v>
      </c>
      <c r="AM12" s="2949">
        <v>1317885</v>
      </c>
      <c r="AN12" s="2949">
        <v>1321883</v>
      </c>
      <c r="AO12" s="2949">
        <v>1332786</v>
      </c>
      <c r="AP12" s="2949">
        <f>1238424+98349</f>
        <v>1336773</v>
      </c>
    </row>
    <row r="13" spans="1:42" s="2950" customFormat="1" ht="21" customHeight="1">
      <c r="A13" s="2954" t="s">
        <v>4423</v>
      </c>
      <c r="B13" s="2948">
        <v>1343295</v>
      </c>
      <c r="C13" s="2948">
        <v>1341631</v>
      </c>
      <c r="D13" s="2948">
        <v>1352136</v>
      </c>
      <c r="E13" s="2948">
        <v>1360085</v>
      </c>
      <c r="F13" s="2948">
        <v>1369285</v>
      </c>
      <c r="G13" s="2948">
        <v>1378854</v>
      </c>
      <c r="H13" s="2948">
        <v>1386395</v>
      </c>
      <c r="I13" s="2948">
        <v>1386553</v>
      </c>
      <c r="J13" s="2948">
        <v>1392459</v>
      </c>
      <c r="K13" s="2948">
        <v>1401168</v>
      </c>
      <c r="L13" s="2948">
        <v>1410174</v>
      </c>
      <c r="M13" s="2948">
        <v>1409964</v>
      </c>
      <c r="N13" s="2948">
        <v>1418921</v>
      </c>
      <c r="O13" s="2948">
        <v>1424670</v>
      </c>
      <c r="P13" s="2949">
        <v>1425826</v>
      </c>
      <c r="Q13" s="2949">
        <v>1430901</v>
      </c>
      <c r="R13" s="2949">
        <v>1439074</v>
      </c>
      <c r="S13" s="2949">
        <v>1444572</v>
      </c>
      <c r="T13" s="2949">
        <v>1429970</v>
      </c>
      <c r="U13" s="2949">
        <v>1437163</v>
      </c>
      <c r="V13" s="2949">
        <v>1441833</v>
      </c>
      <c r="W13" s="2949">
        <v>1459176</v>
      </c>
      <c r="X13" s="2949">
        <f>X11+X12</f>
        <v>1465759</v>
      </c>
      <c r="Y13" s="2949">
        <f>Y11+Y12</f>
        <v>1475304</v>
      </c>
      <c r="Z13" s="2949">
        <v>1479087</v>
      </c>
      <c r="AA13" s="2949">
        <v>1489517</v>
      </c>
      <c r="AB13" s="2949">
        <v>1501120</v>
      </c>
      <c r="AC13" s="2949">
        <v>1512171</v>
      </c>
      <c r="AD13" s="2949">
        <v>1524779</v>
      </c>
      <c r="AE13" s="2949">
        <v>1533889</v>
      </c>
      <c r="AF13" s="2949">
        <v>1545400</v>
      </c>
      <c r="AG13" s="2949">
        <v>1556200</v>
      </c>
      <c r="AH13" s="2949">
        <v>1556785</v>
      </c>
      <c r="AI13" s="2949">
        <v>1560058</v>
      </c>
      <c r="AJ13" s="2949">
        <v>1561740</v>
      </c>
      <c r="AK13" s="2949">
        <v>1583685</v>
      </c>
      <c r="AL13" s="2949">
        <v>1573350</v>
      </c>
      <c r="AM13" s="2949">
        <v>1584527</v>
      </c>
      <c r="AN13" s="2949">
        <v>1588293</v>
      </c>
      <c r="AO13" s="2949">
        <v>1601412</v>
      </c>
      <c r="AP13" s="2949">
        <f>AP11+AP12</f>
        <v>1604014</v>
      </c>
    </row>
    <row r="14" spans="1:42" s="2950" customFormat="1" ht="10.5" customHeight="1">
      <c r="A14" s="2955"/>
      <c r="B14" s="2948"/>
      <c r="C14" s="2948"/>
      <c r="D14" s="2948"/>
      <c r="E14" s="2948"/>
      <c r="F14" s="2948"/>
      <c r="G14" s="2948"/>
      <c r="H14" s="2948"/>
      <c r="I14" s="2948"/>
      <c r="J14" s="2948"/>
      <c r="K14" s="2948"/>
      <c r="L14" s="2948"/>
      <c r="M14" s="2948"/>
      <c r="N14" s="2948"/>
      <c r="O14" s="2948"/>
      <c r="P14" s="2949"/>
      <c r="Q14" s="2949"/>
      <c r="R14" s="2949"/>
      <c r="S14" s="2949"/>
      <c r="T14" s="2949"/>
      <c r="U14" s="2949"/>
      <c r="V14" s="2949"/>
      <c r="W14" s="2949"/>
      <c r="X14" s="2949"/>
      <c r="Y14" s="2949"/>
      <c r="Z14" s="2949"/>
      <c r="AA14" s="2949"/>
      <c r="AB14" s="2949"/>
      <c r="AC14" s="2949"/>
      <c r="AD14" s="2949"/>
      <c r="AE14" s="2949"/>
      <c r="AF14" s="2949"/>
      <c r="AG14" s="2949"/>
      <c r="AH14" s="2949"/>
      <c r="AI14" s="2949"/>
      <c r="AJ14" s="2949"/>
      <c r="AK14" s="2949"/>
      <c r="AL14" s="2949"/>
      <c r="AM14" s="2949"/>
      <c r="AN14" s="2949"/>
      <c r="AO14" s="2949"/>
      <c r="AP14" s="2949"/>
    </row>
    <row r="15" spans="1:42" ht="21" customHeight="1">
      <c r="A15" s="2939" t="s">
        <v>4424</v>
      </c>
      <c r="B15" s="2941"/>
      <c r="C15" s="2941"/>
      <c r="D15" s="2941"/>
      <c r="E15" s="2941"/>
      <c r="F15" s="2941"/>
      <c r="G15" s="2941"/>
      <c r="H15" s="2941"/>
      <c r="I15" s="2941"/>
      <c r="J15" s="2941"/>
      <c r="K15" s="2941"/>
      <c r="L15" s="2941"/>
      <c r="M15" s="2941"/>
      <c r="N15" s="2941"/>
      <c r="O15" s="2941"/>
      <c r="P15" s="2942"/>
      <c r="Q15" s="2942"/>
      <c r="R15" s="2942"/>
      <c r="S15" s="2942"/>
      <c r="T15" s="2942"/>
      <c r="U15" s="2942"/>
      <c r="V15" s="2942"/>
      <c r="W15" s="2942"/>
      <c r="X15" s="2942"/>
      <c r="Y15" s="2942"/>
      <c r="Z15" s="2942"/>
      <c r="AA15" s="2942"/>
      <c r="AB15" s="2942"/>
      <c r="AC15" s="2942"/>
      <c r="AD15" s="2942"/>
      <c r="AE15" s="2942"/>
      <c r="AF15" s="2942"/>
      <c r="AG15" s="2942"/>
      <c r="AH15" s="2942"/>
      <c r="AI15" s="2942"/>
      <c r="AJ15" s="2942"/>
      <c r="AK15" s="2942"/>
      <c r="AL15" s="2942"/>
      <c r="AM15" s="2942"/>
      <c r="AN15" s="2942"/>
      <c r="AO15" s="2942"/>
      <c r="AP15" s="2942"/>
    </row>
    <row r="16" spans="1:42" ht="21" customHeight="1">
      <c r="A16" s="2939" t="s">
        <v>4425</v>
      </c>
      <c r="B16" s="2956">
        <v>1777.4069999999999</v>
      </c>
      <c r="C16" s="2956">
        <v>1936.1579999999999</v>
      </c>
      <c r="D16" s="2956">
        <v>1783.1</v>
      </c>
      <c r="E16" s="2956">
        <v>1826.7139999999999</v>
      </c>
      <c r="F16" s="2956">
        <v>1802.921</v>
      </c>
      <c r="G16" s="2956">
        <v>2058.0140000000001</v>
      </c>
      <c r="H16" s="2956">
        <v>1840.4</v>
      </c>
      <c r="I16" s="2956">
        <v>1876.7748510900001</v>
      </c>
      <c r="J16" s="2956">
        <v>2145.3510000000001</v>
      </c>
      <c r="K16" s="2956">
        <v>1888.6757088499999</v>
      </c>
      <c r="L16" s="2956">
        <v>1936.9884865000001</v>
      </c>
      <c r="M16" s="2956">
        <v>2030.9</v>
      </c>
      <c r="N16" s="2956">
        <v>1944.5847732499999</v>
      </c>
      <c r="O16" s="2956">
        <v>2204.8490000000002</v>
      </c>
      <c r="P16" s="2957">
        <v>2184</v>
      </c>
      <c r="Q16" s="2957">
        <v>1998.104</v>
      </c>
      <c r="R16" s="2957">
        <v>2287.8440000000001</v>
      </c>
      <c r="S16" s="2957">
        <v>2010.63382864</v>
      </c>
      <c r="T16" s="2957">
        <v>2051.136</v>
      </c>
      <c r="U16" s="2957">
        <v>2096.4110000000001</v>
      </c>
      <c r="V16" s="2957">
        <v>2069.3939999999998</v>
      </c>
      <c r="W16" s="2957">
        <v>2360.2869999999998</v>
      </c>
      <c r="X16" s="2957">
        <v>2150.1</v>
      </c>
      <c r="Y16" s="2957">
        <v>2083.1619999999998</v>
      </c>
      <c r="Z16" s="2957">
        <v>2375.2124715299997</v>
      </c>
      <c r="AA16" s="2957">
        <v>2762.3</v>
      </c>
      <c r="AB16" s="2957">
        <v>2128.5</v>
      </c>
      <c r="AC16" s="2957">
        <v>2127.5531944978407</v>
      </c>
      <c r="AD16" s="2957">
        <v>2183.9802014154002</v>
      </c>
      <c r="AE16" s="2958">
        <v>2170.4123403595731</v>
      </c>
      <c r="AF16" s="2958">
        <v>2511.826</v>
      </c>
      <c r="AG16" s="2958">
        <v>2502.8000000000002</v>
      </c>
      <c r="AH16" s="2958">
        <v>2205.2550000000001</v>
      </c>
      <c r="AI16" s="2958">
        <v>2592.556</v>
      </c>
      <c r="AJ16" s="2958">
        <v>2289.9284545</v>
      </c>
      <c r="AK16" s="2958">
        <v>2207.8710000000001</v>
      </c>
      <c r="AL16" s="2958">
        <v>2604.3139999999999</v>
      </c>
      <c r="AM16" s="2958">
        <v>2217.2256069599998</v>
      </c>
      <c r="AN16" s="2958">
        <v>2234.4</v>
      </c>
      <c r="AO16" s="2958">
        <v>2571.6</v>
      </c>
      <c r="AP16" s="2958">
        <v>2239.1999999999998</v>
      </c>
    </row>
    <row r="17" spans="1:42" ht="17.25" customHeight="1">
      <c r="A17" s="2959" t="s">
        <v>4426</v>
      </c>
      <c r="B17" s="2941"/>
      <c r="C17" s="2941"/>
      <c r="D17" s="2941"/>
      <c r="E17" s="2941"/>
      <c r="F17" s="2941"/>
      <c r="G17" s="2941"/>
      <c r="H17" s="2941"/>
      <c r="I17" s="2941"/>
      <c r="J17" s="2941"/>
      <c r="K17" s="2941"/>
      <c r="L17" s="2941"/>
      <c r="M17" s="2941"/>
      <c r="N17" s="2941"/>
      <c r="O17" s="2941"/>
      <c r="P17" s="2942"/>
      <c r="Q17" s="2942"/>
      <c r="R17" s="2942"/>
      <c r="S17" s="2942"/>
      <c r="T17" s="2942"/>
      <c r="U17" s="2942"/>
      <c r="V17" s="2942"/>
      <c r="W17" s="2942"/>
      <c r="X17" s="2942"/>
      <c r="Y17" s="2942"/>
      <c r="Z17" s="2942"/>
      <c r="AA17" s="2942"/>
      <c r="AB17" s="2942"/>
      <c r="AC17" s="2942"/>
      <c r="AD17" s="2942"/>
      <c r="AE17" s="2942"/>
      <c r="AF17" s="2942"/>
      <c r="AG17" s="2942"/>
      <c r="AH17" s="2942"/>
      <c r="AI17" s="2942"/>
      <c r="AJ17" s="2942"/>
      <c r="AK17" s="2942"/>
      <c r="AL17" s="2942"/>
      <c r="AM17" s="2942"/>
      <c r="AN17" s="2942"/>
      <c r="AO17" s="2942"/>
      <c r="AP17" s="2960"/>
    </row>
    <row r="18" spans="1:42" ht="3" hidden="1" customHeight="1">
      <c r="A18" s="2959"/>
      <c r="B18" s="2941"/>
      <c r="C18" s="2941"/>
      <c r="D18" s="2941"/>
      <c r="E18" s="2941"/>
      <c r="F18" s="2941"/>
      <c r="G18" s="2941"/>
      <c r="H18" s="2941"/>
      <c r="I18" s="2941"/>
      <c r="J18" s="2941"/>
      <c r="K18" s="2941"/>
      <c r="L18" s="2941"/>
      <c r="M18" s="2941"/>
      <c r="N18" s="2941"/>
      <c r="O18" s="2941"/>
      <c r="P18" s="2942"/>
      <c r="Q18" s="2942"/>
      <c r="R18" s="2942"/>
      <c r="S18" s="2942"/>
      <c r="T18" s="2942"/>
      <c r="U18" s="2942"/>
      <c r="V18" s="2942"/>
      <c r="W18" s="2942"/>
      <c r="X18" s="2942"/>
      <c r="Y18" s="2942"/>
      <c r="Z18" s="2942"/>
      <c r="AA18" s="2942"/>
      <c r="AB18" s="2942"/>
      <c r="AC18" s="2942"/>
      <c r="AD18" s="2942"/>
      <c r="AE18" s="2942"/>
      <c r="AF18" s="2942"/>
      <c r="AG18" s="2942"/>
      <c r="AH18" s="2942"/>
      <c r="AI18" s="2942"/>
      <c r="AJ18" s="2942"/>
      <c r="AK18" s="2942"/>
      <c r="AL18" s="2942"/>
      <c r="AM18" s="2942"/>
      <c r="AN18" s="2942"/>
      <c r="AO18" s="2942"/>
      <c r="AP18" s="2960"/>
    </row>
    <row r="19" spans="1:42" ht="45" customHeight="1">
      <c r="A19" s="2961" t="s">
        <v>4427</v>
      </c>
      <c r="B19" s="2962">
        <v>1653.548</v>
      </c>
      <c r="C19" s="2962">
        <v>1868</v>
      </c>
      <c r="D19" s="2962">
        <v>1644.9</v>
      </c>
      <c r="E19" s="2962">
        <v>1705.598</v>
      </c>
      <c r="F19" s="2962">
        <v>1670.386</v>
      </c>
      <c r="G19" s="2962">
        <v>1975.72</v>
      </c>
      <c r="H19" s="2962">
        <v>1696.6</v>
      </c>
      <c r="I19" s="2962">
        <v>1733</v>
      </c>
      <c r="J19" s="2962">
        <v>2010.8</v>
      </c>
      <c r="K19" s="2962">
        <v>1699.6338372499999</v>
      </c>
      <c r="L19" s="2962">
        <v>1785</v>
      </c>
      <c r="M19" s="2962">
        <v>1875.2</v>
      </c>
      <c r="N19" s="2962">
        <v>1785.2</v>
      </c>
      <c r="O19" s="2962">
        <v>2059.2438339999999</v>
      </c>
      <c r="P19" s="2963">
        <v>2034.5</v>
      </c>
      <c r="Q19" s="2963">
        <v>1694.6310000000001</v>
      </c>
      <c r="R19" s="2963">
        <v>2111.96</v>
      </c>
      <c r="S19" s="2963">
        <v>1828.7</v>
      </c>
      <c r="T19" s="2963">
        <v>1871.5685989999999</v>
      </c>
      <c r="U19" s="2963">
        <v>1931.6114359999999</v>
      </c>
      <c r="V19" s="2963">
        <v>1890.0830000000001</v>
      </c>
      <c r="W19" s="2963">
        <v>2159.6999999999998</v>
      </c>
      <c r="X19" s="2963">
        <v>1886.122957</v>
      </c>
      <c r="Y19" s="2963">
        <v>1878.82953</v>
      </c>
      <c r="Z19" s="2963">
        <f>2161.864417</f>
        <v>2161.8644169999998</v>
      </c>
      <c r="AA19" s="2963">
        <v>2096.4</v>
      </c>
      <c r="AB19" s="2963">
        <v>1900.873</v>
      </c>
      <c r="AC19" s="2963">
        <v>1888.9531746600001</v>
      </c>
      <c r="AD19" s="2963">
        <v>1933.0822313799999</v>
      </c>
      <c r="AE19" s="2963">
        <v>1912.00970123</v>
      </c>
      <c r="AF19" s="2963">
        <v>2225.6917119999998</v>
      </c>
      <c r="AG19" s="2963">
        <v>1967.910183</v>
      </c>
      <c r="AH19" s="2963">
        <v>1928.447598</v>
      </c>
      <c r="AI19" s="2963">
        <v>2281.4585520000001</v>
      </c>
      <c r="AJ19" s="2963">
        <v>2100.7479556100002</v>
      </c>
      <c r="AK19" s="2963">
        <v>2035.3217948399999</v>
      </c>
      <c r="AL19" s="2963">
        <v>2347.9804989999998</v>
      </c>
      <c r="AM19" s="2963">
        <v>1956.1879021956202</v>
      </c>
      <c r="AN19" s="2963">
        <v>2032.6</v>
      </c>
      <c r="AO19" s="2963">
        <v>2286.6</v>
      </c>
      <c r="AP19" s="2964">
        <v>2030.9124650000001</v>
      </c>
    </row>
    <row r="20" spans="1:42" ht="12" customHeight="1">
      <c r="A20" s="2961"/>
      <c r="B20" s="2941"/>
      <c r="C20" s="2941"/>
      <c r="D20" s="2941"/>
      <c r="E20" s="2941"/>
      <c r="F20" s="2941"/>
      <c r="G20" s="2941"/>
      <c r="H20" s="2941"/>
      <c r="I20" s="2941"/>
      <c r="J20" s="2941"/>
      <c r="K20" s="2941"/>
      <c r="L20" s="2941"/>
      <c r="M20" s="2941"/>
      <c r="N20" s="2941"/>
      <c r="O20" s="2941"/>
      <c r="P20" s="2942"/>
      <c r="Q20" s="2942"/>
      <c r="R20" s="2942"/>
      <c r="S20" s="2942"/>
      <c r="T20" s="2942"/>
      <c r="U20" s="2942"/>
      <c r="V20" s="2942"/>
      <c r="W20" s="2942"/>
      <c r="X20" s="2942"/>
      <c r="Y20" s="2942"/>
      <c r="Z20" s="2942"/>
      <c r="AA20" s="2942"/>
      <c r="AB20" s="2942"/>
      <c r="AC20" s="2942"/>
      <c r="AD20" s="2942"/>
      <c r="AE20" s="2942"/>
      <c r="AF20" s="2942"/>
      <c r="AG20" s="2942"/>
      <c r="AH20" s="2942"/>
      <c r="AI20" s="2942"/>
      <c r="AJ20" s="2942"/>
      <c r="AK20" s="2942"/>
      <c r="AL20" s="2942"/>
      <c r="AM20" s="2942"/>
      <c r="AN20" s="2942"/>
      <c r="AO20" s="2942"/>
      <c r="AP20" s="2942"/>
    </row>
    <row r="21" spans="1:42" ht="27.75" customHeight="1">
      <c r="A21" s="2961" t="s">
        <v>4428</v>
      </c>
      <c r="B21" s="2941"/>
      <c r="C21" s="2941"/>
      <c r="D21" s="2965">
        <v>95</v>
      </c>
      <c r="E21" s="2941"/>
      <c r="F21" s="2941"/>
      <c r="G21" s="2965">
        <v>78.242999999999995</v>
      </c>
      <c r="H21" s="2941"/>
      <c r="I21" s="2941"/>
      <c r="J21" s="2965">
        <v>83.507603654000008</v>
      </c>
      <c r="K21" s="2941"/>
      <c r="L21" s="2941"/>
      <c r="M21" s="2965">
        <v>87.3</v>
      </c>
      <c r="N21" s="2941"/>
      <c r="O21" s="2941"/>
      <c r="P21" s="2966">
        <v>89.837412358800009</v>
      </c>
      <c r="Q21" s="2942"/>
      <c r="R21" s="2942">
        <v>115.1</v>
      </c>
      <c r="S21" s="2942"/>
      <c r="T21" s="2942"/>
      <c r="U21" s="2942">
        <v>117.9</v>
      </c>
      <c r="V21" s="2942"/>
      <c r="W21" s="2942"/>
      <c r="X21" s="2967">
        <v>124.21299999999999</v>
      </c>
      <c r="Y21" s="2967"/>
      <c r="Z21" s="2967"/>
      <c r="AA21" s="2967">
        <v>139.63999999999999</v>
      </c>
      <c r="AB21" s="2967"/>
      <c r="AC21" s="2967"/>
      <c r="AD21" s="2967">
        <v>150.70099999999999</v>
      </c>
      <c r="AE21" s="2967"/>
      <c r="AF21" s="2967"/>
      <c r="AG21" s="2967">
        <v>158.79</v>
      </c>
      <c r="AH21" s="2967"/>
      <c r="AI21" s="2967"/>
      <c r="AJ21" s="2967">
        <v>180.48079826594008</v>
      </c>
      <c r="AK21" s="2967"/>
      <c r="AL21" s="2967"/>
      <c r="AM21" s="2967">
        <v>198.345</v>
      </c>
      <c r="AN21" s="2967"/>
      <c r="AO21" s="2967"/>
      <c r="AP21" s="2967"/>
    </row>
    <row r="22" spans="1:42" ht="15.75" thickBot="1">
      <c r="A22" s="2968"/>
      <c r="B22" s="2969"/>
      <c r="C22" s="2969"/>
      <c r="D22" s="2969"/>
      <c r="E22" s="2969"/>
      <c r="F22" s="2969"/>
      <c r="G22" s="2969"/>
      <c r="H22" s="2969"/>
      <c r="I22" s="2969"/>
      <c r="J22" s="2969"/>
      <c r="K22" s="2969"/>
      <c r="L22" s="2969"/>
      <c r="M22" s="2969"/>
      <c r="N22" s="2969"/>
      <c r="O22" s="2969"/>
      <c r="P22" s="2969"/>
      <c r="Q22" s="2969"/>
      <c r="R22" s="2969"/>
      <c r="S22" s="2969"/>
      <c r="T22" s="2969"/>
      <c r="U22" s="2969"/>
      <c r="V22" s="2969"/>
      <c r="W22" s="2969"/>
      <c r="X22" s="2969"/>
      <c r="Y22" s="2969"/>
      <c r="Z22" s="2969"/>
      <c r="AA22" s="2970"/>
      <c r="AB22" s="2970"/>
      <c r="AC22" s="2970"/>
      <c r="AD22" s="2970"/>
      <c r="AE22" s="2970"/>
      <c r="AF22" s="2970"/>
      <c r="AG22" s="2970"/>
      <c r="AH22" s="2970"/>
      <c r="AI22" s="2970"/>
      <c r="AJ22" s="2970"/>
      <c r="AK22" s="2970"/>
      <c r="AL22" s="2970"/>
      <c r="AM22" s="2970"/>
      <c r="AN22" s="2970"/>
      <c r="AO22" s="2970"/>
      <c r="AP22" s="2970"/>
    </row>
    <row r="23" spans="1:42" ht="15">
      <c r="A23" s="2971" t="s">
        <v>4429</v>
      </c>
      <c r="B23" s="2971"/>
      <c r="C23" s="2971"/>
      <c r="D23" s="2971"/>
      <c r="E23" s="2971"/>
      <c r="F23" s="2971"/>
      <c r="G23" s="2971"/>
      <c r="H23" s="2971"/>
      <c r="I23" s="2971"/>
      <c r="J23" s="2971"/>
      <c r="K23" s="2971"/>
      <c r="L23" s="2971"/>
      <c r="M23" s="2971"/>
      <c r="N23" s="2971"/>
      <c r="O23" s="2971"/>
      <c r="P23" s="2971"/>
      <c r="Q23" s="2971"/>
      <c r="R23" s="2971"/>
    </row>
    <row r="24" spans="1:42" ht="15">
      <c r="A24" s="2971" t="s">
        <v>4430</v>
      </c>
      <c r="B24" s="2971"/>
      <c r="C24" s="2971"/>
      <c r="D24" s="2971"/>
      <c r="E24" s="2971"/>
      <c r="F24" s="2971"/>
      <c r="G24" s="2971"/>
      <c r="H24" s="2971"/>
      <c r="I24" s="2971"/>
      <c r="J24" s="2971"/>
      <c r="K24" s="2971"/>
      <c r="L24" s="2971"/>
      <c r="M24" s="2971"/>
      <c r="N24" s="2971"/>
      <c r="O24" s="2971"/>
      <c r="P24" s="2971"/>
      <c r="Q24" s="2971"/>
      <c r="R24" s="2971"/>
    </row>
    <row r="25" spans="1:42" ht="15">
      <c r="A25" s="2971" t="s">
        <v>4431</v>
      </c>
      <c r="B25" s="2971"/>
      <c r="C25" s="2971"/>
      <c r="D25" s="2971"/>
      <c r="E25" s="2971"/>
      <c r="F25" s="2971"/>
      <c r="G25" s="2971"/>
      <c r="H25" s="2971"/>
      <c r="I25" s="2971"/>
      <c r="J25" s="2971"/>
      <c r="K25" s="2971"/>
      <c r="L25" s="2971"/>
      <c r="M25" s="2971"/>
      <c r="N25" s="2971"/>
      <c r="O25" s="2971"/>
      <c r="P25" s="2971"/>
      <c r="Q25" s="2971"/>
      <c r="R25" s="2971"/>
    </row>
    <row r="26" spans="1:42" ht="15">
      <c r="A26" s="2972" t="s">
        <v>3867</v>
      </c>
      <c r="B26" s="2971"/>
      <c r="C26" s="2971"/>
      <c r="D26" s="2971"/>
      <c r="E26" s="2971"/>
      <c r="F26" s="2971"/>
      <c r="G26" s="2971"/>
      <c r="H26" s="2971"/>
      <c r="I26" s="2971"/>
      <c r="J26" s="2971"/>
      <c r="K26" s="2971"/>
      <c r="L26" s="2971"/>
      <c r="M26" s="2971"/>
      <c r="N26" s="2971"/>
      <c r="O26" s="2971"/>
      <c r="P26" s="2971"/>
      <c r="Q26" s="2971"/>
      <c r="R26" s="2971"/>
    </row>
    <row r="27" spans="1:42" ht="6" customHeight="1">
      <c r="A27" s="2972"/>
      <c r="B27" s="2971"/>
      <c r="C27" s="2971"/>
      <c r="D27" s="2971"/>
      <c r="E27" s="2971"/>
      <c r="F27" s="2971"/>
      <c r="G27" s="2971"/>
      <c r="H27" s="2971"/>
      <c r="I27" s="2971"/>
      <c r="J27" s="2971"/>
      <c r="K27" s="2971"/>
      <c r="L27" s="2971"/>
      <c r="M27" s="2971"/>
      <c r="N27" s="2971"/>
      <c r="O27" s="2971"/>
      <c r="P27" s="2971"/>
      <c r="Q27" s="2971"/>
      <c r="R27" s="2971"/>
    </row>
    <row r="28" spans="1:42" s="2975" customFormat="1" ht="18.75">
      <c r="A28" s="2973" t="s">
        <v>4438</v>
      </c>
      <c r="B28" s="2974"/>
      <c r="C28" s="2974"/>
      <c r="D28" s="2974"/>
      <c r="E28" s="2974"/>
      <c r="F28" s="2974"/>
      <c r="G28" s="2974"/>
      <c r="H28" s="2974"/>
      <c r="I28" s="2974"/>
      <c r="J28" s="2974"/>
      <c r="K28" s="2974"/>
      <c r="L28" s="2974"/>
      <c r="M28" s="2974"/>
      <c r="N28" s="2974"/>
      <c r="O28" s="2974"/>
      <c r="P28" s="2974"/>
      <c r="Q28" s="2974"/>
      <c r="R28" s="2974"/>
      <c r="S28" s="2974"/>
      <c r="T28" s="2974"/>
      <c r="U28" s="2974"/>
      <c r="V28" s="2974"/>
      <c r="W28" s="2974"/>
      <c r="X28" s="2974"/>
      <c r="Y28" s="2974"/>
      <c r="Z28" s="2974"/>
      <c r="AA28" s="2974"/>
      <c r="AB28" s="2974"/>
      <c r="AC28" s="2974"/>
      <c r="AD28" s="2974"/>
      <c r="AE28" s="2974"/>
      <c r="AF28" s="2974"/>
      <c r="AG28" s="2974"/>
      <c r="AH28" s="2974"/>
      <c r="AI28" s="2974"/>
      <c r="AJ28" s="2974"/>
      <c r="AK28" s="2974"/>
      <c r="AL28" s="2974"/>
      <c r="AM28" s="2974"/>
      <c r="AN28" s="2974"/>
      <c r="AO28" s="2974"/>
      <c r="AP28" s="2974"/>
    </row>
    <row r="29" spans="1:42" s="2975" customFormat="1" ht="15.75" thickBot="1">
      <c r="B29" s="2974"/>
      <c r="C29" s="2974"/>
      <c r="D29" s="2974"/>
      <c r="E29" s="2974"/>
      <c r="F29" s="2974"/>
      <c r="G29" s="2974"/>
      <c r="H29" s="2974"/>
      <c r="I29" s="2974"/>
      <c r="J29" s="2974"/>
      <c r="K29" s="2974"/>
      <c r="L29" s="2974"/>
      <c r="M29" s="2974"/>
      <c r="N29" s="2974"/>
      <c r="O29" s="2974"/>
      <c r="P29" s="2974"/>
      <c r="Q29" s="2974"/>
      <c r="R29" s="2974"/>
      <c r="S29" s="2974"/>
      <c r="T29" s="2974"/>
      <c r="U29" s="2974"/>
      <c r="V29" s="2974"/>
      <c r="W29" s="2974"/>
      <c r="X29" s="2974"/>
      <c r="Y29" s="2974"/>
      <c r="Z29" s="2974"/>
      <c r="AA29" s="2974"/>
      <c r="AB29" s="2974"/>
      <c r="AC29" s="2974"/>
      <c r="AD29" s="2974"/>
      <c r="AE29" s="2974"/>
      <c r="AF29" s="2974"/>
      <c r="AG29" s="2974"/>
      <c r="AH29" s="2974"/>
      <c r="AI29" s="2974"/>
      <c r="AJ29" s="2974"/>
      <c r="AK29" s="2974"/>
      <c r="AL29" s="2974"/>
      <c r="AM29" s="2974"/>
      <c r="AN29" s="2974"/>
      <c r="AO29" s="2974"/>
      <c r="AP29" s="2974"/>
    </row>
    <row r="30" spans="1:42" s="2981" customFormat="1" ht="27" customHeight="1">
      <c r="A30" s="2976"/>
      <c r="B30" s="2977">
        <v>40910</v>
      </c>
      <c r="C30" s="2978">
        <v>40941</v>
      </c>
      <c r="D30" s="2978">
        <v>40971</v>
      </c>
      <c r="E30" s="2978">
        <v>41003</v>
      </c>
      <c r="F30" s="2978">
        <v>41034</v>
      </c>
      <c r="G30" s="2978">
        <v>41066</v>
      </c>
      <c r="H30" s="2978">
        <v>41097</v>
      </c>
      <c r="I30" s="2978">
        <v>41129</v>
      </c>
      <c r="J30" s="2978">
        <v>41161</v>
      </c>
      <c r="K30" s="2978">
        <v>41192</v>
      </c>
      <c r="L30" s="2978">
        <v>41224</v>
      </c>
      <c r="M30" s="2978">
        <v>41255</v>
      </c>
      <c r="N30" s="2978">
        <v>41275</v>
      </c>
      <c r="O30" s="2978">
        <v>41307</v>
      </c>
      <c r="P30" s="2979">
        <v>41336</v>
      </c>
      <c r="Q30" s="2980">
        <f t="shared" ref="Q30:AL30" si="0">Q3</f>
        <v>41399</v>
      </c>
      <c r="R30" s="2980">
        <f t="shared" si="0"/>
        <v>41431</v>
      </c>
      <c r="S30" s="2980">
        <f t="shared" si="0"/>
        <v>41462</v>
      </c>
      <c r="T30" s="2980">
        <f t="shared" si="0"/>
        <v>41494</v>
      </c>
      <c r="U30" s="2980">
        <f t="shared" si="0"/>
        <v>41526</v>
      </c>
      <c r="V30" s="2980">
        <f t="shared" si="0"/>
        <v>41557</v>
      </c>
      <c r="W30" s="2980">
        <f t="shared" si="0"/>
        <v>41588</v>
      </c>
      <c r="X30" s="2980">
        <f t="shared" si="0"/>
        <v>41619</v>
      </c>
      <c r="Y30" s="2980">
        <f t="shared" si="0"/>
        <v>41640</v>
      </c>
      <c r="Z30" s="2980">
        <f t="shared" si="0"/>
        <v>41671</v>
      </c>
      <c r="AA30" s="2980">
        <f t="shared" si="0"/>
        <v>41700</v>
      </c>
      <c r="AB30" s="2980">
        <f t="shared" si="0"/>
        <v>41732</v>
      </c>
      <c r="AC30" s="2980">
        <f t="shared" si="0"/>
        <v>41762</v>
      </c>
      <c r="AD30" s="2980">
        <f t="shared" si="0"/>
        <v>41794</v>
      </c>
      <c r="AE30" s="2980">
        <f t="shared" si="0"/>
        <v>41825</v>
      </c>
      <c r="AF30" s="2980">
        <f t="shared" si="0"/>
        <v>41857</v>
      </c>
      <c r="AG30" s="2980">
        <f t="shared" si="0"/>
        <v>41889</v>
      </c>
      <c r="AH30" s="2980">
        <f t="shared" si="0"/>
        <v>41919</v>
      </c>
      <c r="AI30" s="2980">
        <f t="shared" si="0"/>
        <v>41950</v>
      </c>
      <c r="AJ30" s="2980">
        <f t="shared" si="0"/>
        <v>41980</v>
      </c>
      <c r="AK30" s="2980">
        <f t="shared" si="0"/>
        <v>42012</v>
      </c>
      <c r="AL30" s="2980">
        <f t="shared" si="0"/>
        <v>42037</v>
      </c>
      <c r="AM30" s="2980">
        <v>42064</v>
      </c>
      <c r="AN30" s="2980">
        <v>42096</v>
      </c>
      <c r="AO30" s="2980">
        <f>AO3</f>
        <v>42127</v>
      </c>
      <c r="AP30" s="2980">
        <f>AP3</f>
        <v>42159</v>
      </c>
    </row>
    <row r="31" spans="1:42" s="2981" customFormat="1" ht="14.25" customHeight="1">
      <c r="A31" s="2982"/>
      <c r="B31" s="2983"/>
      <c r="C31" s="2983"/>
      <c r="D31" s="2983"/>
      <c r="E31" s="2983"/>
      <c r="F31" s="2983"/>
      <c r="G31" s="2983"/>
      <c r="H31" s="2983"/>
      <c r="I31" s="2983"/>
      <c r="J31" s="2983"/>
      <c r="K31" s="2983"/>
      <c r="L31" s="2983"/>
      <c r="M31" s="2983"/>
      <c r="N31" s="2983"/>
      <c r="O31" s="2983"/>
      <c r="P31" s="2983"/>
      <c r="Q31" s="2983"/>
      <c r="R31" s="2983"/>
      <c r="S31" s="2983"/>
      <c r="T31" s="2983"/>
      <c r="U31" s="2983"/>
      <c r="V31" s="2983"/>
      <c r="W31" s="2983"/>
      <c r="X31" s="2983"/>
      <c r="Y31" s="2983"/>
      <c r="Z31" s="2983"/>
      <c r="AA31" s="2983"/>
      <c r="AB31" s="2983"/>
      <c r="AC31" s="2983"/>
      <c r="AD31" s="2983"/>
      <c r="AE31" s="2983"/>
      <c r="AF31" s="2983"/>
      <c r="AG31" s="2983"/>
      <c r="AH31" s="2983"/>
      <c r="AI31" s="2983"/>
      <c r="AJ31" s="2983"/>
      <c r="AK31" s="2983"/>
      <c r="AL31" s="2983"/>
      <c r="AM31" s="2983"/>
      <c r="AN31" s="2983"/>
      <c r="AO31" s="2983"/>
      <c r="AP31" s="2983"/>
    </row>
    <row r="32" spans="1:42" s="2981" customFormat="1" ht="21" customHeight="1">
      <c r="A32" s="2984" t="s">
        <v>4432</v>
      </c>
      <c r="B32" s="2985">
        <v>218504</v>
      </c>
      <c r="C32" s="2985">
        <v>224119</v>
      </c>
      <c r="D32" s="2985">
        <v>228136</v>
      </c>
      <c r="E32" s="2985">
        <v>226594</v>
      </c>
      <c r="F32" s="2985">
        <v>231147</v>
      </c>
      <c r="G32" s="2985">
        <v>235129</v>
      </c>
      <c r="H32" s="2985">
        <v>239464</v>
      </c>
      <c r="I32" s="2985">
        <v>218381</v>
      </c>
      <c r="J32" s="2985">
        <v>220362</v>
      </c>
      <c r="K32" s="2985">
        <v>197884</v>
      </c>
      <c r="L32" s="2985">
        <v>196323</v>
      </c>
      <c r="M32" s="2985">
        <v>200345</v>
      </c>
      <c r="N32" s="2985">
        <v>204835</v>
      </c>
      <c r="O32" s="2985">
        <v>211679</v>
      </c>
      <c r="P32" s="2986">
        <v>216738</v>
      </c>
      <c r="Q32" s="2986">
        <v>225759</v>
      </c>
      <c r="R32" s="2986">
        <v>229500</v>
      </c>
      <c r="S32" s="2986">
        <v>234910</v>
      </c>
      <c r="T32" s="2986">
        <v>235346</v>
      </c>
      <c r="U32" s="2986">
        <v>234435</v>
      </c>
      <c r="V32" s="2986">
        <v>234949</v>
      </c>
      <c r="W32" s="2986">
        <v>237508</v>
      </c>
      <c r="X32" s="2986">
        <v>240808</v>
      </c>
      <c r="Y32" s="2986">
        <v>240601</v>
      </c>
      <c r="Z32" s="2986">
        <v>243965</v>
      </c>
      <c r="AA32" s="2986">
        <v>235627</v>
      </c>
      <c r="AB32" s="2986">
        <v>252507</v>
      </c>
      <c r="AC32" s="2986">
        <v>257288</v>
      </c>
      <c r="AD32" s="2986">
        <v>260171</v>
      </c>
      <c r="AE32" s="2986">
        <v>264655</v>
      </c>
      <c r="AF32" s="2986">
        <v>269188</v>
      </c>
      <c r="AG32" s="2986">
        <v>266521</v>
      </c>
      <c r="AH32" s="2986">
        <v>276104</v>
      </c>
      <c r="AI32" s="2986">
        <v>280712</v>
      </c>
      <c r="AJ32" s="2986">
        <v>285085</v>
      </c>
      <c r="AK32" s="2986">
        <v>288922</v>
      </c>
      <c r="AL32" s="2986">
        <v>294619</v>
      </c>
      <c r="AM32" s="2986">
        <v>299638</v>
      </c>
      <c r="AN32" s="2986">
        <v>217817</v>
      </c>
      <c r="AO32" s="2986">
        <v>300581</v>
      </c>
      <c r="AP32" s="2986">
        <v>278541</v>
      </c>
    </row>
    <row r="33" spans="1:42" s="2981" customFormat="1" ht="6.75" customHeight="1" thickBot="1">
      <c r="A33" s="2984"/>
      <c r="B33" s="2987"/>
      <c r="C33" s="2987"/>
      <c r="D33" s="2987"/>
      <c r="E33" s="2987"/>
      <c r="F33" s="2987"/>
      <c r="G33" s="2987"/>
      <c r="H33" s="2987"/>
      <c r="I33" s="2987"/>
      <c r="J33" s="2987"/>
      <c r="K33" s="2987"/>
      <c r="L33" s="2987"/>
      <c r="M33" s="2987"/>
      <c r="N33" s="2987"/>
      <c r="O33" s="2987"/>
      <c r="P33" s="2987"/>
      <c r="Q33" s="2987"/>
      <c r="R33" s="2987"/>
      <c r="S33" s="2987"/>
      <c r="T33" s="2987"/>
      <c r="U33" s="2987"/>
      <c r="V33" s="2987"/>
      <c r="W33" s="2987"/>
      <c r="X33" s="2987"/>
      <c r="Y33" s="2987"/>
      <c r="Z33" s="2987"/>
      <c r="AA33" s="2987"/>
      <c r="AB33" s="2987"/>
      <c r="AC33" s="2987"/>
      <c r="AD33" s="2987"/>
      <c r="AE33" s="2987"/>
      <c r="AF33" s="2987"/>
      <c r="AG33" s="2987"/>
      <c r="AH33" s="2987"/>
      <c r="AI33" s="2987"/>
      <c r="AJ33" s="2987"/>
      <c r="AK33" s="2987"/>
      <c r="AL33" s="2987"/>
      <c r="AM33" s="2987"/>
      <c r="AN33" s="2987"/>
      <c r="AO33" s="2987"/>
      <c r="AP33" s="2987"/>
    </row>
    <row r="34" spans="1:42" s="2981" customFormat="1" ht="17.25" customHeight="1" thickBot="1">
      <c r="A34" s="2982"/>
      <c r="B34" s="2988"/>
      <c r="C34" s="2988"/>
      <c r="D34" s="2988"/>
      <c r="E34" s="2988"/>
      <c r="F34" s="2988"/>
      <c r="G34" s="2988"/>
      <c r="H34" s="2988"/>
      <c r="I34" s="2988"/>
      <c r="J34" s="2988"/>
      <c r="K34" s="2988"/>
      <c r="L34" s="2988"/>
      <c r="M34" s="2988"/>
      <c r="N34" s="2988"/>
      <c r="O34" s="2988"/>
      <c r="P34" s="2988"/>
      <c r="Q34" s="2988"/>
      <c r="R34" s="2988"/>
      <c r="S34" s="2988"/>
      <c r="T34" s="2988"/>
      <c r="U34" s="2988"/>
      <c r="V34" s="2988"/>
      <c r="W34" s="2988"/>
      <c r="X34" s="2988"/>
      <c r="Y34" s="2988"/>
      <c r="Z34" s="2988"/>
      <c r="AA34" s="2988"/>
      <c r="AB34" s="2988"/>
      <c r="AC34" s="2988"/>
      <c r="AD34" s="2988"/>
      <c r="AE34" s="2988"/>
      <c r="AF34" s="2988"/>
      <c r="AG34" s="2988"/>
      <c r="AH34" s="2988"/>
      <c r="AI34" s="2988"/>
      <c r="AJ34" s="2988"/>
      <c r="AK34" s="2988"/>
      <c r="AL34" s="2988"/>
      <c r="AM34" s="2988"/>
      <c r="AN34" s="2988"/>
      <c r="AO34" s="2988"/>
      <c r="AP34" s="2988"/>
    </row>
    <row r="35" spans="1:42" s="2981" customFormat="1" ht="15.75">
      <c r="A35" s="2984" t="s">
        <v>127</v>
      </c>
      <c r="B35" s="2989">
        <v>238413</v>
      </c>
      <c r="C35" s="2989">
        <v>238093</v>
      </c>
      <c r="D35" s="2989">
        <v>261162</v>
      </c>
      <c r="E35" s="2989">
        <v>277292</v>
      </c>
      <c r="F35" s="2989">
        <v>283585</v>
      </c>
      <c r="G35" s="2989">
        <v>266059</v>
      </c>
      <c r="H35" s="2989">
        <v>290958</v>
      </c>
      <c r="I35" s="2989">
        <v>283367</v>
      </c>
      <c r="J35" s="2989">
        <v>264927</v>
      </c>
      <c r="K35" s="2989">
        <v>315412</v>
      </c>
      <c r="L35" s="2989">
        <v>295863</v>
      </c>
      <c r="M35" s="2989">
        <v>392058</v>
      </c>
      <c r="N35" s="2989">
        <v>351065</v>
      </c>
      <c r="O35" s="2989">
        <v>327122</v>
      </c>
      <c r="P35" s="2990">
        <v>380181</v>
      </c>
      <c r="Q35" s="2990">
        <v>385013</v>
      </c>
      <c r="R35" s="2990">
        <v>366954</v>
      </c>
      <c r="S35" s="2990">
        <v>406022</v>
      </c>
      <c r="T35" s="2990">
        <v>392209</v>
      </c>
      <c r="U35" s="2990">
        <v>375620</v>
      </c>
      <c r="V35" s="2990">
        <v>410190</v>
      </c>
      <c r="W35" s="2990">
        <v>398849</v>
      </c>
      <c r="X35" s="2990">
        <v>525624</v>
      </c>
      <c r="Y35" s="2990">
        <v>402112</v>
      </c>
      <c r="Z35" s="2990">
        <v>375413</v>
      </c>
      <c r="AA35" s="2990">
        <v>422037</v>
      </c>
      <c r="AB35" s="2990">
        <v>435923</v>
      </c>
      <c r="AC35" s="2990">
        <v>441066</v>
      </c>
      <c r="AD35" s="2990">
        <v>420177</v>
      </c>
      <c r="AE35" s="2990">
        <v>454337</v>
      </c>
      <c r="AF35" s="2990">
        <v>481938</v>
      </c>
      <c r="AG35" s="2990">
        <v>466579</v>
      </c>
      <c r="AH35" s="2990">
        <v>504400</v>
      </c>
      <c r="AI35" s="2990">
        <v>500404</v>
      </c>
      <c r="AJ35" s="2990">
        <v>614221</v>
      </c>
      <c r="AK35" s="2990">
        <v>506560</v>
      </c>
      <c r="AL35" s="2990">
        <v>482473</v>
      </c>
      <c r="AM35" s="2990">
        <v>540918</v>
      </c>
      <c r="AN35" s="2990">
        <v>534150</v>
      </c>
      <c r="AO35" s="2990">
        <v>545998</v>
      </c>
      <c r="AP35" s="2990">
        <v>533719</v>
      </c>
    </row>
    <row r="36" spans="1:42" s="2981" customFormat="1" ht="15.75">
      <c r="A36" s="2984" t="s">
        <v>4433</v>
      </c>
      <c r="B36" s="2985">
        <v>43475.962768999998</v>
      </c>
      <c r="C36" s="2985">
        <v>53599.680598999999</v>
      </c>
      <c r="D36" s="2985">
        <v>50754</v>
      </c>
      <c r="E36" s="2985">
        <v>44273.632428999998</v>
      </c>
      <c r="F36" s="2985">
        <v>56415.093000000001</v>
      </c>
      <c r="G36" s="2985">
        <v>69886.773830000006</v>
      </c>
      <c r="H36" s="2985">
        <v>95686.427930000005</v>
      </c>
      <c r="I36" s="2985">
        <v>99053.420203000001</v>
      </c>
      <c r="J36" s="2985">
        <v>109788.97238200001</v>
      </c>
      <c r="K36" s="2985">
        <v>94589.501147999996</v>
      </c>
      <c r="L36" s="2985">
        <v>111014.214874</v>
      </c>
      <c r="M36" s="2985">
        <v>135896.03765000001</v>
      </c>
      <c r="N36" s="2985">
        <v>91072.939985999998</v>
      </c>
      <c r="O36" s="2985">
        <v>105733.91310200001</v>
      </c>
      <c r="P36" s="2986">
        <v>156737.17344799999</v>
      </c>
      <c r="Q36" s="2986">
        <v>88654.171180000005</v>
      </c>
      <c r="R36" s="2986">
        <v>123315.401</v>
      </c>
      <c r="S36" s="2986">
        <v>110439.07325723401</v>
      </c>
      <c r="T36" s="2986">
        <v>83870.612330999997</v>
      </c>
      <c r="U36" s="2986">
        <v>131569.13808400001</v>
      </c>
      <c r="V36" s="2986">
        <v>105040.50852712478</v>
      </c>
      <c r="W36" s="2986">
        <v>84908.775735624222</v>
      </c>
      <c r="X36" s="2986">
        <v>187514.1931471756</v>
      </c>
      <c r="Y36" s="2986">
        <v>117692.056832556</v>
      </c>
      <c r="Z36" s="2986">
        <v>82396.713636</v>
      </c>
      <c r="AA36" s="2986">
        <v>104323</v>
      </c>
      <c r="AB36" s="2986">
        <v>97269</v>
      </c>
      <c r="AC36" s="2986">
        <v>126271.62020400001</v>
      </c>
      <c r="AD36" s="2986">
        <v>179424.24770530299</v>
      </c>
      <c r="AE36" s="2986">
        <v>143778.00127400001</v>
      </c>
      <c r="AF36" s="2986">
        <v>126622.30538200001</v>
      </c>
      <c r="AG36" s="2986">
        <v>146464.13355699999</v>
      </c>
      <c r="AH36" s="2986">
        <v>159790.540978</v>
      </c>
      <c r="AI36" s="2986">
        <v>201645.420835</v>
      </c>
      <c r="AJ36" s="2986">
        <v>268652.59542799997</v>
      </c>
      <c r="AK36" s="2986">
        <v>177035.007265758</v>
      </c>
      <c r="AL36" s="2986">
        <v>213554.44691599999</v>
      </c>
      <c r="AM36" s="2986">
        <f>254231630497.023/1000000</f>
        <v>254231.630497023</v>
      </c>
      <c r="AN36" s="2986">
        <v>212520</v>
      </c>
      <c r="AO36" s="2986">
        <v>170706.24584941001</v>
      </c>
      <c r="AP36" s="2986">
        <v>267765.77055000002</v>
      </c>
    </row>
    <row r="37" spans="1:42" s="2981" customFormat="1" ht="16.5" thickBot="1">
      <c r="A37" s="2991" t="s">
        <v>4434</v>
      </c>
      <c r="B37" s="2992">
        <v>43475.962</v>
      </c>
      <c r="C37" s="2992">
        <v>48537.821684000002</v>
      </c>
      <c r="D37" s="2992">
        <v>49277</v>
      </c>
      <c r="E37" s="2992">
        <v>48025.854202000002</v>
      </c>
      <c r="F37" s="2992">
        <v>49703.701975999997</v>
      </c>
      <c r="G37" s="2992">
        <v>53067.547285000001</v>
      </c>
      <c r="H37" s="2992">
        <v>59155.958806000002</v>
      </c>
      <c r="I37" s="2992">
        <v>64143.141479999998</v>
      </c>
      <c r="J37" s="2992">
        <v>69214.900469</v>
      </c>
      <c r="K37" s="2992">
        <v>71752.360537</v>
      </c>
      <c r="L37" s="2992">
        <v>75321.620022000003</v>
      </c>
      <c r="M37" s="2992">
        <v>80369.488157999993</v>
      </c>
      <c r="N37" s="2992">
        <v>91072.939985999998</v>
      </c>
      <c r="O37" s="2992">
        <v>98403.426544000002</v>
      </c>
      <c r="P37" s="2993">
        <v>117848.008845</v>
      </c>
      <c r="Q37" s="2993">
        <v>115113.088988</v>
      </c>
      <c r="R37" s="2993">
        <v>116480.074398</v>
      </c>
      <c r="S37" s="2993">
        <v>115617.07399999999</v>
      </c>
      <c r="T37" s="2993">
        <v>111648.766497</v>
      </c>
      <c r="U37" s="2993">
        <v>113862.141118</v>
      </c>
      <c r="V37" s="2993">
        <v>112979.97785884212</v>
      </c>
      <c r="W37" s="2993">
        <v>110428.05039309504</v>
      </c>
      <c r="X37" s="2993">
        <v>116851.89562260175</v>
      </c>
      <c r="Y37" s="2993">
        <v>117692.05683255615</v>
      </c>
      <c r="Z37" s="2993">
        <v>100044.38523428794</v>
      </c>
      <c r="AA37" s="2993">
        <v>101471</v>
      </c>
      <c r="AB37" s="2993">
        <v>100420</v>
      </c>
      <c r="AC37" s="2993">
        <v>105590.64532</v>
      </c>
      <c r="AD37" s="2993">
        <v>117896.24571768557</v>
      </c>
      <c r="AE37" s="2993">
        <v>121593.60000000001</v>
      </c>
      <c r="AF37" s="2993">
        <v>122222.22262</v>
      </c>
      <c r="AG37" s="2993">
        <v>124915.768279893</v>
      </c>
      <c r="AH37" s="2993">
        <v>128403.24555000001</v>
      </c>
      <c r="AI37" s="2993">
        <v>135061.62512099999</v>
      </c>
      <c r="AJ37" s="2993">
        <v>146194.20597995099</v>
      </c>
      <c r="AK37" s="2993">
        <v>177035.007265758</v>
      </c>
      <c r="AL37" s="2993">
        <v>195294.72709080801</v>
      </c>
      <c r="AM37" s="2993">
        <v>214940</v>
      </c>
      <c r="AN37" s="2993">
        <v>214335</v>
      </c>
      <c r="AO37" s="2993">
        <v>205609</v>
      </c>
      <c r="AP37" s="2994">
        <v>215968.851</v>
      </c>
    </row>
    <row r="38" spans="1:42" ht="15">
      <c r="A38" s="2995" t="s">
        <v>4435</v>
      </c>
      <c r="B38" s="2971"/>
      <c r="C38" s="2971"/>
      <c r="D38" s="2971"/>
      <c r="E38" s="2971"/>
      <c r="F38" s="2971"/>
      <c r="G38" s="2971"/>
      <c r="H38" s="2971"/>
      <c r="I38" s="2971"/>
      <c r="J38" s="2971"/>
      <c r="K38" s="2971"/>
      <c r="L38" s="2971"/>
      <c r="M38" s="2971"/>
      <c r="N38" s="2971"/>
      <c r="O38" s="2971"/>
      <c r="P38" s="2971"/>
      <c r="Q38" s="2971"/>
      <c r="R38" s="2971"/>
      <c r="S38" s="2996"/>
    </row>
    <row r="39" spans="1:42" ht="15">
      <c r="A39" s="2972" t="s">
        <v>4436</v>
      </c>
    </row>
    <row r="40" spans="1:42" ht="15">
      <c r="A40" s="2972" t="s">
        <v>4131</v>
      </c>
    </row>
  </sheetData>
  <printOptions horizontalCentered="1"/>
  <pageMargins left="0.5" right="0.5" top="0" bottom="0.511811023622047" header="0" footer="7.8740157480315001E-2"/>
  <pageSetup paperSize="9" scale="73"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6"/>
  <sheetViews>
    <sheetView zoomScaleNormal="100" workbookViewId="0">
      <selection activeCell="U38" sqref="U38"/>
    </sheetView>
  </sheetViews>
  <sheetFormatPr defaultRowHeight="15"/>
  <cols>
    <col min="1" max="1" width="12.140625" style="186" customWidth="1"/>
    <col min="2" max="2" width="14.140625" style="186" customWidth="1"/>
    <col min="3" max="3" width="13.7109375" style="186" customWidth="1"/>
    <col min="4" max="5" width="13.85546875" style="186" customWidth="1"/>
    <col min="6" max="6" width="13.42578125" style="186" customWidth="1"/>
    <col min="7" max="16384" width="9.140625" style="186"/>
  </cols>
  <sheetData>
    <row r="1" spans="1:7" s="183" customFormat="1" ht="18.75">
      <c r="A1" s="181" t="s">
        <v>125</v>
      </c>
      <c r="B1" s="181"/>
      <c r="C1" s="181"/>
      <c r="D1" s="181"/>
      <c r="E1" s="181"/>
      <c r="F1" s="181"/>
      <c r="G1" s="182"/>
    </row>
    <row r="2" spans="1:7" ht="18.75">
      <c r="A2" s="181" t="s">
        <v>126</v>
      </c>
      <c r="B2" s="184"/>
      <c r="C2" s="181"/>
      <c r="D2" s="181"/>
      <c r="E2" s="181"/>
      <c r="F2" s="181"/>
      <c r="G2" s="185"/>
    </row>
    <row r="3" spans="1:7" ht="15.75" thickBot="1">
      <c r="A3" s="185"/>
      <c r="B3" s="185"/>
      <c r="C3" s="185"/>
      <c r="D3" s="185"/>
      <c r="E3" s="185"/>
      <c r="F3" s="185"/>
      <c r="G3" s="185"/>
    </row>
    <row r="4" spans="1:7" ht="16.5" thickTop="1" thickBot="1">
      <c r="A4" s="187"/>
      <c r="B4" s="188"/>
      <c r="C4" s="189"/>
      <c r="D4" s="189"/>
      <c r="E4" s="3487" t="s">
        <v>117</v>
      </c>
      <c r="F4" s="3488"/>
      <c r="G4" s="190"/>
    </row>
    <row r="5" spans="1:7" ht="48" thickBot="1">
      <c r="A5" s="191"/>
      <c r="B5" s="192" t="s">
        <v>127</v>
      </c>
      <c r="C5" s="193" t="s">
        <v>128</v>
      </c>
      <c r="D5" s="193" t="s">
        <v>129</v>
      </c>
      <c r="E5" s="193" t="s">
        <v>127</v>
      </c>
      <c r="F5" s="194" t="s">
        <v>128</v>
      </c>
      <c r="G5" s="195"/>
    </row>
    <row r="6" spans="1:7" ht="16.5" hidden="1" customHeight="1" thickTop="1">
      <c r="A6" s="196">
        <v>40179</v>
      </c>
      <c r="B6" s="197">
        <v>23220</v>
      </c>
      <c r="C6" s="198">
        <v>146156</v>
      </c>
      <c r="D6" s="198">
        <v>20</v>
      </c>
      <c r="E6" s="198">
        <v>1661</v>
      </c>
      <c r="F6" s="199">
        <v>6643</v>
      </c>
    </row>
    <row r="7" spans="1:7" ht="16.5" hidden="1" customHeight="1" thickTop="1">
      <c r="A7" s="196">
        <v>40210</v>
      </c>
      <c r="B7" s="197">
        <v>23636</v>
      </c>
      <c r="C7" s="198">
        <v>122529</v>
      </c>
      <c r="D7" s="198">
        <v>18</v>
      </c>
      <c r="E7" s="198">
        <v>1313</v>
      </c>
      <c r="F7" s="199">
        <v>6807</v>
      </c>
    </row>
    <row r="8" spans="1:7" ht="16.5" hidden="1" customHeight="1" thickTop="1">
      <c r="A8" s="196">
        <v>40238</v>
      </c>
      <c r="B8" s="197">
        <v>31374</v>
      </c>
      <c r="C8" s="198">
        <v>147960</v>
      </c>
      <c r="D8" s="198">
        <v>21</v>
      </c>
      <c r="E8" s="198">
        <v>1494</v>
      </c>
      <c r="F8" s="199">
        <v>7046</v>
      </c>
    </row>
    <row r="9" spans="1:7" ht="16.5" hidden="1" customHeight="1" thickTop="1">
      <c r="A9" s="196">
        <v>40269</v>
      </c>
      <c r="B9" s="197">
        <v>28196</v>
      </c>
      <c r="C9" s="198">
        <v>155766</v>
      </c>
      <c r="D9" s="198">
        <v>22</v>
      </c>
      <c r="E9" s="198">
        <v>1282</v>
      </c>
      <c r="F9" s="199">
        <v>7080</v>
      </c>
    </row>
    <row r="10" spans="1:7" ht="16.5" hidden="1" customHeight="1" thickTop="1">
      <c r="A10" s="196">
        <v>40299</v>
      </c>
      <c r="B10" s="197">
        <v>26950</v>
      </c>
      <c r="C10" s="198">
        <v>128348</v>
      </c>
      <c r="D10" s="198">
        <v>20</v>
      </c>
      <c r="E10" s="198">
        <v>1348</v>
      </c>
      <c r="F10" s="199">
        <v>6417</v>
      </c>
    </row>
    <row r="11" spans="1:7" ht="16.5" hidden="1" customHeight="1" thickTop="1">
      <c r="A11" s="196">
        <v>40330</v>
      </c>
      <c r="B11" s="197">
        <v>32021</v>
      </c>
      <c r="C11" s="198">
        <v>157459</v>
      </c>
      <c r="D11" s="198">
        <v>22</v>
      </c>
      <c r="E11" s="198">
        <v>1456</v>
      </c>
      <c r="F11" s="199">
        <v>7157</v>
      </c>
    </row>
    <row r="12" spans="1:7" ht="16.5" hidden="1" customHeight="1" thickTop="1">
      <c r="A12" s="196">
        <v>40360</v>
      </c>
      <c r="B12" s="197">
        <v>29038</v>
      </c>
      <c r="C12" s="198">
        <v>131775</v>
      </c>
      <c r="D12" s="198">
        <v>22</v>
      </c>
      <c r="E12" s="198">
        <v>1320</v>
      </c>
      <c r="F12" s="199">
        <v>5990</v>
      </c>
    </row>
    <row r="13" spans="1:7" ht="16.5" hidden="1" customHeight="1" thickTop="1">
      <c r="A13" s="196">
        <v>40391</v>
      </c>
      <c r="B13" s="200">
        <v>30325</v>
      </c>
      <c r="C13" s="198">
        <v>128293</v>
      </c>
      <c r="D13" s="198">
        <v>22</v>
      </c>
      <c r="E13" s="198">
        <v>1378</v>
      </c>
      <c r="F13" s="201">
        <v>5831</v>
      </c>
    </row>
    <row r="14" spans="1:7" ht="16.5" hidden="1" customHeight="1" thickTop="1">
      <c r="A14" s="196">
        <v>40422</v>
      </c>
      <c r="B14" s="200">
        <v>31858</v>
      </c>
      <c r="C14" s="198">
        <v>148964</v>
      </c>
      <c r="D14" s="198">
        <v>21</v>
      </c>
      <c r="E14" s="198">
        <v>1517</v>
      </c>
      <c r="F14" s="201">
        <v>7094</v>
      </c>
    </row>
    <row r="15" spans="1:7" ht="16.5" hidden="1" customHeight="1" thickTop="1">
      <c r="A15" s="196">
        <v>40452</v>
      </c>
      <c r="B15" s="200">
        <v>29896</v>
      </c>
      <c r="C15" s="198">
        <v>147274</v>
      </c>
      <c r="D15" s="198">
        <v>21</v>
      </c>
      <c r="E15" s="198">
        <v>1424</v>
      </c>
      <c r="F15" s="201">
        <v>7013</v>
      </c>
    </row>
    <row r="16" spans="1:7" ht="16.5" hidden="1" customHeight="1" thickTop="1">
      <c r="A16" s="196">
        <v>40483</v>
      </c>
      <c r="B16" s="200">
        <v>34491</v>
      </c>
      <c r="C16" s="198">
        <v>152572.0152884</v>
      </c>
      <c r="D16" s="198">
        <v>20</v>
      </c>
      <c r="E16" s="198">
        <v>1724.55</v>
      </c>
      <c r="F16" s="201">
        <v>7628.6007644199999</v>
      </c>
    </row>
    <row r="17" spans="1:6" ht="16.5" hidden="1" customHeight="1" thickTop="1">
      <c r="A17" s="196">
        <v>40522</v>
      </c>
      <c r="B17" s="200">
        <v>45307</v>
      </c>
      <c r="C17" s="198">
        <v>220826</v>
      </c>
      <c r="D17" s="198">
        <v>23</v>
      </c>
      <c r="E17" s="198">
        <v>1970</v>
      </c>
      <c r="F17" s="199">
        <v>9601</v>
      </c>
    </row>
    <row r="18" spans="1:6" ht="16.5" hidden="1" customHeight="1" thickTop="1">
      <c r="A18" s="196">
        <v>40553</v>
      </c>
      <c r="B18" s="200">
        <v>30565</v>
      </c>
      <c r="C18" s="198">
        <v>153705.071</v>
      </c>
      <c r="D18" s="198">
        <v>19</v>
      </c>
      <c r="E18" s="198">
        <v>1609</v>
      </c>
      <c r="F18" s="199">
        <v>8090</v>
      </c>
    </row>
    <row r="19" spans="1:6" ht="16.5" hidden="1" customHeight="1" thickTop="1">
      <c r="A19" s="196">
        <v>40584</v>
      </c>
      <c r="B19" s="200">
        <v>30735</v>
      </c>
      <c r="C19" s="198">
        <v>142370</v>
      </c>
      <c r="D19" s="198">
        <v>18</v>
      </c>
      <c r="E19" s="198">
        <v>1708</v>
      </c>
      <c r="F19" s="199">
        <v>7909</v>
      </c>
    </row>
    <row r="20" spans="1:6" ht="16.5" hidden="1" customHeight="1" thickTop="1">
      <c r="A20" s="196">
        <v>40612</v>
      </c>
      <c r="B20" s="200">
        <v>38636</v>
      </c>
      <c r="C20" s="198">
        <v>168058</v>
      </c>
      <c r="D20" s="198">
        <v>22</v>
      </c>
      <c r="E20" s="198">
        <v>1756</v>
      </c>
      <c r="F20" s="199">
        <v>7639</v>
      </c>
    </row>
    <row r="21" spans="1:6" ht="16.5" hidden="1" customHeight="1" thickTop="1">
      <c r="A21" s="196">
        <v>40643</v>
      </c>
      <c r="B21" s="200">
        <v>33065</v>
      </c>
      <c r="C21" s="198">
        <v>187887</v>
      </c>
      <c r="D21" s="198">
        <v>20</v>
      </c>
      <c r="E21" s="198">
        <v>1653</v>
      </c>
      <c r="F21" s="199">
        <v>9394</v>
      </c>
    </row>
    <row r="22" spans="1:6" ht="16.5" hidden="1" customHeight="1" thickTop="1">
      <c r="A22" s="196">
        <v>40673</v>
      </c>
      <c r="B22" s="200">
        <v>38149</v>
      </c>
      <c r="C22" s="198">
        <v>169093</v>
      </c>
      <c r="D22" s="198">
        <v>22</v>
      </c>
      <c r="E22" s="198">
        <v>1734</v>
      </c>
      <c r="F22" s="199">
        <v>7686</v>
      </c>
    </row>
    <row r="23" spans="1:6" ht="16.5" hidden="1" customHeight="1" thickTop="1">
      <c r="A23" s="196">
        <v>40704</v>
      </c>
      <c r="B23" s="200">
        <v>39231</v>
      </c>
      <c r="C23" s="198">
        <v>158713</v>
      </c>
      <c r="D23" s="198">
        <v>22</v>
      </c>
      <c r="E23" s="198">
        <v>1783</v>
      </c>
      <c r="F23" s="199">
        <v>7214</v>
      </c>
    </row>
    <row r="24" spans="1:6" ht="16.5" hidden="1" customHeight="1" thickTop="1">
      <c r="A24" s="196">
        <v>40734</v>
      </c>
      <c r="B24" s="200">
        <v>35465</v>
      </c>
      <c r="C24" s="198">
        <v>156666</v>
      </c>
      <c r="D24" s="198">
        <v>21</v>
      </c>
      <c r="E24" s="198">
        <v>1689</v>
      </c>
      <c r="F24" s="199">
        <v>7460</v>
      </c>
    </row>
    <row r="25" spans="1:6" ht="16.5" hidden="1" customHeight="1" thickTop="1">
      <c r="A25" s="196">
        <v>40756</v>
      </c>
      <c r="B25" s="200">
        <v>37355</v>
      </c>
      <c r="C25" s="198">
        <v>195303</v>
      </c>
      <c r="D25" s="198">
        <v>22</v>
      </c>
      <c r="E25" s="198">
        <v>1698</v>
      </c>
      <c r="F25" s="199">
        <v>8877</v>
      </c>
    </row>
    <row r="26" spans="1:6" ht="16.5" hidden="1" customHeight="1" thickTop="1">
      <c r="A26" s="196">
        <v>40796</v>
      </c>
      <c r="B26" s="200">
        <v>37949</v>
      </c>
      <c r="C26" s="198">
        <v>168911</v>
      </c>
      <c r="D26" s="198">
        <v>21</v>
      </c>
      <c r="E26" s="198">
        <v>1807</v>
      </c>
      <c r="F26" s="199">
        <v>8043</v>
      </c>
    </row>
    <row r="27" spans="1:6" ht="16.5" hidden="1" customHeight="1" thickTop="1">
      <c r="A27" s="196">
        <v>40826</v>
      </c>
      <c r="B27" s="200">
        <v>35347</v>
      </c>
      <c r="C27" s="198">
        <v>173163</v>
      </c>
      <c r="D27" s="198">
        <v>20</v>
      </c>
      <c r="E27" s="198">
        <v>1767</v>
      </c>
      <c r="F27" s="199">
        <v>8658</v>
      </c>
    </row>
    <row r="28" spans="1:6" ht="16.5" hidden="1" customHeight="1" thickTop="1">
      <c r="A28" s="196">
        <v>40857</v>
      </c>
      <c r="B28" s="200">
        <v>35318</v>
      </c>
      <c r="C28" s="198">
        <v>189167</v>
      </c>
      <c r="D28" s="198">
        <v>20</v>
      </c>
      <c r="E28" s="198">
        <v>1766</v>
      </c>
      <c r="F28" s="199">
        <v>9458</v>
      </c>
    </row>
    <row r="29" spans="1:6" ht="16.5" hidden="1" customHeight="1" thickTop="1">
      <c r="A29" s="196">
        <v>40887</v>
      </c>
      <c r="B29" s="200">
        <v>47397</v>
      </c>
      <c r="C29" s="198">
        <v>245244</v>
      </c>
      <c r="D29" s="198">
        <v>22</v>
      </c>
      <c r="E29" s="198">
        <v>2154</v>
      </c>
      <c r="F29" s="199">
        <v>11147</v>
      </c>
    </row>
    <row r="30" spans="1:6" ht="16.5" thickTop="1">
      <c r="A30" s="202">
        <v>40918</v>
      </c>
      <c r="B30" s="200">
        <v>28635</v>
      </c>
      <c r="C30" s="198">
        <v>129253</v>
      </c>
      <c r="D30" s="198">
        <v>20</v>
      </c>
      <c r="E30" s="198">
        <v>1432</v>
      </c>
      <c r="F30" s="199">
        <v>6463</v>
      </c>
    </row>
    <row r="31" spans="1:6" ht="15.75">
      <c r="A31" s="202">
        <v>40949</v>
      </c>
      <c r="B31" s="200">
        <v>35146</v>
      </c>
      <c r="C31" s="198">
        <v>156697</v>
      </c>
      <c r="D31" s="198">
        <v>18</v>
      </c>
      <c r="E31" s="198">
        <v>1953</v>
      </c>
      <c r="F31" s="199">
        <v>8705</v>
      </c>
    </row>
    <row r="32" spans="1:6" ht="15.75">
      <c r="A32" s="202">
        <v>40978</v>
      </c>
      <c r="B32" s="200">
        <v>38191</v>
      </c>
      <c r="C32" s="198">
        <v>141038</v>
      </c>
      <c r="D32" s="198">
        <v>20</v>
      </c>
      <c r="E32" s="198">
        <v>1910</v>
      </c>
      <c r="F32" s="199">
        <v>7052</v>
      </c>
    </row>
    <row r="33" spans="1:7" ht="15.75">
      <c r="A33" s="202">
        <v>41009</v>
      </c>
      <c r="B33" s="200">
        <v>40768</v>
      </c>
      <c r="C33" s="198">
        <v>167377</v>
      </c>
      <c r="D33" s="198">
        <v>21</v>
      </c>
      <c r="E33" s="198">
        <v>1941</v>
      </c>
      <c r="F33" s="199">
        <v>7970</v>
      </c>
    </row>
    <row r="34" spans="1:7" ht="15.75">
      <c r="A34" s="202">
        <v>41030</v>
      </c>
      <c r="B34" s="200">
        <v>39880</v>
      </c>
      <c r="C34" s="198">
        <v>154833</v>
      </c>
      <c r="D34" s="198">
        <v>22</v>
      </c>
      <c r="E34" s="198">
        <v>1813</v>
      </c>
      <c r="F34" s="199">
        <v>7038</v>
      </c>
    </row>
    <row r="35" spans="1:7" ht="15.75">
      <c r="A35" s="202">
        <v>41061</v>
      </c>
      <c r="B35" s="200">
        <v>38969</v>
      </c>
      <c r="C35" s="198">
        <v>198870</v>
      </c>
      <c r="D35" s="198">
        <v>21</v>
      </c>
      <c r="E35" s="198">
        <v>1856</v>
      </c>
      <c r="F35" s="199">
        <v>9470</v>
      </c>
    </row>
    <row r="36" spans="1:7" ht="15.75">
      <c r="A36" s="202">
        <v>41091</v>
      </c>
      <c r="B36" s="200">
        <v>44750</v>
      </c>
      <c r="C36" s="198">
        <v>170474</v>
      </c>
      <c r="D36" s="198">
        <v>22</v>
      </c>
      <c r="E36" s="198">
        <v>2034</v>
      </c>
      <c r="F36" s="199">
        <v>7749</v>
      </c>
    </row>
    <row r="37" spans="1:7" ht="15.75">
      <c r="A37" s="202">
        <v>41122</v>
      </c>
      <c r="B37" s="197">
        <v>37355</v>
      </c>
      <c r="C37" s="198">
        <v>195303</v>
      </c>
      <c r="D37" s="198">
        <v>21</v>
      </c>
      <c r="E37" s="198">
        <v>1779</v>
      </c>
      <c r="F37" s="201">
        <v>9300</v>
      </c>
    </row>
    <row r="38" spans="1:7" ht="15.75">
      <c r="A38" s="202">
        <v>41153</v>
      </c>
      <c r="B38" s="203">
        <v>35953</v>
      </c>
      <c r="C38" s="198">
        <v>141745</v>
      </c>
      <c r="D38" s="198">
        <v>19</v>
      </c>
      <c r="E38" s="198">
        <v>1892</v>
      </c>
      <c r="F38" s="201">
        <v>7460</v>
      </c>
    </row>
    <row r="39" spans="1:7" ht="15.75">
      <c r="A39" s="202">
        <v>41183</v>
      </c>
      <c r="B39" s="203">
        <v>46809</v>
      </c>
      <c r="C39" s="198">
        <v>163355</v>
      </c>
      <c r="D39" s="198">
        <v>23</v>
      </c>
      <c r="E39" s="198">
        <v>2035</v>
      </c>
      <c r="F39" s="201">
        <v>7102</v>
      </c>
    </row>
    <row r="40" spans="1:7" ht="15.75">
      <c r="A40" s="202">
        <v>41214</v>
      </c>
      <c r="B40" s="203">
        <v>40944</v>
      </c>
      <c r="C40" s="198">
        <v>195912</v>
      </c>
      <c r="D40" s="198">
        <v>20</v>
      </c>
      <c r="E40" s="198">
        <v>2047</v>
      </c>
      <c r="F40" s="201">
        <v>9796</v>
      </c>
    </row>
    <row r="41" spans="1:7" ht="15.75">
      <c r="A41" s="202">
        <v>41244</v>
      </c>
      <c r="B41" s="203">
        <v>51809</v>
      </c>
      <c r="C41" s="198">
        <v>236716</v>
      </c>
      <c r="D41" s="198">
        <v>20</v>
      </c>
      <c r="E41" s="198">
        <v>2590</v>
      </c>
      <c r="F41" s="201">
        <v>11836</v>
      </c>
    </row>
    <row r="42" spans="1:7" ht="15.75">
      <c r="A42" s="202">
        <v>41275</v>
      </c>
      <c r="B42" s="203">
        <v>41346</v>
      </c>
      <c r="C42" s="198">
        <v>188703</v>
      </c>
      <c r="D42" s="198">
        <v>21</v>
      </c>
      <c r="E42" s="198">
        <v>1969</v>
      </c>
      <c r="F42" s="201">
        <v>8986</v>
      </c>
    </row>
    <row r="43" spans="1:7" ht="15.75">
      <c r="A43" s="202">
        <v>41306</v>
      </c>
      <c r="B43" s="203">
        <v>38760</v>
      </c>
      <c r="C43" s="198">
        <v>157540</v>
      </c>
      <c r="D43" s="198">
        <v>19</v>
      </c>
      <c r="E43" s="198">
        <v>2040</v>
      </c>
      <c r="F43" s="201">
        <v>8292</v>
      </c>
    </row>
    <row r="44" spans="1:7" ht="15.75">
      <c r="A44" s="202">
        <v>41334</v>
      </c>
      <c r="B44" s="198">
        <v>41981</v>
      </c>
      <c r="C44" s="198">
        <v>182730</v>
      </c>
      <c r="D44" s="198">
        <v>20</v>
      </c>
      <c r="E44" s="198">
        <v>2099</v>
      </c>
      <c r="F44" s="201">
        <v>9136</v>
      </c>
    </row>
    <row r="45" spans="1:7" ht="15.75">
      <c r="A45" s="202">
        <v>41365</v>
      </c>
      <c r="B45" s="200">
        <v>46054</v>
      </c>
      <c r="C45" s="198">
        <v>187865</v>
      </c>
      <c r="D45" s="198">
        <v>20</v>
      </c>
      <c r="E45" s="198">
        <v>2303</v>
      </c>
      <c r="F45" s="201">
        <v>9393</v>
      </c>
    </row>
    <row r="46" spans="1:7" ht="15.75">
      <c r="A46" s="202">
        <v>41395</v>
      </c>
      <c r="B46" s="200">
        <v>43996</v>
      </c>
      <c r="C46" s="198">
        <v>189972</v>
      </c>
      <c r="D46" s="198">
        <v>22</v>
      </c>
      <c r="E46" s="198">
        <v>2000</v>
      </c>
      <c r="F46" s="201">
        <v>8635</v>
      </c>
    </row>
    <row r="47" spans="1:7" ht="15.75">
      <c r="A47" s="202">
        <v>41426</v>
      </c>
      <c r="B47" s="200">
        <v>41101</v>
      </c>
      <c r="C47" s="198">
        <v>185678</v>
      </c>
      <c r="D47" s="198">
        <v>20</v>
      </c>
      <c r="E47" s="198">
        <v>2055</v>
      </c>
      <c r="F47" s="201">
        <v>9284</v>
      </c>
      <c r="G47" s="185"/>
    </row>
    <row r="48" spans="1:7" ht="15.75">
      <c r="A48" s="202">
        <v>41456</v>
      </c>
      <c r="B48" s="200">
        <v>51673</v>
      </c>
      <c r="C48" s="198">
        <v>191077</v>
      </c>
      <c r="D48" s="198">
        <v>23</v>
      </c>
      <c r="E48" s="198">
        <v>2247</v>
      </c>
      <c r="F48" s="201">
        <v>8308</v>
      </c>
      <c r="G48" s="185"/>
    </row>
    <row r="49" spans="1:7" ht="15.75">
      <c r="A49" s="202">
        <v>41487</v>
      </c>
      <c r="B49" s="200">
        <v>43000</v>
      </c>
      <c r="C49" s="198">
        <v>180041</v>
      </c>
      <c r="D49" s="198">
        <v>21</v>
      </c>
      <c r="E49" s="198">
        <v>2048</v>
      </c>
      <c r="F49" s="201">
        <v>8573</v>
      </c>
      <c r="G49" s="185"/>
    </row>
    <row r="50" spans="1:7" ht="15.75">
      <c r="A50" s="202">
        <v>41518</v>
      </c>
      <c r="B50" s="200">
        <v>46634</v>
      </c>
      <c r="C50" s="198">
        <v>181738</v>
      </c>
      <c r="D50" s="198">
        <v>20</v>
      </c>
      <c r="E50" s="198">
        <v>2332</v>
      </c>
      <c r="F50" s="201">
        <v>9087</v>
      </c>
      <c r="G50" s="185"/>
    </row>
    <row r="51" spans="1:7" ht="15.75">
      <c r="A51" s="204">
        <v>41548</v>
      </c>
      <c r="B51" s="197">
        <v>50066</v>
      </c>
      <c r="C51" s="198">
        <v>251847</v>
      </c>
      <c r="D51" s="203">
        <v>23</v>
      </c>
      <c r="E51" s="198">
        <v>2177</v>
      </c>
      <c r="F51" s="199">
        <v>10950</v>
      </c>
      <c r="G51" s="185"/>
    </row>
    <row r="52" spans="1:7" ht="15.75">
      <c r="A52" s="202">
        <v>41579</v>
      </c>
      <c r="B52" s="200">
        <v>43504</v>
      </c>
      <c r="C52" s="198">
        <v>201655</v>
      </c>
      <c r="D52" s="198">
        <v>20</v>
      </c>
      <c r="E52" s="198">
        <v>2175</v>
      </c>
      <c r="F52" s="201">
        <v>10083</v>
      </c>
      <c r="G52" s="185"/>
    </row>
    <row r="53" spans="1:7" ht="15.75">
      <c r="A53" s="202">
        <v>41609</v>
      </c>
      <c r="B53" s="200">
        <v>61375</v>
      </c>
      <c r="C53" s="198">
        <v>278115</v>
      </c>
      <c r="D53" s="198">
        <v>21</v>
      </c>
      <c r="E53" s="198">
        <v>2923</v>
      </c>
      <c r="F53" s="201">
        <v>13244</v>
      </c>
      <c r="G53" s="185"/>
    </row>
    <row r="54" spans="1:7" ht="15.75">
      <c r="A54" s="202">
        <v>41640</v>
      </c>
      <c r="B54" s="200">
        <v>42403</v>
      </c>
      <c r="C54" s="198">
        <v>180340</v>
      </c>
      <c r="D54" s="198">
        <v>19</v>
      </c>
      <c r="E54" s="198">
        <v>2232</v>
      </c>
      <c r="F54" s="201">
        <v>9492</v>
      </c>
      <c r="G54" s="185"/>
    </row>
    <row r="55" spans="1:7" ht="15.75">
      <c r="A55" s="202">
        <v>41671</v>
      </c>
      <c r="B55" s="200">
        <v>46387</v>
      </c>
      <c r="C55" s="198">
        <v>180036</v>
      </c>
      <c r="D55" s="198">
        <v>18</v>
      </c>
      <c r="E55" s="198">
        <v>2577</v>
      </c>
      <c r="F55" s="201">
        <v>10002</v>
      </c>
      <c r="G55" s="185"/>
    </row>
    <row r="56" spans="1:7" ht="15.75">
      <c r="A56" s="202">
        <v>41699</v>
      </c>
      <c r="B56" s="200">
        <v>44655</v>
      </c>
      <c r="C56" s="198">
        <v>152932</v>
      </c>
      <c r="D56" s="198">
        <v>19</v>
      </c>
      <c r="E56" s="198">
        <v>2350</v>
      </c>
      <c r="F56" s="201">
        <v>8049</v>
      </c>
      <c r="G56" s="185"/>
    </row>
    <row r="57" spans="1:7" ht="15.75">
      <c r="A57" s="202">
        <v>41730</v>
      </c>
      <c r="B57" s="200">
        <v>55001</v>
      </c>
      <c r="C57" s="198">
        <v>183452</v>
      </c>
      <c r="D57" s="198">
        <v>22</v>
      </c>
      <c r="E57" s="198">
        <v>2500</v>
      </c>
      <c r="F57" s="201">
        <v>8339</v>
      </c>
      <c r="G57" s="185"/>
    </row>
    <row r="58" spans="1:7" ht="15.75">
      <c r="A58" s="202">
        <v>41760</v>
      </c>
      <c r="B58" s="200">
        <v>48119</v>
      </c>
      <c r="C58" s="198">
        <v>197452</v>
      </c>
      <c r="D58" s="198">
        <v>21</v>
      </c>
      <c r="E58" s="198">
        <v>2291</v>
      </c>
      <c r="F58" s="201">
        <v>9402</v>
      </c>
      <c r="G58" s="185"/>
    </row>
    <row r="59" spans="1:7" ht="15.75">
      <c r="A59" s="202">
        <v>41791</v>
      </c>
      <c r="B59" s="200">
        <v>53390</v>
      </c>
      <c r="C59" s="198">
        <v>200862</v>
      </c>
      <c r="D59" s="198">
        <v>21</v>
      </c>
      <c r="E59" s="198">
        <v>2542</v>
      </c>
      <c r="F59" s="201">
        <v>9565</v>
      </c>
      <c r="G59" s="185"/>
    </row>
    <row r="60" spans="1:7" ht="15.75">
      <c r="A60" s="202">
        <v>41821</v>
      </c>
      <c r="B60" s="200">
        <v>53313</v>
      </c>
      <c r="C60" s="198">
        <v>183321</v>
      </c>
      <c r="D60" s="198">
        <v>22</v>
      </c>
      <c r="E60" s="198">
        <v>2423</v>
      </c>
      <c r="F60" s="201">
        <v>8333</v>
      </c>
      <c r="G60" s="185"/>
    </row>
    <row r="61" spans="1:7" ht="15.75">
      <c r="A61" s="202">
        <v>41852</v>
      </c>
      <c r="B61" s="200">
        <v>46756</v>
      </c>
      <c r="C61" s="198">
        <v>216798</v>
      </c>
      <c r="D61" s="198">
        <v>20</v>
      </c>
      <c r="E61" s="198">
        <v>2338</v>
      </c>
      <c r="F61" s="201">
        <v>10840</v>
      </c>
      <c r="G61" s="185"/>
    </row>
    <row r="62" spans="1:7" ht="15.75">
      <c r="A62" s="202">
        <v>41883</v>
      </c>
      <c r="B62" s="200">
        <v>55791</v>
      </c>
      <c r="C62" s="198">
        <v>250739</v>
      </c>
      <c r="D62" s="198">
        <v>22</v>
      </c>
      <c r="E62" s="198">
        <v>2536</v>
      </c>
      <c r="F62" s="201">
        <v>11397</v>
      </c>
      <c r="G62" s="185"/>
    </row>
    <row r="63" spans="1:7" ht="15.75">
      <c r="A63" s="202">
        <v>41913</v>
      </c>
      <c r="B63" s="200">
        <v>56053</v>
      </c>
      <c r="C63" s="198">
        <v>243022</v>
      </c>
      <c r="D63" s="198">
        <v>22</v>
      </c>
      <c r="E63" s="198">
        <v>2548</v>
      </c>
      <c r="F63" s="201">
        <v>11046</v>
      </c>
      <c r="G63" s="185"/>
    </row>
    <row r="64" spans="1:7" ht="15.75">
      <c r="A64" s="202">
        <v>41944</v>
      </c>
      <c r="B64" s="200">
        <v>47833</v>
      </c>
      <c r="C64" s="198">
        <v>205673</v>
      </c>
      <c r="D64" s="198">
        <v>20</v>
      </c>
      <c r="E64" s="198">
        <v>2392</v>
      </c>
      <c r="F64" s="201">
        <v>10284</v>
      </c>
      <c r="G64" s="185"/>
    </row>
    <row r="65" spans="1:7" ht="15.75">
      <c r="A65" s="202">
        <v>41974</v>
      </c>
      <c r="B65" s="200">
        <v>72510</v>
      </c>
      <c r="C65" s="198">
        <v>289473</v>
      </c>
      <c r="D65" s="198">
        <v>21</v>
      </c>
      <c r="E65" s="198">
        <v>3453</v>
      </c>
      <c r="F65" s="201">
        <v>13784</v>
      </c>
      <c r="G65" s="185"/>
    </row>
    <row r="66" spans="1:7" ht="15.75">
      <c r="A66" s="202">
        <v>42005</v>
      </c>
      <c r="B66" s="200">
        <v>48380</v>
      </c>
      <c r="C66" s="198">
        <v>173092</v>
      </c>
      <c r="D66" s="198">
        <v>20</v>
      </c>
      <c r="E66" s="198">
        <v>2419</v>
      </c>
      <c r="F66" s="201">
        <v>8655</v>
      </c>
      <c r="G66" s="185"/>
    </row>
    <row r="67" spans="1:7" ht="15.75">
      <c r="A67" s="202">
        <v>42036</v>
      </c>
      <c r="B67" s="200">
        <v>51454</v>
      </c>
      <c r="C67" s="198">
        <v>187546</v>
      </c>
      <c r="D67" s="198">
        <v>17</v>
      </c>
      <c r="E67" s="198">
        <v>3027</v>
      </c>
      <c r="F67" s="201">
        <v>11032</v>
      </c>
      <c r="G67" s="185"/>
    </row>
    <row r="68" spans="1:7" ht="15.75">
      <c r="A68" s="202">
        <v>42064</v>
      </c>
      <c r="B68" s="200">
        <v>58553</v>
      </c>
      <c r="C68" s="198">
        <v>268463</v>
      </c>
      <c r="D68" s="198">
        <v>21</v>
      </c>
      <c r="E68" s="198">
        <v>2788</v>
      </c>
      <c r="F68" s="201">
        <v>12784</v>
      </c>
      <c r="G68" s="185"/>
    </row>
    <row r="69" spans="1:7" ht="15.75">
      <c r="A69" s="202">
        <v>42095</v>
      </c>
      <c r="B69" s="200">
        <v>57856</v>
      </c>
      <c r="C69" s="198">
        <v>203457</v>
      </c>
      <c r="D69" s="198">
        <v>22</v>
      </c>
      <c r="E69" s="198">
        <v>2630</v>
      </c>
      <c r="F69" s="201">
        <v>9248</v>
      </c>
      <c r="G69" s="185"/>
    </row>
    <row r="70" spans="1:7" ht="15.75">
      <c r="A70" s="202">
        <v>42125</v>
      </c>
      <c r="B70" s="200">
        <v>52109</v>
      </c>
      <c r="C70" s="198">
        <v>206401</v>
      </c>
      <c r="D70" s="198">
        <v>20</v>
      </c>
      <c r="E70" s="198">
        <v>2605</v>
      </c>
      <c r="F70" s="201">
        <v>10320</v>
      </c>
      <c r="G70" s="185"/>
    </row>
    <row r="71" spans="1:7" ht="15.75">
      <c r="A71" s="202">
        <v>42156</v>
      </c>
      <c r="B71" s="200">
        <v>63741</v>
      </c>
      <c r="C71" s="198">
        <v>252415</v>
      </c>
      <c r="D71" s="198">
        <v>22</v>
      </c>
      <c r="E71" s="198">
        <v>2897</v>
      </c>
      <c r="F71" s="201">
        <v>11473</v>
      </c>
      <c r="G71" s="185"/>
    </row>
    <row r="72" spans="1:7" ht="16.5" customHeight="1" thickBot="1">
      <c r="A72" s="205">
        <v>42186</v>
      </c>
      <c r="B72" s="206">
        <v>60872</v>
      </c>
      <c r="C72" s="207">
        <v>165725</v>
      </c>
      <c r="D72" s="207">
        <v>23</v>
      </c>
      <c r="E72" s="207">
        <v>2647</v>
      </c>
      <c r="F72" s="208">
        <v>7205</v>
      </c>
      <c r="G72" s="185"/>
    </row>
    <row r="73" spans="1:7" ht="54" customHeight="1" thickTop="1">
      <c r="A73" s="3489" t="s">
        <v>130</v>
      </c>
      <c r="B73" s="3489"/>
      <c r="C73" s="3489"/>
      <c r="D73" s="3489"/>
      <c r="E73" s="3489"/>
      <c r="F73" s="3489"/>
      <c r="G73" s="209"/>
    </row>
    <row r="74" spans="1:7" ht="15.75">
      <c r="A74" s="210" t="s">
        <v>131</v>
      </c>
      <c r="B74" s="211"/>
      <c r="C74" s="211"/>
      <c r="D74" s="211"/>
      <c r="E74" s="211"/>
      <c r="F74" s="211"/>
      <c r="G74" s="185"/>
    </row>
    <row r="75" spans="1:7" ht="15.75">
      <c r="A75" s="210" t="s">
        <v>124</v>
      </c>
      <c r="B75" s="211"/>
      <c r="C75" s="211"/>
      <c r="D75" s="211"/>
      <c r="E75" s="211"/>
      <c r="F75" s="211"/>
      <c r="G75" s="185"/>
    </row>
    <row r="76" spans="1:7">
      <c r="A76" s="212"/>
      <c r="B76" s="212"/>
      <c r="C76" s="212"/>
      <c r="D76" s="212"/>
      <c r="E76" s="212"/>
      <c r="F76" s="212"/>
    </row>
  </sheetData>
  <mergeCells count="2">
    <mergeCell ref="E4:F4"/>
    <mergeCell ref="A73:F73"/>
  </mergeCells>
  <pageMargins left="0.7" right="0.7" top="0.75" bottom="0.75" header="0.3" footer="0.3"/>
  <pageSetup paperSize="9" scale="8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70"/>
  <sheetViews>
    <sheetView showGridLines="0" zoomScaleNormal="100" zoomScaleSheetLayoutView="90" workbookViewId="0">
      <selection activeCell="H134" sqref="H134"/>
    </sheetView>
  </sheetViews>
  <sheetFormatPr defaultRowHeight="15"/>
  <cols>
    <col min="1" max="1" width="9.28515625" style="541" customWidth="1"/>
    <col min="2" max="2" width="12.28515625" style="541" bestFit="1" customWidth="1"/>
    <col min="3" max="3" width="10.85546875" style="541" bestFit="1" customWidth="1"/>
    <col min="4" max="4" width="12.28515625" style="541" bestFit="1" customWidth="1"/>
    <col min="5" max="5" width="10.85546875" style="541" bestFit="1" customWidth="1"/>
    <col min="6" max="6" width="12.28515625" style="541" bestFit="1" customWidth="1"/>
    <col min="7" max="7" width="10.140625" style="541" customWidth="1"/>
    <col min="8" max="8" width="11.28515625" style="541" bestFit="1" customWidth="1"/>
    <col min="9" max="9" width="10.85546875" style="541" bestFit="1" customWidth="1"/>
    <col min="10" max="10" width="12.28515625" style="541" bestFit="1" customWidth="1"/>
    <col min="11" max="11" width="9.85546875" style="541" customWidth="1"/>
    <col min="12" max="12" width="16" style="541" customWidth="1"/>
    <col min="13" max="13" width="12.42578125" style="541" customWidth="1"/>
    <col min="14" max="14" width="10.140625" style="541" customWidth="1"/>
    <col min="15" max="15" width="18" style="541" customWidth="1"/>
    <col min="16" max="16" width="12.42578125" style="541" bestFit="1" customWidth="1"/>
    <col min="17" max="17" width="12.28515625" style="541" bestFit="1" customWidth="1"/>
    <col min="18" max="18" width="12.140625" style="541" customWidth="1"/>
    <col min="19" max="19" width="12.7109375" style="541" customWidth="1"/>
    <col min="20" max="20" width="12.28515625" style="541" bestFit="1" customWidth="1"/>
    <col min="21" max="23" width="10.85546875" style="541" bestFit="1" customWidth="1"/>
    <col min="24" max="24" width="14.42578125" style="541" bestFit="1" customWidth="1"/>
    <col min="25" max="25" width="17" style="541" customWidth="1"/>
    <col min="26" max="26" width="11.7109375" style="541" bestFit="1" customWidth="1"/>
    <col min="27" max="27" width="13.140625" style="541" bestFit="1" customWidth="1"/>
    <col min="28" max="28" width="5.5703125" style="541" bestFit="1" customWidth="1"/>
    <col min="29" max="29" width="10" style="541" bestFit="1" customWidth="1"/>
    <col min="30" max="31" width="14" style="541" bestFit="1" customWidth="1"/>
    <col min="32" max="33" width="13.140625" style="541" bestFit="1" customWidth="1"/>
    <col min="34" max="34" width="14" style="541" bestFit="1" customWidth="1"/>
    <col min="35" max="38" width="9.28515625" style="541" bestFit="1" customWidth="1"/>
    <col min="39" max="40" width="11.7109375" style="541" bestFit="1" customWidth="1"/>
    <col min="41" max="41" width="9.28515625" style="541" bestFit="1" customWidth="1"/>
    <col min="42" max="42" width="11.7109375" style="541" bestFit="1" customWidth="1"/>
    <col min="43" max="43" width="13.140625" style="541" bestFit="1" customWidth="1"/>
    <col min="44" max="45" width="11.7109375" style="541" bestFit="1" customWidth="1"/>
    <col min="46" max="46" width="9.28515625" style="541" bestFit="1" customWidth="1"/>
    <col min="47" max="47" width="13.140625" style="541" bestFit="1" customWidth="1"/>
    <col min="48" max="48" width="9.28515625" style="541" bestFit="1" customWidth="1"/>
    <col min="49" max="50" width="13.140625" style="541" bestFit="1" customWidth="1"/>
    <col min="51" max="51" width="14.85546875" style="541" bestFit="1" customWidth="1"/>
    <col min="52" max="256" width="9.140625" style="541"/>
    <col min="257" max="257" width="9.28515625" style="541" customWidth="1"/>
    <col min="258" max="258" width="8.85546875" style="541" bestFit="1" customWidth="1"/>
    <col min="259" max="259" width="8.7109375" style="541" bestFit="1" customWidth="1"/>
    <col min="260" max="260" width="8.85546875" style="541" bestFit="1" customWidth="1"/>
    <col min="261" max="261" width="8" style="541" bestFit="1" customWidth="1"/>
    <col min="262" max="262" width="9" style="541" bestFit="1" customWidth="1"/>
    <col min="263" max="263" width="10.140625" style="541" customWidth="1"/>
    <col min="264" max="264" width="11" style="541" bestFit="1" customWidth="1"/>
    <col min="265" max="266" width="10.5703125" style="541" bestFit="1" customWidth="1"/>
    <col min="267" max="267" width="9.85546875" style="541" customWidth="1"/>
    <col min="268" max="268" width="11.5703125" style="541" customWidth="1"/>
    <col min="269" max="269" width="11.42578125" style="541" customWidth="1"/>
    <col min="270" max="270" width="10.140625" style="541" customWidth="1"/>
    <col min="271" max="271" width="10.28515625" style="541" bestFit="1" customWidth="1"/>
    <col min="272" max="272" width="12.140625" style="541" bestFit="1" customWidth="1"/>
    <col min="273" max="273" width="12" style="541" bestFit="1" customWidth="1"/>
    <col min="274" max="274" width="12.140625" style="541" customWidth="1"/>
    <col min="275" max="275" width="10.85546875" style="541" customWidth="1"/>
    <col min="276" max="276" width="8.85546875" style="541" bestFit="1" customWidth="1"/>
    <col min="277" max="277" width="9" style="541" bestFit="1" customWidth="1"/>
    <col min="278" max="278" width="8.5703125" style="541" bestFit="1" customWidth="1"/>
    <col min="279" max="279" width="7.85546875" style="541" bestFit="1" customWidth="1"/>
    <col min="280" max="280" width="10.28515625" style="541" bestFit="1" customWidth="1"/>
    <col min="281" max="281" width="11.85546875" style="541" bestFit="1" customWidth="1"/>
    <col min="282" max="282" width="11.7109375" style="541" bestFit="1" customWidth="1"/>
    <col min="283" max="283" width="13.140625" style="541" bestFit="1" customWidth="1"/>
    <col min="284" max="284" width="5.5703125" style="541" bestFit="1" customWidth="1"/>
    <col min="285" max="285" width="10" style="541" bestFit="1" customWidth="1"/>
    <col min="286" max="287" width="14" style="541" bestFit="1" customWidth="1"/>
    <col min="288" max="289" width="13.140625" style="541" bestFit="1" customWidth="1"/>
    <col min="290" max="290" width="14" style="541" bestFit="1" customWidth="1"/>
    <col min="291" max="294" width="9.28515625" style="541" bestFit="1" customWidth="1"/>
    <col min="295" max="296" width="11.7109375" style="541" bestFit="1" customWidth="1"/>
    <col min="297" max="297" width="9.28515625" style="541" bestFit="1" customWidth="1"/>
    <col min="298" max="298" width="11.7109375" style="541" bestFit="1" customWidth="1"/>
    <col min="299" max="299" width="13.140625" style="541" bestFit="1" customWidth="1"/>
    <col min="300" max="301" width="11.7109375" style="541" bestFit="1" customWidth="1"/>
    <col min="302" max="302" width="9.28515625" style="541" bestFit="1" customWidth="1"/>
    <col min="303" max="303" width="13.140625" style="541" bestFit="1" customWidth="1"/>
    <col min="304" max="304" width="9.28515625" style="541" bestFit="1" customWidth="1"/>
    <col min="305" max="306" width="13.140625" style="541" bestFit="1" customWidth="1"/>
    <col min="307" max="307" width="14.85546875" style="541" bestFit="1" customWidth="1"/>
    <col min="308" max="512" width="9.140625" style="541"/>
    <col min="513" max="513" width="9.28515625" style="541" customWidth="1"/>
    <col min="514" max="514" width="8.85546875" style="541" bestFit="1" customWidth="1"/>
    <col min="515" max="515" width="8.7109375" style="541" bestFit="1" customWidth="1"/>
    <col min="516" max="516" width="8.85546875" style="541" bestFit="1" customWidth="1"/>
    <col min="517" max="517" width="8" style="541" bestFit="1" customWidth="1"/>
    <col min="518" max="518" width="9" style="541" bestFit="1" customWidth="1"/>
    <col min="519" max="519" width="10.140625" style="541" customWidth="1"/>
    <col min="520" max="520" width="11" style="541" bestFit="1" customWidth="1"/>
    <col min="521" max="522" width="10.5703125" style="541" bestFit="1" customWidth="1"/>
    <col min="523" max="523" width="9.85546875" style="541" customWidth="1"/>
    <col min="524" max="524" width="11.5703125" style="541" customWidth="1"/>
    <col min="525" max="525" width="11.42578125" style="541" customWidth="1"/>
    <col min="526" max="526" width="10.140625" style="541" customWidth="1"/>
    <col min="527" max="527" width="10.28515625" style="541" bestFit="1" customWidth="1"/>
    <col min="528" max="528" width="12.140625" style="541" bestFit="1" customWidth="1"/>
    <col min="529" max="529" width="12" style="541" bestFit="1" customWidth="1"/>
    <col min="530" max="530" width="12.140625" style="541" customWidth="1"/>
    <col min="531" max="531" width="10.85546875" style="541" customWidth="1"/>
    <col min="532" max="532" width="8.85546875" style="541" bestFit="1" customWidth="1"/>
    <col min="533" max="533" width="9" style="541" bestFit="1" customWidth="1"/>
    <col min="534" max="534" width="8.5703125" style="541" bestFit="1" customWidth="1"/>
    <col min="535" max="535" width="7.85546875" style="541" bestFit="1" customWidth="1"/>
    <col min="536" max="536" width="10.28515625" style="541" bestFit="1" customWidth="1"/>
    <col min="537" max="537" width="11.85546875" style="541" bestFit="1" customWidth="1"/>
    <col min="538" max="538" width="11.7109375" style="541" bestFit="1" customWidth="1"/>
    <col min="539" max="539" width="13.140625" style="541" bestFit="1" customWidth="1"/>
    <col min="540" max="540" width="5.5703125" style="541" bestFit="1" customWidth="1"/>
    <col min="541" max="541" width="10" style="541" bestFit="1" customWidth="1"/>
    <col min="542" max="543" width="14" style="541" bestFit="1" customWidth="1"/>
    <col min="544" max="545" width="13.140625" style="541" bestFit="1" customWidth="1"/>
    <col min="546" max="546" width="14" style="541" bestFit="1" customWidth="1"/>
    <col min="547" max="550" width="9.28515625" style="541" bestFit="1" customWidth="1"/>
    <col min="551" max="552" width="11.7109375" style="541" bestFit="1" customWidth="1"/>
    <col min="553" max="553" width="9.28515625" style="541" bestFit="1" customWidth="1"/>
    <col min="554" max="554" width="11.7109375" style="541" bestFit="1" customWidth="1"/>
    <col min="555" max="555" width="13.140625" style="541" bestFit="1" customWidth="1"/>
    <col min="556" max="557" width="11.7109375" style="541" bestFit="1" customWidth="1"/>
    <col min="558" max="558" width="9.28515625" style="541" bestFit="1" customWidth="1"/>
    <col min="559" max="559" width="13.140625" style="541" bestFit="1" customWidth="1"/>
    <col min="560" max="560" width="9.28515625" style="541" bestFit="1" customWidth="1"/>
    <col min="561" max="562" width="13.140625" style="541" bestFit="1" customWidth="1"/>
    <col min="563" max="563" width="14.85546875" style="541" bestFit="1" customWidth="1"/>
    <col min="564" max="768" width="9.140625" style="541"/>
    <col min="769" max="769" width="9.28515625" style="541" customWidth="1"/>
    <col min="770" max="770" width="8.85546875" style="541" bestFit="1" customWidth="1"/>
    <col min="771" max="771" width="8.7109375" style="541" bestFit="1" customWidth="1"/>
    <col min="772" max="772" width="8.85546875" style="541" bestFit="1" customWidth="1"/>
    <col min="773" max="773" width="8" style="541" bestFit="1" customWidth="1"/>
    <col min="774" max="774" width="9" style="541" bestFit="1" customWidth="1"/>
    <col min="775" max="775" width="10.140625" style="541" customWidth="1"/>
    <col min="776" max="776" width="11" style="541" bestFit="1" customWidth="1"/>
    <col min="777" max="778" width="10.5703125" style="541" bestFit="1" customWidth="1"/>
    <col min="779" max="779" width="9.85546875" style="541" customWidth="1"/>
    <col min="780" max="780" width="11.5703125" style="541" customWidth="1"/>
    <col min="781" max="781" width="11.42578125" style="541" customWidth="1"/>
    <col min="782" max="782" width="10.140625" style="541" customWidth="1"/>
    <col min="783" max="783" width="10.28515625" style="541" bestFit="1" customWidth="1"/>
    <col min="784" max="784" width="12.140625" style="541" bestFit="1" customWidth="1"/>
    <col min="785" max="785" width="12" style="541" bestFit="1" customWidth="1"/>
    <col min="786" max="786" width="12.140625" style="541" customWidth="1"/>
    <col min="787" max="787" width="10.85546875" style="541" customWidth="1"/>
    <col min="788" max="788" width="8.85546875" style="541" bestFit="1" customWidth="1"/>
    <col min="789" max="789" width="9" style="541" bestFit="1" customWidth="1"/>
    <col min="790" max="790" width="8.5703125" style="541" bestFit="1" customWidth="1"/>
    <col min="791" max="791" width="7.85546875" style="541" bestFit="1" customWidth="1"/>
    <col min="792" max="792" width="10.28515625" style="541" bestFit="1" customWidth="1"/>
    <col min="793" max="793" width="11.85546875" style="541" bestFit="1" customWidth="1"/>
    <col min="794" max="794" width="11.7109375" style="541" bestFit="1" customWidth="1"/>
    <col min="795" max="795" width="13.140625" style="541" bestFit="1" customWidth="1"/>
    <col min="796" max="796" width="5.5703125" style="541" bestFit="1" customWidth="1"/>
    <col min="797" max="797" width="10" style="541" bestFit="1" customWidth="1"/>
    <col min="798" max="799" width="14" style="541" bestFit="1" customWidth="1"/>
    <col min="800" max="801" width="13.140625" style="541" bestFit="1" customWidth="1"/>
    <col min="802" max="802" width="14" style="541" bestFit="1" customWidth="1"/>
    <col min="803" max="806" width="9.28515625" style="541" bestFit="1" customWidth="1"/>
    <col min="807" max="808" width="11.7109375" style="541" bestFit="1" customWidth="1"/>
    <col min="809" max="809" width="9.28515625" style="541" bestFit="1" customWidth="1"/>
    <col min="810" max="810" width="11.7109375" style="541" bestFit="1" customWidth="1"/>
    <col min="811" max="811" width="13.140625" style="541" bestFit="1" customWidth="1"/>
    <col min="812" max="813" width="11.7109375" style="541" bestFit="1" customWidth="1"/>
    <col min="814" max="814" width="9.28515625" style="541" bestFit="1" customWidth="1"/>
    <col min="815" max="815" width="13.140625" style="541" bestFit="1" customWidth="1"/>
    <col min="816" max="816" width="9.28515625" style="541" bestFit="1" customWidth="1"/>
    <col min="817" max="818" width="13.140625" style="541" bestFit="1" customWidth="1"/>
    <col min="819" max="819" width="14.85546875" style="541" bestFit="1" customWidth="1"/>
    <col min="820" max="1024" width="9.140625" style="541"/>
    <col min="1025" max="1025" width="9.28515625" style="541" customWidth="1"/>
    <col min="1026" max="1026" width="8.85546875" style="541" bestFit="1" customWidth="1"/>
    <col min="1027" max="1027" width="8.7109375" style="541" bestFit="1" customWidth="1"/>
    <col min="1028" max="1028" width="8.85546875" style="541" bestFit="1" customWidth="1"/>
    <col min="1029" max="1029" width="8" style="541" bestFit="1" customWidth="1"/>
    <col min="1030" max="1030" width="9" style="541" bestFit="1" customWidth="1"/>
    <col min="1031" max="1031" width="10.140625" style="541" customWidth="1"/>
    <col min="1032" max="1032" width="11" style="541" bestFit="1" customWidth="1"/>
    <col min="1033" max="1034" width="10.5703125" style="541" bestFit="1" customWidth="1"/>
    <col min="1035" max="1035" width="9.85546875" style="541" customWidth="1"/>
    <col min="1036" max="1036" width="11.5703125" style="541" customWidth="1"/>
    <col min="1037" max="1037" width="11.42578125" style="541" customWidth="1"/>
    <col min="1038" max="1038" width="10.140625" style="541" customWidth="1"/>
    <col min="1039" max="1039" width="10.28515625" style="541" bestFit="1" customWidth="1"/>
    <col min="1040" max="1040" width="12.140625" style="541" bestFit="1" customWidth="1"/>
    <col min="1041" max="1041" width="12" style="541" bestFit="1" customWidth="1"/>
    <col min="1042" max="1042" width="12.140625" style="541" customWidth="1"/>
    <col min="1043" max="1043" width="10.85546875" style="541" customWidth="1"/>
    <col min="1044" max="1044" width="8.85546875" style="541" bestFit="1" customWidth="1"/>
    <col min="1045" max="1045" width="9" style="541" bestFit="1" customWidth="1"/>
    <col min="1046" max="1046" width="8.5703125" style="541" bestFit="1" customWidth="1"/>
    <col min="1047" max="1047" width="7.85546875" style="541" bestFit="1" customWidth="1"/>
    <col min="1048" max="1048" width="10.28515625" style="541" bestFit="1" customWidth="1"/>
    <col min="1049" max="1049" width="11.85546875" style="541" bestFit="1" customWidth="1"/>
    <col min="1050" max="1050" width="11.7109375" style="541" bestFit="1" customWidth="1"/>
    <col min="1051" max="1051" width="13.140625" style="541" bestFit="1" customWidth="1"/>
    <col min="1052" max="1052" width="5.5703125" style="541" bestFit="1" customWidth="1"/>
    <col min="1053" max="1053" width="10" style="541" bestFit="1" customWidth="1"/>
    <col min="1054" max="1055" width="14" style="541" bestFit="1" customWidth="1"/>
    <col min="1056" max="1057" width="13.140625" style="541" bestFit="1" customWidth="1"/>
    <col min="1058" max="1058" width="14" style="541" bestFit="1" customWidth="1"/>
    <col min="1059" max="1062" width="9.28515625" style="541" bestFit="1" customWidth="1"/>
    <col min="1063" max="1064" width="11.7109375" style="541" bestFit="1" customWidth="1"/>
    <col min="1065" max="1065" width="9.28515625" style="541" bestFit="1" customWidth="1"/>
    <col min="1066" max="1066" width="11.7109375" style="541" bestFit="1" customWidth="1"/>
    <col min="1067" max="1067" width="13.140625" style="541" bestFit="1" customWidth="1"/>
    <col min="1068" max="1069" width="11.7109375" style="541" bestFit="1" customWidth="1"/>
    <col min="1070" max="1070" width="9.28515625" style="541" bestFit="1" customWidth="1"/>
    <col min="1071" max="1071" width="13.140625" style="541" bestFit="1" customWidth="1"/>
    <col min="1072" max="1072" width="9.28515625" style="541" bestFit="1" customWidth="1"/>
    <col min="1073" max="1074" width="13.140625" style="541" bestFit="1" customWidth="1"/>
    <col min="1075" max="1075" width="14.85546875" style="541" bestFit="1" customWidth="1"/>
    <col min="1076" max="1280" width="9.140625" style="541"/>
    <col min="1281" max="1281" width="9.28515625" style="541" customWidth="1"/>
    <col min="1282" max="1282" width="8.85546875" style="541" bestFit="1" customWidth="1"/>
    <col min="1283" max="1283" width="8.7109375" style="541" bestFit="1" customWidth="1"/>
    <col min="1284" max="1284" width="8.85546875" style="541" bestFit="1" customWidth="1"/>
    <col min="1285" max="1285" width="8" style="541" bestFit="1" customWidth="1"/>
    <col min="1286" max="1286" width="9" style="541" bestFit="1" customWidth="1"/>
    <col min="1287" max="1287" width="10.140625" style="541" customWidth="1"/>
    <col min="1288" max="1288" width="11" style="541" bestFit="1" customWidth="1"/>
    <col min="1289" max="1290" width="10.5703125" style="541" bestFit="1" customWidth="1"/>
    <col min="1291" max="1291" width="9.85546875" style="541" customWidth="1"/>
    <col min="1292" max="1292" width="11.5703125" style="541" customWidth="1"/>
    <col min="1293" max="1293" width="11.42578125" style="541" customWidth="1"/>
    <col min="1294" max="1294" width="10.140625" style="541" customWidth="1"/>
    <col min="1295" max="1295" width="10.28515625" style="541" bestFit="1" customWidth="1"/>
    <col min="1296" max="1296" width="12.140625" style="541" bestFit="1" customWidth="1"/>
    <col min="1297" max="1297" width="12" style="541" bestFit="1" customWidth="1"/>
    <col min="1298" max="1298" width="12.140625" style="541" customWidth="1"/>
    <col min="1299" max="1299" width="10.85546875" style="541" customWidth="1"/>
    <col min="1300" max="1300" width="8.85546875" style="541" bestFit="1" customWidth="1"/>
    <col min="1301" max="1301" width="9" style="541" bestFit="1" customWidth="1"/>
    <col min="1302" max="1302" width="8.5703125" style="541" bestFit="1" customWidth="1"/>
    <col min="1303" max="1303" width="7.85546875" style="541" bestFit="1" customWidth="1"/>
    <col min="1304" max="1304" width="10.28515625" style="541" bestFit="1" customWidth="1"/>
    <col min="1305" max="1305" width="11.85546875" style="541" bestFit="1" customWidth="1"/>
    <col min="1306" max="1306" width="11.7109375" style="541" bestFit="1" customWidth="1"/>
    <col min="1307" max="1307" width="13.140625" style="541" bestFit="1" customWidth="1"/>
    <col min="1308" max="1308" width="5.5703125" style="541" bestFit="1" customWidth="1"/>
    <col min="1309" max="1309" width="10" style="541" bestFit="1" customWidth="1"/>
    <col min="1310" max="1311" width="14" style="541" bestFit="1" customWidth="1"/>
    <col min="1312" max="1313" width="13.140625" style="541" bestFit="1" customWidth="1"/>
    <col min="1314" max="1314" width="14" style="541" bestFit="1" customWidth="1"/>
    <col min="1315" max="1318" width="9.28515625" style="541" bestFit="1" customWidth="1"/>
    <col min="1319" max="1320" width="11.7109375" style="541" bestFit="1" customWidth="1"/>
    <col min="1321" max="1321" width="9.28515625" style="541" bestFit="1" customWidth="1"/>
    <col min="1322" max="1322" width="11.7109375" style="541" bestFit="1" customWidth="1"/>
    <col min="1323" max="1323" width="13.140625" style="541" bestFit="1" customWidth="1"/>
    <col min="1324" max="1325" width="11.7109375" style="541" bestFit="1" customWidth="1"/>
    <col min="1326" max="1326" width="9.28515625" style="541" bestFit="1" customWidth="1"/>
    <col min="1327" max="1327" width="13.140625" style="541" bestFit="1" customWidth="1"/>
    <col min="1328" max="1328" width="9.28515625" style="541" bestFit="1" customWidth="1"/>
    <col min="1329" max="1330" width="13.140625" style="541" bestFit="1" customWidth="1"/>
    <col min="1331" max="1331" width="14.85546875" style="541" bestFit="1" customWidth="1"/>
    <col min="1332" max="1536" width="9.140625" style="541"/>
    <col min="1537" max="1537" width="9.28515625" style="541" customWidth="1"/>
    <col min="1538" max="1538" width="8.85546875" style="541" bestFit="1" customWidth="1"/>
    <col min="1539" max="1539" width="8.7109375" style="541" bestFit="1" customWidth="1"/>
    <col min="1540" max="1540" width="8.85546875" style="541" bestFit="1" customWidth="1"/>
    <col min="1541" max="1541" width="8" style="541" bestFit="1" customWidth="1"/>
    <col min="1542" max="1542" width="9" style="541" bestFit="1" customWidth="1"/>
    <col min="1543" max="1543" width="10.140625" style="541" customWidth="1"/>
    <col min="1544" max="1544" width="11" style="541" bestFit="1" customWidth="1"/>
    <col min="1545" max="1546" width="10.5703125" style="541" bestFit="1" customWidth="1"/>
    <col min="1547" max="1547" width="9.85546875" style="541" customWidth="1"/>
    <col min="1548" max="1548" width="11.5703125" style="541" customWidth="1"/>
    <col min="1549" max="1549" width="11.42578125" style="541" customWidth="1"/>
    <col min="1550" max="1550" width="10.140625" style="541" customWidth="1"/>
    <col min="1551" max="1551" width="10.28515625" style="541" bestFit="1" customWidth="1"/>
    <col min="1552" max="1552" width="12.140625" style="541" bestFit="1" customWidth="1"/>
    <col min="1553" max="1553" width="12" style="541" bestFit="1" customWidth="1"/>
    <col min="1554" max="1554" width="12.140625" style="541" customWidth="1"/>
    <col min="1555" max="1555" width="10.85546875" style="541" customWidth="1"/>
    <col min="1556" max="1556" width="8.85546875" style="541" bestFit="1" customWidth="1"/>
    <col min="1557" max="1557" width="9" style="541" bestFit="1" customWidth="1"/>
    <col min="1558" max="1558" width="8.5703125" style="541" bestFit="1" customWidth="1"/>
    <col min="1559" max="1559" width="7.85546875" style="541" bestFit="1" customWidth="1"/>
    <col min="1560" max="1560" width="10.28515625" style="541" bestFit="1" customWidth="1"/>
    <col min="1561" max="1561" width="11.85546875" style="541" bestFit="1" customWidth="1"/>
    <col min="1562" max="1562" width="11.7109375" style="541" bestFit="1" customWidth="1"/>
    <col min="1563" max="1563" width="13.140625" style="541" bestFit="1" customWidth="1"/>
    <col min="1564" max="1564" width="5.5703125" style="541" bestFit="1" customWidth="1"/>
    <col min="1565" max="1565" width="10" style="541" bestFit="1" customWidth="1"/>
    <col min="1566" max="1567" width="14" style="541" bestFit="1" customWidth="1"/>
    <col min="1568" max="1569" width="13.140625" style="541" bestFit="1" customWidth="1"/>
    <col min="1570" max="1570" width="14" style="541" bestFit="1" customWidth="1"/>
    <col min="1571" max="1574" width="9.28515625" style="541" bestFit="1" customWidth="1"/>
    <col min="1575" max="1576" width="11.7109375" style="541" bestFit="1" customWidth="1"/>
    <col min="1577" max="1577" width="9.28515625" style="541" bestFit="1" customWidth="1"/>
    <col min="1578" max="1578" width="11.7109375" style="541" bestFit="1" customWidth="1"/>
    <col min="1579" max="1579" width="13.140625" style="541" bestFit="1" customWidth="1"/>
    <col min="1580" max="1581" width="11.7109375" style="541" bestFit="1" customWidth="1"/>
    <col min="1582" max="1582" width="9.28515625" style="541" bestFit="1" customWidth="1"/>
    <col min="1583" max="1583" width="13.140625" style="541" bestFit="1" customWidth="1"/>
    <col min="1584" max="1584" width="9.28515625" style="541" bestFit="1" customWidth="1"/>
    <col min="1585" max="1586" width="13.140625" style="541" bestFit="1" customWidth="1"/>
    <col min="1587" max="1587" width="14.85546875" style="541" bestFit="1" customWidth="1"/>
    <col min="1588" max="1792" width="9.140625" style="541"/>
    <col min="1793" max="1793" width="9.28515625" style="541" customWidth="1"/>
    <col min="1794" max="1794" width="8.85546875" style="541" bestFit="1" customWidth="1"/>
    <col min="1795" max="1795" width="8.7109375" style="541" bestFit="1" customWidth="1"/>
    <col min="1796" max="1796" width="8.85546875" style="541" bestFit="1" customWidth="1"/>
    <col min="1797" max="1797" width="8" style="541" bestFit="1" customWidth="1"/>
    <col min="1798" max="1798" width="9" style="541" bestFit="1" customWidth="1"/>
    <col min="1799" max="1799" width="10.140625" style="541" customWidth="1"/>
    <col min="1800" max="1800" width="11" style="541" bestFit="1" customWidth="1"/>
    <col min="1801" max="1802" width="10.5703125" style="541" bestFit="1" customWidth="1"/>
    <col min="1803" max="1803" width="9.85546875" style="541" customWidth="1"/>
    <col min="1804" max="1804" width="11.5703125" style="541" customWidth="1"/>
    <col min="1805" max="1805" width="11.42578125" style="541" customWidth="1"/>
    <col min="1806" max="1806" width="10.140625" style="541" customWidth="1"/>
    <col min="1807" max="1807" width="10.28515625" style="541" bestFit="1" customWidth="1"/>
    <col min="1808" max="1808" width="12.140625" style="541" bestFit="1" customWidth="1"/>
    <col min="1809" max="1809" width="12" style="541" bestFit="1" customWidth="1"/>
    <col min="1810" max="1810" width="12.140625" style="541" customWidth="1"/>
    <col min="1811" max="1811" width="10.85546875" style="541" customWidth="1"/>
    <col min="1812" max="1812" width="8.85546875" style="541" bestFit="1" customWidth="1"/>
    <col min="1813" max="1813" width="9" style="541" bestFit="1" customWidth="1"/>
    <col min="1814" max="1814" width="8.5703125" style="541" bestFit="1" customWidth="1"/>
    <col min="1815" max="1815" width="7.85546875" style="541" bestFit="1" customWidth="1"/>
    <col min="1816" max="1816" width="10.28515625" style="541" bestFit="1" customWidth="1"/>
    <col min="1817" max="1817" width="11.85546875" style="541" bestFit="1" customWidth="1"/>
    <col min="1818" max="1818" width="11.7109375" style="541" bestFit="1" customWidth="1"/>
    <col min="1819" max="1819" width="13.140625" style="541" bestFit="1" customWidth="1"/>
    <col min="1820" max="1820" width="5.5703125" style="541" bestFit="1" customWidth="1"/>
    <col min="1821" max="1821" width="10" style="541" bestFit="1" customWidth="1"/>
    <col min="1822" max="1823" width="14" style="541" bestFit="1" customWidth="1"/>
    <col min="1824" max="1825" width="13.140625" style="541" bestFit="1" customWidth="1"/>
    <col min="1826" max="1826" width="14" style="541" bestFit="1" customWidth="1"/>
    <col min="1827" max="1830" width="9.28515625" style="541" bestFit="1" customWidth="1"/>
    <col min="1831" max="1832" width="11.7109375" style="541" bestFit="1" customWidth="1"/>
    <col min="1833" max="1833" width="9.28515625" style="541" bestFit="1" customWidth="1"/>
    <col min="1834" max="1834" width="11.7109375" style="541" bestFit="1" customWidth="1"/>
    <col min="1835" max="1835" width="13.140625" style="541" bestFit="1" customWidth="1"/>
    <col min="1836" max="1837" width="11.7109375" style="541" bestFit="1" customWidth="1"/>
    <col min="1838" max="1838" width="9.28515625" style="541" bestFit="1" customWidth="1"/>
    <col min="1839" max="1839" width="13.140625" style="541" bestFit="1" customWidth="1"/>
    <col min="1840" max="1840" width="9.28515625" style="541" bestFit="1" customWidth="1"/>
    <col min="1841" max="1842" width="13.140625" style="541" bestFit="1" customWidth="1"/>
    <col min="1843" max="1843" width="14.85546875" style="541" bestFit="1" customWidth="1"/>
    <col min="1844" max="2048" width="9.140625" style="541"/>
    <col min="2049" max="2049" width="9.28515625" style="541" customWidth="1"/>
    <col min="2050" max="2050" width="8.85546875" style="541" bestFit="1" customWidth="1"/>
    <col min="2051" max="2051" width="8.7109375" style="541" bestFit="1" customWidth="1"/>
    <col min="2052" max="2052" width="8.85546875" style="541" bestFit="1" customWidth="1"/>
    <col min="2053" max="2053" width="8" style="541" bestFit="1" customWidth="1"/>
    <col min="2054" max="2054" width="9" style="541" bestFit="1" customWidth="1"/>
    <col min="2055" max="2055" width="10.140625" style="541" customWidth="1"/>
    <col min="2056" max="2056" width="11" style="541" bestFit="1" customWidth="1"/>
    <col min="2057" max="2058" width="10.5703125" style="541" bestFit="1" customWidth="1"/>
    <col min="2059" max="2059" width="9.85546875" style="541" customWidth="1"/>
    <col min="2060" max="2060" width="11.5703125" style="541" customWidth="1"/>
    <col min="2061" max="2061" width="11.42578125" style="541" customWidth="1"/>
    <col min="2062" max="2062" width="10.140625" style="541" customWidth="1"/>
    <col min="2063" max="2063" width="10.28515625" style="541" bestFit="1" customWidth="1"/>
    <col min="2064" max="2064" width="12.140625" style="541" bestFit="1" customWidth="1"/>
    <col min="2065" max="2065" width="12" style="541" bestFit="1" customWidth="1"/>
    <col min="2066" max="2066" width="12.140625" style="541" customWidth="1"/>
    <col min="2067" max="2067" width="10.85546875" style="541" customWidth="1"/>
    <col min="2068" max="2068" width="8.85546875" style="541" bestFit="1" customWidth="1"/>
    <col min="2069" max="2069" width="9" style="541" bestFit="1" customWidth="1"/>
    <col min="2070" max="2070" width="8.5703125" style="541" bestFit="1" customWidth="1"/>
    <col min="2071" max="2071" width="7.85546875" style="541" bestFit="1" customWidth="1"/>
    <col min="2072" max="2072" width="10.28515625" style="541" bestFit="1" customWidth="1"/>
    <col min="2073" max="2073" width="11.85546875" style="541" bestFit="1" customWidth="1"/>
    <col min="2074" max="2074" width="11.7109375" style="541" bestFit="1" customWidth="1"/>
    <col min="2075" max="2075" width="13.140625" style="541" bestFit="1" customWidth="1"/>
    <col min="2076" max="2076" width="5.5703125" style="541" bestFit="1" customWidth="1"/>
    <col min="2077" max="2077" width="10" style="541" bestFit="1" customWidth="1"/>
    <col min="2078" max="2079" width="14" style="541" bestFit="1" customWidth="1"/>
    <col min="2080" max="2081" width="13.140625" style="541" bestFit="1" customWidth="1"/>
    <col min="2082" max="2082" width="14" style="541" bestFit="1" customWidth="1"/>
    <col min="2083" max="2086" width="9.28515625" style="541" bestFit="1" customWidth="1"/>
    <col min="2087" max="2088" width="11.7109375" style="541" bestFit="1" customWidth="1"/>
    <col min="2089" max="2089" width="9.28515625" style="541" bestFit="1" customWidth="1"/>
    <col min="2090" max="2090" width="11.7109375" style="541" bestFit="1" customWidth="1"/>
    <col min="2091" max="2091" width="13.140625" style="541" bestFit="1" customWidth="1"/>
    <col min="2092" max="2093" width="11.7109375" style="541" bestFit="1" customWidth="1"/>
    <col min="2094" max="2094" width="9.28515625" style="541" bestFit="1" customWidth="1"/>
    <col min="2095" max="2095" width="13.140625" style="541" bestFit="1" customWidth="1"/>
    <col min="2096" max="2096" width="9.28515625" style="541" bestFit="1" customWidth="1"/>
    <col min="2097" max="2098" width="13.140625" style="541" bestFit="1" customWidth="1"/>
    <col min="2099" max="2099" width="14.85546875" style="541" bestFit="1" customWidth="1"/>
    <col min="2100" max="2304" width="9.140625" style="541"/>
    <col min="2305" max="2305" width="9.28515625" style="541" customWidth="1"/>
    <col min="2306" max="2306" width="8.85546875" style="541" bestFit="1" customWidth="1"/>
    <col min="2307" max="2307" width="8.7109375" style="541" bestFit="1" customWidth="1"/>
    <col min="2308" max="2308" width="8.85546875" style="541" bestFit="1" customWidth="1"/>
    <col min="2309" max="2309" width="8" style="541" bestFit="1" customWidth="1"/>
    <col min="2310" max="2310" width="9" style="541" bestFit="1" customWidth="1"/>
    <col min="2311" max="2311" width="10.140625" style="541" customWidth="1"/>
    <col min="2312" max="2312" width="11" style="541" bestFit="1" customWidth="1"/>
    <col min="2313" max="2314" width="10.5703125" style="541" bestFit="1" customWidth="1"/>
    <col min="2315" max="2315" width="9.85546875" style="541" customWidth="1"/>
    <col min="2316" max="2316" width="11.5703125" style="541" customWidth="1"/>
    <col min="2317" max="2317" width="11.42578125" style="541" customWidth="1"/>
    <col min="2318" max="2318" width="10.140625" style="541" customWidth="1"/>
    <col min="2319" max="2319" width="10.28515625" style="541" bestFit="1" customWidth="1"/>
    <col min="2320" max="2320" width="12.140625" style="541" bestFit="1" customWidth="1"/>
    <col min="2321" max="2321" width="12" style="541" bestFit="1" customWidth="1"/>
    <col min="2322" max="2322" width="12.140625" style="541" customWidth="1"/>
    <col min="2323" max="2323" width="10.85546875" style="541" customWidth="1"/>
    <col min="2324" max="2324" width="8.85546875" style="541" bestFit="1" customWidth="1"/>
    <col min="2325" max="2325" width="9" style="541" bestFit="1" customWidth="1"/>
    <col min="2326" max="2326" width="8.5703125" style="541" bestFit="1" customWidth="1"/>
    <col min="2327" max="2327" width="7.85546875" style="541" bestFit="1" customWidth="1"/>
    <col min="2328" max="2328" width="10.28515625" style="541" bestFit="1" customWidth="1"/>
    <col min="2329" max="2329" width="11.85546875" style="541" bestFit="1" customWidth="1"/>
    <col min="2330" max="2330" width="11.7109375" style="541" bestFit="1" customWidth="1"/>
    <col min="2331" max="2331" width="13.140625" style="541" bestFit="1" customWidth="1"/>
    <col min="2332" max="2332" width="5.5703125" style="541" bestFit="1" customWidth="1"/>
    <col min="2333" max="2333" width="10" style="541" bestFit="1" customWidth="1"/>
    <col min="2334" max="2335" width="14" style="541" bestFit="1" customWidth="1"/>
    <col min="2336" max="2337" width="13.140625" style="541" bestFit="1" customWidth="1"/>
    <col min="2338" max="2338" width="14" style="541" bestFit="1" customWidth="1"/>
    <col min="2339" max="2342" width="9.28515625" style="541" bestFit="1" customWidth="1"/>
    <col min="2343" max="2344" width="11.7109375" style="541" bestFit="1" customWidth="1"/>
    <col min="2345" max="2345" width="9.28515625" style="541" bestFit="1" customWidth="1"/>
    <col min="2346" max="2346" width="11.7109375" style="541" bestFit="1" customWidth="1"/>
    <col min="2347" max="2347" width="13.140625" style="541" bestFit="1" customWidth="1"/>
    <col min="2348" max="2349" width="11.7109375" style="541" bestFit="1" customWidth="1"/>
    <col min="2350" max="2350" width="9.28515625" style="541" bestFit="1" customWidth="1"/>
    <col min="2351" max="2351" width="13.140625" style="541" bestFit="1" customWidth="1"/>
    <col min="2352" max="2352" width="9.28515625" style="541" bestFit="1" customWidth="1"/>
    <col min="2353" max="2354" width="13.140625" style="541" bestFit="1" customWidth="1"/>
    <col min="2355" max="2355" width="14.85546875" style="541" bestFit="1" customWidth="1"/>
    <col min="2356" max="2560" width="9.140625" style="541"/>
    <col min="2561" max="2561" width="9.28515625" style="541" customWidth="1"/>
    <col min="2562" max="2562" width="8.85546875" style="541" bestFit="1" customWidth="1"/>
    <col min="2563" max="2563" width="8.7109375" style="541" bestFit="1" customWidth="1"/>
    <col min="2564" max="2564" width="8.85546875" style="541" bestFit="1" customWidth="1"/>
    <col min="2565" max="2565" width="8" style="541" bestFit="1" customWidth="1"/>
    <col min="2566" max="2566" width="9" style="541" bestFit="1" customWidth="1"/>
    <col min="2567" max="2567" width="10.140625" style="541" customWidth="1"/>
    <col min="2568" max="2568" width="11" style="541" bestFit="1" customWidth="1"/>
    <col min="2569" max="2570" width="10.5703125" style="541" bestFit="1" customWidth="1"/>
    <col min="2571" max="2571" width="9.85546875" style="541" customWidth="1"/>
    <col min="2572" max="2572" width="11.5703125" style="541" customWidth="1"/>
    <col min="2573" max="2573" width="11.42578125" style="541" customWidth="1"/>
    <col min="2574" max="2574" width="10.140625" style="541" customWidth="1"/>
    <col min="2575" max="2575" width="10.28515625" style="541" bestFit="1" customWidth="1"/>
    <col min="2576" max="2576" width="12.140625" style="541" bestFit="1" customWidth="1"/>
    <col min="2577" max="2577" width="12" style="541" bestFit="1" customWidth="1"/>
    <col min="2578" max="2578" width="12.140625" style="541" customWidth="1"/>
    <col min="2579" max="2579" width="10.85546875" style="541" customWidth="1"/>
    <col min="2580" max="2580" width="8.85546875" style="541" bestFit="1" customWidth="1"/>
    <col min="2581" max="2581" width="9" style="541" bestFit="1" customWidth="1"/>
    <col min="2582" max="2582" width="8.5703125" style="541" bestFit="1" customWidth="1"/>
    <col min="2583" max="2583" width="7.85546875" style="541" bestFit="1" customWidth="1"/>
    <col min="2584" max="2584" width="10.28515625" style="541" bestFit="1" customWidth="1"/>
    <col min="2585" max="2585" width="11.85546875" style="541" bestFit="1" customWidth="1"/>
    <col min="2586" max="2586" width="11.7109375" style="541" bestFit="1" customWidth="1"/>
    <col min="2587" max="2587" width="13.140625" style="541" bestFit="1" customWidth="1"/>
    <col min="2588" max="2588" width="5.5703125" style="541" bestFit="1" customWidth="1"/>
    <col min="2589" max="2589" width="10" style="541" bestFit="1" customWidth="1"/>
    <col min="2590" max="2591" width="14" style="541" bestFit="1" customWidth="1"/>
    <col min="2592" max="2593" width="13.140625" style="541" bestFit="1" customWidth="1"/>
    <col min="2594" max="2594" width="14" style="541" bestFit="1" customWidth="1"/>
    <col min="2595" max="2598" width="9.28515625" style="541" bestFit="1" customWidth="1"/>
    <col min="2599" max="2600" width="11.7109375" style="541" bestFit="1" customWidth="1"/>
    <col min="2601" max="2601" width="9.28515625" style="541" bestFit="1" customWidth="1"/>
    <col min="2602" max="2602" width="11.7109375" style="541" bestFit="1" customWidth="1"/>
    <col min="2603" max="2603" width="13.140625" style="541" bestFit="1" customWidth="1"/>
    <col min="2604" max="2605" width="11.7109375" style="541" bestFit="1" customWidth="1"/>
    <col min="2606" max="2606" width="9.28515625" style="541" bestFit="1" customWidth="1"/>
    <col min="2607" max="2607" width="13.140625" style="541" bestFit="1" customWidth="1"/>
    <col min="2608" max="2608" width="9.28515625" style="541" bestFit="1" customWidth="1"/>
    <col min="2609" max="2610" width="13.140625" style="541" bestFit="1" customWidth="1"/>
    <col min="2611" max="2611" width="14.85546875" style="541" bestFit="1" customWidth="1"/>
    <col min="2612" max="2816" width="9.140625" style="541"/>
    <col min="2817" max="2817" width="9.28515625" style="541" customWidth="1"/>
    <col min="2818" max="2818" width="8.85546875" style="541" bestFit="1" customWidth="1"/>
    <col min="2819" max="2819" width="8.7109375" style="541" bestFit="1" customWidth="1"/>
    <col min="2820" max="2820" width="8.85546875" style="541" bestFit="1" customWidth="1"/>
    <col min="2821" max="2821" width="8" style="541" bestFit="1" customWidth="1"/>
    <col min="2822" max="2822" width="9" style="541" bestFit="1" customWidth="1"/>
    <col min="2823" max="2823" width="10.140625" style="541" customWidth="1"/>
    <col min="2824" max="2824" width="11" style="541" bestFit="1" customWidth="1"/>
    <col min="2825" max="2826" width="10.5703125" style="541" bestFit="1" customWidth="1"/>
    <col min="2827" max="2827" width="9.85546875" style="541" customWidth="1"/>
    <col min="2828" max="2828" width="11.5703125" style="541" customWidth="1"/>
    <col min="2829" max="2829" width="11.42578125" style="541" customWidth="1"/>
    <col min="2830" max="2830" width="10.140625" style="541" customWidth="1"/>
    <col min="2831" max="2831" width="10.28515625" style="541" bestFit="1" customWidth="1"/>
    <col min="2832" max="2832" width="12.140625" style="541" bestFit="1" customWidth="1"/>
    <col min="2833" max="2833" width="12" style="541" bestFit="1" customWidth="1"/>
    <col min="2834" max="2834" width="12.140625" style="541" customWidth="1"/>
    <col min="2835" max="2835" width="10.85546875" style="541" customWidth="1"/>
    <col min="2836" max="2836" width="8.85546875" style="541" bestFit="1" customWidth="1"/>
    <col min="2837" max="2837" width="9" style="541" bestFit="1" customWidth="1"/>
    <col min="2838" max="2838" width="8.5703125" style="541" bestFit="1" customWidth="1"/>
    <col min="2839" max="2839" width="7.85546875" style="541" bestFit="1" customWidth="1"/>
    <col min="2840" max="2840" width="10.28515625" style="541" bestFit="1" customWidth="1"/>
    <col min="2841" max="2841" width="11.85546875" style="541" bestFit="1" customWidth="1"/>
    <col min="2842" max="2842" width="11.7109375" style="541" bestFit="1" customWidth="1"/>
    <col min="2843" max="2843" width="13.140625" style="541" bestFit="1" customWidth="1"/>
    <col min="2844" max="2844" width="5.5703125" style="541" bestFit="1" customWidth="1"/>
    <col min="2845" max="2845" width="10" style="541" bestFit="1" customWidth="1"/>
    <col min="2846" max="2847" width="14" style="541" bestFit="1" customWidth="1"/>
    <col min="2848" max="2849" width="13.140625" style="541" bestFit="1" customWidth="1"/>
    <col min="2850" max="2850" width="14" style="541" bestFit="1" customWidth="1"/>
    <col min="2851" max="2854" width="9.28515625" style="541" bestFit="1" customWidth="1"/>
    <col min="2855" max="2856" width="11.7109375" style="541" bestFit="1" customWidth="1"/>
    <col min="2857" max="2857" width="9.28515625" style="541" bestFit="1" customWidth="1"/>
    <col min="2858" max="2858" width="11.7109375" style="541" bestFit="1" customWidth="1"/>
    <col min="2859" max="2859" width="13.140625" style="541" bestFit="1" customWidth="1"/>
    <col min="2860" max="2861" width="11.7109375" style="541" bestFit="1" customWidth="1"/>
    <col min="2862" max="2862" width="9.28515625" style="541" bestFit="1" customWidth="1"/>
    <col min="2863" max="2863" width="13.140625" style="541" bestFit="1" customWidth="1"/>
    <col min="2864" max="2864" width="9.28515625" style="541" bestFit="1" customWidth="1"/>
    <col min="2865" max="2866" width="13.140625" style="541" bestFit="1" customWidth="1"/>
    <col min="2867" max="2867" width="14.85546875" style="541" bestFit="1" customWidth="1"/>
    <col min="2868" max="3072" width="9.140625" style="541"/>
    <col min="3073" max="3073" width="9.28515625" style="541" customWidth="1"/>
    <col min="3074" max="3074" width="8.85546875" style="541" bestFit="1" customWidth="1"/>
    <col min="3075" max="3075" width="8.7109375" style="541" bestFit="1" customWidth="1"/>
    <col min="3076" max="3076" width="8.85546875" style="541" bestFit="1" customWidth="1"/>
    <col min="3077" max="3077" width="8" style="541" bestFit="1" customWidth="1"/>
    <col min="3078" max="3078" width="9" style="541" bestFit="1" customWidth="1"/>
    <col min="3079" max="3079" width="10.140625" style="541" customWidth="1"/>
    <col min="3080" max="3080" width="11" style="541" bestFit="1" customWidth="1"/>
    <col min="3081" max="3082" width="10.5703125" style="541" bestFit="1" customWidth="1"/>
    <col min="3083" max="3083" width="9.85546875" style="541" customWidth="1"/>
    <col min="3084" max="3084" width="11.5703125" style="541" customWidth="1"/>
    <col min="3085" max="3085" width="11.42578125" style="541" customWidth="1"/>
    <col min="3086" max="3086" width="10.140625" style="541" customWidth="1"/>
    <col min="3087" max="3087" width="10.28515625" style="541" bestFit="1" customWidth="1"/>
    <col min="3088" max="3088" width="12.140625" style="541" bestFit="1" customWidth="1"/>
    <col min="3089" max="3089" width="12" style="541" bestFit="1" customWidth="1"/>
    <col min="3090" max="3090" width="12.140625" style="541" customWidth="1"/>
    <col min="3091" max="3091" width="10.85546875" style="541" customWidth="1"/>
    <col min="3092" max="3092" width="8.85546875" style="541" bestFit="1" customWidth="1"/>
    <col min="3093" max="3093" width="9" style="541" bestFit="1" customWidth="1"/>
    <col min="3094" max="3094" width="8.5703125" style="541" bestFit="1" customWidth="1"/>
    <col min="3095" max="3095" width="7.85546875" style="541" bestFit="1" customWidth="1"/>
    <col min="3096" max="3096" width="10.28515625" style="541" bestFit="1" customWidth="1"/>
    <col min="3097" max="3097" width="11.85546875" style="541" bestFit="1" customWidth="1"/>
    <col min="3098" max="3098" width="11.7109375" style="541" bestFit="1" customWidth="1"/>
    <col min="3099" max="3099" width="13.140625" style="541" bestFit="1" customWidth="1"/>
    <col min="3100" max="3100" width="5.5703125" style="541" bestFit="1" customWidth="1"/>
    <col min="3101" max="3101" width="10" style="541" bestFit="1" customWidth="1"/>
    <col min="3102" max="3103" width="14" style="541" bestFit="1" customWidth="1"/>
    <col min="3104" max="3105" width="13.140625" style="541" bestFit="1" customWidth="1"/>
    <col min="3106" max="3106" width="14" style="541" bestFit="1" customWidth="1"/>
    <col min="3107" max="3110" width="9.28515625" style="541" bestFit="1" customWidth="1"/>
    <col min="3111" max="3112" width="11.7109375" style="541" bestFit="1" customWidth="1"/>
    <col min="3113" max="3113" width="9.28515625" style="541" bestFit="1" customWidth="1"/>
    <col min="3114" max="3114" width="11.7109375" style="541" bestFit="1" customWidth="1"/>
    <col min="3115" max="3115" width="13.140625" style="541" bestFit="1" customWidth="1"/>
    <col min="3116" max="3117" width="11.7109375" style="541" bestFit="1" customWidth="1"/>
    <col min="3118" max="3118" width="9.28515625" style="541" bestFit="1" customWidth="1"/>
    <col min="3119" max="3119" width="13.140625" style="541" bestFit="1" customWidth="1"/>
    <col min="3120" max="3120" width="9.28515625" style="541" bestFit="1" customWidth="1"/>
    <col min="3121" max="3122" width="13.140625" style="541" bestFit="1" customWidth="1"/>
    <col min="3123" max="3123" width="14.85546875" style="541" bestFit="1" customWidth="1"/>
    <col min="3124" max="3328" width="9.140625" style="541"/>
    <col min="3329" max="3329" width="9.28515625" style="541" customWidth="1"/>
    <col min="3330" max="3330" width="8.85546875" style="541" bestFit="1" customWidth="1"/>
    <col min="3331" max="3331" width="8.7109375" style="541" bestFit="1" customWidth="1"/>
    <col min="3332" max="3332" width="8.85546875" style="541" bestFit="1" customWidth="1"/>
    <col min="3333" max="3333" width="8" style="541" bestFit="1" customWidth="1"/>
    <col min="3334" max="3334" width="9" style="541" bestFit="1" customWidth="1"/>
    <col min="3335" max="3335" width="10.140625" style="541" customWidth="1"/>
    <col min="3336" max="3336" width="11" style="541" bestFit="1" customWidth="1"/>
    <col min="3337" max="3338" width="10.5703125" style="541" bestFit="1" customWidth="1"/>
    <col min="3339" max="3339" width="9.85546875" style="541" customWidth="1"/>
    <col min="3340" max="3340" width="11.5703125" style="541" customWidth="1"/>
    <col min="3341" max="3341" width="11.42578125" style="541" customWidth="1"/>
    <col min="3342" max="3342" width="10.140625" style="541" customWidth="1"/>
    <col min="3343" max="3343" width="10.28515625" style="541" bestFit="1" customWidth="1"/>
    <col min="3344" max="3344" width="12.140625" style="541" bestFit="1" customWidth="1"/>
    <col min="3345" max="3345" width="12" style="541" bestFit="1" customWidth="1"/>
    <col min="3346" max="3346" width="12.140625" style="541" customWidth="1"/>
    <col min="3347" max="3347" width="10.85546875" style="541" customWidth="1"/>
    <col min="3348" max="3348" width="8.85546875" style="541" bestFit="1" customWidth="1"/>
    <col min="3349" max="3349" width="9" style="541" bestFit="1" customWidth="1"/>
    <col min="3350" max="3350" width="8.5703125" style="541" bestFit="1" customWidth="1"/>
    <col min="3351" max="3351" width="7.85546875" style="541" bestFit="1" customWidth="1"/>
    <col min="3352" max="3352" width="10.28515625" style="541" bestFit="1" customWidth="1"/>
    <col min="3353" max="3353" width="11.85546875" style="541" bestFit="1" customWidth="1"/>
    <col min="3354" max="3354" width="11.7109375" style="541" bestFit="1" customWidth="1"/>
    <col min="3355" max="3355" width="13.140625" style="541" bestFit="1" customWidth="1"/>
    <col min="3356" max="3356" width="5.5703125" style="541" bestFit="1" customWidth="1"/>
    <col min="3357" max="3357" width="10" style="541" bestFit="1" customWidth="1"/>
    <col min="3358" max="3359" width="14" style="541" bestFit="1" customWidth="1"/>
    <col min="3360" max="3361" width="13.140625" style="541" bestFit="1" customWidth="1"/>
    <col min="3362" max="3362" width="14" style="541" bestFit="1" customWidth="1"/>
    <col min="3363" max="3366" width="9.28515625" style="541" bestFit="1" customWidth="1"/>
    <col min="3367" max="3368" width="11.7109375" style="541" bestFit="1" customWidth="1"/>
    <col min="3369" max="3369" width="9.28515625" style="541" bestFit="1" customWidth="1"/>
    <col min="3370" max="3370" width="11.7109375" style="541" bestFit="1" customWidth="1"/>
    <col min="3371" max="3371" width="13.140625" style="541" bestFit="1" customWidth="1"/>
    <col min="3372" max="3373" width="11.7109375" style="541" bestFit="1" customWidth="1"/>
    <col min="3374" max="3374" width="9.28515625" style="541" bestFit="1" customWidth="1"/>
    <col min="3375" max="3375" width="13.140625" style="541" bestFit="1" customWidth="1"/>
    <col min="3376" max="3376" width="9.28515625" style="541" bestFit="1" customWidth="1"/>
    <col min="3377" max="3378" width="13.140625" style="541" bestFit="1" customWidth="1"/>
    <col min="3379" max="3379" width="14.85546875" style="541" bestFit="1" customWidth="1"/>
    <col min="3380" max="3584" width="9.140625" style="541"/>
    <col min="3585" max="3585" width="9.28515625" style="541" customWidth="1"/>
    <col min="3586" max="3586" width="8.85546875" style="541" bestFit="1" customWidth="1"/>
    <col min="3587" max="3587" width="8.7109375" style="541" bestFit="1" customWidth="1"/>
    <col min="3588" max="3588" width="8.85546875" style="541" bestFit="1" customWidth="1"/>
    <col min="3589" max="3589" width="8" style="541" bestFit="1" customWidth="1"/>
    <col min="3590" max="3590" width="9" style="541" bestFit="1" customWidth="1"/>
    <col min="3591" max="3591" width="10.140625" style="541" customWidth="1"/>
    <col min="3592" max="3592" width="11" style="541" bestFit="1" customWidth="1"/>
    <col min="3593" max="3594" width="10.5703125" style="541" bestFit="1" customWidth="1"/>
    <col min="3595" max="3595" width="9.85546875" style="541" customWidth="1"/>
    <col min="3596" max="3596" width="11.5703125" style="541" customWidth="1"/>
    <col min="3597" max="3597" width="11.42578125" style="541" customWidth="1"/>
    <col min="3598" max="3598" width="10.140625" style="541" customWidth="1"/>
    <col min="3599" max="3599" width="10.28515625" style="541" bestFit="1" customWidth="1"/>
    <col min="3600" max="3600" width="12.140625" style="541" bestFit="1" customWidth="1"/>
    <col min="3601" max="3601" width="12" style="541" bestFit="1" customWidth="1"/>
    <col min="3602" max="3602" width="12.140625" style="541" customWidth="1"/>
    <col min="3603" max="3603" width="10.85546875" style="541" customWidth="1"/>
    <col min="3604" max="3604" width="8.85546875" style="541" bestFit="1" customWidth="1"/>
    <col min="3605" max="3605" width="9" style="541" bestFit="1" customWidth="1"/>
    <col min="3606" max="3606" width="8.5703125" style="541" bestFit="1" customWidth="1"/>
    <col min="3607" max="3607" width="7.85546875" style="541" bestFit="1" customWidth="1"/>
    <col min="3608" max="3608" width="10.28515625" style="541" bestFit="1" customWidth="1"/>
    <col min="3609" max="3609" width="11.85546875" style="541" bestFit="1" customWidth="1"/>
    <col min="3610" max="3610" width="11.7109375" style="541" bestFit="1" customWidth="1"/>
    <col min="3611" max="3611" width="13.140625" style="541" bestFit="1" customWidth="1"/>
    <col min="3612" max="3612" width="5.5703125" style="541" bestFit="1" customWidth="1"/>
    <col min="3613" max="3613" width="10" style="541" bestFit="1" customWidth="1"/>
    <col min="3614" max="3615" width="14" style="541" bestFit="1" customWidth="1"/>
    <col min="3616" max="3617" width="13.140625" style="541" bestFit="1" customWidth="1"/>
    <col min="3618" max="3618" width="14" style="541" bestFit="1" customWidth="1"/>
    <col min="3619" max="3622" width="9.28515625" style="541" bestFit="1" customWidth="1"/>
    <col min="3623" max="3624" width="11.7109375" style="541" bestFit="1" customWidth="1"/>
    <col min="3625" max="3625" width="9.28515625" style="541" bestFit="1" customWidth="1"/>
    <col min="3626" max="3626" width="11.7109375" style="541" bestFit="1" customWidth="1"/>
    <col min="3627" max="3627" width="13.140625" style="541" bestFit="1" customWidth="1"/>
    <col min="3628" max="3629" width="11.7109375" style="541" bestFit="1" customWidth="1"/>
    <col min="3630" max="3630" width="9.28515625" style="541" bestFit="1" customWidth="1"/>
    <col min="3631" max="3631" width="13.140625" style="541" bestFit="1" customWidth="1"/>
    <col min="3632" max="3632" width="9.28515625" style="541" bestFit="1" customWidth="1"/>
    <col min="3633" max="3634" width="13.140625" style="541" bestFit="1" customWidth="1"/>
    <col min="3635" max="3635" width="14.85546875" style="541" bestFit="1" customWidth="1"/>
    <col min="3636" max="3840" width="9.140625" style="541"/>
    <col min="3841" max="3841" width="9.28515625" style="541" customWidth="1"/>
    <col min="3842" max="3842" width="8.85546875" style="541" bestFit="1" customWidth="1"/>
    <col min="3843" max="3843" width="8.7109375" style="541" bestFit="1" customWidth="1"/>
    <col min="3844" max="3844" width="8.85546875" style="541" bestFit="1" customWidth="1"/>
    <col min="3845" max="3845" width="8" style="541" bestFit="1" customWidth="1"/>
    <col min="3846" max="3846" width="9" style="541" bestFit="1" customWidth="1"/>
    <col min="3847" max="3847" width="10.140625" style="541" customWidth="1"/>
    <col min="3848" max="3848" width="11" style="541" bestFit="1" customWidth="1"/>
    <col min="3849" max="3850" width="10.5703125" style="541" bestFit="1" customWidth="1"/>
    <col min="3851" max="3851" width="9.85546875" style="541" customWidth="1"/>
    <col min="3852" max="3852" width="11.5703125" style="541" customWidth="1"/>
    <col min="3853" max="3853" width="11.42578125" style="541" customWidth="1"/>
    <col min="3854" max="3854" width="10.140625" style="541" customWidth="1"/>
    <col min="3855" max="3855" width="10.28515625" style="541" bestFit="1" customWidth="1"/>
    <col min="3856" max="3856" width="12.140625" style="541" bestFit="1" customWidth="1"/>
    <col min="3857" max="3857" width="12" style="541" bestFit="1" customWidth="1"/>
    <col min="3858" max="3858" width="12.140625" style="541" customWidth="1"/>
    <col min="3859" max="3859" width="10.85546875" style="541" customWidth="1"/>
    <col min="3860" max="3860" width="8.85546875" style="541" bestFit="1" customWidth="1"/>
    <col min="3861" max="3861" width="9" style="541" bestFit="1" customWidth="1"/>
    <col min="3862" max="3862" width="8.5703125" style="541" bestFit="1" customWidth="1"/>
    <col min="3863" max="3863" width="7.85546875" style="541" bestFit="1" customWidth="1"/>
    <col min="3864" max="3864" width="10.28515625" style="541" bestFit="1" customWidth="1"/>
    <col min="3865" max="3865" width="11.85546875" style="541" bestFit="1" customWidth="1"/>
    <col min="3866" max="3866" width="11.7109375" style="541" bestFit="1" customWidth="1"/>
    <col min="3867" max="3867" width="13.140625" style="541" bestFit="1" customWidth="1"/>
    <col min="3868" max="3868" width="5.5703125" style="541" bestFit="1" customWidth="1"/>
    <col min="3869" max="3869" width="10" style="541" bestFit="1" customWidth="1"/>
    <col min="3870" max="3871" width="14" style="541" bestFit="1" customWidth="1"/>
    <col min="3872" max="3873" width="13.140625" style="541" bestFit="1" customWidth="1"/>
    <col min="3874" max="3874" width="14" style="541" bestFit="1" customWidth="1"/>
    <col min="3875" max="3878" width="9.28515625" style="541" bestFit="1" customWidth="1"/>
    <col min="3879" max="3880" width="11.7109375" style="541" bestFit="1" customWidth="1"/>
    <col min="3881" max="3881" width="9.28515625" style="541" bestFit="1" customWidth="1"/>
    <col min="3882" max="3882" width="11.7109375" style="541" bestFit="1" customWidth="1"/>
    <col min="3883" max="3883" width="13.140625" style="541" bestFit="1" customWidth="1"/>
    <col min="3884" max="3885" width="11.7109375" style="541" bestFit="1" customWidth="1"/>
    <col min="3886" max="3886" width="9.28515625" style="541" bestFit="1" customWidth="1"/>
    <col min="3887" max="3887" width="13.140625" style="541" bestFit="1" customWidth="1"/>
    <col min="3888" max="3888" width="9.28515625" style="541" bestFit="1" customWidth="1"/>
    <col min="3889" max="3890" width="13.140625" style="541" bestFit="1" customWidth="1"/>
    <col min="3891" max="3891" width="14.85546875" style="541" bestFit="1" customWidth="1"/>
    <col min="3892" max="4096" width="9.140625" style="541"/>
    <col min="4097" max="4097" width="9.28515625" style="541" customWidth="1"/>
    <col min="4098" max="4098" width="8.85546875" style="541" bestFit="1" customWidth="1"/>
    <col min="4099" max="4099" width="8.7109375" style="541" bestFit="1" customWidth="1"/>
    <col min="4100" max="4100" width="8.85546875" style="541" bestFit="1" customWidth="1"/>
    <col min="4101" max="4101" width="8" style="541" bestFit="1" customWidth="1"/>
    <col min="4102" max="4102" width="9" style="541" bestFit="1" customWidth="1"/>
    <col min="4103" max="4103" width="10.140625" style="541" customWidth="1"/>
    <col min="4104" max="4104" width="11" style="541" bestFit="1" customWidth="1"/>
    <col min="4105" max="4106" width="10.5703125" style="541" bestFit="1" customWidth="1"/>
    <col min="4107" max="4107" width="9.85546875" style="541" customWidth="1"/>
    <col min="4108" max="4108" width="11.5703125" style="541" customWidth="1"/>
    <col min="4109" max="4109" width="11.42578125" style="541" customWidth="1"/>
    <col min="4110" max="4110" width="10.140625" style="541" customWidth="1"/>
    <col min="4111" max="4111" width="10.28515625" style="541" bestFit="1" customWidth="1"/>
    <col min="4112" max="4112" width="12.140625" style="541" bestFit="1" customWidth="1"/>
    <col min="4113" max="4113" width="12" style="541" bestFit="1" customWidth="1"/>
    <col min="4114" max="4114" width="12.140625" style="541" customWidth="1"/>
    <col min="4115" max="4115" width="10.85546875" style="541" customWidth="1"/>
    <col min="4116" max="4116" width="8.85546875" style="541" bestFit="1" customWidth="1"/>
    <col min="4117" max="4117" width="9" style="541" bestFit="1" customWidth="1"/>
    <col min="4118" max="4118" width="8.5703125" style="541" bestFit="1" customWidth="1"/>
    <col min="4119" max="4119" width="7.85546875" style="541" bestFit="1" customWidth="1"/>
    <col min="4120" max="4120" width="10.28515625" style="541" bestFit="1" customWidth="1"/>
    <col min="4121" max="4121" width="11.85546875" style="541" bestFit="1" customWidth="1"/>
    <col min="4122" max="4122" width="11.7109375" style="541" bestFit="1" customWidth="1"/>
    <col min="4123" max="4123" width="13.140625" style="541" bestFit="1" customWidth="1"/>
    <col min="4124" max="4124" width="5.5703125" style="541" bestFit="1" customWidth="1"/>
    <col min="4125" max="4125" width="10" style="541" bestFit="1" customWidth="1"/>
    <col min="4126" max="4127" width="14" style="541" bestFit="1" customWidth="1"/>
    <col min="4128" max="4129" width="13.140625" style="541" bestFit="1" customWidth="1"/>
    <col min="4130" max="4130" width="14" style="541" bestFit="1" customWidth="1"/>
    <col min="4131" max="4134" width="9.28515625" style="541" bestFit="1" customWidth="1"/>
    <col min="4135" max="4136" width="11.7109375" style="541" bestFit="1" customWidth="1"/>
    <col min="4137" max="4137" width="9.28515625" style="541" bestFit="1" customWidth="1"/>
    <col min="4138" max="4138" width="11.7109375" style="541" bestFit="1" customWidth="1"/>
    <col min="4139" max="4139" width="13.140625" style="541" bestFit="1" customWidth="1"/>
    <col min="4140" max="4141" width="11.7109375" style="541" bestFit="1" customWidth="1"/>
    <col min="4142" max="4142" width="9.28515625" style="541" bestFit="1" customWidth="1"/>
    <col min="4143" max="4143" width="13.140625" style="541" bestFit="1" customWidth="1"/>
    <col min="4144" max="4144" width="9.28515625" style="541" bestFit="1" customWidth="1"/>
    <col min="4145" max="4146" width="13.140625" style="541" bestFit="1" customWidth="1"/>
    <col min="4147" max="4147" width="14.85546875" style="541" bestFit="1" customWidth="1"/>
    <col min="4148" max="4352" width="9.140625" style="541"/>
    <col min="4353" max="4353" width="9.28515625" style="541" customWidth="1"/>
    <col min="4354" max="4354" width="8.85546875" style="541" bestFit="1" customWidth="1"/>
    <col min="4355" max="4355" width="8.7109375" style="541" bestFit="1" customWidth="1"/>
    <col min="4356" max="4356" width="8.85546875" style="541" bestFit="1" customWidth="1"/>
    <col min="4357" max="4357" width="8" style="541" bestFit="1" customWidth="1"/>
    <col min="4358" max="4358" width="9" style="541" bestFit="1" customWidth="1"/>
    <col min="4359" max="4359" width="10.140625" style="541" customWidth="1"/>
    <col min="4360" max="4360" width="11" style="541" bestFit="1" customWidth="1"/>
    <col min="4361" max="4362" width="10.5703125" style="541" bestFit="1" customWidth="1"/>
    <col min="4363" max="4363" width="9.85546875" style="541" customWidth="1"/>
    <col min="4364" max="4364" width="11.5703125" style="541" customWidth="1"/>
    <col min="4365" max="4365" width="11.42578125" style="541" customWidth="1"/>
    <col min="4366" max="4366" width="10.140625" style="541" customWidth="1"/>
    <col min="4367" max="4367" width="10.28515625" style="541" bestFit="1" customWidth="1"/>
    <col min="4368" max="4368" width="12.140625" style="541" bestFit="1" customWidth="1"/>
    <col min="4369" max="4369" width="12" style="541" bestFit="1" customWidth="1"/>
    <col min="4370" max="4370" width="12.140625" style="541" customWidth="1"/>
    <col min="4371" max="4371" width="10.85546875" style="541" customWidth="1"/>
    <col min="4372" max="4372" width="8.85546875" style="541" bestFit="1" customWidth="1"/>
    <col min="4373" max="4373" width="9" style="541" bestFit="1" customWidth="1"/>
    <col min="4374" max="4374" width="8.5703125" style="541" bestFit="1" customWidth="1"/>
    <col min="4375" max="4375" width="7.85546875" style="541" bestFit="1" customWidth="1"/>
    <col min="4376" max="4376" width="10.28515625" style="541" bestFit="1" customWidth="1"/>
    <col min="4377" max="4377" width="11.85546875" style="541" bestFit="1" customWidth="1"/>
    <col min="4378" max="4378" width="11.7109375" style="541" bestFit="1" customWidth="1"/>
    <col min="4379" max="4379" width="13.140625" style="541" bestFit="1" customWidth="1"/>
    <col min="4380" max="4380" width="5.5703125" style="541" bestFit="1" customWidth="1"/>
    <col min="4381" max="4381" width="10" style="541" bestFit="1" customWidth="1"/>
    <col min="4382" max="4383" width="14" style="541" bestFit="1" customWidth="1"/>
    <col min="4384" max="4385" width="13.140625" style="541" bestFit="1" customWidth="1"/>
    <col min="4386" max="4386" width="14" style="541" bestFit="1" customWidth="1"/>
    <col min="4387" max="4390" width="9.28515625" style="541" bestFit="1" customWidth="1"/>
    <col min="4391" max="4392" width="11.7109375" style="541" bestFit="1" customWidth="1"/>
    <col min="4393" max="4393" width="9.28515625" style="541" bestFit="1" customWidth="1"/>
    <col min="4394" max="4394" width="11.7109375" style="541" bestFit="1" customWidth="1"/>
    <col min="4395" max="4395" width="13.140625" style="541" bestFit="1" customWidth="1"/>
    <col min="4396" max="4397" width="11.7109375" style="541" bestFit="1" customWidth="1"/>
    <col min="4398" max="4398" width="9.28515625" style="541" bestFit="1" customWidth="1"/>
    <col min="4399" max="4399" width="13.140625" style="541" bestFit="1" customWidth="1"/>
    <col min="4400" max="4400" width="9.28515625" style="541" bestFit="1" customWidth="1"/>
    <col min="4401" max="4402" width="13.140625" style="541" bestFit="1" customWidth="1"/>
    <col min="4403" max="4403" width="14.85546875" style="541" bestFit="1" customWidth="1"/>
    <col min="4404" max="4608" width="9.140625" style="541"/>
    <col min="4609" max="4609" width="9.28515625" style="541" customWidth="1"/>
    <col min="4610" max="4610" width="8.85546875" style="541" bestFit="1" customWidth="1"/>
    <col min="4611" max="4611" width="8.7109375" style="541" bestFit="1" customWidth="1"/>
    <col min="4612" max="4612" width="8.85546875" style="541" bestFit="1" customWidth="1"/>
    <col min="4613" max="4613" width="8" style="541" bestFit="1" customWidth="1"/>
    <col min="4614" max="4614" width="9" style="541" bestFit="1" customWidth="1"/>
    <col min="4615" max="4615" width="10.140625" style="541" customWidth="1"/>
    <col min="4616" max="4616" width="11" style="541" bestFit="1" customWidth="1"/>
    <col min="4617" max="4618" width="10.5703125" style="541" bestFit="1" customWidth="1"/>
    <col min="4619" max="4619" width="9.85546875" style="541" customWidth="1"/>
    <col min="4620" max="4620" width="11.5703125" style="541" customWidth="1"/>
    <col min="4621" max="4621" width="11.42578125" style="541" customWidth="1"/>
    <col min="4622" max="4622" width="10.140625" style="541" customWidth="1"/>
    <col min="4623" max="4623" width="10.28515625" style="541" bestFit="1" customWidth="1"/>
    <col min="4624" max="4624" width="12.140625" style="541" bestFit="1" customWidth="1"/>
    <col min="4625" max="4625" width="12" style="541" bestFit="1" customWidth="1"/>
    <col min="4626" max="4626" width="12.140625" style="541" customWidth="1"/>
    <col min="4627" max="4627" width="10.85546875" style="541" customWidth="1"/>
    <col min="4628" max="4628" width="8.85546875" style="541" bestFit="1" customWidth="1"/>
    <col min="4629" max="4629" width="9" style="541" bestFit="1" customWidth="1"/>
    <col min="4630" max="4630" width="8.5703125" style="541" bestFit="1" customWidth="1"/>
    <col min="4631" max="4631" width="7.85546875" style="541" bestFit="1" customWidth="1"/>
    <col min="4632" max="4632" width="10.28515625" style="541" bestFit="1" customWidth="1"/>
    <col min="4633" max="4633" width="11.85546875" style="541" bestFit="1" customWidth="1"/>
    <col min="4634" max="4634" width="11.7109375" style="541" bestFit="1" customWidth="1"/>
    <col min="4635" max="4635" width="13.140625" style="541" bestFit="1" customWidth="1"/>
    <col min="4636" max="4636" width="5.5703125" style="541" bestFit="1" customWidth="1"/>
    <col min="4637" max="4637" width="10" style="541" bestFit="1" customWidth="1"/>
    <col min="4638" max="4639" width="14" style="541" bestFit="1" customWidth="1"/>
    <col min="4640" max="4641" width="13.140625" style="541" bestFit="1" customWidth="1"/>
    <col min="4642" max="4642" width="14" style="541" bestFit="1" customWidth="1"/>
    <col min="4643" max="4646" width="9.28515625" style="541" bestFit="1" customWidth="1"/>
    <col min="4647" max="4648" width="11.7109375" style="541" bestFit="1" customWidth="1"/>
    <col min="4649" max="4649" width="9.28515625" style="541" bestFit="1" customWidth="1"/>
    <col min="4650" max="4650" width="11.7109375" style="541" bestFit="1" customWidth="1"/>
    <col min="4651" max="4651" width="13.140625" style="541" bestFit="1" customWidth="1"/>
    <col min="4652" max="4653" width="11.7109375" style="541" bestFit="1" customWidth="1"/>
    <col min="4654" max="4654" width="9.28515625" style="541" bestFit="1" customWidth="1"/>
    <col min="4655" max="4655" width="13.140625" style="541" bestFit="1" customWidth="1"/>
    <col min="4656" max="4656" width="9.28515625" style="541" bestFit="1" customWidth="1"/>
    <col min="4657" max="4658" width="13.140625" style="541" bestFit="1" customWidth="1"/>
    <col min="4659" max="4659" width="14.85546875" style="541" bestFit="1" customWidth="1"/>
    <col min="4660" max="4864" width="9.140625" style="541"/>
    <col min="4865" max="4865" width="9.28515625" style="541" customWidth="1"/>
    <col min="4866" max="4866" width="8.85546875" style="541" bestFit="1" customWidth="1"/>
    <col min="4867" max="4867" width="8.7109375" style="541" bestFit="1" customWidth="1"/>
    <col min="4868" max="4868" width="8.85546875" style="541" bestFit="1" customWidth="1"/>
    <col min="4869" max="4869" width="8" style="541" bestFit="1" customWidth="1"/>
    <col min="4870" max="4870" width="9" style="541" bestFit="1" customWidth="1"/>
    <col min="4871" max="4871" width="10.140625" style="541" customWidth="1"/>
    <col min="4872" max="4872" width="11" style="541" bestFit="1" customWidth="1"/>
    <col min="4873" max="4874" width="10.5703125" style="541" bestFit="1" customWidth="1"/>
    <col min="4875" max="4875" width="9.85546875" style="541" customWidth="1"/>
    <col min="4876" max="4876" width="11.5703125" style="541" customWidth="1"/>
    <col min="4877" max="4877" width="11.42578125" style="541" customWidth="1"/>
    <col min="4878" max="4878" width="10.140625" style="541" customWidth="1"/>
    <col min="4879" max="4879" width="10.28515625" style="541" bestFit="1" customWidth="1"/>
    <col min="4880" max="4880" width="12.140625" style="541" bestFit="1" customWidth="1"/>
    <col min="4881" max="4881" width="12" style="541" bestFit="1" customWidth="1"/>
    <col min="4882" max="4882" width="12.140625" style="541" customWidth="1"/>
    <col min="4883" max="4883" width="10.85546875" style="541" customWidth="1"/>
    <col min="4884" max="4884" width="8.85546875" style="541" bestFit="1" customWidth="1"/>
    <col min="4885" max="4885" width="9" style="541" bestFit="1" customWidth="1"/>
    <col min="4886" max="4886" width="8.5703125" style="541" bestFit="1" customWidth="1"/>
    <col min="4887" max="4887" width="7.85546875" style="541" bestFit="1" customWidth="1"/>
    <col min="4888" max="4888" width="10.28515625" style="541" bestFit="1" customWidth="1"/>
    <col min="4889" max="4889" width="11.85546875" style="541" bestFit="1" customWidth="1"/>
    <col min="4890" max="4890" width="11.7109375" style="541" bestFit="1" customWidth="1"/>
    <col min="4891" max="4891" width="13.140625" style="541" bestFit="1" customWidth="1"/>
    <col min="4892" max="4892" width="5.5703125" style="541" bestFit="1" customWidth="1"/>
    <col min="4893" max="4893" width="10" style="541" bestFit="1" customWidth="1"/>
    <col min="4894" max="4895" width="14" style="541" bestFit="1" customWidth="1"/>
    <col min="4896" max="4897" width="13.140625" style="541" bestFit="1" customWidth="1"/>
    <col min="4898" max="4898" width="14" style="541" bestFit="1" customWidth="1"/>
    <col min="4899" max="4902" width="9.28515625" style="541" bestFit="1" customWidth="1"/>
    <col min="4903" max="4904" width="11.7109375" style="541" bestFit="1" customWidth="1"/>
    <col min="4905" max="4905" width="9.28515625" style="541" bestFit="1" customWidth="1"/>
    <col min="4906" max="4906" width="11.7109375" style="541" bestFit="1" customWidth="1"/>
    <col min="4907" max="4907" width="13.140625" style="541" bestFit="1" customWidth="1"/>
    <col min="4908" max="4909" width="11.7109375" style="541" bestFit="1" customWidth="1"/>
    <col min="4910" max="4910" width="9.28515625" style="541" bestFit="1" customWidth="1"/>
    <col min="4911" max="4911" width="13.140625" style="541" bestFit="1" customWidth="1"/>
    <col min="4912" max="4912" width="9.28515625" style="541" bestFit="1" customWidth="1"/>
    <col min="4913" max="4914" width="13.140625" style="541" bestFit="1" customWidth="1"/>
    <col min="4915" max="4915" width="14.85546875" style="541" bestFit="1" customWidth="1"/>
    <col min="4916" max="5120" width="9.140625" style="541"/>
    <col min="5121" max="5121" width="9.28515625" style="541" customWidth="1"/>
    <col min="5122" max="5122" width="8.85546875" style="541" bestFit="1" customWidth="1"/>
    <col min="5123" max="5123" width="8.7109375" style="541" bestFit="1" customWidth="1"/>
    <col min="5124" max="5124" width="8.85546875" style="541" bestFit="1" customWidth="1"/>
    <col min="5125" max="5125" width="8" style="541" bestFit="1" customWidth="1"/>
    <col min="5126" max="5126" width="9" style="541" bestFit="1" customWidth="1"/>
    <col min="5127" max="5127" width="10.140625" style="541" customWidth="1"/>
    <col min="5128" max="5128" width="11" style="541" bestFit="1" customWidth="1"/>
    <col min="5129" max="5130" width="10.5703125" style="541" bestFit="1" customWidth="1"/>
    <col min="5131" max="5131" width="9.85546875" style="541" customWidth="1"/>
    <col min="5132" max="5132" width="11.5703125" style="541" customWidth="1"/>
    <col min="5133" max="5133" width="11.42578125" style="541" customWidth="1"/>
    <col min="5134" max="5134" width="10.140625" style="541" customWidth="1"/>
    <col min="5135" max="5135" width="10.28515625" style="541" bestFit="1" customWidth="1"/>
    <col min="5136" max="5136" width="12.140625" style="541" bestFit="1" customWidth="1"/>
    <col min="5137" max="5137" width="12" style="541" bestFit="1" customWidth="1"/>
    <col min="5138" max="5138" width="12.140625" style="541" customWidth="1"/>
    <col min="5139" max="5139" width="10.85546875" style="541" customWidth="1"/>
    <col min="5140" max="5140" width="8.85546875" style="541" bestFit="1" customWidth="1"/>
    <col min="5141" max="5141" width="9" style="541" bestFit="1" customWidth="1"/>
    <col min="5142" max="5142" width="8.5703125" style="541" bestFit="1" customWidth="1"/>
    <col min="5143" max="5143" width="7.85546875" style="541" bestFit="1" customWidth="1"/>
    <col min="5144" max="5144" width="10.28515625" style="541" bestFit="1" customWidth="1"/>
    <col min="5145" max="5145" width="11.85546875" style="541" bestFit="1" customWidth="1"/>
    <col min="5146" max="5146" width="11.7109375" style="541" bestFit="1" customWidth="1"/>
    <col min="5147" max="5147" width="13.140625" style="541" bestFit="1" customWidth="1"/>
    <col min="5148" max="5148" width="5.5703125" style="541" bestFit="1" customWidth="1"/>
    <col min="5149" max="5149" width="10" style="541" bestFit="1" customWidth="1"/>
    <col min="5150" max="5151" width="14" style="541" bestFit="1" customWidth="1"/>
    <col min="5152" max="5153" width="13.140625" style="541" bestFit="1" customWidth="1"/>
    <col min="5154" max="5154" width="14" style="541" bestFit="1" customWidth="1"/>
    <col min="5155" max="5158" width="9.28515625" style="541" bestFit="1" customWidth="1"/>
    <col min="5159" max="5160" width="11.7109375" style="541" bestFit="1" customWidth="1"/>
    <col min="5161" max="5161" width="9.28515625" style="541" bestFit="1" customWidth="1"/>
    <col min="5162" max="5162" width="11.7109375" style="541" bestFit="1" customWidth="1"/>
    <col min="5163" max="5163" width="13.140625" style="541" bestFit="1" customWidth="1"/>
    <col min="5164" max="5165" width="11.7109375" style="541" bestFit="1" customWidth="1"/>
    <col min="5166" max="5166" width="9.28515625" style="541" bestFit="1" customWidth="1"/>
    <col min="5167" max="5167" width="13.140625" style="541" bestFit="1" customWidth="1"/>
    <col min="5168" max="5168" width="9.28515625" style="541" bestFit="1" customWidth="1"/>
    <col min="5169" max="5170" width="13.140625" style="541" bestFit="1" customWidth="1"/>
    <col min="5171" max="5171" width="14.85546875" style="541" bestFit="1" customWidth="1"/>
    <col min="5172" max="5376" width="9.140625" style="541"/>
    <col min="5377" max="5377" width="9.28515625" style="541" customWidth="1"/>
    <col min="5378" max="5378" width="8.85546875" style="541" bestFit="1" customWidth="1"/>
    <col min="5379" max="5379" width="8.7109375" style="541" bestFit="1" customWidth="1"/>
    <col min="5380" max="5380" width="8.85546875" style="541" bestFit="1" customWidth="1"/>
    <col min="5381" max="5381" width="8" style="541" bestFit="1" customWidth="1"/>
    <col min="5382" max="5382" width="9" style="541" bestFit="1" customWidth="1"/>
    <col min="5383" max="5383" width="10.140625" style="541" customWidth="1"/>
    <col min="5384" max="5384" width="11" style="541" bestFit="1" customWidth="1"/>
    <col min="5385" max="5386" width="10.5703125" style="541" bestFit="1" customWidth="1"/>
    <col min="5387" max="5387" width="9.85546875" style="541" customWidth="1"/>
    <col min="5388" max="5388" width="11.5703125" style="541" customWidth="1"/>
    <col min="5389" max="5389" width="11.42578125" style="541" customWidth="1"/>
    <col min="5390" max="5390" width="10.140625" style="541" customWidth="1"/>
    <col min="5391" max="5391" width="10.28515625" style="541" bestFit="1" customWidth="1"/>
    <col min="5392" max="5392" width="12.140625" style="541" bestFit="1" customWidth="1"/>
    <col min="5393" max="5393" width="12" style="541" bestFit="1" customWidth="1"/>
    <col min="5394" max="5394" width="12.140625" style="541" customWidth="1"/>
    <col min="5395" max="5395" width="10.85546875" style="541" customWidth="1"/>
    <col min="5396" max="5396" width="8.85546875" style="541" bestFit="1" customWidth="1"/>
    <col min="5397" max="5397" width="9" style="541" bestFit="1" customWidth="1"/>
    <col min="5398" max="5398" width="8.5703125" style="541" bestFit="1" customWidth="1"/>
    <col min="5399" max="5399" width="7.85546875" style="541" bestFit="1" customWidth="1"/>
    <col min="5400" max="5400" width="10.28515625" style="541" bestFit="1" customWidth="1"/>
    <col min="5401" max="5401" width="11.85546875" style="541" bestFit="1" customWidth="1"/>
    <col min="5402" max="5402" width="11.7109375" style="541" bestFit="1" customWidth="1"/>
    <col min="5403" max="5403" width="13.140625" style="541" bestFit="1" customWidth="1"/>
    <col min="5404" max="5404" width="5.5703125" style="541" bestFit="1" customWidth="1"/>
    <col min="5405" max="5405" width="10" style="541" bestFit="1" customWidth="1"/>
    <col min="5406" max="5407" width="14" style="541" bestFit="1" customWidth="1"/>
    <col min="5408" max="5409" width="13.140625" style="541" bestFit="1" customWidth="1"/>
    <col min="5410" max="5410" width="14" style="541" bestFit="1" customWidth="1"/>
    <col min="5411" max="5414" width="9.28515625" style="541" bestFit="1" customWidth="1"/>
    <col min="5415" max="5416" width="11.7109375" style="541" bestFit="1" customWidth="1"/>
    <col min="5417" max="5417" width="9.28515625" style="541" bestFit="1" customWidth="1"/>
    <col min="5418" max="5418" width="11.7109375" style="541" bestFit="1" customWidth="1"/>
    <col min="5419" max="5419" width="13.140625" style="541" bestFit="1" customWidth="1"/>
    <col min="5420" max="5421" width="11.7109375" style="541" bestFit="1" customWidth="1"/>
    <col min="5422" max="5422" width="9.28515625" style="541" bestFit="1" customWidth="1"/>
    <col min="5423" max="5423" width="13.140625" style="541" bestFit="1" customWidth="1"/>
    <col min="5424" max="5424" width="9.28515625" style="541" bestFit="1" customWidth="1"/>
    <col min="5425" max="5426" width="13.140625" style="541" bestFit="1" customWidth="1"/>
    <col min="5427" max="5427" width="14.85546875" style="541" bestFit="1" customWidth="1"/>
    <col min="5428" max="5632" width="9.140625" style="541"/>
    <col min="5633" max="5633" width="9.28515625" style="541" customWidth="1"/>
    <col min="5634" max="5634" width="8.85546875" style="541" bestFit="1" customWidth="1"/>
    <col min="5635" max="5635" width="8.7109375" style="541" bestFit="1" customWidth="1"/>
    <col min="5636" max="5636" width="8.85546875" style="541" bestFit="1" customWidth="1"/>
    <col min="5637" max="5637" width="8" style="541" bestFit="1" customWidth="1"/>
    <col min="5638" max="5638" width="9" style="541" bestFit="1" customWidth="1"/>
    <col min="5639" max="5639" width="10.140625" style="541" customWidth="1"/>
    <col min="5640" max="5640" width="11" style="541" bestFit="1" customWidth="1"/>
    <col min="5641" max="5642" width="10.5703125" style="541" bestFit="1" customWidth="1"/>
    <col min="5643" max="5643" width="9.85546875" style="541" customWidth="1"/>
    <col min="5644" max="5644" width="11.5703125" style="541" customWidth="1"/>
    <col min="5645" max="5645" width="11.42578125" style="541" customWidth="1"/>
    <col min="5646" max="5646" width="10.140625" style="541" customWidth="1"/>
    <col min="5647" max="5647" width="10.28515625" style="541" bestFit="1" customWidth="1"/>
    <col min="5648" max="5648" width="12.140625" style="541" bestFit="1" customWidth="1"/>
    <col min="5649" max="5649" width="12" style="541" bestFit="1" customWidth="1"/>
    <col min="5650" max="5650" width="12.140625" style="541" customWidth="1"/>
    <col min="5651" max="5651" width="10.85546875" style="541" customWidth="1"/>
    <col min="5652" max="5652" width="8.85546875" style="541" bestFit="1" customWidth="1"/>
    <col min="5653" max="5653" width="9" style="541" bestFit="1" customWidth="1"/>
    <col min="5654" max="5654" width="8.5703125" style="541" bestFit="1" customWidth="1"/>
    <col min="5655" max="5655" width="7.85546875" style="541" bestFit="1" customWidth="1"/>
    <col min="5656" max="5656" width="10.28515625" style="541" bestFit="1" customWidth="1"/>
    <col min="5657" max="5657" width="11.85546875" style="541" bestFit="1" customWidth="1"/>
    <col min="5658" max="5658" width="11.7109375" style="541" bestFit="1" customWidth="1"/>
    <col min="5659" max="5659" width="13.140625" style="541" bestFit="1" customWidth="1"/>
    <col min="5660" max="5660" width="5.5703125" style="541" bestFit="1" customWidth="1"/>
    <col min="5661" max="5661" width="10" style="541" bestFit="1" customWidth="1"/>
    <col min="5662" max="5663" width="14" style="541" bestFit="1" customWidth="1"/>
    <col min="5664" max="5665" width="13.140625" style="541" bestFit="1" customWidth="1"/>
    <col min="5666" max="5666" width="14" style="541" bestFit="1" customWidth="1"/>
    <col min="5667" max="5670" width="9.28515625" style="541" bestFit="1" customWidth="1"/>
    <col min="5671" max="5672" width="11.7109375" style="541" bestFit="1" customWidth="1"/>
    <col min="5673" max="5673" width="9.28515625" style="541" bestFit="1" customWidth="1"/>
    <col min="5674" max="5674" width="11.7109375" style="541" bestFit="1" customWidth="1"/>
    <col min="5675" max="5675" width="13.140625" style="541" bestFit="1" customWidth="1"/>
    <col min="5676" max="5677" width="11.7109375" style="541" bestFit="1" customWidth="1"/>
    <col min="5678" max="5678" width="9.28515625" style="541" bestFit="1" customWidth="1"/>
    <col min="5679" max="5679" width="13.140625" style="541" bestFit="1" customWidth="1"/>
    <col min="5680" max="5680" width="9.28515625" style="541" bestFit="1" customWidth="1"/>
    <col min="5681" max="5682" width="13.140625" style="541" bestFit="1" customWidth="1"/>
    <col min="5683" max="5683" width="14.85546875" style="541" bestFit="1" customWidth="1"/>
    <col min="5684" max="5888" width="9.140625" style="541"/>
    <col min="5889" max="5889" width="9.28515625" style="541" customWidth="1"/>
    <col min="5890" max="5890" width="8.85546875" style="541" bestFit="1" customWidth="1"/>
    <col min="5891" max="5891" width="8.7109375" style="541" bestFit="1" customWidth="1"/>
    <col min="5892" max="5892" width="8.85546875" style="541" bestFit="1" customWidth="1"/>
    <col min="5893" max="5893" width="8" style="541" bestFit="1" customWidth="1"/>
    <col min="5894" max="5894" width="9" style="541" bestFit="1" customWidth="1"/>
    <col min="5895" max="5895" width="10.140625" style="541" customWidth="1"/>
    <col min="5896" max="5896" width="11" style="541" bestFit="1" customWidth="1"/>
    <col min="5897" max="5898" width="10.5703125" style="541" bestFit="1" customWidth="1"/>
    <col min="5899" max="5899" width="9.85546875" style="541" customWidth="1"/>
    <col min="5900" max="5900" width="11.5703125" style="541" customWidth="1"/>
    <col min="5901" max="5901" width="11.42578125" style="541" customWidth="1"/>
    <col min="5902" max="5902" width="10.140625" style="541" customWidth="1"/>
    <col min="5903" max="5903" width="10.28515625" style="541" bestFit="1" customWidth="1"/>
    <col min="5904" max="5904" width="12.140625" style="541" bestFit="1" customWidth="1"/>
    <col min="5905" max="5905" width="12" style="541" bestFit="1" customWidth="1"/>
    <col min="5906" max="5906" width="12.140625" style="541" customWidth="1"/>
    <col min="5907" max="5907" width="10.85546875" style="541" customWidth="1"/>
    <col min="5908" max="5908" width="8.85546875" style="541" bestFit="1" customWidth="1"/>
    <col min="5909" max="5909" width="9" style="541" bestFit="1" customWidth="1"/>
    <col min="5910" max="5910" width="8.5703125" style="541" bestFit="1" customWidth="1"/>
    <col min="5911" max="5911" width="7.85546875" style="541" bestFit="1" customWidth="1"/>
    <col min="5912" max="5912" width="10.28515625" style="541" bestFit="1" customWidth="1"/>
    <col min="5913" max="5913" width="11.85546875" style="541" bestFit="1" customWidth="1"/>
    <col min="5914" max="5914" width="11.7109375" style="541" bestFit="1" customWidth="1"/>
    <col min="5915" max="5915" width="13.140625" style="541" bestFit="1" customWidth="1"/>
    <col min="5916" max="5916" width="5.5703125" style="541" bestFit="1" customWidth="1"/>
    <col min="5917" max="5917" width="10" style="541" bestFit="1" customWidth="1"/>
    <col min="5918" max="5919" width="14" style="541" bestFit="1" customWidth="1"/>
    <col min="5920" max="5921" width="13.140625" style="541" bestFit="1" customWidth="1"/>
    <col min="5922" max="5922" width="14" style="541" bestFit="1" customWidth="1"/>
    <col min="5923" max="5926" width="9.28515625" style="541" bestFit="1" customWidth="1"/>
    <col min="5927" max="5928" width="11.7109375" style="541" bestFit="1" customWidth="1"/>
    <col min="5929" max="5929" width="9.28515625" style="541" bestFit="1" customWidth="1"/>
    <col min="5930" max="5930" width="11.7109375" style="541" bestFit="1" customWidth="1"/>
    <col min="5931" max="5931" width="13.140625" style="541" bestFit="1" customWidth="1"/>
    <col min="5932" max="5933" width="11.7109375" style="541" bestFit="1" customWidth="1"/>
    <col min="5934" max="5934" width="9.28515625" style="541" bestFit="1" customWidth="1"/>
    <col min="5935" max="5935" width="13.140625" style="541" bestFit="1" customWidth="1"/>
    <col min="5936" max="5936" width="9.28515625" style="541" bestFit="1" customWidth="1"/>
    <col min="5937" max="5938" width="13.140625" style="541" bestFit="1" customWidth="1"/>
    <col min="5939" max="5939" width="14.85546875" style="541" bestFit="1" customWidth="1"/>
    <col min="5940" max="6144" width="9.140625" style="541"/>
    <col min="6145" max="6145" width="9.28515625" style="541" customWidth="1"/>
    <col min="6146" max="6146" width="8.85546875" style="541" bestFit="1" customWidth="1"/>
    <col min="6147" max="6147" width="8.7109375" style="541" bestFit="1" customWidth="1"/>
    <col min="6148" max="6148" width="8.85546875" style="541" bestFit="1" customWidth="1"/>
    <col min="6149" max="6149" width="8" style="541" bestFit="1" customWidth="1"/>
    <col min="6150" max="6150" width="9" style="541" bestFit="1" customWidth="1"/>
    <col min="6151" max="6151" width="10.140625" style="541" customWidth="1"/>
    <col min="6152" max="6152" width="11" style="541" bestFit="1" customWidth="1"/>
    <col min="6153" max="6154" width="10.5703125" style="541" bestFit="1" customWidth="1"/>
    <col min="6155" max="6155" width="9.85546875" style="541" customWidth="1"/>
    <col min="6156" max="6156" width="11.5703125" style="541" customWidth="1"/>
    <col min="6157" max="6157" width="11.42578125" style="541" customWidth="1"/>
    <col min="6158" max="6158" width="10.140625" style="541" customWidth="1"/>
    <col min="6159" max="6159" width="10.28515625" style="541" bestFit="1" customWidth="1"/>
    <col min="6160" max="6160" width="12.140625" style="541" bestFit="1" customWidth="1"/>
    <col min="6161" max="6161" width="12" style="541" bestFit="1" customWidth="1"/>
    <col min="6162" max="6162" width="12.140625" style="541" customWidth="1"/>
    <col min="6163" max="6163" width="10.85546875" style="541" customWidth="1"/>
    <col min="6164" max="6164" width="8.85546875" style="541" bestFit="1" customWidth="1"/>
    <col min="6165" max="6165" width="9" style="541" bestFit="1" customWidth="1"/>
    <col min="6166" max="6166" width="8.5703125" style="541" bestFit="1" customWidth="1"/>
    <col min="6167" max="6167" width="7.85546875" style="541" bestFit="1" customWidth="1"/>
    <col min="6168" max="6168" width="10.28515625" style="541" bestFit="1" customWidth="1"/>
    <col min="6169" max="6169" width="11.85546875" style="541" bestFit="1" customWidth="1"/>
    <col min="6170" max="6170" width="11.7109375" style="541" bestFit="1" customWidth="1"/>
    <col min="6171" max="6171" width="13.140625" style="541" bestFit="1" customWidth="1"/>
    <col min="6172" max="6172" width="5.5703125" style="541" bestFit="1" customWidth="1"/>
    <col min="6173" max="6173" width="10" style="541" bestFit="1" customWidth="1"/>
    <col min="6174" max="6175" width="14" style="541" bestFit="1" customWidth="1"/>
    <col min="6176" max="6177" width="13.140625" style="541" bestFit="1" customWidth="1"/>
    <col min="6178" max="6178" width="14" style="541" bestFit="1" customWidth="1"/>
    <col min="6179" max="6182" width="9.28515625" style="541" bestFit="1" customWidth="1"/>
    <col min="6183" max="6184" width="11.7109375" style="541" bestFit="1" customWidth="1"/>
    <col min="6185" max="6185" width="9.28515625" style="541" bestFit="1" customWidth="1"/>
    <col min="6186" max="6186" width="11.7109375" style="541" bestFit="1" customWidth="1"/>
    <col min="6187" max="6187" width="13.140625" style="541" bestFit="1" customWidth="1"/>
    <col min="6188" max="6189" width="11.7109375" style="541" bestFit="1" customWidth="1"/>
    <col min="6190" max="6190" width="9.28515625" style="541" bestFit="1" customWidth="1"/>
    <col min="6191" max="6191" width="13.140625" style="541" bestFit="1" customWidth="1"/>
    <col min="6192" max="6192" width="9.28515625" style="541" bestFit="1" customWidth="1"/>
    <col min="6193" max="6194" width="13.140625" style="541" bestFit="1" customWidth="1"/>
    <col min="6195" max="6195" width="14.85546875" style="541" bestFit="1" customWidth="1"/>
    <col min="6196" max="6400" width="9.140625" style="541"/>
    <col min="6401" max="6401" width="9.28515625" style="541" customWidth="1"/>
    <col min="6402" max="6402" width="8.85546875" style="541" bestFit="1" customWidth="1"/>
    <col min="6403" max="6403" width="8.7109375" style="541" bestFit="1" customWidth="1"/>
    <col min="6404" max="6404" width="8.85546875" style="541" bestFit="1" customWidth="1"/>
    <col min="6405" max="6405" width="8" style="541" bestFit="1" customWidth="1"/>
    <col min="6406" max="6406" width="9" style="541" bestFit="1" customWidth="1"/>
    <col min="6407" max="6407" width="10.140625" style="541" customWidth="1"/>
    <col min="6408" max="6408" width="11" style="541" bestFit="1" customWidth="1"/>
    <col min="6409" max="6410" width="10.5703125" style="541" bestFit="1" customWidth="1"/>
    <col min="6411" max="6411" width="9.85546875" style="541" customWidth="1"/>
    <col min="6412" max="6412" width="11.5703125" style="541" customWidth="1"/>
    <col min="6413" max="6413" width="11.42578125" style="541" customWidth="1"/>
    <col min="6414" max="6414" width="10.140625" style="541" customWidth="1"/>
    <col min="6415" max="6415" width="10.28515625" style="541" bestFit="1" customWidth="1"/>
    <col min="6416" max="6416" width="12.140625" style="541" bestFit="1" customWidth="1"/>
    <col min="6417" max="6417" width="12" style="541" bestFit="1" customWidth="1"/>
    <col min="6418" max="6418" width="12.140625" style="541" customWidth="1"/>
    <col min="6419" max="6419" width="10.85546875" style="541" customWidth="1"/>
    <col min="6420" max="6420" width="8.85546875" style="541" bestFit="1" customWidth="1"/>
    <col min="6421" max="6421" width="9" style="541" bestFit="1" customWidth="1"/>
    <col min="6422" max="6422" width="8.5703125" style="541" bestFit="1" customWidth="1"/>
    <col min="6423" max="6423" width="7.85546875" style="541" bestFit="1" customWidth="1"/>
    <col min="6424" max="6424" width="10.28515625" style="541" bestFit="1" customWidth="1"/>
    <col min="6425" max="6425" width="11.85546875" style="541" bestFit="1" customWidth="1"/>
    <col min="6426" max="6426" width="11.7109375" style="541" bestFit="1" customWidth="1"/>
    <col min="6427" max="6427" width="13.140625" style="541" bestFit="1" customWidth="1"/>
    <col min="6428" max="6428" width="5.5703125" style="541" bestFit="1" customWidth="1"/>
    <col min="6429" max="6429" width="10" style="541" bestFit="1" customWidth="1"/>
    <col min="6430" max="6431" width="14" style="541" bestFit="1" customWidth="1"/>
    <col min="6432" max="6433" width="13.140625" style="541" bestFit="1" customWidth="1"/>
    <col min="6434" max="6434" width="14" style="541" bestFit="1" customWidth="1"/>
    <col min="6435" max="6438" width="9.28515625" style="541" bestFit="1" customWidth="1"/>
    <col min="6439" max="6440" width="11.7109375" style="541" bestFit="1" customWidth="1"/>
    <col min="6441" max="6441" width="9.28515625" style="541" bestFit="1" customWidth="1"/>
    <col min="6442" max="6442" width="11.7109375" style="541" bestFit="1" customWidth="1"/>
    <col min="6443" max="6443" width="13.140625" style="541" bestFit="1" customWidth="1"/>
    <col min="6444" max="6445" width="11.7109375" style="541" bestFit="1" customWidth="1"/>
    <col min="6446" max="6446" width="9.28515625" style="541" bestFit="1" customWidth="1"/>
    <col min="6447" max="6447" width="13.140625" style="541" bestFit="1" customWidth="1"/>
    <col min="6448" max="6448" width="9.28515625" style="541" bestFit="1" customWidth="1"/>
    <col min="6449" max="6450" width="13.140625" style="541" bestFit="1" customWidth="1"/>
    <col min="6451" max="6451" width="14.85546875" style="541" bestFit="1" customWidth="1"/>
    <col min="6452" max="6656" width="9.140625" style="541"/>
    <col min="6657" max="6657" width="9.28515625" style="541" customWidth="1"/>
    <col min="6658" max="6658" width="8.85546875" style="541" bestFit="1" customWidth="1"/>
    <col min="6659" max="6659" width="8.7109375" style="541" bestFit="1" customWidth="1"/>
    <col min="6660" max="6660" width="8.85546875" style="541" bestFit="1" customWidth="1"/>
    <col min="6661" max="6661" width="8" style="541" bestFit="1" customWidth="1"/>
    <col min="6662" max="6662" width="9" style="541" bestFit="1" customWidth="1"/>
    <col min="6663" max="6663" width="10.140625" style="541" customWidth="1"/>
    <col min="6664" max="6664" width="11" style="541" bestFit="1" customWidth="1"/>
    <col min="6665" max="6666" width="10.5703125" style="541" bestFit="1" customWidth="1"/>
    <col min="6667" max="6667" width="9.85546875" style="541" customWidth="1"/>
    <col min="6668" max="6668" width="11.5703125" style="541" customWidth="1"/>
    <col min="6669" max="6669" width="11.42578125" style="541" customWidth="1"/>
    <col min="6670" max="6670" width="10.140625" style="541" customWidth="1"/>
    <col min="6671" max="6671" width="10.28515625" style="541" bestFit="1" customWidth="1"/>
    <col min="6672" max="6672" width="12.140625" style="541" bestFit="1" customWidth="1"/>
    <col min="6673" max="6673" width="12" style="541" bestFit="1" customWidth="1"/>
    <col min="6674" max="6674" width="12.140625" style="541" customWidth="1"/>
    <col min="6675" max="6675" width="10.85546875" style="541" customWidth="1"/>
    <col min="6676" max="6676" width="8.85546875" style="541" bestFit="1" customWidth="1"/>
    <col min="6677" max="6677" width="9" style="541" bestFit="1" customWidth="1"/>
    <col min="6678" max="6678" width="8.5703125" style="541" bestFit="1" customWidth="1"/>
    <col min="6679" max="6679" width="7.85546875" style="541" bestFit="1" customWidth="1"/>
    <col min="6680" max="6680" width="10.28515625" style="541" bestFit="1" customWidth="1"/>
    <col min="6681" max="6681" width="11.85546875" style="541" bestFit="1" customWidth="1"/>
    <col min="6682" max="6682" width="11.7109375" style="541" bestFit="1" customWidth="1"/>
    <col min="6683" max="6683" width="13.140625" style="541" bestFit="1" customWidth="1"/>
    <col min="6684" max="6684" width="5.5703125" style="541" bestFit="1" customWidth="1"/>
    <col min="6685" max="6685" width="10" style="541" bestFit="1" customWidth="1"/>
    <col min="6686" max="6687" width="14" style="541" bestFit="1" customWidth="1"/>
    <col min="6688" max="6689" width="13.140625" style="541" bestFit="1" customWidth="1"/>
    <col min="6690" max="6690" width="14" style="541" bestFit="1" customWidth="1"/>
    <col min="6691" max="6694" width="9.28515625" style="541" bestFit="1" customWidth="1"/>
    <col min="6695" max="6696" width="11.7109375" style="541" bestFit="1" customWidth="1"/>
    <col min="6697" max="6697" width="9.28515625" style="541" bestFit="1" customWidth="1"/>
    <col min="6698" max="6698" width="11.7109375" style="541" bestFit="1" customWidth="1"/>
    <col min="6699" max="6699" width="13.140625" style="541" bestFit="1" customWidth="1"/>
    <col min="6700" max="6701" width="11.7109375" style="541" bestFit="1" customWidth="1"/>
    <col min="6702" max="6702" width="9.28515625" style="541" bestFit="1" customWidth="1"/>
    <col min="6703" max="6703" width="13.140625" style="541" bestFit="1" customWidth="1"/>
    <col min="6704" max="6704" width="9.28515625" style="541" bestFit="1" customWidth="1"/>
    <col min="6705" max="6706" width="13.140625" style="541" bestFit="1" customWidth="1"/>
    <col min="6707" max="6707" width="14.85546875" style="541" bestFit="1" customWidth="1"/>
    <col min="6708" max="6912" width="9.140625" style="541"/>
    <col min="6913" max="6913" width="9.28515625" style="541" customWidth="1"/>
    <col min="6914" max="6914" width="8.85546875" style="541" bestFit="1" customWidth="1"/>
    <col min="6915" max="6915" width="8.7109375" style="541" bestFit="1" customWidth="1"/>
    <col min="6916" max="6916" width="8.85546875" style="541" bestFit="1" customWidth="1"/>
    <col min="6917" max="6917" width="8" style="541" bestFit="1" customWidth="1"/>
    <col min="6918" max="6918" width="9" style="541" bestFit="1" customWidth="1"/>
    <col min="6919" max="6919" width="10.140625" style="541" customWidth="1"/>
    <col min="6920" max="6920" width="11" style="541" bestFit="1" customWidth="1"/>
    <col min="6921" max="6922" width="10.5703125" style="541" bestFit="1" customWidth="1"/>
    <col min="6923" max="6923" width="9.85546875" style="541" customWidth="1"/>
    <col min="6924" max="6924" width="11.5703125" style="541" customWidth="1"/>
    <col min="6925" max="6925" width="11.42578125" style="541" customWidth="1"/>
    <col min="6926" max="6926" width="10.140625" style="541" customWidth="1"/>
    <col min="6927" max="6927" width="10.28515625" style="541" bestFit="1" customWidth="1"/>
    <col min="6928" max="6928" width="12.140625" style="541" bestFit="1" customWidth="1"/>
    <col min="6929" max="6929" width="12" style="541" bestFit="1" customWidth="1"/>
    <col min="6930" max="6930" width="12.140625" style="541" customWidth="1"/>
    <col min="6931" max="6931" width="10.85546875" style="541" customWidth="1"/>
    <col min="6932" max="6932" width="8.85546875" style="541" bestFit="1" customWidth="1"/>
    <col min="6933" max="6933" width="9" style="541" bestFit="1" customWidth="1"/>
    <col min="6934" max="6934" width="8.5703125" style="541" bestFit="1" customWidth="1"/>
    <col min="6935" max="6935" width="7.85546875" style="541" bestFit="1" customWidth="1"/>
    <col min="6936" max="6936" width="10.28515625" style="541" bestFit="1" customWidth="1"/>
    <col min="6937" max="6937" width="11.85546875" style="541" bestFit="1" customWidth="1"/>
    <col min="6938" max="6938" width="11.7109375" style="541" bestFit="1" customWidth="1"/>
    <col min="6939" max="6939" width="13.140625" style="541" bestFit="1" customWidth="1"/>
    <col min="6940" max="6940" width="5.5703125" style="541" bestFit="1" customWidth="1"/>
    <col min="6941" max="6941" width="10" style="541" bestFit="1" customWidth="1"/>
    <col min="6942" max="6943" width="14" style="541" bestFit="1" customWidth="1"/>
    <col min="6944" max="6945" width="13.140625" style="541" bestFit="1" customWidth="1"/>
    <col min="6946" max="6946" width="14" style="541" bestFit="1" customWidth="1"/>
    <col min="6947" max="6950" width="9.28515625" style="541" bestFit="1" customWidth="1"/>
    <col min="6951" max="6952" width="11.7109375" style="541" bestFit="1" customWidth="1"/>
    <col min="6953" max="6953" width="9.28515625" style="541" bestFit="1" customWidth="1"/>
    <col min="6954" max="6954" width="11.7109375" style="541" bestFit="1" customWidth="1"/>
    <col min="6955" max="6955" width="13.140625" style="541" bestFit="1" customWidth="1"/>
    <col min="6956" max="6957" width="11.7109375" style="541" bestFit="1" customWidth="1"/>
    <col min="6958" max="6958" width="9.28515625" style="541" bestFit="1" customWidth="1"/>
    <col min="6959" max="6959" width="13.140625" style="541" bestFit="1" customWidth="1"/>
    <col min="6960" max="6960" width="9.28515625" style="541" bestFit="1" customWidth="1"/>
    <col min="6961" max="6962" width="13.140625" style="541" bestFit="1" customWidth="1"/>
    <col min="6963" max="6963" width="14.85546875" style="541" bestFit="1" customWidth="1"/>
    <col min="6964" max="7168" width="9.140625" style="541"/>
    <col min="7169" max="7169" width="9.28515625" style="541" customWidth="1"/>
    <col min="7170" max="7170" width="8.85546875" style="541" bestFit="1" customWidth="1"/>
    <col min="7171" max="7171" width="8.7109375" style="541" bestFit="1" customWidth="1"/>
    <col min="7172" max="7172" width="8.85546875" style="541" bestFit="1" customWidth="1"/>
    <col min="7173" max="7173" width="8" style="541" bestFit="1" customWidth="1"/>
    <col min="7174" max="7174" width="9" style="541" bestFit="1" customWidth="1"/>
    <col min="7175" max="7175" width="10.140625" style="541" customWidth="1"/>
    <col min="7176" max="7176" width="11" style="541" bestFit="1" customWidth="1"/>
    <col min="7177" max="7178" width="10.5703125" style="541" bestFit="1" customWidth="1"/>
    <col min="7179" max="7179" width="9.85546875" style="541" customWidth="1"/>
    <col min="7180" max="7180" width="11.5703125" style="541" customWidth="1"/>
    <col min="7181" max="7181" width="11.42578125" style="541" customWidth="1"/>
    <col min="7182" max="7182" width="10.140625" style="541" customWidth="1"/>
    <col min="7183" max="7183" width="10.28515625" style="541" bestFit="1" customWidth="1"/>
    <col min="7184" max="7184" width="12.140625" style="541" bestFit="1" customWidth="1"/>
    <col min="7185" max="7185" width="12" style="541" bestFit="1" customWidth="1"/>
    <col min="7186" max="7186" width="12.140625" style="541" customWidth="1"/>
    <col min="7187" max="7187" width="10.85546875" style="541" customWidth="1"/>
    <col min="7188" max="7188" width="8.85546875" style="541" bestFit="1" customWidth="1"/>
    <col min="7189" max="7189" width="9" style="541" bestFit="1" customWidth="1"/>
    <col min="7190" max="7190" width="8.5703125" style="541" bestFit="1" customWidth="1"/>
    <col min="7191" max="7191" width="7.85546875" style="541" bestFit="1" customWidth="1"/>
    <col min="7192" max="7192" width="10.28515625" style="541" bestFit="1" customWidth="1"/>
    <col min="7193" max="7193" width="11.85546875" style="541" bestFit="1" customWidth="1"/>
    <col min="7194" max="7194" width="11.7109375" style="541" bestFit="1" customWidth="1"/>
    <col min="7195" max="7195" width="13.140625" style="541" bestFit="1" customWidth="1"/>
    <col min="7196" max="7196" width="5.5703125" style="541" bestFit="1" customWidth="1"/>
    <col min="7197" max="7197" width="10" style="541" bestFit="1" customWidth="1"/>
    <col min="7198" max="7199" width="14" style="541" bestFit="1" customWidth="1"/>
    <col min="7200" max="7201" width="13.140625" style="541" bestFit="1" customWidth="1"/>
    <col min="7202" max="7202" width="14" style="541" bestFit="1" customWidth="1"/>
    <col min="7203" max="7206" width="9.28515625" style="541" bestFit="1" customWidth="1"/>
    <col min="7207" max="7208" width="11.7109375" style="541" bestFit="1" customWidth="1"/>
    <col min="7209" max="7209" width="9.28515625" style="541" bestFit="1" customWidth="1"/>
    <col min="7210" max="7210" width="11.7109375" style="541" bestFit="1" customWidth="1"/>
    <col min="7211" max="7211" width="13.140625" style="541" bestFit="1" customWidth="1"/>
    <col min="7212" max="7213" width="11.7109375" style="541" bestFit="1" customWidth="1"/>
    <col min="7214" max="7214" width="9.28515625" style="541" bestFit="1" customWidth="1"/>
    <col min="7215" max="7215" width="13.140625" style="541" bestFit="1" customWidth="1"/>
    <col min="7216" max="7216" width="9.28515625" style="541" bestFit="1" customWidth="1"/>
    <col min="7217" max="7218" width="13.140625" style="541" bestFit="1" customWidth="1"/>
    <col min="7219" max="7219" width="14.85546875" style="541" bestFit="1" customWidth="1"/>
    <col min="7220" max="7424" width="9.140625" style="541"/>
    <col min="7425" max="7425" width="9.28515625" style="541" customWidth="1"/>
    <col min="7426" max="7426" width="8.85546875" style="541" bestFit="1" customWidth="1"/>
    <col min="7427" max="7427" width="8.7109375" style="541" bestFit="1" customWidth="1"/>
    <col min="7428" max="7428" width="8.85546875" style="541" bestFit="1" customWidth="1"/>
    <col min="7429" max="7429" width="8" style="541" bestFit="1" customWidth="1"/>
    <col min="7430" max="7430" width="9" style="541" bestFit="1" customWidth="1"/>
    <col min="7431" max="7431" width="10.140625" style="541" customWidth="1"/>
    <col min="7432" max="7432" width="11" style="541" bestFit="1" customWidth="1"/>
    <col min="7433" max="7434" width="10.5703125" style="541" bestFit="1" customWidth="1"/>
    <col min="7435" max="7435" width="9.85546875" style="541" customWidth="1"/>
    <col min="7436" max="7436" width="11.5703125" style="541" customWidth="1"/>
    <col min="7437" max="7437" width="11.42578125" style="541" customWidth="1"/>
    <col min="7438" max="7438" width="10.140625" style="541" customWidth="1"/>
    <col min="7439" max="7439" width="10.28515625" style="541" bestFit="1" customWidth="1"/>
    <col min="7440" max="7440" width="12.140625" style="541" bestFit="1" customWidth="1"/>
    <col min="7441" max="7441" width="12" style="541" bestFit="1" customWidth="1"/>
    <col min="7442" max="7442" width="12.140625" style="541" customWidth="1"/>
    <col min="7443" max="7443" width="10.85546875" style="541" customWidth="1"/>
    <col min="7444" max="7444" width="8.85546875" style="541" bestFit="1" customWidth="1"/>
    <col min="7445" max="7445" width="9" style="541" bestFit="1" customWidth="1"/>
    <col min="7446" max="7446" width="8.5703125" style="541" bestFit="1" customWidth="1"/>
    <col min="7447" max="7447" width="7.85546875" style="541" bestFit="1" customWidth="1"/>
    <col min="7448" max="7448" width="10.28515625" style="541" bestFit="1" customWidth="1"/>
    <col min="7449" max="7449" width="11.85546875" style="541" bestFit="1" customWidth="1"/>
    <col min="7450" max="7450" width="11.7109375" style="541" bestFit="1" customWidth="1"/>
    <col min="7451" max="7451" width="13.140625" style="541" bestFit="1" customWidth="1"/>
    <col min="7452" max="7452" width="5.5703125" style="541" bestFit="1" customWidth="1"/>
    <col min="7453" max="7453" width="10" style="541" bestFit="1" customWidth="1"/>
    <col min="7454" max="7455" width="14" style="541" bestFit="1" customWidth="1"/>
    <col min="7456" max="7457" width="13.140625" style="541" bestFit="1" customWidth="1"/>
    <col min="7458" max="7458" width="14" style="541" bestFit="1" customWidth="1"/>
    <col min="7459" max="7462" width="9.28515625" style="541" bestFit="1" customWidth="1"/>
    <col min="7463" max="7464" width="11.7109375" style="541" bestFit="1" customWidth="1"/>
    <col min="7465" max="7465" width="9.28515625" style="541" bestFit="1" customWidth="1"/>
    <col min="7466" max="7466" width="11.7109375" style="541" bestFit="1" customWidth="1"/>
    <col min="7467" max="7467" width="13.140625" style="541" bestFit="1" customWidth="1"/>
    <col min="7468" max="7469" width="11.7109375" style="541" bestFit="1" customWidth="1"/>
    <col min="7470" max="7470" width="9.28515625" style="541" bestFit="1" customWidth="1"/>
    <col min="7471" max="7471" width="13.140625" style="541" bestFit="1" customWidth="1"/>
    <col min="7472" max="7472" width="9.28515625" style="541" bestFit="1" customWidth="1"/>
    <col min="7473" max="7474" width="13.140625" style="541" bestFit="1" customWidth="1"/>
    <col min="7475" max="7475" width="14.85546875" style="541" bestFit="1" customWidth="1"/>
    <col min="7476" max="7680" width="9.140625" style="541"/>
    <col min="7681" max="7681" width="9.28515625" style="541" customWidth="1"/>
    <col min="7682" max="7682" width="8.85546875" style="541" bestFit="1" customWidth="1"/>
    <col min="7683" max="7683" width="8.7109375" style="541" bestFit="1" customWidth="1"/>
    <col min="7684" max="7684" width="8.85546875" style="541" bestFit="1" customWidth="1"/>
    <col min="7685" max="7685" width="8" style="541" bestFit="1" customWidth="1"/>
    <col min="7686" max="7686" width="9" style="541" bestFit="1" customWidth="1"/>
    <col min="7687" max="7687" width="10.140625" style="541" customWidth="1"/>
    <col min="7688" max="7688" width="11" style="541" bestFit="1" customWidth="1"/>
    <col min="7689" max="7690" width="10.5703125" style="541" bestFit="1" customWidth="1"/>
    <col min="7691" max="7691" width="9.85546875" style="541" customWidth="1"/>
    <col min="7692" max="7692" width="11.5703125" style="541" customWidth="1"/>
    <col min="7693" max="7693" width="11.42578125" style="541" customWidth="1"/>
    <col min="7694" max="7694" width="10.140625" style="541" customWidth="1"/>
    <col min="7695" max="7695" width="10.28515625" style="541" bestFit="1" customWidth="1"/>
    <col min="7696" max="7696" width="12.140625" style="541" bestFit="1" customWidth="1"/>
    <col min="7697" max="7697" width="12" style="541" bestFit="1" customWidth="1"/>
    <col min="7698" max="7698" width="12.140625" style="541" customWidth="1"/>
    <col min="7699" max="7699" width="10.85546875" style="541" customWidth="1"/>
    <col min="7700" max="7700" width="8.85546875" style="541" bestFit="1" customWidth="1"/>
    <col min="7701" max="7701" width="9" style="541" bestFit="1" customWidth="1"/>
    <col min="7702" max="7702" width="8.5703125" style="541" bestFit="1" customWidth="1"/>
    <col min="7703" max="7703" width="7.85546875" style="541" bestFit="1" customWidth="1"/>
    <col min="7704" max="7704" width="10.28515625" style="541" bestFit="1" customWidth="1"/>
    <col min="7705" max="7705" width="11.85546875" style="541" bestFit="1" customWidth="1"/>
    <col min="7706" max="7706" width="11.7109375" style="541" bestFit="1" customWidth="1"/>
    <col min="7707" max="7707" width="13.140625" style="541" bestFit="1" customWidth="1"/>
    <col min="7708" max="7708" width="5.5703125" style="541" bestFit="1" customWidth="1"/>
    <col min="7709" max="7709" width="10" style="541" bestFit="1" customWidth="1"/>
    <col min="7710" max="7711" width="14" style="541" bestFit="1" customWidth="1"/>
    <col min="7712" max="7713" width="13.140625" style="541" bestFit="1" customWidth="1"/>
    <col min="7714" max="7714" width="14" style="541" bestFit="1" customWidth="1"/>
    <col min="7715" max="7718" width="9.28515625" style="541" bestFit="1" customWidth="1"/>
    <col min="7719" max="7720" width="11.7109375" style="541" bestFit="1" customWidth="1"/>
    <col min="7721" max="7721" width="9.28515625" style="541" bestFit="1" customWidth="1"/>
    <col min="7722" max="7722" width="11.7109375" style="541" bestFit="1" customWidth="1"/>
    <col min="7723" max="7723" width="13.140625" style="541" bestFit="1" customWidth="1"/>
    <col min="7724" max="7725" width="11.7109375" style="541" bestFit="1" customWidth="1"/>
    <col min="7726" max="7726" width="9.28515625" style="541" bestFit="1" customWidth="1"/>
    <col min="7727" max="7727" width="13.140625" style="541" bestFit="1" customWidth="1"/>
    <col min="7728" max="7728" width="9.28515625" style="541" bestFit="1" customWidth="1"/>
    <col min="7729" max="7730" width="13.140625" style="541" bestFit="1" customWidth="1"/>
    <col min="7731" max="7731" width="14.85546875" style="541" bestFit="1" customWidth="1"/>
    <col min="7732" max="7936" width="9.140625" style="541"/>
    <col min="7937" max="7937" width="9.28515625" style="541" customWidth="1"/>
    <col min="7938" max="7938" width="8.85546875" style="541" bestFit="1" customWidth="1"/>
    <col min="7939" max="7939" width="8.7109375" style="541" bestFit="1" customWidth="1"/>
    <col min="7940" max="7940" width="8.85546875" style="541" bestFit="1" customWidth="1"/>
    <col min="7941" max="7941" width="8" style="541" bestFit="1" customWidth="1"/>
    <col min="7942" max="7942" width="9" style="541" bestFit="1" customWidth="1"/>
    <col min="7943" max="7943" width="10.140625" style="541" customWidth="1"/>
    <col min="7944" max="7944" width="11" style="541" bestFit="1" customWidth="1"/>
    <col min="7945" max="7946" width="10.5703125" style="541" bestFit="1" customWidth="1"/>
    <col min="7947" max="7947" width="9.85546875" style="541" customWidth="1"/>
    <col min="7948" max="7948" width="11.5703125" style="541" customWidth="1"/>
    <col min="7949" max="7949" width="11.42578125" style="541" customWidth="1"/>
    <col min="7950" max="7950" width="10.140625" style="541" customWidth="1"/>
    <col min="7951" max="7951" width="10.28515625" style="541" bestFit="1" customWidth="1"/>
    <col min="7952" max="7952" width="12.140625" style="541" bestFit="1" customWidth="1"/>
    <col min="7953" max="7953" width="12" style="541" bestFit="1" customWidth="1"/>
    <col min="7954" max="7954" width="12.140625" style="541" customWidth="1"/>
    <col min="7955" max="7955" width="10.85546875" style="541" customWidth="1"/>
    <col min="7956" max="7956" width="8.85546875" style="541" bestFit="1" customWidth="1"/>
    <col min="7957" max="7957" width="9" style="541" bestFit="1" customWidth="1"/>
    <col min="7958" max="7958" width="8.5703125" style="541" bestFit="1" customWidth="1"/>
    <col min="7959" max="7959" width="7.85546875" style="541" bestFit="1" customWidth="1"/>
    <col min="7960" max="7960" width="10.28515625" style="541" bestFit="1" customWidth="1"/>
    <col min="7961" max="7961" width="11.85546875" style="541" bestFit="1" customWidth="1"/>
    <col min="7962" max="7962" width="11.7109375" style="541" bestFit="1" customWidth="1"/>
    <col min="7963" max="7963" width="13.140625" style="541" bestFit="1" customWidth="1"/>
    <col min="7964" max="7964" width="5.5703125" style="541" bestFit="1" customWidth="1"/>
    <col min="7965" max="7965" width="10" style="541" bestFit="1" customWidth="1"/>
    <col min="7966" max="7967" width="14" style="541" bestFit="1" customWidth="1"/>
    <col min="7968" max="7969" width="13.140625" style="541" bestFit="1" customWidth="1"/>
    <col min="7970" max="7970" width="14" style="541" bestFit="1" customWidth="1"/>
    <col min="7971" max="7974" width="9.28515625" style="541" bestFit="1" customWidth="1"/>
    <col min="7975" max="7976" width="11.7109375" style="541" bestFit="1" customWidth="1"/>
    <col min="7977" max="7977" width="9.28515625" style="541" bestFit="1" customWidth="1"/>
    <col min="7978" max="7978" width="11.7109375" style="541" bestFit="1" customWidth="1"/>
    <col min="7979" max="7979" width="13.140625" style="541" bestFit="1" customWidth="1"/>
    <col min="7980" max="7981" width="11.7109375" style="541" bestFit="1" customWidth="1"/>
    <col min="7982" max="7982" width="9.28515625" style="541" bestFit="1" customWidth="1"/>
    <col min="7983" max="7983" width="13.140625" style="541" bestFit="1" customWidth="1"/>
    <col min="7984" max="7984" width="9.28515625" style="541" bestFit="1" customWidth="1"/>
    <col min="7985" max="7986" width="13.140625" style="541" bestFit="1" customWidth="1"/>
    <col min="7987" max="7987" width="14.85546875" style="541" bestFit="1" customWidth="1"/>
    <col min="7988" max="8192" width="9.140625" style="541"/>
    <col min="8193" max="8193" width="9.28515625" style="541" customWidth="1"/>
    <col min="8194" max="8194" width="8.85546875" style="541" bestFit="1" customWidth="1"/>
    <col min="8195" max="8195" width="8.7109375" style="541" bestFit="1" customWidth="1"/>
    <col min="8196" max="8196" width="8.85546875" style="541" bestFit="1" customWidth="1"/>
    <col min="8197" max="8197" width="8" style="541" bestFit="1" customWidth="1"/>
    <col min="8198" max="8198" width="9" style="541" bestFit="1" customWidth="1"/>
    <col min="8199" max="8199" width="10.140625" style="541" customWidth="1"/>
    <col min="8200" max="8200" width="11" style="541" bestFit="1" customWidth="1"/>
    <col min="8201" max="8202" width="10.5703125" style="541" bestFit="1" customWidth="1"/>
    <col min="8203" max="8203" width="9.85546875" style="541" customWidth="1"/>
    <col min="8204" max="8204" width="11.5703125" style="541" customWidth="1"/>
    <col min="8205" max="8205" width="11.42578125" style="541" customWidth="1"/>
    <col min="8206" max="8206" width="10.140625" style="541" customWidth="1"/>
    <col min="8207" max="8207" width="10.28515625" style="541" bestFit="1" customWidth="1"/>
    <col min="8208" max="8208" width="12.140625" style="541" bestFit="1" customWidth="1"/>
    <col min="8209" max="8209" width="12" style="541" bestFit="1" customWidth="1"/>
    <col min="8210" max="8210" width="12.140625" style="541" customWidth="1"/>
    <col min="8211" max="8211" width="10.85546875" style="541" customWidth="1"/>
    <col min="8212" max="8212" width="8.85546875" style="541" bestFit="1" customWidth="1"/>
    <col min="8213" max="8213" width="9" style="541" bestFit="1" customWidth="1"/>
    <col min="8214" max="8214" width="8.5703125" style="541" bestFit="1" customWidth="1"/>
    <col min="8215" max="8215" width="7.85546875" style="541" bestFit="1" customWidth="1"/>
    <col min="8216" max="8216" width="10.28515625" style="541" bestFit="1" customWidth="1"/>
    <col min="8217" max="8217" width="11.85546875" style="541" bestFit="1" customWidth="1"/>
    <col min="8218" max="8218" width="11.7109375" style="541" bestFit="1" customWidth="1"/>
    <col min="8219" max="8219" width="13.140625" style="541" bestFit="1" customWidth="1"/>
    <col min="8220" max="8220" width="5.5703125" style="541" bestFit="1" customWidth="1"/>
    <col min="8221" max="8221" width="10" style="541" bestFit="1" customWidth="1"/>
    <col min="8222" max="8223" width="14" style="541" bestFit="1" customWidth="1"/>
    <col min="8224" max="8225" width="13.140625" style="541" bestFit="1" customWidth="1"/>
    <col min="8226" max="8226" width="14" style="541" bestFit="1" customWidth="1"/>
    <col min="8227" max="8230" width="9.28515625" style="541" bestFit="1" customWidth="1"/>
    <col min="8231" max="8232" width="11.7109375" style="541" bestFit="1" customWidth="1"/>
    <col min="8233" max="8233" width="9.28515625" style="541" bestFit="1" customWidth="1"/>
    <col min="8234" max="8234" width="11.7109375" style="541" bestFit="1" customWidth="1"/>
    <col min="8235" max="8235" width="13.140625" style="541" bestFit="1" customWidth="1"/>
    <col min="8236" max="8237" width="11.7109375" style="541" bestFit="1" customWidth="1"/>
    <col min="8238" max="8238" width="9.28515625" style="541" bestFit="1" customWidth="1"/>
    <col min="8239" max="8239" width="13.140625" style="541" bestFit="1" customWidth="1"/>
    <col min="8240" max="8240" width="9.28515625" style="541" bestFit="1" customWidth="1"/>
    <col min="8241" max="8242" width="13.140625" style="541" bestFit="1" customWidth="1"/>
    <col min="8243" max="8243" width="14.85546875" style="541" bestFit="1" customWidth="1"/>
    <col min="8244" max="8448" width="9.140625" style="541"/>
    <col min="8449" max="8449" width="9.28515625" style="541" customWidth="1"/>
    <col min="8450" max="8450" width="8.85546875" style="541" bestFit="1" customWidth="1"/>
    <col min="8451" max="8451" width="8.7109375" style="541" bestFit="1" customWidth="1"/>
    <col min="8452" max="8452" width="8.85546875" style="541" bestFit="1" customWidth="1"/>
    <col min="8453" max="8453" width="8" style="541" bestFit="1" customWidth="1"/>
    <col min="8454" max="8454" width="9" style="541" bestFit="1" customWidth="1"/>
    <col min="8455" max="8455" width="10.140625" style="541" customWidth="1"/>
    <col min="8456" max="8456" width="11" style="541" bestFit="1" customWidth="1"/>
    <col min="8457" max="8458" width="10.5703125" style="541" bestFit="1" customWidth="1"/>
    <col min="8459" max="8459" width="9.85546875" style="541" customWidth="1"/>
    <col min="8460" max="8460" width="11.5703125" style="541" customWidth="1"/>
    <col min="8461" max="8461" width="11.42578125" style="541" customWidth="1"/>
    <col min="8462" max="8462" width="10.140625" style="541" customWidth="1"/>
    <col min="8463" max="8463" width="10.28515625" style="541" bestFit="1" customWidth="1"/>
    <col min="8464" max="8464" width="12.140625" style="541" bestFit="1" customWidth="1"/>
    <col min="8465" max="8465" width="12" style="541" bestFit="1" customWidth="1"/>
    <col min="8466" max="8466" width="12.140625" style="541" customWidth="1"/>
    <col min="8467" max="8467" width="10.85546875" style="541" customWidth="1"/>
    <col min="8468" max="8468" width="8.85546875" style="541" bestFit="1" customWidth="1"/>
    <col min="8469" max="8469" width="9" style="541" bestFit="1" customWidth="1"/>
    <col min="8470" max="8470" width="8.5703125" style="541" bestFit="1" customWidth="1"/>
    <col min="8471" max="8471" width="7.85546875" style="541" bestFit="1" customWidth="1"/>
    <col min="8472" max="8472" width="10.28515625" style="541" bestFit="1" customWidth="1"/>
    <col min="8473" max="8473" width="11.85546875" style="541" bestFit="1" customWidth="1"/>
    <col min="8474" max="8474" width="11.7109375" style="541" bestFit="1" customWidth="1"/>
    <col min="8475" max="8475" width="13.140625" style="541" bestFit="1" customWidth="1"/>
    <col min="8476" max="8476" width="5.5703125" style="541" bestFit="1" customWidth="1"/>
    <col min="8477" max="8477" width="10" style="541" bestFit="1" customWidth="1"/>
    <col min="8478" max="8479" width="14" style="541" bestFit="1" customWidth="1"/>
    <col min="8480" max="8481" width="13.140625" style="541" bestFit="1" customWidth="1"/>
    <col min="8482" max="8482" width="14" style="541" bestFit="1" customWidth="1"/>
    <col min="8483" max="8486" width="9.28515625" style="541" bestFit="1" customWidth="1"/>
    <col min="8487" max="8488" width="11.7109375" style="541" bestFit="1" customWidth="1"/>
    <col min="8489" max="8489" width="9.28515625" style="541" bestFit="1" customWidth="1"/>
    <col min="8490" max="8490" width="11.7109375" style="541" bestFit="1" customWidth="1"/>
    <col min="8491" max="8491" width="13.140625" style="541" bestFit="1" customWidth="1"/>
    <col min="8492" max="8493" width="11.7109375" style="541" bestFit="1" customWidth="1"/>
    <col min="8494" max="8494" width="9.28515625" style="541" bestFit="1" customWidth="1"/>
    <col min="8495" max="8495" width="13.140625" style="541" bestFit="1" customWidth="1"/>
    <col min="8496" max="8496" width="9.28515625" style="541" bestFit="1" customWidth="1"/>
    <col min="8497" max="8498" width="13.140625" style="541" bestFit="1" customWidth="1"/>
    <col min="8499" max="8499" width="14.85546875" style="541" bestFit="1" customWidth="1"/>
    <col min="8500" max="8704" width="9.140625" style="541"/>
    <col min="8705" max="8705" width="9.28515625" style="541" customWidth="1"/>
    <col min="8706" max="8706" width="8.85546875" style="541" bestFit="1" customWidth="1"/>
    <col min="8707" max="8707" width="8.7109375" style="541" bestFit="1" customWidth="1"/>
    <col min="8708" max="8708" width="8.85546875" style="541" bestFit="1" customWidth="1"/>
    <col min="8709" max="8709" width="8" style="541" bestFit="1" customWidth="1"/>
    <col min="8710" max="8710" width="9" style="541" bestFit="1" customWidth="1"/>
    <col min="8711" max="8711" width="10.140625" style="541" customWidth="1"/>
    <col min="8712" max="8712" width="11" style="541" bestFit="1" customWidth="1"/>
    <col min="8713" max="8714" width="10.5703125" style="541" bestFit="1" customWidth="1"/>
    <col min="8715" max="8715" width="9.85546875" style="541" customWidth="1"/>
    <col min="8716" max="8716" width="11.5703125" style="541" customWidth="1"/>
    <col min="8717" max="8717" width="11.42578125" style="541" customWidth="1"/>
    <col min="8718" max="8718" width="10.140625" style="541" customWidth="1"/>
    <col min="8719" max="8719" width="10.28515625" style="541" bestFit="1" customWidth="1"/>
    <col min="8720" max="8720" width="12.140625" style="541" bestFit="1" customWidth="1"/>
    <col min="8721" max="8721" width="12" style="541" bestFit="1" customWidth="1"/>
    <col min="8722" max="8722" width="12.140625" style="541" customWidth="1"/>
    <col min="8723" max="8723" width="10.85546875" style="541" customWidth="1"/>
    <col min="8724" max="8724" width="8.85546875" style="541" bestFit="1" customWidth="1"/>
    <col min="8725" max="8725" width="9" style="541" bestFit="1" customWidth="1"/>
    <col min="8726" max="8726" width="8.5703125" style="541" bestFit="1" customWidth="1"/>
    <col min="8727" max="8727" width="7.85546875" style="541" bestFit="1" customWidth="1"/>
    <col min="8728" max="8728" width="10.28515625" style="541" bestFit="1" customWidth="1"/>
    <col min="8729" max="8729" width="11.85546875" style="541" bestFit="1" customWidth="1"/>
    <col min="8730" max="8730" width="11.7109375" style="541" bestFit="1" customWidth="1"/>
    <col min="8731" max="8731" width="13.140625" style="541" bestFit="1" customWidth="1"/>
    <col min="8732" max="8732" width="5.5703125" style="541" bestFit="1" customWidth="1"/>
    <col min="8733" max="8733" width="10" style="541" bestFit="1" customWidth="1"/>
    <col min="8734" max="8735" width="14" style="541" bestFit="1" customWidth="1"/>
    <col min="8736" max="8737" width="13.140625" style="541" bestFit="1" customWidth="1"/>
    <col min="8738" max="8738" width="14" style="541" bestFit="1" customWidth="1"/>
    <col min="8739" max="8742" width="9.28515625" style="541" bestFit="1" customWidth="1"/>
    <col min="8743" max="8744" width="11.7109375" style="541" bestFit="1" customWidth="1"/>
    <col min="8745" max="8745" width="9.28515625" style="541" bestFit="1" customWidth="1"/>
    <col min="8746" max="8746" width="11.7109375" style="541" bestFit="1" customWidth="1"/>
    <col min="8747" max="8747" width="13.140625" style="541" bestFit="1" customWidth="1"/>
    <col min="8748" max="8749" width="11.7109375" style="541" bestFit="1" customWidth="1"/>
    <col min="8750" max="8750" width="9.28515625" style="541" bestFit="1" customWidth="1"/>
    <col min="8751" max="8751" width="13.140625" style="541" bestFit="1" customWidth="1"/>
    <col min="8752" max="8752" width="9.28515625" style="541" bestFit="1" customWidth="1"/>
    <col min="8753" max="8754" width="13.140625" style="541" bestFit="1" customWidth="1"/>
    <col min="8755" max="8755" width="14.85546875" style="541" bestFit="1" customWidth="1"/>
    <col min="8756" max="8960" width="9.140625" style="541"/>
    <col min="8961" max="8961" width="9.28515625" style="541" customWidth="1"/>
    <col min="8962" max="8962" width="8.85546875" style="541" bestFit="1" customWidth="1"/>
    <col min="8963" max="8963" width="8.7109375" style="541" bestFit="1" customWidth="1"/>
    <col min="8964" max="8964" width="8.85546875" style="541" bestFit="1" customWidth="1"/>
    <col min="8965" max="8965" width="8" style="541" bestFit="1" customWidth="1"/>
    <col min="8966" max="8966" width="9" style="541" bestFit="1" customWidth="1"/>
    <col min="8967" max="8967" width="10.140625" style="541" customWidth="1"/>
    <col min="8968" max="8968" width="11" style="541" bestFit="1" customWidth="1"/>
    <col min="8969" max="8970" width="10.5703125" style="541" bestFit="1" customWidth="1"/>
    <col min="8971" max="8971" width="9.85546875" style="541" customWidth="1"/>
    <col min="8972" max="8972" width="11.5703125" style="541" customWidth="1"/>
    <col min="8973" max="8973" width="11.42578125" style="541" customWidth="1"/>
    <col min="8974" max="8974" width="10.140625" style="541" customWidth="1"/>
    <col min="8975" max="8975" width="10.28515625" style="541" bestFit="1" customWidth="1"/>
    <col min="8976" max="8976" width="12.140625" style="541" bestFit="1" customWidth="1"/>
    <col min="8977" max="8977" width="12" style="541" bestFit="1" customWidth="1"/>
    <col min="8978" max="8978" width="12.140625" style="541" customWidth="1"/>
    <col min="8979" max="8979" width="10.85546875" style="541" customWidth="1"/>
    <col min="8980" max="8980" width="8.85546875" style="541" bestFit="1" customWidth="1"/>
    <col min="8981" max="8981" width="9" style="541" bestFit="1" customWidth="1"/>
    <col min="8982" max="8982" width="8.5703125" style="541" bestFit="1" customWidth="1"/>
    <col min="8983" max="8983" width="7.85546875" style="541" bestFit="1" customWidth="1"/>
    <col min="8984" max="8984" width="10.28515625" style="541" bestFit="1" customWidth="1"/>
    <col min="8985" max="8985" width="11.85546875" style="541" bestFit="1" customWidth="1"/>
    <col min="8986" max="8986" width="11.7109375" style="541" bestFit="1" customWidth="1"/>
    <col min="8987" max="8987" width="13.140625" style="541" bestFit="1" customWidth="1"/>
    <col min="8988" max="8988" width="5.5703125" style="541" bestFit="1" customWidth="1"/>
    <col min="8989" max="8989" width="10" style="541" bestFit="1" customWidth="1"/>
    <col min="8990" max="8991" width="14" style="541" bestFit="1" customWidth="1"/>
    <col min="8992" max="8993" width="13.140625" style="541" bestFit="1" customWidth="1"/>
    <col min="8994" max="8994" width="14" style="541" bestFit="1" customWidth="1"/>
    <col min="8995" max="8998" width="9.28515625" style="541" bestFit="1" customWidth="1"/>
    <col min="8999" max="9000" width="11.7109375" style="541" bestFit="1" customWidth="1"/>
    <col min="9001" max="9001" width="9.28515625" style="541" bestFit="1" customWidth="1"/>
    <col min="9002" max="9002" width="11.7109375" style="541" bestFit="1" customWidth="1"/>
    <col min="9003" max="9003" width="13.140625" style="541" bestFit="1" customWidth="1"/>
    <col min="9004" max="9005" width="11.7109375" style="541" bestFit="1" customWidth="1"/>
    <col min="9006" max="9006" width="9.28515625" style="541" bestFit="1" customWidth="1"/>
    <col min="9007" max="9007" width="13.140625" style="541" bestFit="1" customWidth="1"/>
    <col min="9008" max="9008" width="9.28515625" style="541" bestFit="1" customWidth="1"/>
    <col min="9009" max="9010" width="13.140625" style="541" bestFit="1" customWidth="1"/>
    <col min="9011" max="9011" width="14.85546875" style="541" bestFit="1" customWidth="1"/>
    <col min="9012" max="9216" width="9.140625" style="541"/>
    <col min="9217" max="9217" width="9.28515625" style="541" customWidth="1"/>
    <col min="9218" max="9218" width="8.85546875" style="541" bestFit="1" customWidth="1"/>
    <col min="9219" max="9219" width="8.7109375" style="541" bestFit="1" customWidth="1"/>
    <col min="9220" max="9220" width="8.85546875" style="541" bestFit="1" customWidth="1"/>
    <col min="9221" max="9221" width="8" style="541" bestFit="1" customWidth="1"/>
    <col min="9222" max="9222" width="9" style="541" bestFit="1" customWidth="1"/>
    <col min="9223" max="9223" width="10.140625" style="541" customWidth="1"/>
    <col min="9224" max="9224" width="11" style="541" bestFit="1" customWidth="1"/>
    <col min="9225" max="9226" width="10.5703125" style="541" bestFit="1" customWidth="1"/>
    <col min="9227" max="9227" width="9.85546875" style="541" customWidth="1"/>
    <col min="9228" max="9228" width="11.5703125" style="541" customWidth="1"/>
    <col min="9229" max="9229" width="11.42578125" style="541" customWidth="1"/>
    <col min="9230" max="9230" width="10.140625" style="541" customWidth="1"/>
    <col min="9231" max="9231" width="10.28515625" style="541" bestFit="1" customWidth="1"/>
    <col min="9232" max="9232" width="12.140625" style="541" bestFit="1" customWidth="1"/>
    <col min="9233" max="9233" width="12" style="541" bestFit="1" customWidth="1"/>
    <col min="9234" max="9234" width="12.140625" style="541" customWidth="1"/>
    <col min="9235" max="9235" width="10.85546875" style="541" customWidth="1"/>
    <col min="9236" max="9236" width="8.85546875" style="541" bestFit="1" customWidth="1"/>
    <col min="9237" max="9237" width="9" style="541" bestFit="1" customWidth="1"/>
    <col min="9238" max="9238" width="8.5703125" style="541" bestFit="1" customWidth="1"/>
    <col min="9239" max="9239" width="7.85546875" style="541" bestFit="1" customWidth="1"/>
    <col min="9240" max="9240" width="10.28515625" style="541" bestFit="1" customWidth="1"/>
    <col min="9241" max="9241" width="11.85546875" style="541" bestFit="1" customWidth="1"/>
    <col min="9242" max="9242" width="11.7109375" style="541" bestFit="1" customWidth="1"/>
    <col min="9243" max="9243" width="13.140625" style="541" bestFit="1" customWidth="1"/>
    <col min="9244" max="9244" width="5.5703125" style="541" bestFit="1" customWidth="1"/>
    <col min="9245" max="9245" width="10" style="541" bestFit="1" customWidth="1"/>
    <col min="9246" max="9247" width="14" style="541" bestFit="1" customWidth="1"/>
    <col min="9248" max="9249" width="13.140625" style="541" bestFit="1" customWidth="1"/>
    <col min="9250" max="9250" width="14" style="541" bestFit="1" customWidth="1"/>
    <col min="9251" max="9254" width="9.28515625" style="541" bestFit="1" customWidth="1"/>
    <col min="9255" max="9256" width="11.7109375" style="541" bestFit="1" customWidth="1"/>
    <col min="9257" max="9257" width="9.28515625" style="541" bestFit="1" customWidth="1"/>
    <col min="9258" max="9258" width="11.7109375" style="541" bestFit="1" customWidth="1"/>
    <col min="9259" max="9259" width="13.140625" style="541" bestFit="1" customWidth="1"/>
    <col min="9260" max="9261" width="11.7109375" style="541" bestFit="1" customWidth="1"/>
    <col min="9262" max="9262" width="9.28515625" style="541" bestFit="1" customWidth="1"/>
    <col min="9263" max="9263" width="13.140625" style="541" bestFit="1" customWidth="1"/>
    <col min="9264" max="9264" width="9.28515625" style="541" bestFit="1" customWidth="1"/>
    <col min="9265" max="9266" width="13.140625" style="541" bestFit="1" customWidth="1"/>
    <col min="9267" max="9267" width="14.85546875" style="541" bestFit="1" customWidth="1"/>
    <col min="9268" max="9472" width="9.140625" style="541"/>
    <col min="9473" max="9473" width="9.28515625" style="541" customWidth="1"/>
    <col min="9474" max="9474" width="8.85546875" style="541" bestFit="1" customWidth="1"/>
    <col min="9475" max="9475" width="8.7109375" style="541" bestFit="1" customWidth="1"/>
    <col min="9476" max="9476" width="8.85546875" style="541" bestFit="1" customWidth="1"/>
    <col min="9477" max="9477" width="8" style="541" bestFit="1" customWidth="1"/>
    <col min="9478" max="9478" width="9" style="541" bestFit="1" customWidth="1"/>
    <col min="9479" max="9479" width="10.140625" style="541" customWidth="1"/>
    <col min="9480" max="9480" width="11" style="541" bestFit="1" customWidth="1"/>
    <col min="9481" max="9482" width="10.5703125" style="541" bestFit="1" customWidth="1"/>
    <col min="9483" max="9483" width="9.85546875" style="541" customWidth="1"/>
    <col min="9484" max="9484" width="11.5703125" style="541" customWidth="1"/>
    <col min="9485" max="9485" width="11.42578125" style="541" customWidth="1"/>
    <col min="9486" max="9486" width="10.140625" style="541" customWidth="1"/>
    <col min="9487" max="9487" width="10.28515625" style="541" bestFit="1" customWidth="1"/>
    <col min="9488" max="9488" width="12.140625" style="541" bestFit="1" customWidth="1"/>
    <col min="9489" max="9489" width="12" style="541" bestFit="1" customWidth="1"/>
    <col min="9490" max="9490" width="12.140625" style="541" customWidth="1"/>
    <col min="9491" max="9491" width="10.85546875" style="541" customWidth="1"/>
    <col min="9492" max="9492" width="8.85546875" style="541" bestFit="1" customWidth="1"/>
    <col min="9493" max="9493" width="9" style="541" bestFit="1" customWidth="1"/>
    <col min="9494" max="9494" width="8.5703125" style="541" bestFit="1" customWidth="1"/>
    <col min="9495" max="9495" width="7.85546875" style="541" bestFit="1" customWidth="1"/>
    <col min="9496" max="9496" width="10.28515625" style="541" bestFit="1" customWidth="1"/>
    <col min="9497" max="9497" width="11.85546875" style="541" bestFit="1" customWidth="1"/>
    <col min="9498" max="9498" width="11.7109375" style="541" bestFit="1" customWidth="1"/>
    <col min="9499" max="9499" width="13.140625" style="541" bestFit="1" customWidth="1"/>
    <col min="9500" max="9500" width="5.5703125" style="541" bestFit="1" customWidth="1"/>
    <col min="9501" max="9501" width="10" style="541" bestFit="1" customWidth="1"/>
    <col min="9502" max="9503" width="14" style="541" bestFit="1" customWidth="1"/>
    <col min="9504" max="9505" width="13.140625" style="541" bestFit="1" customWidth="1"/>
    <col min="9506" max="9506" width="14" style="541" bestFit="1" customWidth="1"/>
    <col min="9507" max="9510" width="9.28515625" style="541" bestFit="1" customWidth="1"/>
    <col min="9511" max="9512" width="11.7109375" style="541" bestFit="1" customWidth="1"/>
    <col min="9513" max="9513" width="9.28515625" style="541" bestFit="1" customWidth="1"/>
    <col min="9514" max="9514" width="11.7109375" style="541" bestFit="1" customWidth="1"/>
    <col min="9515" max="9515" width="13.140625" style="541" bestFit="1" customWidth="1"/>
    <col min="9516" max="9517" width="11.7109375" style="541" bestFit="1" customWidth="1"/>
    <col min="9518" max="9518" width="9.28515625" style="541" bestFit="1" customWidth="1"/>
    <col min="9519" max="9519" width="13.140625" style="541" bestFit="1" customWidth="1"/>
    <col min="9520" max="9520" width="9.28515625" style="541" bestFit="1" customWidth="1"/>
    <col min="9521" max="9522" width="13.140625" style="541" bestFit="1" customWidth="1"/>
    <col min="9523" max="9523" width="14.85546875" style="541" bestFit="1" customWidth="1"/>
    <col min="9524" max="9728" width="9.140625" style="541"/>
    <col min="9729" max="9729" width="9.28515625" style="541" customWidth="1"/>
    <col min="9730" max="9730" width="8.85546875" style="541" bestFit="1" customWidth="1"/>
    <col min="9731" max="9731" width="8.7109375" style="541" bestFit="1" customWidth="1"/>
    <col min="9732" max="9732" width="8.85546875" style="541" bestFit="1" customWidth="1"/>
    <col min="9733" max="9733" width="8" style="541" bestFit="1" customWidth="1"/>
    <col min="9734" max="9734" width="9" style="541" bestFit="1" customWidth="1"/>
    <col min="9735" max="9735" width="10.140625" style="541" customWidth="1"/>
    <col min="9736" max="9736" width="11" style="541" bestFit="1" customWidth="1"/>
    <col min="9737" max="9738" width="10.5703125" style="541" bestFit="1" customWidth="1"/>
    <col min="9739" max="9739" width="9.85546875" style="541" customWidth="1"/>
    <col min="9740" max="9740" width="11.5703125" style="541" customWidth="1"/>
    <col min="9741" max="9741" width="11.42578125" style="541" customWidth="1"/>
    <col min="9742" max="9742" width="10.140625" style="541" customWidth="1"/>
    <col min="9743" max="9743" width="10.28515625" style="541" bestFit="1" customWidth="1"/>
    <col min="9744" max="9744" width="12.140625" style="541" bestFit="1" customWidth="1"/>
    <col min="9745" max="9745" width="12" style="541" bestFit="1" customWidth="1"/>
    <col min="9746" max="9746" width="12.140625" style="541" customWidth="1"/>
    <col min="9747" max="9747" width="10.85546875" style="541" customWidth="1"/>
    <col min="9748" max="9748" width="8.85546875" style="541" bestFit="1" customWidth="1"/>
    <col min="9749" max="9749" width="9" style="541" bestFit="1" customWidth="1"/>
    <col min="9750" max="9750" width="8.5703125" style="541" bestFit="1" customWidth="1"/>
    <col min="9751" max="9751" width="7.85546875" style="541" bestFit="1" customWidth="1"/>
    <col min="9752" max="9752" width="10.28515625" style="541" bestFit="1" customWidth="1"/>
    <col min="9753" max="9753" width="11.85546875" style="541" bestFit="1" customWidth="1"/>
    <col min="9754" max="9754" width="11.7109375" style="541" bestFit="1" customWidth="1"/>
    <col min="9755" max="9755" width="13.140625" style="541" bestFit="1" customWidth="1"/>
    <col min="9756" max="9756" width="5.5703125" style="541" bestFit="1" customWidth="1"/>
    <col min="9757" max="9757" width="10" style="541" bestFit="1" customWidth="1"/>
    <col min="9758" max="9759" width="14" style="541" bestFit="1" customWidth="1"/>
    <col min="9760" max="9761" width="13.140625" style="541" bestFit="1" customWidth="1"/>
    <col min="9762" max="9762" width="14" style="541" bestFit="1" customWidth="1"/>
    <col min="9763" max="9766" width="9.28515625" style="541" bestFit="1" customWidth="1"/>
    <col min="9767" max="9768" width="11.7109375" style="541" bestFit="1" customWidth="1"/>
    <col min="9769" max="9769" width="9.28515625" style="541" bestFit="1" customWidth="1"/>
    <col min="9770" max="9770" width="11.7109375" style="541" bestFit="1" customWidth="1"/>
    <col min="9771" max="9771" width="13.140625" style="541" bestFit="1" customWidth="1"/>
    <col min="9772" max="9773" width="11.7109375" style="541" bestFit="1" customWidth="1"/>
    <col min="9774" max="9774" width="9.28515625" style="541" bestFit="1" customWidth="1"/>
    <col min="9775" max="9775" width="13.140625" style="541" bestFit="1" customWidth="1"/>
    <col min="9776" max="9776" width="9.28515625" style="541" bestFit="1" customWidth="1"/>
    <col min="9777" max="9778" width="13.140625" style="541" bestFit="1" customWidth="1"/>
    <col min="9779" max="9779" width="14.85546875" style="541" bestFit="1" customWidth="1"/>
    <col min="9780" max="9984" width="9.140625" style="541"/>
    <col min="9985" max="9985" width="9.28515625" style="541" customWidth="1"/>
    <col min="9986" max="9986" width="8.85546875" style="541" bestFit="1" customWidth="1"/>
    <col min="9987" max="9987" width="8.7109375" style="541" bestFit="1" customWidth="1"/>
    <col min="9988" max="9988" width="8.85546875" style="541" bestFit="1" customWidth="1"/>
    <col min="9989" max="9989" width="8" style="541" bestFit="1" customWidth="1"/>
    <col min="9990" max="9990" width="9" style="541" bestFit="1" customWidth="1"/>
    <col min="9991" max="9991" width="10.140625" style="541" customWidth="1"/>
    <col min="9992" max="9992" width="11" style="541" bestFit="1" customWidth="1"/>
    <col min="9993" max="9994" width="10.5703125" style="541" bestFit="1" customWidth="1"/>
    <col min="9995" max="9995" width="9.85546875" style="541" customWidth="1"/>
    <col min="9996" max="9996" width="11.5703125" style="541" customWidth="1"/>
    <col min="9997" max="9997" width="11.42578125" style="541" customWidth="1"/>
    <col min="9998" max="9998" width="10.140625" style="541" customWidth="1"/>
    <col min="9999" max="9999" width="10.28515625" style="541" bestFit="1" customWidth="1"/>
    <col min="10000" max="10000" width="12.140625" style="541" bestFit="1" customWidth="1"/>
    <col min="10001" max="10001" width="12" style="541" bestFit="1" customWidth="1"/>
    <col min="10002" max="10002" width="12.140625" style="541" customWidth="1"/>
    <col min="10003" max="10003" width="10.85546875" style="541" customWidth="1"/>
    <col min="10004" max="10004" width="8.85546875" style="541" bestFit="1" customWidth="1"/>
    <col min="10005" max="10005" width="9" style="541" bestFit="1" customWidth="1"/>
    <col min="10006" max="10006" width="8.5703125" style="541" bestFit="1" customWidth="1"/>
    <col min="10007" max="10007" width="7.85546875" style="541" bestFit="1" customWidth="1"/>
    <col min="10008" max="10008" width="10.28515625" style="541" bestFit="1" customWidth="1"/>
    <col min="10009" max="10009" width="11.85546875" style="541" bestFit="1" customWidth="1"/>
    <col min="10010" max="10010" width="11.7109375" style="541" bestFit="1" customWidth="1"/>
    <col min="10011" max="10011" width="13.140625" style="541" bestFit="1" customWidth="1"/>
    <col min="10012" max="10012" width="5.5703125" style="541" bestFit="1" customWidth="1"/>
    <col min="10013" max="10013" width="10" style="541" bestFit="1" customWidth="1"/>
    <col min="10014" max="10015" width="14" style="541" bestFit="1" customWidth="1"/>
    <col min="10016" max="10017" width="13.140625" style="541" bestFit="1" customWidth="1"/>
    <col min="10018" max="10018" width="14" style="541" bestFit="1" customWidth="1"/>
    <col min="10019" max="10022" width="9.28515625" style="541" bestFit="1" customWidth="1"/>
    <col min="10023" max="10024" width="11.7109375" style="541" bestFit="1" customWidth="1"/>
    <col min="10025" max="10025" width="9.28515625" style="541" bestFit="1" customWidth="1"/>
    <col min="10026" max="10026" width="11.7109375" style="541" bestFit="1" customWidth="1"/>
    <col min="10027" max="10027" width="13.140625" style="541" bestFit="1" customWidth="1"/>
    <col min="10028" max="10029" width="11.7109375" style="541" bestFit="1" customWidth="1"/>
    <col min="10030" max="10030" width="9.28515625" style="541" bestFit="1" customWidth="1"/>
    <col min="10031" max="10031" width="13.140625" style="541" bestFit="1" customWidth="1"/>
    <col min="10032" max="10032" width="9.28515625" style="541" bestFit="1" customWidth="1"/>
    <col min="10033" max="10034" width="13.140625" style="541" bestFit="1" customWidth="1"/>
    <col min="10035" max="10035" width="14.85546875" style="541" bestFit="1" customWidth="1"/>
    <col min="10036" max="10240" width="9.140625" style="541"/>
    <col min="10241" max="10241" width="9.28515625" style="541" customWidth="1"/>
    <col min="10242" max="10242" width="8.85546875" style="541" bestFit="1" customWidth="1"/>
    <col min="10243" max="10243" width="8.7109375" style="541" bestFit="1" customWidth="1"/>
    <col min="10244" max="10244" width="8.85546875" style="541" bestFit="1" customWidth="1"/>
    <col min="10245" max="10245" width="8" style="541" bestFit="1" customWidth="1"/>
    <col min="10246" max="10246" width="9" style="541" bestFit="1" customWidth="1"/>
    <col min="10247" max="10247" width="10.140625" style="541" customWidth="1"/>
    <col min="10248" max="10248" width="11" style="541" bestFit="1" customWidth="1"/>
    <col min="10249" max="10250" width="10.5703125" style="541" bestFit="1" customWidth="1"/>
    <col min="10251" max="10251" width="9.85546875" style="541" customWidth="1"/>
    <col min="10252" max="10252" width="11.5703125" style="541" customWidth="1"/>
    <col min="10253" max="10253" width="11.42578125" style="541" customWidth="1"/>
    <col min="10254" max="10254" width="10.140625" style="541" customWidth="1"/>
    <col min="10255" max="10255" width="10.28515625" style="541" bestFit="1" customWidth="1"/>
    <col min="10256" max="10256" width="12.140625" style="541" bestFit="1" customWidth="1"/>
    <col min="10257" max="10257" width="12" style="541" bestFit="1" customWidth="1"/>
    <col min="10258" max="10258" width="12.140625" style="541" customWidth="1"/>
    <col min="10259" max="10259" width="10.85546875" style="541" customWidth="1"/>
    <col min="10260" max="10260" width="8.85546875" style="541" bestFit="1" customWidth="1"/>
    <col min="10261" max="10261" width="9" style="541" bestFit="1" customWidth="1"/>
    <col min="10262" max="10262" width="8.5703125" style="541" bestFit="1" customWidth="1"/>
    <col min="10263" max="10263" width="7.85546875" style="541" bestFit="1" customWidth="1"/>
    <col min="10264" max="10264" width="10.28515625" style="541" bestFit="1" customWidth="1"/>
    <col min="10265" max="10265" width="11.85546875" style="541" bestFit="1" customWidth="1"/>
    <col min="10266" max="10266" width="11.7109375" style="541" bestFit="1" customWidth="1"/>
    <col min="10267" max="10267" width="13.140625" style="541" bestFit="1" customWidth="1"/>
    <col min="10268" max="10268" width="5.5703125" style="541" bestFit="1" customWidth="1"/>
    <col min="10269" max="10269" width="10" style="541" bestFit="1" customWidth="1"/>
    <col min="10270" max="10271" width="14" style="541" bestFit="1" customWidth="1"/>
    <col min="10272" max="10273" width="13.140625" style="541" bestFit="1" customWidth="1"/>
    <col min="10274" max="10274" width="14" style="541" bestFit="1" customWidth="1"/>
    <col min="10275" max="10278" width="9.28515625" style="541" bestFit="1" customWidth="1"/>
    <col min="10279" max="10280" width="11.7109375" style="541" bestFit="1" customWidth="1"/>
    <col min="10281" max="10281" width="9.28515625" style="541" bestFit="1" customWidth="1"/>
    <col min="10282" max="10282" width="11.7109375" style="541" bestFit="1" customWidth="1"/>
    <col min="10283" max="10283" width="13.140625" style="541" bestFit="1" customWidth="1"/>
    <col min="10284" max="10285" width="11.7109375" style="541" bestFit="1" customWidth="1"/>
    <col min="10286" max="10286" width="9.28515625" style="541" bestFit="1" customWidth="1"/>
    <col min="10287" max="10287" width="13.140625" style="541" bestFit="1" customWidth="1"/>
    <col min="10288" max="10288" width="9.28515625" style="541" bestFit="1" customWidth="1"/>
    <col min="10289" max="10290" width="13.140625" style="541" bestFit="1" customWidth="1"/>
    <col min="10291" max="10291" width="14.85546875" style="541" bestFit="1" customWidth="1"/>
    <col min="10292" max="10496" width="9.140625" style="541"/>
    <col min="10497" max="10497" width="9.28515625" style="541" customWidth="1"/>
    <col min="10498" max="10498" width="8.85546875" style="541" bestFit="1" customWidth="1"/>
    <col min="10499" max="10499" width="8.7109375" style="541" bestFit="1" customWidth="1"/>
    <col min="10500" max="10500" width="8.85546875" style="541" bestFit="1" customWidth="1"/>
    <col min="10501" max="10501" width="8" style="541" bestFit="1" customWidth="1"/>
    <col min="10502" max="10502" width="9" style="541" bestFit="1" customWidth="1"/>
    <col min="10503" max="10503" width="10.140625" style="541" customWidth="1"/>
    <col min="10504" max="10504" width="11" style="541" bestFit="1" customWidth="1"/>
    <col min="10505" max="10506" width="10.5703125" style="541" bestFit="1" customWidth="1"/>
    <col min="10507" max="10507" width="9.85546875" style="541" customWidth="1"/>
    <col min="10508" max="10508" width="11.5703125" style="541" customWidth="1"/>
    <col min="10509" max="10509" width="11.42578125" style="541" customWidth="1"/>
    <col min="10510" max="10510" width="10.140625" style="541" customWidth="1"/>
    <col min="10511" max="10511" width="10.28515625" style="541" bestFit="1" customWidth="1"/>
    <col min="10512" max="10512" width="12.140625" style="541" bestFit="1" customWidth="1"/>
    <col min="10513" max="10513" width="12" style="541" bestFit="1" customWidth="1"/>
    <col min="10514" max="10514" width="12.140625" style="541" customWidth="1"/>
    <col min="10515" max="10515" width="10.85546875" style="541" customWidth="1"/>
    <col min="10516" max="10516" width="8.85546875" style="541" bestFit="1" customWidth="1"/>
    <col min="10517" max="10517" width="9" style="541" bestFit="1" customWidth="1"/>
    <col min="10518" max="10518" width="8.5703125" style="541" bestFit="1" customWidth="1"/>
    <col min="10519" max="10519" width="7.85546875" style="541" bestFit="1" customWidth="1"/>
    <col min="10520" max="10520" width="10.28515625" style="541" bestFit="1" customWidth="1"/>
    <col min="10521" max="10521" width="11.85546875" style="541" bestFit="1" customWidth="1"/>
    <col min="10522" max="10522" width="11.7109375" style="541" bestFit="1" customWidth="1"/>
    <col min="10523" max="10523" width="13.140625" style="541" bestFit="1" customWidth="1"/>
    <col min="10524" max="10524" width="5.5703125" style="541" bestFit="1" customWidth="1"/>
    <col min="10525" max="10525" width="10" style="541" bestFit="1" customWidth="1"/>
    <col min="10526" max="10527" width="14" style="541" bestFit="1" customWidth="1"/>
    <col min="10528" max="10529" width="13.140625" style="541" bestFit="1" customWidth="1"/>
    <col min="10530" max="10530" width="14" style="541" bestFit="1" customWidth="1"/>
    <col min="10531" max="10534" width="9.28515625" style="541" bestFit="1" customWidth="1"/>
    <col min="10535" max="10536" width="11.7109375" style="541" bestFit="1" customWidth="1"/>
    <col min="10537" max="10537" width="9.28515625" style="541" bestFit="1" customWidth="1"/>
    <col min="10538" max="10538" width="11.7109375" style="541" bestFit="1" customWidth="1"/>
    <col min="10539" max="10539" width="13.140625" style="541" bestFit="1" customWidth="1"/>
    <col min="10540" max="10541" width="11.7109375" style="541" bestFit="1" customWidth="1"/>
    <col min="10542" max="10542" width="9.28515625" style="541" bestFit="1" customWidth="1"/>
    <col min="10543" max="10543" width="13.140625" style="541" bestFit="1" customWidth="1"/>
    <col min="10544" max="10544" width="9.28515625" style="541" bestFit="1" customWidth="1"/>
    <col min="10545" max="10546" width="13.140625" style="541" bestFit="1" customWidth="1"/>
    <col min="10547" max="10547" width="14.85546875" style="541" bestFit="1" customWidth="1"/>
    <col min="10548" max="10752" width="9.140625" style="541"/>
    <col min="10753" max="10753" width="9.28515625" style="541" customWidth="1"/>
    <col min="10754" max="10754" width="8.85546875" style="541" bestFit="1" customWidth="1"/>
    <col min="10755" max="10755" width="8.7109375" style="541" bestFit="1" customWidth="1"/>
    <col min="10756" max="10756" width="8.85546875" style="541" bestFit="1" customWidth="1"/>
    <col min="10757" max="10757" width="8" style="541" bestFit="1" customWidth="1"/>
    <col min="10758" max="10758" width="9" style="541" bestFit="1" customWidth="1"/>
    <col min="10759" max="10759" width="10.140625" style="541" customWidth="1"/>
    <col min="10760" max="10760" width="11" style="541" bestFit="1" customWidth="1"/>
    <col min="10761" max="10762" width="10.5703125" style="541" bestFit="1" customWidth="1"/>
    <col min="10763" max="10763" width="9.85546875" style="541" customWidth="1"/>
    <col min="10764" max="10764" width="11.5703125" style="541" customWidth="1"/>
    <col min="10765" max="10765" width="11.42578125" style="541" customWidth="1"/>
    <col min="10766" max="10766" width="10.140625" style="541" customWidth="1"/>
    <col min="10767" max="10767" width="10.28515625" style="541" bestFit="1" customWidth="1"/>
    <col min="10768" max="10768" width="12.140625" style="541" bestFit="1" customWidth="1"/>
    <col min="10769" max="10769" width="12" style="541" bestFit="1" customWidth="1"/>
    <col min="10770" max="10770" width="12.140625" style="541" customWidth="1"/>
    <col min="10771" max="10771" width="10.85546875" style="541" customWidth="1"/>
    <col min="10772" max="10772" width="8.85546875" style="541" bestFit="1" customWidth="1"/>
    <col min="10773" max="10773" width="9" style="541" bestFit="1" customWidth="1"/>
    <col min="10774" max="10774" width="8.5703125" style="541" bestFit="1" customWidth="1"/>
    <col min="10775" max="10775" width="7.85546875" style="541" bestFit="1" customWidth="1"/>
    <col min="10776" max="10776" width="10.28515625" style="541" bestFit="1" customWidth="1"/>
    <col min="10777" max="10777" width="11.85546875" style="541" bestFit="1" customWidth="1"/>
    <col min="10778" max="10778" width="11.7109375" style="541" bestFit="1" customWidth="1"/>
    <col min="10779" max="10779" width="13.140625" style="541" bestFit="1" customWidth="1"/>
    <col min="10780" max="10780" width="5.5703125" style="541" bestFit="1" customWidth="1"/>
    <col min="10781" max="10781" width="10" style="541" bestFit="1" customWidth="1"/>
    <col min="10782" max="10783" width="14" style="541" bestFit="1" customWidth="1"/>
    <col min="10784" max="10785" width="13.140625" style="541" bestFit="1" customWidth="1"/>
    <col min="10786" max="10786" width="14" style="541" bestFit="1" customWidth="1"/>
    <col min="10787" max="10790" width="9.28515625" style="541" bestFit="1" customWidth="1"/>
    <col min="10791" max="10792" width="11.7109375" style="541" bestFit="1" customWidth="1"/>
    <col min="10793" max="10793" width="9.28515625" style="541" bestFit="1" customWidth="1"/>
    <col min="10794" max="10794" width="11.7109375" style="541" bestFit="1" customWidth="1"/>
    <col min="10795" max="10795" width="13.140625" style="541" bestFit="1" customWidth="1"/>
    <col min="10796" max="10797" width="11.7109375" style="541" bestFit="1" customWidth="1"/>
    <col min="10798" max="10798" width="9.28515625" style="541" bestFit="1" customWidth="1"/>
    <col min="10799" max="10799" width="13.140625" style="541" bestFit="1" customWidth="1"/>
    <col min="10800" max="10800" width="9.28515625" style="541" bestFit="1" customWidth="1"/>
    <col min="10801" max="10802" width="13.140625" style="541" bestFit="1" customWidth="1"/>
    <col min="10803" max="10803" width="14.85546875" style="541" bestFit="1" customWidth="1"/>
    <col min="10804" max="11008" width="9.140625" style="541"/>
    <col min="11009" max="11009" width="9.28515625" style="541" customWidth="1"/>
    <col min="11010" max="11010" width="8.85546875" style="541" bestFit="1" customWidth="1"/>
    <col min="11011" max="11011" width="8.7109375" style="541" bestFit="1" customWidth="1"/>
    <col min="11012" max="11012" width="8.85546875" style="541" bestFit="1" customWidth="1"/>
    <col min="11013" max="11013" width="8" style="541" bestFit="1" customWidth="1"/>
    <col min="11014" max="11014" width="9" style="541" bestFit="1" customWidth="1"/>
    <col min="11015" max="11015" width="10.140625" style="541" customWidth="1"/>
    <col min="11016" max="11016" width="11" style="541" bestFit="1" customWidth="1"/>
    <col min="11017" max="11018" width="10.5703125" style="541" bestFit="1" customWidth="1"/>
    <col min="11019" max="11019" width="9.85546875" style="541" customWidth="1"/>
    <col min="11020" max="11020" width="11.5703125" style="541" customWidth="1"/>
    <col min="11021" max="11021" width="11.42578125" style="541" customWidth="1"/>
    <col min="11022" max="11022" width="10.140625" style="541" customWidth="1"/>
    <col min="11023" max="11023" width="10.28515625" style="541" bestFit="1" customWidth="1"/>
    <col min="11024" max="11024" width="12.140625" style="541" bestFit="1" customWidth="1"/>
    <col min="11025" max="11025" width="12" style="541" bestFit="1" customWidth="1"/>
    <col min="11026" max="11026" width="12.140625" style="541" customWidth="1"/>
    <col min="11027" max="11027" width="10.85546875" style="541" customWidth="1"/>
    <col min="11028" max="11028" width="8.85546875" style="541" bestFit="1" customWidth="1"/>
    <col min="11029" max="11029" width="9" style="541" bestFit="1" customWidth="1"/>
    <col min="11030" max="11030" width="8.5703125" style="541" bestFit="1" customWidth="1"/>
    <col min="11031" max="11031" width="7.85546875" style="541" bestFit="1" customWidth="1"/>
    <col min="11032" max="11032" width="10.28515625" style="541" bestFit="1" customWidth="1"/>
    <col min="11033" max="11033" width="11.85546875" style="541" bestFit="1" customWidth="1"/>
    <col min="11034" max="11034" width="11.7109375" style="541" bestFit="1" customWidth="1"/>
    <col min="11035" max="11035" width="13.140625" style="541" bestFit="1" customWidth="1"/>
    <col min="11036" max="11036" width="5.5703125" style="541" bestFit="1" customWidth="1"/>
    <col min="11037" max="11037" width="10" style="541" bestFit="1" customWidth="1"/>
    <col min="11038" max="11039" width="14" style="541" bestFit="1" customWidth="1"/>
    <col min="11040" max="11041" width="13.140625" style="541" bestFit="1" customWidth="1"/>
    <col min="11042" max="11042" width="14" style="541" bestFit="1" customWidth="1"/>
    <col min="11043" max="11046" width="9.28515625" style="541" bestFit="1" customWidth="1"/>
    <col min="11047" max="11048" width="11.7109375" style="541" bestFit="1" customWidth="1"/>
    <col min="11049" max="11049" width="9.28515625" style="541" bestFit="1" customWidth="1"/>
    <col min="11050" max="11050" width="11.7109375" style="541" bestFit="1" customWidth="1"/>
    <col min="11051" max="11051" width="13.140625" style="541" bestFit="1" customWidth="1"/>
    <col min="11052" max="11053" width="11.7109375" style="541" bestFit="1" customWidth="1"/>
    <col min="11054" max="11054" width="9.28515625" style="541" bestFit="1" customWidth="1"/>
    <col min="11055" max="11055" width="13.140625" style="541" bestFit="1" customWidth="1"/>
    <col min="11056" max="11056" width="9.28515625" style="541" bestFit="1" customWidth="1"/>
    <col min="11057" max="11058" width="13.140625" style="541" bestFit="1" customWidth="1"/>
    <col min="11059" max="11059" width="14.85546875" style="541" bestFit="1" customWidth="1"/>
    <col min="11060" max="11264" width="9.140625" style="541"/>
    <col min="11265" max="11265" width="9.28515625" style="541" customWidth="1"/>
    <col min="11266" max="11266" width="8.85546875" style="541" bestFit="1" customWidth="1"/>
    <col min="11267" max="11267" width="8.7109375" style="541" bestFit="1" customWidth="1"/>
    <col min="11268" max="11268" width="8.85546875" style="541" bestFit="1" customWidth="1"/>
    <col min="11269" max="11269" width="8" style="541" bestFit="1" customWidth="1"/>
    <col min="11270" max="11270" width="9" style="541" bestFit="1" customWidth="1"/>
    <col min="11271" max="11271" width="10.140625" style="541" customWidth="1"/>
    <col min="11272" max="11272" width="11" style="541" bestFit="1" customWidth="1"/>
    <col min="11273" max="11274" width="10.5703125" style="541" bestFit="1" customWidth="1"/>
    <col min="11275" max="11275" width="9.85546875" style="541" customWidth="1"/>
    <col min="11276" max="11276" width="11.5703125" style="541" customWidth="1"/>
    <col min="11277" max="11277" width="11.42578125" style="541" customWidth="1"/>
    <col min="11278" max="11278" width="10.140625" style="541" customWidth="1"/>
    <col min="11279" max="11279" width="10.28515625" style="541" bestFit="1" customWidth="1"/>
    <col min="11280" max="11280" width="12.140625" style="541" bestFit="1" customWidth="1"/>
    <col min="11281" max="11281" width="12" style="541" bestFit="1" customWidth="1"/>
    <col min="11282" max="11282" width="12.140625" style="541" customWidth="1"/>
    <col min="11283" max="11283" width="10.85546875" style="541" customWidth="1"/>
    <col min="11284" max="11284" width="8.85546875" style="541" bestFit="1" customWidth="1"/>
    <col min="11285" max="11285" width="9" style="541" bestFit="1" customWidth="1"/>
    <col min="11286" max="11286" width="8.5703125" style="541" bestFit="1" customWidth="1"/>
    <col min="11287" max="11287" width="7.85546875" style="541" bestFit="1" customWidth="1"/>
    <col min="11288" max="11288" width="10.28515625" style="541" bestFit="1" customWidth="1"/>
    <col min="11289" max="11289" width="11.85546875" style="541" bestFit="1" customWidth="1"/>
    <col min="11290" max="11290" width="11.7109375" style="541" bestFit="1" customWidth="1"/>
    <col min="11291" max="11291" width="13.140625" style="541" bestFit="1" customWidth="1"/>
    <col min="11292" max="11292" width="5.5703125" style="541" bestFit="1" customWidth="1"/>
    <col min="11293" max="11293" width="10" style="541" bestFit="1" customWidth="1"/>
    <col min="11294" max="11295" width="14" style="541" bestFit="1" customWidth="1"/>
    <col min="11296" max="11297" width="13.140625" style="541" bestFit="1" customWidth="1"/>
    <col min="11298" max="11298" width="14" style="541" bestFit="1" customWidth="1"/>
    <col min="11299" max="11302" width="9.28515625" style="541" bestFit="1" customWidth="1"/>
    <col min="11303" max="11304" width="11.7109375" style="541" bestFit="1" customWidth="1"/>
    <col min="11305" max="11305" width="9.28515625" style="541" bestFit="1" customWidth="1"/>
    <col min="11306" max="11306" width="11.7109375" style="541" bestFit="1" customWidth="1"/>
    <col min="11307" max="11307" width="13.140625" style="541" bestFit="1" customWidth="1"/>
    <col min="11308" max="11309" width="11.7109375" style="541" bestFit="1" customWidth="1"/>
    <col min="11310" max="11310" width="9.28515625" style="541" bestFit="1" customWidth="1"/>
    <col min="11311" max="11311" width="13.140625" style="541" bestFit="1" customWidth="1"/>
    <col min="11312" max="11312" width="9.28515625" style="541" bestFit="1" customWidth="1"/>
    <col min="11313" max="11314" width="13.140625" style="541" bestFit="1" customWidth="1"/>
    <col min="11315" max="11315" width="14.85546875" style="541" bestFit="1" customWidth="1"/>
    <col min="11316" max="11520" width="9.140625" style="541"/>
    <col min="11521" max="11521" width="9.28515625" style="541" customWidth="1"/>
    <col min="11522" max="11522" width="8.85546875" style="541" bestFit="1" customWidth="1"/>
    <col min="11523" max="11523" width="8.7109375" style="541" bestFit="1" customWidth="1"/>
    <col min="11524" max="11524" width="8.85546875" style="541" bestFit="1" customWidth="1"/>
    <col min="11525" max="11525" width="8" style="541" bestFit="1" customWidth="1"/>
    <col min="11526" max="11526" width="9" style="541" bestFit="1" customWidth="1"/>
    <col min="11527" max="11527" width="10.140625" style="541" customWidth="1"/>
    <col min="11528" max="11528" width="11" style="541" bestFit="1" customWidth="1"/>
    <col min="11529" max="11530" width="10.5703125" style="541" bestFit="1" customWidth="1"/>
    <col min="11531" max="11531" width="9.85546875" style="541" customWidth="1"/>
    <col min="11532" max="11532" width="11.5703125" style="541" customWidth="1"/>
    <col min="11533" max="11533" width="11.42578125" style="541" customWidth="1"/>
    <col min="11534" max="11534" width="10.140625" style="541" customWidth="1"/>
    <col min="11535" max="11535" width="10.28515625" style="541" bestFit="1" customWidth="1"/>
    <col min="11536" max="11536" width="12.140625" style="541" bestFit="1" customWidth="1"/>
    <col min="11537" max="11537" width="12" style="541" bestFit="1" customWidth="1"/>
    <col min="11538" max="11538" width="12.140625" style="541" customWidth="1"/>
    <col min="11539" max="11539" width="10.85546875" style="541" customWidth="1"/>
    <col min="11540" max="11540" width="8.85546875" style="541" bestFit="1" customWidth="1"/>
    <col min="11541" max="11541" width="9" style="541" bestFit="1" customWidth="1"/>
    <col min="11542" max="11542" width="8.5703125" style="541" bestFit="1" customWidth="1"/>
    <col min="11543" max="11543" width="7.85546875" style="541" bestFit="1" customWidth="1"/>
    <col min="11544" max="11544" width="10.28515625" style="541" bestFit="1" customWidth="1"/>
    <col min="11545" max="11545" width="11.85546875" style="541" bestFit="1" customWidth="1"/>
    <col min="11546" max="11546" width="11.7109375" style="541" bestFit="1" customWidth="1"/>
    <col min="11547" max="11547" width="13.140625" style="541" bestFit="1" customWidth="1"/>
    <col min="11548" max="11548" width="5.5703125" style="541" bestFit="1" customWidth="1"/>
    <col min="11549" max="11549" width="10" style="541" bestFit="1" customWidth="1"/>
    <col min="11550" max="11551" width="14" style="541" bestFit="1" customWidth="1"/>
    <col min="11552" max="11553" width="13.140625" style="541" bestFit="1" customWidth="1"/>
    <col min="11554" max="11554" width="14" style="541" bestFit="1" customWidth="1"/>
    <col min="11555" max="11558" width="9.28515625" style="541" bestFit="1" customWidth="1"/>
    <col min="11559" max="11560" width="11.7109375" style="541" bestFit="1" customWidth="1"/>
    <col min="11561" max="11561" width="9.28515625" style="541" bestFit="1" customWidth="1"/>
    <col min="11562" max="11562" width="11.7109375" style="541" bestFit="1" customWidth="1"/>
    <col min="11563" max="11563" width="13.140625" style="541" bestFit="1" customWidth="1"/>
    <col min="11564" max="11565" width="11.7109375" style="541" bestFit="1" customWidth="1"/>
    <col min="11566" max="11566" width="9.28515625" style="541" bestFit="1" customWidth="1"/>
    <col min="11567" max="11567" width="13.140625" style="541" bestFit="1" customWidth="1"/>
    <col min="11568" max="11568" width="9.28515625" style="541" bestFit="1" customWidth="1"/>
    <col min="11569" max="11570" width="13.140625" style="541" bestFit="1" customWidth="1"/>
    <col min="11571" max="11571" width="14.85546875" style="541" bestFit="1" customWidth="1"/>
    <col min="11572" max="11776" width="9.140625" style="541"/>
    <col min="11777" max="11777" width="9.28515625" style="541" customWidth="1"/>
    <col min="11778" max="11778" width="8.85546875" style="541" bestFit="1" customWidth="1"/>
    <col min="11779" max="11779" width="8.7109375" style="541" bestFit="1" customWidth="1"/>
    <col min="11780" max="11780" width="8.85546875" style="541" bestFit="1" customWidth="1"/>
    <col min="11781" max="11781" width="8" style="541" bestFit="1" customWidth="1"/>
    <col min="11782" max="11782" width="9" style="541" bestFit="1" customWidth="1"/>
    <col min="11783" max="11783" width="10.140625" style="541" customWidth="1"/>
    <col min="11784" max="11784" width="11" style="541" bestFit="1" customWidth="1"/>
    <col min="11785" max="11786" width="10.5703125" style="541" bestFit="1" customWidth="1"/>
    <col min="11787" max="11787" width="9.85546875" style="541" customWidth="1"/>
    <col min="11788" max="11788" width="11.5703125" style="541" customWidth="1"/>
    <col min="11789" max="11789" width="11.42578125" style="541" customWidth="1"/>
    <col min="11790" max="11790" width="10.140625" style="541" customWidth="1"/>
    <col min="11791" max="11791" width="10.28515625" style="541" bestFit="1" customWidth="1"/>
    <col min="11792" max="11792" width="12.140625" style="541" bestFit="1" customWidth="1"/>
    <col min="11793" max="11793" width="12" style="541" bestFit="1" customWidth="1"/>
    <col min="11794" max="11794" width="12.140625" style="541" customWidth="1"/>
    <col min="11795" max="11795" width="10.85546875" style="541" customWidth="1"/>
    <col min="11796" max="11796" width="8.85546875" style="541" bestFit="1" customWidth="1"/>
    <col min="11797" max="11797" width="9" style="541" bestFit="1" customWidth="1"/>
    <col min="11798" max="11798" width="8.5703125" style="541" bestFit="1" customWidth="1"/>
    <col min="11799" max="11799" width="7.85546875" style="541" bestFit="1" customWidth="1"/>
    <col min="11800" max="11800" width="10.28515625" style="541" bestFit="1" customWidth="1"/>
    <col min="11801" max="11801" width="11.85546875" style="541" bestFit="1" customWidth="1"/>
    <col min="11802" max="11802" width="11.7109375" style="541" bestFit="1" customWidth="1"/>
    <col min="11803" max="11803" width="13.140625" style="541" bestFit="1" customWidth="1"/>
    <col min="11804" max="11804" width="5.5703125" style="541" bestFit="1" customWidth="1"/>
    <col min="11805" max="11805" width="10" style="541" bestFit="1" customWidth="1"/>
    <col min="11806" max="11807" width="14" style="541" bestFit="1" customWidth="1"/>
    <col min="11808" max="11809" width="13.140625" style="541" bestFit="1" customWidth="1"/>
    <col min="11810" max="11810" width="14" style="541" bestFit="1" customWidth="1"/>
    <col min="11811" max="11814" width="9.28515625" style="541" bestFit="1" customWidth="1"/>
    <col min="11815" max="11816" width="11.7109375" style="541" bestFit="1" customWidth="1"/>
    <col min="11817" max="11817" width="9.28515625" style="541" bestFit="1" customWidth="1"/>
    <col min="11818" max="11818" width="11.7109375" style="541" bestFit="1" customWidth="1"/>
    <col min="11819" max="11819" width="13.140625" style="541" bestFit="1" customWidth="1"/>
    <col min="11820" max="11821" width="11.7109375" style="541" bestFit="1" customWidth="1"/>
    <col min="11822" max="11822" width="9.28515625" style="541" bestFit="1" customWidth="1"/>
    <col min="11823" max="11823" width="13.140625" style="541" bestFit="1" customWidth="1"/>
    <col min="11824" max="11824" width="9.28515625" style="541" bestFit="1" customWidth="1"/>
    <col min="11825" max="11826" width="13.140625" style="541" bestFit="1" customWidth="1"/>
    <col min="11827" max="11827" width="14.85546875" style="541" bestFit="1" customWidth="1"/>
    <col min="11828" max="12032" width="9.140625" style="541"/>
    <col min="12033" max="12033" width="9.28515625" style="541" customWidth="1"/>
    <col min="12034" max="12034" width="8.85546875" style="541" bestFit="1" customWidth="1"/>
    <col min="12035" max="12035" width="8.7109375" style="541" bestFit="1" customWidth="1"/>
    <col min="12036" max="12036" width="8.85546875" style="541" bestFit="1" customWidth="1"/>
    <col min="12037" max="12037" width="8" style="541" bestFit="1" customWidth="1"/>
    <col min="12038" max="12038" width="9" style="541" bestFit="1" customWidth="1"/>
    <col min="12039" max="12039" width="10.140625" style="541" customWidth="1"/>
    <col min="12040" max="12040" width="11" style="541" bestFit="1" customWidth="1"/>
    <col min="12041" max="12042" width="10.5703125" style="541" bestFit="1" customWidth="1"/>
    <col min="12043" max="12043" width="9.85546875" style="541" customWidth="1"/>
    <col min="12044" max="12044" width="11.5703125" style="541" customWidth="1"/>
    <col min="12045" max="12045" width="11.42578125" style="541" customWidth="1"/>
    <col min="12046" max="12046" width="10.140625" style="541" customWidth="1"/>
    <col min="12047" max="12047" width="10.28515625" style="541" bestFit="1" customWidth="1"/>
    <col min="12048" max="12048" width="12.140625" style="541" bestFit="1" customWidth="1"/>
    <col min="12049" max="12049" width="12" style="541" bestFit="1" customWidth="1"/>
    <col min="12050" max="12050" width="12.140625" style="541" customWidth="1"/>
    <col min="12051" max="12051" width="10.85546875" style="541" customWidth="1"/>
    <col min="12052" max="12052" width="8.85546875" style="541" bestFit="1" customWidth="1"/>
    <col min="12053" max="12053" width="9" style="541" bestFit="1" customWidth="1"/>
    <col min="12054" max="12054" width="8.5703125" style="541" bestFit="1" customWidth="1"/>
    <col min="12055" max="12055" width="7.85546875" style="541" bestFit="1" customWidth="1"/>
    <col min="12056" max="12056" width="10.28515625" style="541" bestFit="1" customWidth="1"/>
    <col min="12057" max="12057" width="11.85546875" style="541" bestFit="1" customWidth="1"/>
    <col min="12058" max="12058" width="11.7109375" style="541" bestFit="1" customWidth="1"/>
    <col min="12059" max="12059" width="13.140625" style="541" bestFit="1" customWidth="1"/>
    <col min="12060" max="12060" width="5.5703125" style="541" bestFit="1" customWidth="1"/>
    <col min="12061" max="12061" width="10" style="541" bestFit="1" customWidth="1"/>
    <col min="12062" max="12063" width="14" style="541" bestFit="1" customWidth="1"/>
    <col min="12064" max="12065" width="13.140625" style="541" bestFit="1" customWidth="1"/>
    <col min="12066" max="12066" width="14" style="541" bestFit="1" customWidth="1"/>
    <col min="12067" max="12070" width="9.28515625" style="541" bestFit="1" customWidth="1"/>
    <col min="12071" max="12072" width="11.7109375" style="541" bestFit="1" customWidth="1"/>
    <col min="12073" max="12073" width="9.28515625" style="541" bestFit="1" customWidth="1"/>
    <col min="12074" max="12074" width="11.7109375" style="541" bestFit="1" customWidth="1"/>
    <col min="12075" max="12075" width="13.140625" style="541" bestFit="1" customWidth="1"/>
    <col min="12076" max="12077" width="11.7109375" style="541" bestFit="1" customWidth="1"/>
    <col min="12078" max="12078" width="9.28515625" style="541" bestFit="1" customWidth="1"/>
    <col min="12079" max="12079" width="13.140625" style="541" bestFit="1" customWidth="1"/>
    <col min="12080" max="12080" width="9.28515625" style="541" bestFit="1" customWidth="1"/>
    <col min="12081" max="12082" width="13.140625" style="541" bestFit="1" customWidth="1"/>
    <col min="12083" max="12083" width="14.85546875" style="541" bestFit="1" customWidth="1"/>
    <col min="12084" max="12288" width="9.140625" style="541"/>
    <col min="12289" max="12289" width="9.28515625" style="541" customWidth="1"/>
    <col min="12290" max="12290" width="8.85546875" style="541" bestFit="1" customWidth="1"/>
    <col min="12291" max="12291" width="8.7109375" style="541" bestFit="1" customWidth="1"/>
    <col min="12292" max="12292" width="8.85546875" style="541" bestFit="1" customWidth="1"/>
    <col min="12293" max="12293" width="8" style="541" bestFit="1" customWidth="1"/>
    <col min="12294" max="12294" width="9" style="541" bestFit="1" customWidth="1"/>
    <col min="12295" max="12295" width="10.140625" style="541" customWidth="1"/>
    <col min="12296" max="12296" width="11" style="541" bestFit="1" customWidth="1"/>
    <col min="12297" max="12298" width="10.5703125" style="541" bestFit="1" customWidth="1"/>
    <col min="12299" max="12299" width="9.85546875" style="541" customWidth="1"/>
    <col min="12300" max="12300" width="11.5703125" style="541" customWidth="1"/>
    <col min="12301" max="12301" width="11.42578125" style="541" customWidth="1"/>
    <col min="12302" max="12302" width="10.140625" style="541" customWidth="1"/>
    <col min="12303" max="12303" width="10.28515625" style="541" bestFit="1" customWidth="1"/>
    <col min="12304" max="12304" width="12.140625" style="541" bestFit="1" customWidth="1"/>
    <col min="12305" max="12305" width="12" style="541" bestFit="1" customWidth="1"/>
    <col min="12306" max="12306" width="12.140625" style="541" customWidth="1"/>
    <col min="12307" max="12307" width="10.85546875" style="541" customWidth="1"/>
    <col min="12308" max="12308" width="8.85546875" style="541" bestFit="1" customWidth="1"/>
    <col min="12309" max="12309" width="9" style="541" bestFit="1" customWidth="1"/>
    <col min="12310" max="12310" width="8.5703125" style="541" bestFit="1" customWidth="1"/>
    <col min="12311" max="12311" width="7.85546875" style="541" bestFit="1" customWidth="1"/>
    <col min="12312" max="12312" width="10.28515625" style="541" bestFit="1" customWidth="1"/>
    <col min="12313" max="12313" width="11.85546875" style="541" bestFit="1" customWidth="1"/>
    <col min="12314" max="12314" width="11.7109375" style="541" bestFit="1" customWidth="1"/>
    <col min="12315" max="12315" width="13.140625" style="541" bestFit="1" customWidth="1"/>
    <col min="12316" max="12316" width="5.5703125" style="541" bestFit="1" customWidth="1"/>
    <col min="12317" max="12317" width="10" style="541" bestFit="1" customWidth="1"/>
    <col min="12318" max="12319" width="14" style="541" bestFit="1" customWidth="1"/>
    <col min="12320" max="12321" width="13.140625" style="541" bestFit="1" customWidth="1"/>
    <col min="12322" max="12322" width="14" style="541" bestFit="1" customWidth="1"/>
    <col min="12323" max="12326" width="9.28515625" style="541" bestFit="1" customWidth="1"/>
    <col min="12327" max="12328" width="11.7109375" style="541" bestFit="1" customWidth="1"/>
    <col min="12329" max="12329" width="9.28515625" style="541" bestFit="1" customWidth="1"/>
    <col min="12330" max="12330" width="11.7109375" style="541" bestFit="1" customWidth="1"/>
    <col min="12331" max="12331" width="13.140625" style="541" bestFit="1" customWidth="1"/>
    <col min="12332" max="12333" width="11.7109375" style="541" bestFit="1" customWidth="1"/>
    <col min="12334" max="12334" width="9.28515625" style="541" bestFit="1" customWidth="1"/>
    <col min="12335" max="12335" width="13.140625" style="541" bestFit="1" customWidth="1"/>
    <col min="12336" max="12336" width="9.28515625" style="541" bestFit="1" customWidth="1"/>
    <col min="12337" max="12338" width="13.140625" style="541" bestFit="1" customWidth="1"/>
    <col min="12339" max="12339" width="14.85546875" style="541" bestFit="1" customWidth="1"/>
    <col min="12340" max="12544" width="9.140625" style="541"/>
    <col min="12545" max="12545" width="9.28515625" style="541" customWidth="1"/>
    <col min="12546" max="12546" width="8.85546875" style="541" bestFit="1" customWidth="1"/>
    <col min="12547" max="12547" width="8.7109375" style="541" bestFit="1" customWidth="1"/>
    <col min="12548" max="12548" width="8.85546875" style="541" bestFit="1" customWidth="1"/>
    <col min="12549" max="12549" width="8" style="541" bestFit="1" customWidth="1"/>
    <col min="12550" max="12550" width="9" style="541" bestFit="1" customWidth="1"/>
    <col min="12551" max="12551" width="10.140625" style="541" customWidth="1"/>
    <col min="12552" max="12552" width="11" style="541" bestFit="1" customWidth="1"/>
    <col min="12553" max="12554" width="10.5703125" style="541" bestFit="1" customWidth="1"/>
    <col min="12555" max="12555" width="9.85546875" style="541" customWidth="1"/>
    <col min="12556" max="12556" width="11.5703125" style="541" customWidth="1"/>
    <col min="12557" max="12557" width="11.42578125" style="541" customWidth="1"/>
    <col min="12558" max="12558" width="10.140625" style="541" customWidth="1"/>
    <col min="12559" max="12559" width="10.28515625" style="541" bestFit="1" customWidth="1"/>
    <col min="12560" max="12560" width="12.140625" style="541" bestFit="1" customWidth="1"/>
    <col min="12561" max="12561" width="12" style="541" bestFit="1" customWidth="1"/>
    <col min="12562" max="12562" width="12.140625" style="541" customWidth="1"/>
    <col min="12563" max="12563" width="10.85546875" style="541" customWidth="1"/>
    <col min="12564" max="12564" width="8.85546875" style="541" bestFit="1" customWidth="1"/>
    <col min="12565" max="12565" width="9" style="541" bestFit="1" customWidth="1"/>
    <col min="12566" max="12566" width="8.5703125" style="541" bestFit="1" customWidth="1"/>
    <col min="12567" max="12567" width="7.85546875" style="541" bestFit="1" customWidth="1"/>
    <col min="12568" max="12568" width="10.28515625" style="541" bestFit="1" customWidth="1"/>
    <col min="12569" max="12569" width="11.85546875" style="541" bestFit="1" customWidth="1"/>
    <col min="12570" max="12570" width="11.7109375" style="541" bestFit="1" customWidth="1"/>
    <col min="12571" max="12571" width="13.140625" style="541" bestFit="1" customWidth="1"/>
    <col min="12572" max="12572" width="5.5703125" style="541" bestFit="1" customWidth="1"/>
    <col min="12573" max="12573" width="10" style="541" bestFit="1" customWidth="1"/>
    <col min="12574" max="12575" width="14" style="541" bestFit="1" customWidth="1"/>
    <col min="12576" max="12577" width="13.140625" style="541" bestFit="1" customWidth="1"/>
    <col min="12578" max="12578" width="14" style="541" bestFit="1" customWidth="1"/>
    <col min="12579" max="12582" width="9.28515625" style="541" bestFit="1" customWidth="1"/>
    <col min="12583" max="12584" width="11.7109375" style="541" bestFit="1" customWidth="1"/>
    <col min="12585" max="12585" width="9.28515625" style="541" bestFit="1" customWidth="1"/>
    <col min="12586" max="12586" width="11.7109375" style="541" bestFit="1" customWidth="1"/>
    <col min="12587" max="12587" width="13.140625" style="541" bestFit="1" customWidth="1"/>
    <col min="12588" max="12589" width="11.7109375" style="541" bestFit="1" customWidth="1"/>
    <col min="12590" max="12590" width="9.28515625" style="541" bestFit="1" customWidth="1"/>
    <col min="12591" max="12591" width="13.140625" style="541" bestFit="1" customWidth="1"/>
    <col min="12592" max="12592" width="9.28515625" style="541" bestFit="1" customWidth="1"/>
    <col min="12593" max="12594" width="13.140625" style="541" bestFit="1" customWidth="1"/>
    <col min="12595" max="12595" width="14.85546875" style="541" bestFit="1" customWidth="1"/>
    <col min="12596" max="12800" width="9.140625" style="541"/>
    <col min="12801" max="12801" width="9.28515625" style="541" customWidth="1"/>
    <col min="12802" max="12802" width="8.85546875" style="541" bestFit="1" customWidth="1"/>
    <col min="12803" max="12803" width="8.7109375" style="541" bestFit="1" customWidth="1"/>
    <col min="12804" max="12804" width="8.85546875" style="541" bestFit="1" customWidth="1"/>
    <col min="12805" max="12805" width="8" style="541" bestFit="1" customWidth="1"/>
    <col min="12806" max="12806" width="9" style="541" bestFit="1" customWidth="1"/>
    <col min="12807" max="12807" width="10.140625" style="541" customWidth="1"/>
    <col min="12808" max="12808" width="11" style="541" bestFit="1" customWidth="1"/>
    <col min="12809" max="12810" width="10.5703125" style="541" bestFit="1" customWidth="1"/>
    <col min="12811" max="12811" width="9.85546875" style="541" customWidth="1"/>
    <col min="12812" max="12812" width="11.5703125" style="541" customWidth="1"/>
    <col min="12813" max="12813" width="11.42578125" style="541" customWidth="1"/>
    <col min="12814" max="12814" width="10.140625" style="541" customWidth="1"/>
    <col min="12815" max="12815" width="10.28515625" style="541" bestFit="1" customWidth="1"/>
    <col min="12816" max="12816" width="12.140625" style="541" bestFit="1" customWidth="1"/>
    <col min="12817" max="12817" width="12" style="541" bestFit="1" customWidth="1"/>
    <col min="12818" max="12818" width="12.140625" style="541" customWidth="1"/>
    <col min="12819" max="12819" width="10.85546875" style="541" customWidth="1"/>
    <col min="12820" max="12820" width="8.85546875" style="541" bestFit="1" customWidth="1"/>
    <col min="12821" max="12821" width="9" style="541" bestFit="1" customWidth="1"/>
    <col min="12822" max="12822" width="8.5703125" style="541" bestFit="1" customWidth="1"/>
    <col min="12823" max="12823" width="7.85546875" style="541" bestFit="1" customWidth="1"/>
    <col min="12824" max="12824" width="10.28515625" style="541" bestFit="1" customWidth="1"/>
    <col min="12825" max="12825" width="11.85546875" style="541" bestFit="1" customWidth="1"/>
    <col min="12826" max="12826" width="11.7109375" style="541" bestFit="1" customWidth="1"/>
    <col min="12827" max="12827" width="13.140625" style="541" bestFit="1" customWidth="1"/>
    <col min="12828" max="12828" width="5.5703125" style="541" bestFit="1" customWidth="1"/>
    <col min="12829" max="12829" width="10" style="541" bestFit="1" customWidth="1"/>
    <col min="12830" max="12831" width="14" style="541" bestFit="1" customWidth="1"/>
    <col min="12832" max="12833" width="13.140625" style="541" bestFit="1" customWidth="1"/>
    <col min="12834" max="12834" width="14" style="541" bestFit="1" customWidth="1"/>
    <col min="12835" max="12838" width="9.28515625" style="541" bestFit="1" customWidth="1"/>
    <col min="12839" max="12840" width="11.7109375" style="541" bestFit="1" customWidth="1"/>
    <col min="12841" max="12841" width="9.28515625" style="541" bestFit="1" customWidth="1"/>
    <col min="12842" max="12842" width="11.7109375" style="541" bestFit="1" customWidth="1"/>
    <col min="12843" max="12843" width="13.140625" style="541" bestFit="1" customWidth="1"/>
    <col min="12844" max="12845" width="11.7109375" style="541" bestFit="1" customWidth="1"/>
    <col min="12846" max="12846" width="9.28515625" style="541" bestFit="1" customWidth="1"/>
    <col min="12847" max="12847" width="13.140625" style="541" bestFit="1" customWidth="1"/>
    <col min="12848" max="12848" width="9.28515625" style="541" bestFit="1" customWidth="1"/>
    <col min="12849" max="12850" width="13.140625" style="541" bestFit="1" customWidth="1"/>
    <col min="12851" max="12851" width="14.85546875" style="541" bestFit="1" customWidth="1"/>
    <col min="12852" max="13056" width="9.140625" style="541"/>
    <col min="13057" max="13057" width="9.28515625" style="541" customWidth="1"/>
    <col min="13058" max="13058" width="8.85546875" style="541" bestFit="1" customWidth="1"/>
    <col min="13059" max="13059" width="8.7109375" style="541" bestFit="1" customWidth="1"/>
    <col min="13060" max="13060" width="8.85546875" style="541" bestFit="1" customWidth="1"/>
    <col min="13061" max="13061" width="8" style="541" bestFit="1" customWidth="1"/>
    <col min="13062" max="13062" width="9" style="541" bestFit="1" customWidth="1"/>
    <col min="13063" max="13063" width="10.140625" style="541" customWidth="1"/>
    <col min="13064" max="13064" width="11" style="541" bestFit="1" customWidth="1"/>
    <col min="13065" max="13066" width="10.5703125" style="541" bestFit="1" customWidth="1"/>
    <col min="13067" max="13067" width="9.85546875" style="541" customWidth="1"/>
    <col min="13068" max="13068" width="11.5703125" style="541" customWidth="1"/>
    <col min="13069" max="13069" width="11.42578125" style="541" customWidth="1"/>
    <col min="13070" max="13070" width="10.140625" style="541" customWidth="1"/>
    <col min="13071" max="13071" width="10.28515625" style="541" bestFit="1" customWidth="1"/>
    <col min="13072" max="13072" width="12.140625" style="541" bestFit="1" customWidth="1"/>
    <col min="13073" max="13073" width="12" style="541" bestFit="1" customWidth="1"/>
    <col min="13074" max="13074" width="12.140625" style="541" customWidth="1"/>
    <col min="13075" max="13075" width="10.85546875" style="541" customWidth="1"/>
    <col min="13076" max="13076" width="8.85546875" style="541" bestFit="1" customWidth="1"/>
    <col min="13077" max="13077" width="9" style="541" bestFit="1" customWidth="1"/>
    <col min="13078" max="13078" width="8.5703125" style="541" bestFit="1" customWidth="1"/>
    <col min="13079" max="13079" width="7.85546875" style="541" bestFit="1" customWidth="1"/>
    <col min="13080" max="13080" width="10.28515625" style="541" bestFit="1" customWidth="1"/>
    <col min="13081" max="13081" width="11.85546875" style="541" bestFit="1" customWidth="1"/>
    <col min="13082" max="13082" width="11.7109375" style="541" bestFit="1" customWidth="1"/>
    <col min="13083" max="13083" width="13.140625" style="541" bestFit="1" customWidth="1"/>
    <col min="13084" max="13084" width="5.5703125" style="541" bestFit="1" customWidth="1"/>
    <col min="13085" max="13085" width="10" style="541" bestFit="1" customWidth="1"/>
    <col min="13086" max="13087" width="14" style="541" bestFit="1" customWidth="1"/>
    <col min="13088" max="13089" width="13.140625" style="541" bestFit="1" customWidth="1"/>
    <col min="13090" max="13090" width="14" style="541" bestFit="1" customWidth="1"/>
    <col min="13091" max="13094" width="9.28515625" style="541" bestFit="1" customWidth="1"/>
    <col min="13095" max="13096" width="11.7109375" style="541" bestFit="1" customWidth="1"/>
    <col min="13097" max="13097" width="9.28515625" style="541" bestFit="1" customWidth="1"/>
    <col min="13098" max="13098" width="11.7109375" style="541" bestFit="1" customWidth="1"/>
    <col min="13099" max="13099" width="13.140625" style="541" bestFit="1" customWidth="1"/>
    <col min="13100" max="13101" width="11.7109375" style="541" bestFit="1" customWidth="1"/>
    <col min="13102" max="13102" width="9.28515625" style="541" bestFit="1" customWidth="1"/>
    <col min="13103" max="13103" width="13.140625" style="541" bestFit="1" customWidth="1"/>
    <col min="13104" max="13104" width="9.28515625" style="541" bestFit="1" customWidth="1"/>
    <col min="13105" max="13106" width="13.140625" style="541" bestFit="1" customWidth="1"/>
    <col min="13107" max="13107" width="14.85546875" style="541" bestFit="1" customWidth="1"/>
    <col min="13108" max="13312" width="9.140625" style="541"/>
    <col min="13313" max="13313" width="9.28515625" style="541" customWidth="1"/>
    <col min="13314" max="13314" width="8.85546875" style="541" bestFit="1" customWidth="1"/>
    <col min="13315" max="13315" width="8.7109375" style="541" bestFit="1" customWidth="1"/>
    <col min="13316" max="13316" width="8.85546875" style="541" bestFit="1" customWidth="1"/>
    <col min="13317" max="13317" width="8" style="541" bestFit="1" customWidth="1"/>
    <col min="13318" max="13318" width="9" style="541" bestFit="1" customWidth="1"/>
    <col min="13319" max="13319" width="10.140625" style="541" customWidth="1"/>
    <col min="13320" max="13320" width="11" style="541" bestFit="1" customWidth="1"/>
    <col min="13321" max="13322" width="10.5703125" style="541" bestFit="1" customWidth="1"/>
    <col min="13323" max="13323" width="9.85546875" style="541" customWidth="1"/>
    <col min="13324" max="13324" width="11.5703125" style="541" customWidth="1"/>
    <col min="13325" max="13325" width="11.42578125" style="541" customWidth="1"/>
    <col min="13326" max="13326" width="10.140625" style="541" customWidth="1"/>
    <col min="13327" max="13327" width="10.28515625" style="541" bestFit="1" customWidth="1"/>
    <col min="13328" max="13328" width="12.140625" style="541" bestFit="1" customWidth="1"/>
    <col min="13329" max="13329" width="12" style="541" bestFit="1" customWidth="1"/>
    <col min="13330" max="13330" width="12.140625" style="541" customWidth="1"/>
    <col min="13331" max="13331" width="10.85546875" style="541" customWidth="1"/>
    <col min="13332" max="13332" width="8.85546875" style="541" bestFit="1" customWidth="1"/>
    <col min="13333" max="13333" width="9" style="541" bestFit="1" customWidth="1"/>
    <col min="13334" max="13334" width="8.5703125" style="541" bestFit="1" customWidth="1"/>
    <col min="13335" max="13335" width="7.85546875" style="541" bestFit="1" customWidth="1"/>
    <col min="13336" max="13336" width="10.28515625" style="541" bestFit="1" customWidth="1"/>
    <col min="13337" max="13337" width="11.85546875" style="541" bestFit="1" customWidth="1"/>
    <col min="13338" max="13338" width="11.7109375" style="541" bestFit="1" customWidth="1"/>
    <col min="13339" max="13339" width="13.140625" style="541" bestFit="1" customWidth="1"/>
    <col min="13340" max="13340" width="5.5703125" style="541" bestFit="1" customWidth="1"/>
    <col min="13341" max="13341" width="10" style="541" bestFit="1" customWidth="1"/>
    <col min="13342" max="13343" width="14" style="541" bestFit="1" customWidth="1"/>
    <col min="13344" max="13345" width="13.140625" style="541" bestFit="1" customWidth="1"/>
    <col min="13346" max="13346" width="14" style="541" bestFit="1" customWidth="1"/>
    <col min="13347" max="13350" width="9.28515625" style="541" bestFit="1" customWidth="1"/>
    <col min="13351" max="13352" width="11.7109375" style="541" bestFit="1" customWidth="1"/>
    <col min="13353" max="13353" width="9.28515625" style="541" bestFit="1" customWidth="1"/>
    <col min="13354" max="13354" width="11.7109375" style="541" bestFit="1" customWidth="1"/>
    <col min="13355" max="13355" width="13.140625" style="541" bestFit="1" customWidth="1"/>
    <col min="13356" max="13357" width="11.7109375" style="541" bestFit="1" customWidth="1"/>
    <col min="13358" max="13358" width="9.28515625" style="541" bestFit="1" customWidth="1"/>
    <col min="13359" max="13359" width="13.140625" style="541" bestFit="1" customWidth="1"/>
    <col min="13360" max="13360" width="9.28515625" style="541" bestFit="1" customWidth="1"/>
    <col min="13361" max="13362" width="13.140625" style="541" bestFit="1" customWidth="1"/>
    <col min="13363" max="13363" width="14.85546875" style="541" bestFit="1" customWidth="1"/>
    <col min="13364" max="13568" width="9.140625" style="541"/>
    <col min="13569" max="13569" width="9.28515625" style="541" customWidth="1"/>
    <col min="13570" max="13570" width="8.85546875" style="541" bestFit="1" customWidth="1"/>
    <col min="13571" max="13571" width="8.7109375" style="541" bestFit="1" customWidth="1"/>
    <col min="13572" max="13572" width="8.85546875" style="541" bestFit="1" customWidth="1"/>
    <col min="13573" max="13573" width="8" style="541" bestFit="1" customWidth="1"/>
    <col min="13574" max="13574" width="9" style="541" bestFit="1" customWidth="1"/>
    <col min="13575" max="13575" width="10.140625" style="541" customWidth="1"/>
    <col min="13576" max="13576" width="11" style="541" bestFit="1" customWidth="1"/>
    <col min="13577" max="13578" width="10.5703125" style="541" bestFit="1" customWidth="1"/>
    <col min="13579" max="13579" width="9.85546875" style="541" customWidth="1"/>
    <col min="13580" max="13580" width="11.5703125" style="541" customWidth="1"/>
    <col min="13581" max="13581" width="11.42578125" style="541" customWidth="1"/>
    <col min="13582" max="13582" width="10.140625" style="541" customWidth="1"/>
    <col min="13583" max="13583" width="10.28515625" style="541" bestFit="1" customWidth="1"/>
    <col min="13584" max="13584" width="12.140625" style="541" bestFit="1" customWidth="1"/>
    <col min="13585" max="13585" width="12" style="541" bestFit="1" customWidth="1"/>
    <col min="13586" max="13586" width="12.140625" style="541" customWidth="1"/>
    <col min="13587" max="13587" width="10.85546875" style="541" customWidth="1"/>
    <col min="13588" max="13588" width="8.85546875" style="541" bestFit="1" customWidth="1"/>
    <col min="13589" max="13589" width="9" style="541" bestFit="1" customWidth="1"/>
    <col min="13590" max="13590" width="8.5703125" style="541" bestFit="1" customWidth="1"/>
    <col min="13591" max="13591" width="7.85546875" style="541" bestFit="1" customWidth="1"/>
    <col min="13592" max="13592" width="10.28515625" style="541" bestFit="1" customWidth="1"/>
    <col min="13593" max="13593" width="11.85546875" style="541" bestFit="1" customWidth="1"/>
    <col min="13594" max="13594" width="11.7109375" style="541" bestFit="1" customWidth="1"/>
    <col min="13595" max="13595" width="13.140625" style="541" bestFit="1" customWidth="1"/>
    <col min="13596" max="13596" width="5.5703125" style="541" bestFit="1" customWidth="1"/>
    <col min="13597" max="13597" width="10" style="541" bestFit="1" customWidth="1"/>
    <col min="13598" max="13599" width="14" style="541" bestFit="1" customWidth="1"/>
    <col min="13600" max="13601" width="13.140625" style="541" bestFit="1" customWidth="1"/>
    <col min="13602" max="13602" width="14" style="541" bestFit="1" customWidth="1"/>
    <col min="13603" max="13606" width="9.28515625" style="541" bestFit="1" customWidth="1"/>
    <col min="13607" max="13608" width="11.7109375" style="541" bestFit="1" customWidth="1"/>
    <col min="13609" max="13609" width="9.28515625" style="541" bestFit="1" customWidth="1"/>
    <col min="13610" max="13610" width="11.7109375" style="541" bestFit="1" customWidth="1"/>
    <col min="13611" max="13611" width="13.140625" style="541" bestFit="1" customWidth="1"/>
    <col min="13612" max="13613" width="11.7109375" style="541" bestFit="1" customWidth="1"/>
    <col min="13614" max="13614" width="9.28515625" style="541" bestFit="1" customWidth="1"/>
    <col min="13615" max="13615" width="13.140625" style="541" bestFit="1" customWidth="1"/>
    <col min="13616" max="13616" width="9.28515625" style="541" bestFit="1" customWidth="1"/>
    <col min="13617" max="13618" width="13.140625" style="541" bestFit="1" customWidth="1"/>
    <col min="13619" max="13619" width="14.85546875" style="541" bestFit="1" customWidth="1"/>
    <col min="13620" max="13824" width="9.140625" style="541"/>
    <col min="13825" max="13825" width="9.28515625" style="541" customWidth="1"/>
    <col min="13826" max="13826" width="8.85546875" style="541" bestFit="1" customWidth="1"/>
    <col min="13827" max="13827" width="8.7109375" style="541" bestFit="1" customWidth="1"/>
    <col min="13828" max="13828" width="8.85546875" style="541" bestFit="1" customWidth="1"/>
    <col min="13829" max="13829" width="8" style="541" bestFit="1" customWidth="1"/>
    <col min="13830" max="13830" width="9" style="541" bestFit="1" customWidth="1"/>
    <col min="13831" max="13831" width="10.140625" style="541" customWidth="1"/>
    <col min="13832" max="13832" width="11" style="541" bestFit="1" customWidth="1"/>
    <col min="13833" max="13834" width="10.5703125" style="541" bestFit="1" customWidth="1"/>
    <col min="13835" max="13835" width="9.85546875" style="541" customWidth="1"/>
    <col min="13836" max="13836" width="11.5703125" style="541" customWidth="1"/>
    <col min="13837" max="13837" width="11.42578125" style="541" customWidth="1"/>
    <col min="13838" max="13838" width="10.140625" style="541" customWidth="1"/>
    <col min="13839" max="13839" width="10.28515625" style="541" bestFit="1" customWidth="1"/>
    <col min="13840" max="13840" width="12.140625" style="541" bestFit="1" customWidth="1"/>
    <col min="13841" max="13841" width="12" style="541" bestFit="1" customWidth="1"/>
    <col min="13842" max="13842" width="12.140625" style="541" customWidth="1"/>
    <col min="13843" max="13843" width="10.85546875" style="541" customWidth="1"/>
    <col min="13844" max="13844" width="8.85546875" style="541" bestFit="1" customWidth="1"/>
    <col min="13845" max="13845" width="9" style="541" bestFit="1" customWidth="1"/>
    <col min="13846" max="13846" width="8.5703125" style="541" bestFit="1" customWidth="1"/>
    <col min="13847" max="13847" width="7.85546875" style="541" bestFit="1" customWidth="1"/>
    <col min="13848" max="13848" width="10.28515625" style="541" bestFit="1" customWidth="1"/>
    <col min="13849" max="13849" width="11.85546875" style="541" bestFit="1" customWidth="1"/>
    <col min="13850" max="13850" width="11.7109375" style="541" bestFit="1" customWidth="1"/>
    <col min="13851" max="13851" width="13.140625" style="541" bestFit="1" customWidth="1"/>
    <col min="13852" max="13852" width="5.5703125" style="541" bestFit="1" customWidth="1"/>
    <col min="13853" max="13853" width="10" style="541" bestFit="1" customWidth="1"/>
    <col min="13854" max="13855" width="14" style="541" bestFit="1" customWidth="1"/>
    <col min="13856" max="13857" width="13.140625" style="541" bestFit="1" customWidth="1"/>
    <col min="13858" max="13858" width="14" style="541" bestFit="1" customWidth="1"/>
    <col min="13859" max="13862" width="9.28515625" style="541" bestFit="1" customWidth="1"/>
    <col min="13863" max="13864" width="11.7109375" style="541" bestFit="1" customWidth="1"/>
    <col min="13865" max="13865" width="9.28515625" style="541" bestFit="1" customWidth="1"/>
    <col min="13866" max="13866" width="11.7109375" style="541" bestFit="1" customWidth="1"/>
    <col min="13867" max="13867" width="13.140625" style="541" bestFit="1" customWidth="1"/>
    <col min="13868" max="13869" width="11.7109375" style="541" bestFit="1" customWidth="1"/>
    <col min="13870" max="13870" width="9.28515625" style="541" bestFit="1" customWidth="1"/>
    <col min="13871" max="13871" width="13.140625" style="541" bestFit="1" customWidth="1"/>
    <col min="13872" max="13872" width="9.28515625" style="541" bestFit="1" customWidth="1"/>
    <col min="13873" max="13874" width="13.140625" style="541" bestFit="1" customWidth="1"/>
    <col min="13875" max="13875" width="14.85546875" style="541" bestFit="1" customWidth="1"/>
    <col min="13876" max="14080" width="9.140625" style="541"/>
    <col min="14081" max="14081" width="9.28515625" style="541" customWidth="1"/>
    <col min="14082" max="14082" width="8.85546875" style="541" bestFit="1" customWidth="1"/>
    <col min="14083" max="14083" width="8.7109375" style="541" bestFit="1" customWidth="1"/>
    <col min="14084" max="14084" width="8.85546875" style="541" bestFit="1" customWidth="1"/>
    <col min="14085" max="14085" width="8" style="541" bestFit="1" customWidth="1"/>
    <col min="14086" max="14086" width="9" style="541" bestFit="1" customWidth="1"/>
    <col min="14087" max="14087" width="10.140625" style="541" customWidth="1"/>
    <col min="14088" max="14088" width="11" style="541" bestFit="1" customWidth="1"/>
    <col min="14089" max="14090" width="10.5703125" style="541" bestFit="1" customWidth="1"/>
    <col min="14091" max="14091" width="9.85546875" style="541" customWidth="1"/>
    <col min="14092" max="14092" width="11.5703125" style="541" customWidth="1"/>
    <col min="14093" max="14093" width="11.42578125" style="541" customWidth="1"/>
    <col min="14094" max="14094" width="10.140625" style="541" customWidth="1"/>
    <col min="14095" max="14095" width="10.28515625" style="541" bestFit="1" customWidth="1"/>
    <col min="14096" max="14096" width="12.140625" style="541" bestFit="1" customWidth="1"/>
    <col min="14097" max="14097" width="12" style="541" bestFit="1" customWidth="1"/>
    <col min="14098" max="14098" width="12.140625" style="541" customWidth="1"/>
    <col min="14099" max="14099" width="10.85546875" style="541" customWidth="1"/>
    <col min="14100" max="14100" width="8.85546875" style="541" bestFit="1" customWidth="1"/>
    <col min="14101" max="14101" width="9" style="541" bestFit="1" customWidth="1"/>
    <col min="14102" max="14102" width="8.5703125" style="541" bestFit="1" customWidth="1"/>
    <col min="14103" max="14103" width="7.85546875" style="541" bestFit="1" customWidth="1"/>
    <col min="14104" max="14104" width="10.28515625" style="541" bestFit="1" customWidth="1"/>
    <col min="14105" max="14105" width="11.85546875" style="541" bestFit="1" customWidth="1"/>
    <col min="14106" max="14106" width="11.7109375" style="541" bestFit="1" customWidth="1"/>
    <col min="14107" max="14107" width="13.140625" style="541" bestFit="1" customWidth="1"/>
    <col min="14108" max="14108" width="5.5703125" style="541" bestFit="1" customWidth="1"/>
    <col min="14109" max="14109" width="10" style="541" bestFit="1" customWidth="1"/>
    <col min="14110" max="14111" width="14" style="541" bestFit="1" customWidth="1"/>
    <col min="14112" max="14113" width="13.140625" style="541" bestFit="1" customWidth="1"/>
    <col min="14114" max="14114" width="14" style="541" bestFit="1" customWidth="1"/>
    <col min="14115" max="14118" width="9.28515625" style="541" bestFit="1" customWidth="1"/>
    <col min="14119" max="14120" width="11.7109375" style="541" bestFit="1" customWidth="1"/>
    <col min="14121" max="14121" width="9.28515625" style="541" bestFit="1" customWidth="1"/>
    <col min="14122" max="14122" width="11.7109375" style="541" bestFit="1" customWidth="1"/>
    <col min="14123" max="14123" width="13.140625" style="541" bestFit="1" customWidth="1"/>
    <col min="14124" max="14125" width="11.7109375" style="541" bestFit="1" customWidth="1"/>
    <col min="14126" max="14126" width="9.28515625" style="541" bestFit="1" customWidth="1"/>
    <col min="14127" max="14127" width="13.140625" style="541" bestFit="1" customWidth="1"/>
    <col min="14128" max="14128" width="9.28515625" style="541" bestFit="1" customWidth="1"/>
    <col min="14129" max="14130" width="13.140625" style="541" bestFit="1" customWidth="1"/>
    <col min="14131" max="14131" width="14.85546875" style="541" bestFit="1" customWidth="1"/>
    <col min="14132" max="14336" width="9.140625" style="541"/>
    <col min="14337" max="14337" width="9.28515625" style="541" customWidth="1"/>
    <col min="14338" max="14338" width="8.85546875" style="541" bestFit="1" customWidth="1"/>
    <col min="14339" max="14339" width="8.7109375" style="541" bestFit="1" customWidth="1"/>
    <col min="14340" max="14340" width="8.85546875" style="541" bestFit="1" customWidth="1"/>
    <col min="14341" max="14341" width="8" style="541" bestFit="1" customWidth="1"/>
    <col min="14342" max="14342" width="9" style="541" bestFit="1" customWidth="1"/>
    <col min="14343" max="14343" width="10.140625" style="541" customWidth="1"/>
    <col min="14344" max="14344" width="11" style="541" bestFit="1" customWidth="1"/>
    <col min="14345" max="14346" width="10.5703125" style="541" bestFit="1" customWidth="1"/>
    <col min="14347" max="14347" width="9.85546875" style="541" customWidth="1"/>
    <col min="14348" max="14348" width="11.5703125" style="541" customWidth="1"/>
    <col min="14349" max="14349" width="11.42578125" style="541" customWidth="1"/>
    <col min="14350" max="14350" width="10.140625" style="541" customWidth="1"/>
    <col min="14351" max="14351" width="10.28515625" style="541" bestFit="1" customWidth="1"/>
    <col min="14352" max="14352" width="12.140625" style="541" bestFit="1" customWidth="1"/>
    <col min="14353" max="14353" width="12" style="541" bestFit="1" customWidth="1"/>
    <col min="14354" max="14354" width="12.140625" style="541" customWidth="1"/>
    <col min="14355" max="14355" width="10.85546875" style="541" customWidth="1"/>
    <col min="14356" max="14356" width="8.85546875" style="541" bestFit="1" customWidth="1"/>
    <col min="14357" max="14357" width="9" style="541" bestFit="1" customWidth="1"/>
    <col min="14358" max="14358" width="8.5703125" style="541" bestFit="1" customWidth="1"/>
    <col min="14359" max="14359" width="7.85546875" style="541" bestFit="1" customWidth="1"/>
    <col min="14360" max="14360" width="10.28515625" style="541" bestFit="1" customWidth="1"/>
    <col min="14361" max="14361" width="11.85546875" style="541" bestFit="1" customWidth="1"/>
    <col min="14362" max="14362" width="11.7109375" style="541" bestFit="1" customWidth="1"/>
    <col min="14363" max="14363" width="13.140625" style="541" bestFit="1" customWidth="1"/>
    <col min="14364" max="14364" width="5.5703125" style="541" bestFit="1" customWidth="1"/>
    <col min="14365" max="14365" width="10" style="541" bestFit="1" customWidth="1"/>
    <col min="14366" max="14367" width="14" style="541" bestFit="1" customWidth="1"/>
    <col min="14368" max="14369" width="13.140625" style="541" bestFit="1" customWidth="1"/>
    <col min="14370" max="14370" width="14" style="541" bestFit="1" customWidth="1"/>
    <col min="14371" max="14374" width="9.28515625" style="541" bestFit="1" customWidth="1"/>
    <col min="14375" max="14376" width="11.7109375" style="541" bestFit="1" customWidth="1"/>
    <col min="14377" max="14377" width="9.28515625" style="541" bestFit="1" customWidth="1"/>
    <col min="14378" max="14378" width="11.7109375" style="541" bestFit="1" customWidth="1"/>
    <col min="14379" max="14379" width="13.140625" style="541" bestFit="1" customWidth="1"/>
    <col min="14380" max="14381" width="11.7109375" style="541" bestFit="1" customWidth="1"/>
    <col min="14382" max="14382" width="9.28515625" style="541" bestFit="1" customWidth="1"/>
    <col min="14383" max="14383" width="13.140625" style="541" bestFit="1" customWidth="1"/>
    <col min="14384" max="14384" width="9.28515625" style="541" bestFit="1" customWidth="1"/>
    <col min="14385" max="14386" width="13.140625" style="541" bestFit="1" customWidth="1"/>
    <col min="14387" max="14387" width="14.85546875" style="541" bestFit="1" customWidth="1"/>
    <col min="14388" max="14592" width="9.140625" style="541"/>
    <col min="14593" max="14593" width="9.28515625" style="541" customWidth="1"/>
    <col min="14594" max="14594" width="8.85546875" style="541" bestFit="1" customWidth="1"/>
    <col min="14595" max="14595" width="8.7109375" style="541" bestFit="1" customWidth="1"/>
    <col min="14596" max="14596" width="8.85546875" style="541" bestFit="1" customWidth="1"/>
    <col min="14597" max="14597" width="8" style="541" bestFit="1" customWidth="1"/>
    <col min="14598" max="14598" width="9" style="541" bestFit="1" customWidth="1"/>
    <col min="14599" max="14599" width="10.140625" style="541" customWidth="1"/>
    <col min="14600" max="14600" width="11" style="541" bestFit="1" customWidth="1"/>
    <col min="14601" max="14602" width="10.5703125" style="541" bestFit="1" customWidth="1"/>
    <col min="14603" max="14603" width="9.85546875" style="541" customWidth="1"/>
    <col min="14604" max="14604" width="11.5703125" style="541" customWidth="1"/>
    <col min="14605" max="14605" width="11.42578125" style="541" customWidth="1"/>
    <col min="14606" max="14606" width="10.140625" style="541" customWidth="1"/>
    <col min="14607" max="14607" width="10.28515625" style="541" bestFit="1" customWidth="1"/>
    <col min="14608" max="14608" width="12.140625" style="541" bestFit="1" customWidth="1"/>
    <col min="14609" max="14609" width="12" style="541" bestFit="1" customWidth="1"/>
    <col min="14610" max="14610" width="12.140625" style="541" customWidth="1"/>
    <col min="14611" max="14611" width="10.85546875" style="541" customWidth="1"/>
    <col min="14612" max="14612" width="8.85546875" style="541" bestFit="1" customWidth="1"/>
    <col min="14613" max="14613" width="9" style="541" bestFit="1" customWidth="1"/>
    <col min="14614" max="14614" width="8.5703125" style="541" bestFit="1" customWidth="1"/>
    <col min="14615" max="14615" width="7.85546875" style="541" bestFit="1" customWidth="1"/>
    <col min="14616" max="14616" width="10.28515625" style="541" bestFit="1" customWidth="1"/>
    <col min="14617" max="14617" width="11.85546875" style="541" bestFit="1" customWidth="1"/>
    <col min="14618" max="14618" width="11.7109375" style="541" bestFit="1" customWidth="1"/>
    <col min="14619" max="14619" width="13.140625" style="541" bestFit="1" customWidth="1"/>
    <col min="14620" max="14620" width="5.5703125" style="541" bestFit="1" customWidth="1"/>
    <col min="14621" max="14621" width="10" style="541" bestFit="1" customWidth="1"/>
    <col min="14622" max="14623" width="14" style="541" bestFit="1" customWidth="1"/>
    <col min="14624" max="14625" width="13.140625" style="541" bestFit="1" customWidth="1"/>
    <col min="14626" max="14626" width="14" style="541" bestFit="1" customWidth="1"/>
    <col min="14627" max="14630" width="9.28515625" style="541" bestFit="1" customWidth="1"/>
    <col min="14631" max="14632" width="11.7109375" style="541" bestFit="1" customWidth="1"/>
    <col min="14633" max="14633" width="9.28515625" style="541" bestFit="1" customWidth="1"/>
    <col min="14634" max="14634" width="11.7109375" style="541" bestFit="1" customWidth="1"/>
    <col min="14635" max="14635" width="13.140625" style="541" bestFit="1" customWidth="1"/>
    <col min="14636" max="14637" width="11.7109375" style="541" bestFit="1" customWidth="1"/>
    <col min="14638" max="14638" width="9.28515625" style="541" bestFit="1" customWidth="1"/>
    <col min="14639" max="14639" width="13.140625" style="541" bestFit="1" customWidth="1"/>
    <col min="14640" max="14640" width="9.28515625" style="541" bestFit="1" customWidth="1"/>
    <col min="14641" max="14642" width="13.140625" style="541" bestFit="1" customWidth="1"/>
    <col min="14643" max="14643" width="14.85546875" style="541" bestFit="1" customWidth="1"/>
    <col min="14644" max="14848" width="9.140625" style="541"/>
    <col min="14849" max="14849" width="9.28515625" style="541" customWidth="1"/>
    <col min="14850" max="14850" width="8.85546875" style="541" bestFit="1" customWidth="1"/>
    <col min="14851" max="14851" width="8.7109375" style="541" bestFit="1" customWidth="1"/>
    <col min="14852" max="14852" width="8.85546875" style="541" bestFit="1" customWidth="1"/>
    <col min="14853" max="14853" width="8" style="541" bestFit="1" customWidth="1"/>
    <col min="14854" max="14854" width="9" style="541" bestFit="1" customWidth="1"/>
    <col min="14855" max="14855" width="10.140625" style="541" customWidth="1"/>
    <col min="14856" max="14856" width="11" style="541" bestFit="1" customWidth="1"/>
    <col min="14857" max="14858" width="10.5703125" style="541" bestFit="1" customWidth="1"/>
    <col min="14859" max="14859" width="9.85546875" style="541" customWidth="1"/>
    <col min="14860" max="14860" width="11.5703125" style="541" customWidth="1"/>
    <col min="14861" max="14861" width="11.42578125" style="541" customWidth="1"/>
    <col min="14862" max="14862" width="10.140625" style="541" customWidth="1"/>
    <col min="14863" max="14863" width="10.28515625" style="541" bestFit="1" customWidth="1"/>
    <col min="14864" max="14864" width="12.140625" style="541" bestFit="1" customWidth="1"/>
    <col min="14865" max="14865" width="12" style="541" bestFit="1" customWidth="1"/>
    <col min="14866" max="14866" width="12.140625" style="541" customWidth="1"/>
    <col min="14867" max="14867" width="10.85546875" style="541" customWidth="1"/>
    <col min="14868" max="14868" width="8.85546875" style="541" bestFit="1" customWidth="1"/>
    <col min="14869" max="14869" width="9" style="541" bestFit="1" customWidth="1"/>
    <col min="14870" max="14870" width="8.5703125" style="541" bestFit="1" customWidth="1"/>
    <col min="14871" max="14871" width="7.85546875" style="541" bestFit="1" customWidth="1"/>
    <col min="14872" max="14872" width="10.28515625" style="541" bestFit="1" customWidth="1"/>
    <col min="14873" max="14873" width="11.85546875" style="541" bestFit="1" customWidth="1"/>
    <col min="14874" max="14874" width="11.7109375" style="541" bestFit="1" customWidth="1"/>
    <col min="14875" max="14875" width="13.140625" style="541" bestFit="1" customWidth="1"/>
    <col min="14876" max="14876" width="5.5703125" style="541" bestFit="1" customWidth="1"/>
    <col min="14877" max="14877" width="10" style="541" bestFit="1" customWidth="1"/>
    <col min="14878" max="14879" width="14" style="541" bestFit="1" customWidth="1"/>
    <col min="14880" max="14881" width="13.140625" style="541" bestFit="1" customWidth="1"/>
    <col min="14882" max="14882" width="14" style="541" bestFit="1" customWidth="1"/>
    <col min="14883" max="14886" width="9.28515625" style="541" bestFit="1" customWidth="1"/>
    <col min="14887" max="14888" width="11.7109375" style="541" bestFit="1" customWidth="1"/>
    <col min="14889" max="14889" width="9.28515625" style="541" bestFit="1" customWidth="1"/>
    <col min="14890" max="14890" width="11.7109375" style="541" bestFit="1" customWidth="1"/>
    <col min="14891" max="14891" width="13.140625" style="541" bestFit="1" customWidth="1"/>
    <col min="14892" max="14893" width="11.7109375" style="541" bestFit="1" customWidth="1"/>
    <col min="14894" max="14894" width="9.28515625" style="541" bestFit="1" customWidth="1"/>
    <col min="14895" max="14895" width="13.140625" style="541" bestFit="1" customWidth="1"/>
    <col min="14896" max="14896" width="9.28515625" style="541" bestFit="1" customWidth="1"/>
    <col min="14897" max="14898" width="13.140625" style="541" bestFit="1" customWidth="1"/>
    <col min="14899" max="14899" width="14.85546875" style="541" bestFit="1" customWidth="1"/>
    <col min="14900" max="15104" width="9.140625" style="541"/>
    <col min="15105" max="15105" width="9.28515625" style="541" customWidth="1"/>
    <col min="15106" max="15106" width="8.85546875" style="541" bestFit="1" customWidth="1"/>
    <col min="15107" max="15107" width="8.7109375" style="541" bestFit="1" customWidth="1"/>
    <col min="15108" max="15108" width="8.85546875" style="541" bestFit="1" customWidth="1"/>
    <col min="15109" max="15109" width="8" style="541" bestFit="1" customWidth="1"/>
    <col min="15110" max="15110" width="9" style="541" bestFit="1" customWidth="1"/>
    <col min="15111" max="15111" width="10.140625" style="541" customWidth="1"/>
    <col min="15112" max="15112" width="11" style="541" bestFit="1" customWidth="1"/>
    <col min="15113" max="15114" width="10.5703125" style="541" bestFit="1" customWidth="1"/>
    <col min="15115" max="15115" width="9.85546875" style="541" customWidth="1"/>
    <col min="15116" max="15116" width="11.5703125" style="541" customWidth="1"/>
    <col min="15117" max="15117" width="11.42578125" style="541" customWidth="1"/>
    <col min="15118" max="15118" width="10.140625" style="541" customWidth="1"/>
    <col min="15119" max="15119" width="10.28515625" style="541" bestFit="1" customWidth="1"/>
    <col min="15120" max="15120" width="12.140625" style="541" bestFit="1" customWidth="1"/>
    <col min="15121" max="15121" width="12" style="541" bestFit="1" customWidth="1"/>
    <col min="15122" max="15122" width="12.140625" style="541" customWidth="1"/>
    <col min="15123" max="15123" width="10.85546875" style="541" customWidth="1"/>
    <col min="15124" max="15124" width="8.85546875" style="541" bestFit="1" customWidth="1"/>
    <col min="15125" max="15125" width="9" style="541" bestFit="1" customWidth="1"/>
    <col min="15126" max="15126" width="8.5703125" style="541" bestFit="1" customWidth="1"/>
    <col min="15127" max="15127" width="7.85546875" style="541" bestFit="1" customWidth="1"/>
    <col min="15128" max="15128" width="10.28515625" style="541" bestFit="1" customWidth="1"/>
    <col min="15129" max="15129" width="11.85546875" style="541" bestFit="1" customWidth="1"/>
    <col min="15130" max="15130" width="11.7109375" style="541" bestFit="1" customWidth="1"/>
    <col min="15131" max="15131" width="13.140625" style="541" bestFit="1" customWidth="1"/>
    <col min="15132" max="15132" width="5.5703125" style="541" bestFit="1" customWidth="1"/>
    <col min="15133" max="15133" width="10" style="541" bestFit="1" customWidth="1"/>
    <col min="15134" max="15135" width="14" style="541" bestFit="1" customWidth="1"/>
    <col min="15136" max="15137" width="13.140625" style="541" bestFit="1" customWidth="1"/>
    <col min="15138" max="15138" width="14" style="541" bestFit="1" customWidth="1"/>
    <col min="15139" max="15142" width="9.28515625" style="541" bestFit="1" customWidth="1"/>
    <col min="15143" max="15144" width="11.7109375" style="541" bestFit="1" customWidth="1"/>
    <col min="15145" max="15145" width="9.28515625" style="541" bestFit="1" customWidth="1"/>
    <col min="15146" max="15146" width="11.7109375" style="541" bestFit="1" customWidth="1"/>
    <col min="15147" max="15147" width="13.140625" style="541" bestFit="1" customWidth="1"/>
    <col min="15148" max="15149" width="11.7109375" style="541" bestFit="1" customWidth="1"/>
    <col min="15150" max="15150" width="9.28515625" style="541" bestFit="1" customWidth="1"/>
    <col min="15151" max="15151" width="13.140625" style="541" bestFit="1" customWidth="1"/>
    <col min="15152" max="15152" width="9.28515625" style="541" bestFit="1" customWidth="1"/>
    <col min="15153" max="15154" width="13.140625" style="541" bestFit="1" customWidth="1"/>
    <col min="15155" max="15155" width="14.85546875" style="541" bestFit="1" customWidth="1"/>
    <col min="15156" max="15360" width="9.140625" style="541"/>
    <col min="15361" max="15361" width="9.28515625" style="541" customWidth="1"/>
    <col min="15362" max="15362" width="8.85546875" style="541" bestFit="1" customWidth="1"/>
    <col min="15363" max="15363" width="8.7109375" style="541" bestFit="1" customWidth="1"/>
    <col min="15364" max="15364" width="8.85546875" style="541" bestFit="1" customWidth="1"/>
    <col min="15365" max="15365" width="8" style="541" bestFit="1" customWidth="1"/>
    <col min="15366" max="15366" width="9" style="541" bestFit="1" customWidth="1"/>
    <col min="15367" max="15367" width="10.140625" style="541" customWidth="1"/>
    <col min="15368" max="15368" width="11" style="541" bestFit="1" customWidth="1"/>
    <col min="15369" max="15370" width="10.5703125" style="541" bestFit="1" customWidth="1"/>
    <col min="15371" max="15371" width="9.85546875" style="541" customWidth="1"/>
    <col min="15372" max="15372" width="11.5703125" style="541" customWidth="1"/>
    <col min="15373" max="15373" width="11.42578125" style="541" customWidth="1"/>
    <col min="15374" max="15374" width="10.140625" style="541" customWidth="1"/>
    <col min="15375" max="15375" width="10.28515625" style="541" bestFit="1" customWidth="1"/>
    <col min="15376" max="15376" width="12.140625" style="541" bestFit="1" customWidth="1"/>
    <col min="15377" max="15377" width="12" style="541" bestFit="1" customWidth="1"/>
    <col min="15378" max="15378" width="12.140625" style="541" customWidth="1"/>
    <col min="15379" max="15379" width="10.85546875" style="541" customWidth="1"/>
    <col min="15380" max="15380" width="8.85546875" style="541" bestFit="1" customWidth="1"/>
    <col min="15381" max="15381" width="9" style="541" bestFit="1" customWidth="1"/>
    <col min="15382" max="15382" width="8.5703125" style="541" bestFit="1" customWidth="1"/>
    <col min="15383" max="15383" width="7.85546875" style="541" bestFit="1" customWidth="1"/>
    <col min="15384" max="15384" width="10.28515625" style="541" bestFit="1" customWidth="1"/>
    <col min="15385" max="15385" width="11.85546875" style="541" bestFit="1" customWidth="1"/>
    <col min="15386" max="15386" width="11.7109375" style="541" bestFit="1" customWidth="1"/>
    <col min="15387" max="15387" width="13.140625" style="541" bestFit="1" customWidth="1"/>
    <col min="15388" max="15388" width="5.5703125" style="541" bestFit="1" customWidth="1"/>
    <col min="15389" max="15389" width="10" style="541" bestFit="1" customWidth="1"/>
    <col min="15390" max="15391" width="14" style="541" bestFit="1" customWidth="1"/>
    <col min="15392" max="15393" width="13.140625" style="541" bestFit="1" customWidth="1"/>
    <col min="15394" max="15394" width="14" style="541" bestFit="1" customWidth="1"/>
    <col min="15395" max="15398" width="9.28515625" style="541" bestFit="1" customWidth="1"/>
    <col min="15399" max="15400" width="11.7109375" style="541" bestFit="1" customWidth="1"/>
    <col min="15401" max="15401" width="9.28515625" style="541" bestFit="1" customWidth="1"/>
    <col min="15402" max="15402" width="11.7109375" style="541" bestFit="1" customWidth="1"/>
    <col min="15403" max="15403" width="13.140625" style="541" bestFit="1" customWidth="1"/>
    <col min="15404" max="15405" width="11.7109375" style="541" bestFit="1" customWidth="1"/>
    <col min="15406" max="15406" width="9.28515625" style="541" bestFit="1" customWidth="1"/>
    <col min="15407" max="15407" width="13.140625" style="541" bestFit="1" customWidth="1"/>
    <col min="15408" max="15408" width="9.28515625" style="541" bestFit="1" customWidth="1"/>
    <col min="15409" max="15410" width="13.140625" style="541" bestFit="1" customWidth="1"/>
    <col min="15411" max="15411" width="14.85546875" style="541" bestFit="1" customWidth="1"/>
    <col min="15412" max="15616" width="9.140625" style="541"/>
    <col min="15617" max="15617" width="9.28515625" style="541" customWidth="1"/>
    <col min="15618" max="15618" width="8.85546875" style="541" bestFit="1" customWidth="1"/>
    <col min="15619" max="15619" width="8.7109375" style="541" bestFit="1" customWidth="1"/>
    <col min="15620" max="15620" width="8.85546875" style="541" bestFit="1" customWidth="1"/>
    <col min="15621" max="15621" width="8" style="541" bestFit="1" customWidth="1"/>
    <col min="15622" max="15622" width="9" style="541" bestFit="1" customWidth="1"/>
    <col min="15623" max="15623" width="10.140625" style="541" customWidth="1"/>
    <col min="15624" max="15624" width="11" style="541" bestFit="1" customWidth="1"/>
    <col min="15625" max="15626" width="10.5703125" style="541" bestFit="1" customWidth="1"/>
    <col min="15627" max="15627" width="9.85546875" style="541" customWidth="1"/>
    <col min="15628" max="15628" width="11.5703125" style="541" customWidth="1"/>
    <col min="15629" max="15629" width="11.42578125" style="541" customWidth="1"/>
    <col min="15630" max="15630" width="10.140625" style="541" customWidth="1"/>
    <col min="15631" max="15631" width="10.28515625" style="541" bestFit="1" customWidth="1"/>
    <col min="15632" max="15632" width="12.140625" style="541" bestFit="1" customWidth="1"/>
    <col min="15633" max="15633" width="12" style="541" bestFit="1" customWidth="1"/>
    <col min="15634" max="15634" width="12.140625" style="541" customWidth="1"/>
    <col min="15635" max="15635" width="10.85546875" style="541" customWidth="1"/>
    <col min="15636" max="15636" width="8.85546875" style="541" bestFit="1" customWidth="1"/>
    <col min="15637" max="15637" width="9" style="541" bestFit="1" customWidth="1"/>
    <col min="15638" max="15638" width="8.5703125" style="541" bestFit="1" customWidth="1"/>
    <col min="15639" max="15639" width="7.85546875" style="541" bestFit="1" customWidth="1"/>
    <col min="15640" max="15640" width="10.28515625" style="541" bestFit="1" customWidth="1"/>
    <col min="15641" max="15641" width="11.85546875" style="541" bestFit="1" customWidth="1"/>
    <col min="15642" max="15642" width="11.7109375" style="541" bestFit="1" customWidth="1"/>
    <col min="15643" max="15643" width="13.140625" style="541" bestFit="1" customWidth="1"/>
    <col min="15644" max="15644" width="5.5703125" style="541" bestFit="1" customWidth="1"/>
    <col min="15645" max="15645" width="10" style="541" bestFit="1" customWidth="1"/>
    <col min="15646" max="15647" width="14" style="541" bestFit="1" customWidth="1"/>
    <col min="15648" max="15649" width="13.140625" style="541" bestFit="1" customWidth="1"/>
    <col min="15650" max="15650" width="14" style="541" bestFit="1" customWidth="1"/>
    <col min="15651" max="15654" width="9.28515625" style="541" bestFit="1" customWidth="1"/>
    <col min="15655" max="15656" width="11.7109375" style="541" bestFit="1" customWidth="1"/>
    <col min="15657" max="15657" width="9.28515625" style="541" bestFit="1" customWidth="1"/>
    <col min="15658" max="15658" width="11.7109375" style="541" bestFit="1" customWidth="1"/>
    <col min="15659" max="15659" width="13.140625" style="541" bestFit="1" customWidth="1"/>
    <col min="15660" max="15661" width="11.7109375" style="541" bestFit="1" customWidth="1"/>
    <col min="15662" max="15662" width="9.28515625" style="541" bestFit="1" customWidth="1"/>
    <col min="15663" max="15663" width="13.140625" style="541" bestFit="1" customWidth="1"/>
    <col min="15664" max="15664" width="9.28515625" style="541" bestFit="1" customWidth="1"/>
    <col min="15665" max="15666" width="13.140625" style="541" bestFit="1" customWidth="1"/>
    <col min="15667" max="15667" width="14.85546875" style="541" bestFit="1" customWidth="1"/>
    <col min="15668" max="15872" width="9.140625" style="541"/>
    <col min="15873" max="15873" width="9.28515625" style="541" customWidth="1"/>
    <col min="15874" max="15874" width="8.85546875" style="541" bestFit="1" customWidth="1"/>
    <col min="15875" max="15875" width="8.7109375" style="541" bestFit="1" customWidth="1"/>
    <col min="15876" max="15876" width="8.85546875" style="541" bestFit="1" customWidth="1"/>
    <col min="15877" max="15877" width="8" style="541" bestFit="1" customWidth="1"/>
    <col min="15878" max="15878" width="9" style="541" bestFit="1" customWidth="1"/>
    <col min="15879" max="15879" width="10.140625" style="541" customWidth="1"/>
    <col min="15880" max="15880" width="11" style="541" bestFit="1" customWidth="1"/>
    <col min="15881" max="15882" width="10.5703125" style="541" bestFit="1" customWidth="1"/>
    <col min="15883" max="15883" width="9.85546875" style="541" customWidth="1"/>
    <col min="15884" max="15884" width="11.5703125" style="541" customWidth="1"/>
    <col min="15885" max="15885" width="11.42578125" style="541" customWidth="1"/>
    <col min="15886" max="15886" width="10.140625" style="541" customWidth="1"/>
    <col min="15887" max="15887" width="10.28515625" style="541" bestFit="1" customWidth="1"/>
    <col min="15888" max="15888" width="12.140625" style="541" bestFit="1" customWidth="1"/>
    <col min="15889" max="15889" width="12" style="541" bestFit="1" customWidth="1"/>
    <col min="15890" max="15890" width="12.140625" style="541" customWidth="1"/>
    <col min="15891" max="15891" width="10.85546875" style="541" customWidth="1"/>
    <col min="15892" max="15892" width="8.85546875" style="541" bestFit="1" customWidth="1"/>
    <col min="15893" max="15893" width="9" style="541" bestFit="1" customWidth="1"/>
    <col min="15894" max="15894" width="8.5703125" style="541" bestFit="1" customWidth="1"/>
    <col min="15895" max="15895" width="7.85546875" style="541" bestFit="1" customWidth="1"/>
    <col min="15896" max="15896" width="10.28515625" style="541" bestFit="1" customWidth="1"/>
    <col min="15897" max="15897" width="11.85546875" style="541" bestFit="1" customWidth="1"/>
    <col min="15898" max="15898" width="11.7109375" style="541" bestFit="1" customWidth="1"/>
    <col min="15899" max="15899" width="13.140625" style="541" bestFit="1" customWidth="1"/>
    <col min="15900" max="15900" width="5.5703125" style="541" bestFit="1" customWidth="1"/>
    <col min="15901" max="15901" width="10" style="541" bestFit="1" customWidth="1"/>
    <col min="15902" max="15903" width="14" style="541" bestFit="1" customWidth="1"/>
    <col min="15904" max="15905" width="13.140625" style="541" bestFit="1" customWidth="1"/>
    <col min="15906" max="15906" width="14" style="541" bestFit="1" customWidth="1"/>
    <col min="15907" max="15910" width="9.28515625" style="541" bestFit="1" customWidth="1"/>
    <col min="15911" max="15912" width="11.7109375" style="541" bestFit="1" customWidth="1"/>
    <col min="15913" max="15913" width="9.28515625" style="541" bestFit="1" customWidth="1"/>
    <col min="15914" max="15914" width="11.7109375" style="541" bestFit="1" customWidth="1"/>
    <col min="15915" max="15915" width="13.140625" style="541" bestFit="1" customWidth="1"/>
    <col min="15916" max="15917" width="11.7109375" style="541" bestFit="1" customWidth="1"/>
    <col min="15918" max="15918" width="9.28515625" style="541" bestFit="1" customWidth="1"/>
    <col min="15919" max="15919" width="13.140625" style="541" bestFit="1" customWidth="1"/>
    <col min="15920" max="15920" width="9.28515625" style="541" bestFit="1" customWidth="1"/>
    <col min="15921" max="15922" width="13.140625" style="541" bestFit="1" customWidth="1"/>
    <col min="15923" max="15923" width="14.85546875" style="541" bestFit="1" customWidth="1"/>
    <col min="15924" max="16128" width="9.140625" style="541"/>
    <col min="16129" max="16129" width="9.28515625" style="541" customWidth="1"/>
    <col min="16130" max="16130" width="8.85546875" style="541" bestFit="1" customWidth="1"/>
    <col min="16131" max="16131" width="8.7109375" style="541" bestFit="1" customWidth="1"/>
    <col min="16132" max="16132" width="8.85546875" style="541" bestFit="1" customWidth="1"/>
    <col min="16133" max="16133" width="8" style="541" bestFit="1" customWidth="1"/>
    <col min="16134" max="16134" width="9" style="541" bestFit="1" customWidth="1"/>
    <col min="16135" max="16135" width="10.140625" style="541" customWidth="1"/>
    <col min="16136" max="16136" width="11" style="541" bestFit="1" customWidth="1"/>
    <col min="16137" max="16138" width="10.5703125" style="541" bestFit="1" customWidth="1"/>
    <col min="16139" max="16139" width="9.85546875" style="541" customWidth="1"/>
    <col min="16140" max="16140" width="11.5703125" style="541" customWidth="1"/>
    <col min="16141" max="16141" width="11.42578125" style="541" customWidth="1"/>
    <col min="16142" max="16142" width="10.140625" style="541" customWidth="1"/>
    <col min="16143" max="16143" width="10.28515625" style="541" bestFit="1" customWidth="1"/>
    <col min="16144" max="16144" width="12.140625" style="541" bestFit="1" customWidth="1"/>
    <col min="16145" max="16145" width="12" style="541" bestFit="1" customWidth="1"/>
    <col min="16146" max="16146" width="12.140625" style="541" customWidth="1"/>
    <col min="16147" max="16147" width="10.85546875" style="541" customWidth="1"/>
    <col min="16148" max="16148" width="8.85546875" style="541" bestFit="1" customWidth="1"/>
    <col min="16149" max="16149" width="9" style="541" bestFit="1" customWidth="1"/>
    <col min="16150" max="16150" width="8.5703125" style="541" bestFit="1" customWidth="1"/>
    <col min="16151" max="16151" width="7.85546875" style="541" bestFit="1" customWidth="1"/>
    <col min="16152" max="16152" width="10.28515625" style="541" bestFit="1" customWidth="1"/>
    <col min="16153" max="16153" width="11.85546875" style="541" bestFit="1" customWidth="1"/>
    <col min="16154" max="16154" width="11.7109375" style="541" bestFit="1" customWidth="1"/>
    <col min="16155" max="16155" width="13.140625" style="541" bestFit="1" customWidth="1"/>
    <col min="16156" max="16156" width="5.5703125" style="541" bestFit="1" customWidth="1"/>
    <col min="16157" max="16157" width="10" style="541" bestFit="1" customWidth="1"/>
    <col min="16158" max="16159" width="14" style="541" bestFit="1" customWidth="1"/>
    <col min="16160" max="16161" width="13.140625" style="541" bestFit="1" customWidth="1"/>
    <col min="16162" max="16162" width="14" style="541" bestFit="1" customWidth="1"/>
    <col min="16163" max="16166" width="9.28515625" style="541" bestFit="1" customWidth="1"/>
    <col min="16167" max="16168" width="11.7109375" style="541" bestFit="1" customWidth="1"/>
    <col min="16169" max="16169" width="9.28515625" style="541" bestFit="1" customWidth="1"/>
    <col min="16170" max="16170" width="11.7109375" style="541" bestFit="1" customWidth="1"/>
    <col min="16171" max="16171" width="13.140625" style="541" bestFit="1" customWidth="1"/>
    <col min="16172" max="16173" width="11.7109375" style="541" bestFit="1" customWidth="1"/>
    <col min="16174" max="16174" width="9.28515625" style="541" bestFit="1" customWidth="1"/>
    <col min="16175" max="16175" width="13.140625" style="541" bestFit="1" customWidth="1"/>
    <col min="16176" max="16176" width="9.28515625" style="541" bestFit="1" customWidth="1"/>
    <col min="16177" max="16178" width="13.140625" style="541" bestFit="1" customWidth="1"/>
    <col min="16179" max="16179" width="14.85546875" style="541" bestFit="1" customWidth="1"/>
    <col min="16180" max="16384" width="9.140625" style="541"/>
  </cols>
  <sheetData>
    <row r="1" spans="1:38" ht="24.75" customHeight="1">
      <c r="A1" s="3161" t="s">
        <v>2297</v>
      </c>
      <c r="B1" s="3161"/>
      <c r="C1" s="3161"/>
      <c r="D1" s="3161"/>
      <c r="E1" s="3161"/>
      <c r="F1" s="3161"/>
      <c r="G1" s="3161"/>
      <c r="H1" s="3161"/>
      <c r="I1" s="3161"/>
      <c r="J1" s="3161"/>
      <c r="K1" s="3161"/>
      <c r="L1" s="3161"/>
      <c r="M1" s="3161"/>
      <c r="N1" s="3161"/>
      <c r="O1" s="3161"/>
      <c r="P1" s="3161"/>
      <c r="Q1" s="3161"/>
      <c r="R1" s="3161"/>
      <c r="S1" s="3161"/>
      <c r="T1" s="3161"/>
      <c r="U1" s="3161"/>
      <c r="V1" s="3161"/>
      <c r="W1" s="3161"/>
      <c r="X1" s="3161"/>
      <c r="Y1" s="3161"/>
    </row>
    <row r="2" spans="1:38" ht="15" hidden="1" customHeight="1">
      <c r="A2" s="542"/>
    </row>
    <row r="3" spans="1:38" ht="15.75" customHeight="1" thickBot="1">
      <c r="Y3" s="543" t="s">
        <v>49</v>
      </c>
    </row>
    <row r="4" spans="1:38" ht="18" customHeight="1" thickTop="1" thickBot="1">
      <c r="A4" s="544" t="s">
        <v>2298</v>
      </c>
      <c r="B4" s="545" t="s">
        <v>2299</v>
      </c>
      <c r="C4" s="546"/>
      <c r="D4" s="546"/>
      <c r="E4" s="547"/>
      <c r="F4" s="548" t="s">
        <v>2300</v>
      </c>
      <c r="G4" s="546"/>
      <c r="H4" s="546"/>
      <c r="I4" s="546"/>
      <c r="J4" s="546"/>
      <c r="K4" s="547"/>
      <c r="L4" s="548" t="s">
        <v>2301</v>
      </c>
      <c r="M4" s="546"/>
      <c r="N4" s="546"/>
      <c r="O4" s="547"/>
      <c r="P4" s="548" t="s">
        <v>2302</v>
      </c>
      <c r="Q4" s="548"/>
      <c r="R4" s="548"/>
      <c r="S4" s="548"/>
      <c r="T4" s="549"/>
      <c r="U4" s="550" t="s">
        <v>2303</v>
      </c>
      <c r="V4" s="551" t="s">
        <v>2304</v>
      </c>
      <c r="W4" s="552" t="s">
        <v>2305</v>
      </c>
      <c r="X4" s="553" t="s">
        <v>2306</v>
      </c>
      <c r="Y4" s="553" t="s">
        <v>2307</v>
      </c>
    </row>
    <row r="5" spans="1:38" ht="15" customHeight="1">
      <c r="A5" s="554" t="s">
        <v>118</v>
      </c>
      <c r="B5" s="555" t="s">
        <v>2308</v>
      </c>
      <c r="C5" s="556" t="s">
        <v>2309</v>
      </c>
      <c r="D5" s="556" t="s">
        <v>2070</v>
      </c>
      <c r="E5" s="557" t="s">
        <v>81</v>
      </c>
      <c r="F5" s="558" t="s">
        <v>2309</v>
      </c>
      <c r="G5" s="556" t="s">
        <v>2310</v>
      </c>
      <c r="H5" s="556" t="s">
        <v>2311</v>
      </c>
      <c r="I5" s="556" t="s">
        <v>2311</v>
      </c>
      <c r="J5" s="556" t="s">
        <v>2312</v>
      </c>
      <c r="K5" s="559" t="s">
        <v>81</v>
      </c>
      <c r="L5" s="558" t="s">
        <v>2313</v>
      </c>
      <c r="M5" s="556" t="s">
        <v>2314</v>
      </c>
      <c r="N5" s="555" t="s">
        <v>2085</v>
      </c>
      <c r="O5" s="557" t="s">
        <v>81</v>
      </c>
      <c r="P5" s="558" t="s">
        <v>2315</v>
      </c>
      <c r="Q5" s="556" t="s">
        <v>2316</v>
      </c>
      <c r="R5" s="556" t="s">
        <v>2312</v>
      </c>
      <c r="S5" s="556" t="s">
        <v>2317</v>
      </c>
      <c r="T5" s="557" t="s">
        <v>81</v>
      </c>
      <c r="U5" s="560" t="s">
        <v>2318</v>
      </c>
      <c r="V5" s="561" t="s">
        <v>2319</v>
      </c>
      <c r="W5" s="562" t="s">
        <v>2320</v>
      </c>
      <c r="X5" s="563" t="s">
        <v>1</v>
      </c>
      <c r="Y5" s="563" t="s">
        <v>2321</v>
      </c>
    </row>
    <row r="6" spans="1:38" ht="15" customHeight="1">
      <c r="A6" s="554" t="s">
        <v>78</v>
      </c>
      <c r="B6" s="564" t="s">
        <v>2322</v>
      </c>
      <c r="C6" s="565" t="s">
        <v>2323</v>
      </c>
      <c r="D6" s="565" t="s">
        <v>2075</v>
      </c>
      <c r="E6" s="566"/>
      <c r="F6" s="567" t="s">
        <v>2324</v>
      </c>
      <c r="G6" s="565" t="s">
        <v>2316</v>
      </c>
      <c r="H6" s="565" t="s">
        <v>2325</v>
      </c>
      <c r="I6" s="565" t="s">
        <v>2326</v>
      </c>
      <c r="J6" s="565" t="s">
        <v>2327</v>
      </c>
      <c r="K6" s="566"/>
      <c r="L6" s="567" t="s">
        <v>2316</v>
      </c>
      <c r="M6" s="565" t="s">
        <v>2325</v>
      </c>
      <c r="N6" s="564"/>
      <c r="O6" s="568" t="s">
        <v>42</v>
      </c>
      <c r="P6" s="567" t="s">
        <v>2328</v>
      </c>
      <c r="Q6" s="565" t="s">
        <v>2329</v>
      </c>
      <c r="R6" s="565" t="s">
        <v>2330</v>
      </c>
      <c r="S6" s="565" t="s">
        <v>2331</v>
      </c>
      <c r="T6" s="568" t="s">
        <v>42</v>
      </c>
      <c r="U6" s="560" t="s">
        <v>2332</v>
      </c>
      <c r="V6" s="569" t="s">
        <v>2093</v>
      </c>
      <c r="W6" s="562"/>
      <c r="X6" s="563"/>
      <c r="Y6" s="563" t="s">
        <v>2333</v>
      </c>
    </row>
    <row r="7" spans="1:38" ht="15" customHeight="1">
      <c r="A7" s="554"/>
      <c r="B7" s="564" t="s">
        <v>2334</v>
      </c>
      <c r="C7" s="565" t="s">
        <v>2070</v>
      </c>
      <c r="D7" s="565" t="s">
        <v>2316</v>
      </c>
      <c r="E7" s="568"/>
      <c r="F7" s="567" t="s">
        <v>2093</v>
      </c>
      <c r="G7" s="565" t="s">
        <v>2335</v>
      </c>
      <c r="H7" s="565"/>
      <c r="I7" s="565" t="s">
        <v>2330</v>
      </c>
      <c r="J7" s="565" t="s">
        <v>2075</v>
      </c>
      <c r="K7" s="568"/>
      <c r="L7" s="567"/>
      <c r="M7" s="565"/>
      <c r="N7" s="564"/>
      <c r="O7" s="568"/>
      <c r="P7" s="567" t="s">
        <v>2330</v>
      </c>
      <c r="Q7" s="565" t="s">
        <v>2336</v>
      </c>
      <c r="R7" s="565" t="s">
        <v>2085</v>
      </c>
      <c r="S7" s="565" t="s">
        <v>2330</v>
      </c>
      <c r="T7" s="568"/>
      <c r="U7" s="560" t="s">
        <v>2337</v>
      </c>
      <c r="V7" s="569" t="s">
        <v>2322</v>
      </c>
      <c r="W7" s="562"/>
      <c r="X7" s="563"/>
      <c r="Y7" s="563" t="s">
        <v>2338</v>
      </c>
    </row>
    <row r="8" spans="1:38" ht="15.75">
      <c r="A8" s="570"/>
      <c r="B8" s="571"/>
      <c r="C8" s="572" t="s">
        <v>2075</v>
      </c>
      <c r="D8" s="572"/>
      <c r="E8" s="573"/>
      <c r="F8" s="574" t="s">
        <v>2339</v>
      </c>
      <c r="G8" s="572"/>
      <c r="H8" s="572"/>
      <c r="I8" s="572" t="s">
        <v>2340</v>
      </c>
      <c r="J8" s="572"/>
      <c r="K8" s="573"/>
      <c r="L8" s="574"/>
      <c r="M8" s="572"/>
      <c r="N8" s="571"/>
      <c r="O8" s="573"/>
      <c r="P8" s="574" t="s">
        <v>2335</v>
      </c>
      <c r="Q8" s="572"/>
      <c r="R8" s="572"/>
      <c r="S8" s="572" t="s">
        <v>2341</v>
      </c>
      <c r="T8" s="573"/>
      <c r="U8" s="575" t="s">
        <v>2342</v>
      </c>
      <c r="V8" s="576" t="s">
        <v>2075</v>
      </c>
      <c r="W8" s="577"/>
      <c r="X8" s="578"/>
      <c r="Y8" s="578"/>
    </row>
    <row r="9" spans="1:38" ht="17.100000000000001" hidden="1" customHeight="1">
      <c r="A9" s="579"/>
      <c r="B9" s="580"/>
      <c r="C9" s="581"/>
      <c r="D9" s="581"/>
      <c r="E9" s="582"/>
      <c r="F9" s="583"/>
      <c r="G9" s="581"/>
      <c r="H9" s="581"/>
      <c r="I9" s="581"/>
      <c r="J9" s="581"/>
      <c r="K9" s="582"/>
      <c r="L9" s="583"/>
      <c r="M9" s="581"/>
      <c r="N9" s="580"/>
      <c r="O9" s="582"/>
      <c r="P9" s="583"/>
      <c r="Q9" s="581"/>
      <c r="R9" s="581"/>
      <c r="S9" s="581"/>
      <c r="T9" s="582"/>
      <c r="U9" s="584"/>
      <c r="V9" s="580"/>
      <c r="W9" s="585"/>
      <c r="X9" s="586"/>
      <c r="Y9" s="587"/>
      <c r="Z9" s="588"/>
      <c r="AA9" s="588"/>
    </row>
    <row r="10" spans="1:38" ht="17.100000000000001" hidden="1" customHeight="1">
      <c r="A10" s="589">
        <v>38504</v>
      </c>
      <c r="B10" s="580">
        <v>2288.2717847100002</v>
      </c>
      <c r="C10" s="580">
        <v>5972.1277568715004</v>
      </c>
      <c r="D10" s="580">
        <v>4734.9080789999998</v>
      </c>
      <c r="E10" s="582">
        <f>B10+C10+D10</f>
        <v>12995.307620581501</v>
      </c>
      <c r="F10" s="580">
        <v>129366.85213971259</v>
      </c>
      <c r="G10" s="580">
        <v>2812.8223654527296</v>
      </c>
      <c r="H10" s="580">
        <v>15167.746466234499</v>
      </c>
      <c r="I10" s="580">
        <v>122.33018281741701</v>
      </c>
      <c r="J10" s="580">
        <v>82878.777472506103</v>
      </c>
      <c r="K10" s="582">
        <f>F10+G10+H10+I10+J10</f>
        <v>230348.52862672333</v>
      </c>
      <c r="L10" s="590">
        <v>35182.513720000003</v>
      </c>
      <c r="M10" s="580">
        <v>5783.6478650999898</v>
      </c>
      <c r="N10" s="580">
        <v>0</v>
      </c>
      <c r="O10" s="582">
        <f>L10+M10+N10</f>
        <v>40966.161585099995</v>
      </c>
      <c r="P10" s="580">
        <v>1116.7134366550001</v>
      </c>
      <c r="Q10" s="580">
        <v>2360.1966436374341</v>
      </c>
      <c r="R10" s="580">
        <f>26667.064+54006.021+13389.573</f>
        <v>94062.657999999996</v>
      </c>
      <c r="S10" s="580">
        <v>7526.8785190311874</v>
      </c>
      <c r="T10" s="591">
        <f>P10+Q10+R10+S10</f>
        <v>105066.44659932362</v>
      </c>
      <c r="U10" s="592">
        <v>7497.9530000000004</v>
      </c>
      <c r="V10" s="580">
        <v>1512.1059738003121</v>
      </c>
      <c r="W10" s="585">
        <v>18325.518465607453</v>
      </c>
      <c r="X10" s="586">
        <f>E10+K10+O10+T10+U10+V10+W10</f>
        <v>416712.02187113615</v>
      </c>
      <c r="Y10" s="587">
        <v>32121.923720025588</v>
      </c>
      <c r="Z10" s="593"/>
      <c r="AA10" s="594"/>
      <c r="AB10" s="595"/>
      <c r="AC10" s="596"/>
      <c r="AD10" s="593"/>
      <c r="AE10" s="593"/>
      <c r="AF10" s="593"/>
      <c r="AG10" s="593"/>
      <c r="AH10" s="596"/>
      <c r="AI10" s="593"/>
      <c r="AJ10" s="593"/>
      <c r="AK10" s="596"/>
      <c r="AL10" s="593"/>
    </row>
    <row r="11" spans="1:38" ht="17.100000000000001" hidden="1" customHeight="1">
      <c r="A11" s="589">
        <v>38534</v>
      </c>
      <c r="B11" s="580">
        <v>2182.6022840099904</v>
      </c>
      <c r="C11" s="580">
        <v>5537.2912004899999</v>
      </c>
      <c r="D11" s="580">
        <v>4648.4409097099997</v>
      </c>
      <c r="E11" s="582">
        <f>B11+C11+D11</f>
        <v>12368.334394209989</v>
      </c>
      <c r="F11" s="580">
        <v>106932.14125260898</v>
      </c>
      <c r="G11" s="580">
        <v>2728.8233098945484</v>
      </c>
      <c r="H11" s="580">
        <v>15628.423862450032</v>
      </c>
      <c r="I11" s="580">
        <v>191.66818607283855</v>
      </c>
      <c r="J11" s="580">
        <v>87298.249134641694</v>
      </c>
      <c r="K11" s="582">
        <f>F11+G11+H11+I11+J11</f>
        <v>212779.3057456681</v>
      </c>
      <c r="L11" s="590">
        <v>35570.310312699999</v>
      </c>
      <c r="M11" s="580">
        <v>5783.5782971000008</v>
      </c>
      <c r="N11" s="580">
        <v>0</v>
      </c>
      <c r="O11" s="582">
        <f>L11+M11+N11</f>
        <v>41353.8886098</v>
      </c>
      <c r="P11" s="580">
        <v>1175.4904637646</v>
      </c>
      <c r="Q11" s="580">
        <v>2339.9240077602749</v>
      </c>
      <c r="R11" s="580">
        <f>26896.664+54719.357+13590.666</f>
        <v>95206.687000000005</v>
      </c>
      <c r="S11" s="580">
        <v>7665.8803094183022</v>
      </c>
      <c r="T11" s="591">
        <f>P11+Q11+R11+S11</f>
        <v>106387.98178094317</v>
      </c>
      <c r="U11" s="592">
        <v>7801.2190000000001</v>
      </c>
      <c r="V11" s="580">
        <v>837.93906105580174</v>
      </c>
      <c r="W11" s="585">
        <v>18756.698307650244</v>
      </c>
      <c r="X11" s="586">
        <f>E11+K11+O11+T11+U11+V11+W11</f>
        <v>400285.36689932726</v>
      </c>
      <c r="Y11" s="587">
        <v>32038.359271389618</v>
      </c>
      <c r="Z11" s="593"/>
      <c r="AA11" s="594"/>
      <c r="AB11" s="595"/>
      <c r="AC11" s="596"/>
      <c r="AD11" s="593"/>
      <c r="AE11" s="593"/>
      <c r="AF11" s="593"/>
      <c r="AG11" s="593"/>
      <c r="AH11" s="596"/>
      <c r="AI11" s="593"/>
      <c r="AJ11" s="593"/>
      <c r="AK11" s="596"/>
      <c r="AL11" s="593"/>
    </row>
    <row r="12" spans="1:38" ht="17.100000000000001" hidden="1" customHeight="1">
      <c r="A12" s="589">
        <v>38565</v>
      </c>
      <c r="B12" s="580">
        <v>2489.22817979</v>
      </c>
      <c r="C12" s="580">
        <v>6434.5690999379904</v>
      </c>
      <c r="D12" s="580">
        <v>4358.4958489999999</v>
      </c>
      <c r="E12" s="582">
        <f>B12+C12+D12</f>
        <v>13282.29312872799</v>
      </c>
      <c r="F12" s="580">
        <v>122071.33286237679</v>
      </c>
      <c r="G12" s="580">
        <v>2622.5270386860398</v>
      </c>
      <c r="H12" s="580">
        <v>14175.601966948601</v>
      </c>
      <c r="I12" s="580">
        <v>200.20047463637101</v>
      </c>
      <c r="J12" s="580">
        <v>86794.200807258909</v>
      </c>
      <c r="K12" s="582">
        <f>F12+G12+H12+I12+J12</f>
        <v>225863.86314990668</v>
      </c>
      <c r="L12" s="590">
        <v>35102.264468000001</v>
      </c>
      <c r="M12" s="580">
        <v>6081.6695740999903</v>
      </c>
      <c r="N12" s="580">
        <v>0</v>
      </c>
      <c r="O12" s="582">
        <f>L12+M12+N12</f>
        <v>41183.934042099994</v>
      </c>
      <c r="P12" s="580">
        <v>1183.4456973280001</v>
      </c>
      <c r="Q12" s="580">
        <v>2433.1727125282878</v>
      </c>
      <c r="R12" s="580">
        <f>26419.928+55918.311+12165.275</f>
        <v>94503.513999999996</v>
      </c>
      <c r="S12" s="580">
        <v>7631.3093009293898</v>
      </c>
      <c r="T12" s="591">
        <f>P12+Q12+R12+S12</f>
        <v>105751.44171078567</v>
      </c>
      <c r="U12" s="592">
        <v>7108.7920000000004</v>
      </c>
      <c r="V12" s="580">
        <v>1354.0606180710001</v>
      </c>
      <c r="W12" s="585">
        <v>19246.723401501218</v>
      </c>
      <c r="X12" s="586">
        <f>E12+K12+O12+T12+U12+V12+W12</f>
        <v>413791.10805109254</v>
      </c>
      <c r="Y12" s="587">
        <v>32879.614792760636</v>
      </c>
      <c r="Z12" s="593"/>
      <c r="AA12" s="594"/>
      <c r="AB12" s="595"/>
      <c r="AC12" s="596"/>
      <c r="AD12" s="593"/>
      <c r="AE12" s="593"/>
      <c r="AF12" s="593"/>
      <c r="AG12" s="593"/>
      <c r="AH12" s="596"/>
      <c r="AI12" s="593"/>
      <c r="AJ12" s="593"/>
      <c r="AK12" s="596"/>
      <c r="AL12" s="593"/>
    </row>
    <row r="13" spans="1:38" ht="17.100000000000001" hidden="1" customHeight="1">
      <c r="A13" s="589">
        <v>38596</v>
      </c>
      <c r="B13" s="580">
        <v>2408.8757292600003</v>
      </c>
      <c r="C13" s="580">
        <v>7026.5167934139999</v>
      </c>
      <c r="D13" s="580">
        <v>3565.3916985800001</v>
      </c>
      <c r="E13" s="582">
        <v>13000.784221254</v>
      </c>
      <c r="F13" s="580">
        <v>131607.30286745905</v>
      </c>
      <c r="G13" s="580">
        <v>2496.7817463853999</v>
      </c>
      <c r="H13" s="580">
        <v>12163.4765707682</v>
      </c>
      <c r="I13" s="580">
        <v>200.45484380619999</v>
      </c>
      <c r="J13" s="580">
        <v>93288.476479194243</v>
      </c>
      <c r="K13" s="582">
        <v>239756.49250761306</v>
      </c>
      <c r="L13" s="590">
        <v>35203.212053270006</v>
      </c>
      <c r="M13" s="580">
        <v>6116.6651956800006</v>
      </c>
      <c r="N13" s="580">
        <v>0</v>
      </c>
      <c r="O13" s="582">
        <v>41319.877248950004</v>
      </c>
      <c r="P13" s="580">
        <v>1139.7882688926002</v>
      </c>
      <c r="Q13" s="580">
        <v>2444.50542632</v>
      </c>
      <c r="R13" s="580">
        <v>98050.858321134641</v>
      </c>
      <c r="S13" s="580">
        <v>7508.6622417702001</v>
      </c>
      <c r="T13" s="591">
        <v>109143.81425811745</v>
      </c>
      <c r="U13" s="592">
        <v>6592.9799866106259</v>
      </c>
      <c r="V13" s="580">
        <v>1030.93450178137</v>
      </c>
      <c r="W13" s="585">
        <v>20507.168710179547</v>
      </c>
      <c r="X13" s="586">
        <v>431352.04143450601</v>
      </c>
      <c r="Y13" s="587">
        <v>33981.7640653204</v>
      </c>
      <c r="Z13" s="593"/>
      <c r="AA13" s="594"/>
      <c r="AB13" s="595"/>
      <c r="AC13" s="596"/>
      <c r="AD13" s="593"/>
      <c r="AE13" s="593"/>
      <c r="AF13" s="593"/>
      <c r="AG13" s="593"/>
      <c r="AH13" s="596"/>
      <c r="AI13" s="593"/>
      <c r="AJ13" s="593"/>
      <c r="AK13" s="596"/>
      <c r="AL13" s="593"/>
    </row>
    <row r="14" spans="1:38" ht="17.100000000000001" hidden="1" customHeight="1">
      <c r="A14" s="589">
        <v>38626</v>
      </c>
      <c r="B14" s="580">
        <v>2520.6453239899997</v>
      </c>
      <c r="C14" s="580">
        <v>5859.529470456233</v>
      </c>
      <c r="D14" s="580">
        <v>3768.2101037799998</v>
      </c>
      <c r="E14" s="582">
        <v>12148.384898226233</v>
      </c>
      <c r="F14" s="580">
        <v>129248.02928813528</v>
      </c>
      <c r="G14" s="580">
        <v>2954.7450757151864</v>
      </c>
      <c r="H14" s="580">
        <v>11864.010638166543</v>
      </c>
      <c r="I14" s="580">
        <v>309.34550456390002</v>
      </c>
      <c r="J14" s="580">
        <v>91730.663426500119</v>
      </c>
      <c r="K14" s="582">
        <v>236106.79393308103</v>
      </c>
      <c r="L14" s="590">
        <v>34230.179441450004</v>
      </c>
      <c r="M14" s="580">
        <v>6806.6211435499999</v>
      </c>
      <c r="N14" s="580">
        <v>0</v>
      </c>
      <c r="O14" s="582">
        <v>41036.800585000005</v>
      </c>
      <c r="P14" s="580">
        <v>1136.0858658076334</v>
      </c>
      <c r="Q14" s="580">
        <v>2543.27141248</v>
      </c>
      <c r="R14" s="580">
        <v>99932.227386160303</v>
      </c>
      <c r="S14" s="580">
        <v>7395.3844091870642</v>
      </c>
      <c r="T14" s="591">
        <v>111006.969073635</v>
      </c>
      <c r="U14" s="592">
        <v>6877.6386364935524</v>
      </c>
      <c r="V14" s="580">
        <v>997.60526489737686</v>
      </c>
      <c r="W14" s="585">
        <v>22991.683188226856</v>
      </c>
      <c r="X14" s="586">
        <v>431165.87557956006</v>
      </c>
      <c r="Y14" s="587">
        <v>34587.292841753748</v>
      </c>
      <c r="Z14" s="593"/>
      <c r="AA14" s="594"/>
      <c r="AB14" s="595"/>
      <c r="AC14" s="596"/>
      <c r="AD14" s="593"/>
      <c r="AE14" s="593"/>
      <c r="AF14" s="593"/>
      <c r="AG14" s="593"/>
      <c r="AH14" s="596"/>
      <c r="AI14" s="593"/>
      <c r="AJ14" s="593"/>
      <c r="AK14" s="596"/>
      <c r="AL14" s="593"/>
    </row>
    <row r="15" spans="1:38" ht="17.100000000000001" hidden="1" customHeight="1">
      <c r="A15" s="589">
        <v>38657</v>
      </c>
      <c r="B15" s="580">
        <v>3146.5575425799998</v>
      </c>
      <c r="C15" s="580">
        <v>7077.8004051612006</v>
      </c>
      <c r="D15" s="580">
        <v>3187.9134588699999</v>
      </c>
      <c r="E15" s="582">
        <v>13412.2714066112</v>
      </c>
      <c r="F15" s="580">
        <v>145364.8285057008</v>
      </c>
      <c r="G15" s="580">
        <v>2701.2480393017313</v>
      </c>
      <c r="H15" s="580">
        <v>9738.345893302052</v>
      </c>
      <c r="I15" s="580">
        <v>275.80524239524999</v>
      </c>
      <c r="J15" s="580">
        <v>93714.865041671073</v>
      </c>
      <c r="K15" s="582">
        <v>251795.09272237093</v>
      </c>
      <c r="L15" s="590">
        <v>33624.241317849999</v>
      </c>
      <c r="M15" s="580">
        <v>7186.62554955</v>
      </c>
      <c r="N15" s="580">
        <v>0</v>
      </c>
      <c r="O15" s="582">
        <v>40810.8668674</v>
      </c>
      <c r="P15" s="580">
        <v>1232.7431208513999</v>
      </c>
      <c r="Q15" s="580">
        <v>2659.2428599999998</v>
      </c>
      <c r="R15" s="580">
        <v>101426.66208870323</v>
      </c>
      <c r="S15" s="580">
        <v>7314.8372427051636</v>
      </c>
      <c r="T15" s="591">
        <v>112633.48531225979</v>
      </c>
      <c r="U15" s="592">
        <v>7023.7911593629669</v>
      </c>
      <c r="V15" s="580">
        <v>1619.0114018049062</v>
      </c>
      <c r="W15" s="585">
        <v>23506.659763641754</v>
      </c>
      <c r="X15" s="586">
        <v>450801.17863345146</v>
      </c>
      <c r="Y15" s="587">
        <v>35652.400000000001</v>
      </c>
      <c r="Z15" s="593"/>
      <c r="AA15" s="594"/>
      <c r="AB15" s="595"/>
      <c r="AC15" s="596"/>
      <c r="AD15" s="593"/>
      <c r="AE15" s="593"/>
      <c r="AF15" s="593"/>
      <c r="AG15" s="593"/>
      <c r="AH15" s="596"/>
      <c r="AI15" s="593"/>
      <c r="AJ15" s="593"/>
      <c r="AK15" s="596"/>
      <c r="AL15" s="593"/>
    </row>
    <row r="16" spans="1:38" ht="17.100000000000001" hidden="1" customHeight="1">
      <c r="A16" s="589">
        <v>38687</v>
      </c>
      <c r="B16" s="580">
        <v>3479.7823776300002</v>
      </c>
      <c r="C16" s="580">
        <v>6541.8117668997247</v>
      </c>
      <c r="D16" s="580">
        <v>2998.0775980200001</v>
      </c>
      <c r="E16" s="582">
        <v>13019.671742549725</v>
      </c>
      <c r="F16" s="580">
        <v>130923.76840326407</v>
      </c>
      <c r="G16" s="580">
        <v>2448.8633409771737</v>
      </c>
      <c r="H16" s="580">
        <v>9787.2797315395528</v>
      </c>
      <c r="I16" s="580">
        <v>377.27212851357433</v>
      </c>
      <c r="J16" s="580">
        <v>92862.783091492121</v>
      </c>
      <c r="K16" s="582">
        <v>236399.96669578651</v>
      </c>
      <c r="L16" s="590">
        <v>32994.145168449999</v>
      </c>
      <c r="M16" s="580">
        <v>7928.2053893399998</v>
      </c>
      <c r="N16" s="580">
        <v>0</v>
      </c>
      <c r="O16" s="582">
        <v>40922.35055779</v>
      </c>
      <c r="P16" s="580">
        <v>1217.6658932</v>
      </c>
      <c r="Q16" s="580">
        <v>2675.6347144700003</v>
      </c>
      <c r="R16" s="580">
        <v>104878.50261707332</v>
      </c>
      <c r="S16" s="580">
        <v>7242.4994065856799</v>
      </c>
      <c r="T16" s="591">
        <v>116014.30263132899</v>
      </c>
      <c r="U16" s="592">
        <v>6878.7649459408667</v>
      </c>
      <c r="V16" s="580">
        <v>1505.3700467928934</v>
      </c>
      <c r="W16" s="585">
        <v>25054.77557092705</v>
      </c>
      <c r="X16" s="586">
        <v>439795.20219111606</v>
      </c>
      <c r="Y16" s="587">
        <v>36922.1</v>
      </c>
      <c r="Z16" s="593"/>
      <c r="AA16" s="594"/>
      <c r="AB16" s="595"/>
      <c r="AC16" s="596"/>
      <c r="AD16" s="593"/>
      <c r="AE16" s="593"/>
      <c r="AF16" s="593"/>
      <c r="AG16" s="593"/>
      <c r="AH16" s="596"/>
      <c r="AI16" s="593"/>
      <c r="AJ16" s="593"/>
      <c r="AK16" s="596"/>
      <c r="AL16" s="593"/>
    </row>
    <row r="17" spans="1:38" ht="17.100000000000001" hidden="1" customHeight="1">
      <c r="A17" s="589">
        <v>38718</v>
      </c>
      <c r="B17" s="580">
        <v>2461.2949634000001</v>
      </c>
      <c r="C17" s="580">
        <v>7203.3058494525949</v>
      </c>
      <c r="D17" s="580">
        <v>2232.5159364400001</v>
      </c>
      <c r="E17" s="582">
        <v>11897.116749292596</v>
      </c>
      <c r="F17" s="580">
        <v>135459.50282657592</v>
      </c>
      <c r="G17" s="580">
        <v>2249.3445342491195</v>
      </c>
      <c r="H17" s="580">
        <v>13527.118806693108</v>
      </c>
      <c r="I17" s="580">
        <v>373.37724705835461</v>
      </c>
      <c r="J17" s="580">
        <v>90555.058572084119</v>
      </c>
      <c r="K17" s="582">
        <v>242164.40198666064</v>
      </c>
      <c r="L17" s="590">
        <v>34044.442740749997</v>
      </c>
      <c r="M17" s="580">
        <v>8036.8259754400005</v>
      </c>
      <c r="N17" s="580">
        <v>0</v>
      </c>
      <c r="O17" s="582">
        <v>42081.268716189996</v>
      </c>
      <c r="P17" s="580">
        <v>1211.527538</v>
      </c>
      <c r="Q17" s="580">
        <v>2691.9382723099998</v>
      </c>
      <c r="R17" s="580">
        <v>104199.11284681392</v>
      </c>
      <c r="S17" s="580">
        <v>7262.4369091793042</v>
      </c>
      <c r="T17" s="591">
        <v>115365.01556630323</v>
      </c>
      <c r="U17" s="592">
        <v>6423.5101832495211</v>
      </c>
      <c r="V17" s="580">
        <v>466.67746763246646</v>
      </c>
      <c r="W17" s="585">
        <v>22200.424507039697</v>
      </c>
      <c r="X17" s="586">
        <v>440598.41517636814</v>
      </c>
      <c r="Y17" s="587">
        <v>35270.699999999997</v>
      </c>
      <c r="Z17" s="593"/>
      <c r="AA17" s="594"/>
      <c r="AB17" s="595"/>
      <c r="AC17" s="596"/>
      <c r="AD17" s="593"/>
      <c r="AE17" s="593"/>
      <c r="AF17" s="593"/>
      <c r="AG17" s="593"/>
      <c r="AH17" s="596"/>
      <c r="AI17" s="593"/>
      <c r="AJ17" s="593"/>
      <c r="AK17" s="596"/>
      <c r="AL17" s="593"/>
    </row>
    <row r="18" spans="1:38" ht="17.100000000000001" hidden="1" customHeight="1">
      <c r="A18" s="589">
        <v>38749</v>
      </c>
      <c r="B18" s="580">
        <v>2252.1387837399998</v>
      </c>
      <c r="C18" s="580">
        <v>8092.2151756751528</v>
      </c>
      <c r="D18" s="580">
        <v>2505.0295309899998</v>
      </c>
      <c r="E18" s="582">
        <v>12849.383490405151</v>
      </c>
      <c r="F18" s="580">
        <v>165153.8248474549</v>
      </c>
      <c r="G18" s="580">
        <v>2415.9080339599996</v>
      </c>
      <c r="H18" s="580">
        <v>13450.252800558426</v>
      </c>
      <c r="I18" s="580">
        <v>219.06443970835929</v>
      </c>
      <c r="J18" s="580">
        <v>87216.50841201414</v>
      </c>
      <c r="K18" s="582">
        <v>268455.55853369588</v>
      </c>
      <c r="L18" s="590">
        <v>33002.970195729999</v>
      </c>
      <c r="M18" s="580">
        <v>8707.7046634500002</v>
      </c>
      <c r="N18" s="580">
        <v>0</v>
      </c>
      <c r="O18" s="582">
        <v>41710.674859179999</v>
      </c>
      <c r="P18" s="580">
        <v>1100.9991600000001</v>
      </c>
      <c r="Q18" s="580">
        <v>2640.0586140100004</v>
      </c>
      <c r="R18" s="580">
        <v>104294.52666539834</v>
      </c>
      <c r="S18" s="580">
        <v>7339.2169396084591</v>
      </c>
      <c r="T18" s="591">
        <v>115374.8013790168</v>
      </c>
      <c r="U18" s="592">
        <v>7200.5380797475436</v>
      </c>
      <c r="V18" s="580">
        <v>423.12510398370335</v>
      </c>
      <c r="W18" s="585">
        <v>21634.279333711525</v>
      </c>
      <c r="X18" s="586">
        <v>467648.36077974056</v>
      </c>
      <c r="Y18" s="587">
        <v>35309.4</v>
      </c>
      <c r="Z18" s="593"/>
      <c r="AA18" s="594"/>
      <c r="AB18" s="595"/>
      <c r="AC18" s="596"/>
      <c r="AD18" s="593"/>
      <c r="AE18" s="593"/>
      <c r="AF18" s="593"/>
      <c r="AG18" s="593"/>
      <c r="AH18" s="596"/>
      <c r="AI18" s="593"/>
      <c r="AJ18" s="593"/>
      <c r="AK18" s="596"/>
      <c r="AL18" s="593"/>
    </row>
    <row r="19" spans="1:38" ht="17.100000000000001" hidden="1" customHeight="1">
      <c r="A19" s="589">
        <v>38777</v>
      </c>
      <c r="B19" s="580">
        <v>2081.6240740399999</v>
      </c>
      <c r="C19" s="580">
        <v>8270.0293390243696</v>
      </c>
      <c r="D19" s="580">
        <v>2682.1175181800004</v>
      </c>
      <c r="E19" s="582">
        <v>13033.770931244371</v>
      </c>
      <c r="F19" s="580">
        <v>171399.84189091963</v>
      </c>
      <c r="G19" s="580">
        <v>2254.3925486549997</v>
      </c>
      <c r="H19" s="580">
        <v>11717.867667511015</v>
      </c>
      <c r="I19" s="580">
        <v>161.25055004164199</v>
      </c>
      <c r="J19" s="580">
        <v>90013.443801400645</v>
      </c>
      <c r="K19" s="582">
        <v>275546.79645852797</v>
      </c>
      <c r="L19" s="590">
        <v>33098.899260500002</v>
      </c>
      <c r="M19" s="580">
        <v>9436.5372405100006</v>
      </c>
      <c r="N19" s="580">
        <v>0</v>
      </c>
      <c r="O19" s="582">
        <v>42535.436501010001</v>
      </c>
      <c r="P19" s="580">
        <v>1120.3172509999999</v>
      </c>
      <c r="Q19" s="580">
        <v>2481.0447944099997</v>
      </c>
      <c r="R19" s="580">
        <v>104103.73680890072</v>
      </c>
      <c r="S19" s="580">
        <v>7482.3336678182759</v>
      </c>
      <c r="T19" s="591">
        <v>115187.43252212901</v>
      </c>
      <c r="U19" s="592">
        <v>6845.9948785143124</v>
      </c>
      <c r="V19" s="580">
        <v>302.0573856692356</v>
      </c>
      <c r="W19" s="585">
        <v>21179.26149790686</v>
      </c>
      <c r="X19" s="586">
        <v>474630.7501750018</v>
      </c>
      <c r="Y19" s="587">
        <v>35490.6</v>
      </c>
      <c r="Z19" s="593"/>
      <c r="AA19" s="594"/>
      <c r="AB19" s="595"/>
      <c r="AC19" s="596"/>
      <c r="AD19" s="593"/>
      <c r="AE19" s="593"/>
      <c r="AF19" s="593"/>
      <c r="AG19" s="593"/>
      <c r="AH19" s="596"/>
      <c r="AI19" s="593"/>
      <c r="AJ19" s="593"/>
      <c r="AK19" s="596"/>
      <c r="AL19" s="593"/>
    </row>
    <row r="20" spans="1:38" ht="17.100000000000001" hidden="1" customHeight="1">
      <c r="A20" s="589">
        <v>38808</v>
      </c>
      <c r="B20" s="580">
        <v>2095.1863662300002</v>
      </c>
      <c r="C20" s="580">
        <v>7897.5823385438034</v>
      </c>
      <c r="D20" s="580">
        <v>2794.2032276</v>
      </c>
      <c r="E20" s="582">
        <v>12786.971932373803</v>
      </c>
      <c r="F20" s="580">
        <v>157516.93182815996</v>
      </c>
      <c r="G20" s="580">
        <v>2158.9802008124993</v>
      </c>
      <c r="H20" s="580">
        <v>8774.2584898367859</v>
      </c>
      <c r="I20" s="580">
        <v>230.56122725347973</v>
      </c>
      <c r="J20" s="580">
        <v>96038.493018348745</v>
      </c>
      <c r="K20" s="582">
        <v>264719.22476441151</v>
      </c>
      <c r="L20" s="590">
        <v>32176.16664784</v>
      </c>
      <c r="M20" s="580">
        <v>9773.8861174500016</v>
      </c>
      <c r="N20" s="580">
        <v>0</v>
      </c>
      <c r="O20" s="582">
        <v>41950.052765290005</v>
      </c>
      <c r="P20" s="580">
        <v>1082.3308818400001</v>
      </c>
      <c r="Q20" s="580">
        <v>2413.8414631400001</v>
      </c>
      <c r="R20" s="580">
        <v>106743.02829496887</v>
      </c>
      <c r="S20" s="580">
        <v>7570.2810992339346</v>
      </c>
      <c r="T20" s="591">
        <v>117809.48173918281</v>
      </c>
      <c r="U20" s="592">
        <v>7935.1336798474713</v>
      </c>
      <c r="V20" s="580">
        <v>118.76455065872383</v>
      </c>
      <c r="W20" s="585">
        <v>22076.794553791511</v>
      </c>
      <c r="X20" s="586">
        <v>467396.42398555577</v>
      </c>
      <c r="Y20" s="587">
        <v>35874.396131782443</v>
      </c>
      <c r="Z20" s="593"/>
      <c r="AA20" s="594"/>
      <c r="AB20" s="595"/>
      <c r="AC20" s="596"/>
      <c r="AD20" s="593"/>
      <c r="AE20" s="593"/>
      <c r="AF20" s="593"/>
      <c r="AG20" s="593"/>
      <c r="AH20" s="596"/>
      <c r="AI20" s="593"/>
      <c r="AJ20" s="593"/>
      <c r="AK20" s="596"/>
      <c r="AL20" s="593"/>
    </row>
    <row r="21" spans="1:38" ht="17.100000000000001" hidden="1" customHeight="1">
      <c r="A21" s="589">
        <v>38838</v>
      </c>
      <c r="B21" s="580">
        <v>1985.2538890300002</v>
      </c>
      <c r="C21" s="580">
        <v>7344.8499994176027</v>
      </c>
      <c r="D21" s="580">
        <v>3049.39452596</v>
      </c>
      <c r="E21" s="582">
        <v>12379.498414407604</v>
      </c>
      <c r="F21" s="580">
        <v>184300.19589145525</v>
      </c>
      <c r="G21" s="580">
        <v>2126.4444853499999</v>
      </c>
      <c r="H21" s="580">
        <v>8982.0539581761968</v>
      </c>
      <c r="I21" s="580">
        <v>215.8831748133762</v>
      </c>
      <c r="J21" s="580">
        <v>98353.389086602299</v>
      </c>
      <c r="K21" s="582">
        <v>293977.96659639711</v>
      </c>
      <c r="L21" s="590">
        <v>32810.932668200003</v>
      </c>
      <c r="M21" s="580">
        <v>10155.42716001</v>
      </c>
      <c r="N21" s="580">
        <v>0</v>
      </c>
      <c r="O21" s="582">
        <v>42966.359828209999</v>
      </c>
      <c r="P21" s="580">
        <v>1088.6062790000001</v>
      </c>
      <c r="Q21" s="580">
        <v>2316.5987149799998</v>
      </c>
      <c r="R21" s="580">
        <v>107501.42776152576</v>
      </c>
      <c r="S21" s="580">
        <v>7483.0098648244775</v>
      </c>
      <c r="T21" s="591">
        <v>118389.64262033024</v>
      </c>
      <c r="U21" s="592">
        <v>8482.3364656184967</v>
      </c>
      <c r="V21" s="580">
        <v>222.28086887724407</v>
      </c>
      <c r="W21" s="585">
        <v>22321.320009634943</v>
      </c>
      <c r="X21" s="586">
        <v>498739.40480347566</v>
      </c>
      <c r="Y21" s="587">
        <v>36509.806111381164</v>
      </c>
      <c r="Z21" s="593"/>
      <c r="AA21" s="594"/>
      <c r="AB21" s="595"/>
      <c r="AC21" s="596"/>
      <c r="AD21" s="593"/>
      <c r="AE21" s="593"/>
      <c r="AF21" s="593"/>
      <c r="AG21" s="593"/>
      <c r="AH21" s="596"/>
      <c r="AI21" s="593"/>
      <c r="AJ21" s="593"/>
      <c r="AK21" s="596"/>
      <c r="AL21" s="593"/>
    </row>
    <row r="22" spans="1:38" ht="17.100000000000001" hidden="1" customHeight="1">
      <c r="A22" s="589">
        <v>38869</v>
      </c>
      <c r="B22" s="580">
        <v>1815.8988274100002</v>
      </c>
      <c r="C22" s="580">
        <v>9046.8329878485292</v>
      </c>
      <c r="D22" s="580">
        <v>2552.4419674899996</v>
      </c>
      <c r="E22" s="582">
        <v>13415.173782748529</v>
      </c>
      <c r="F22" s="580">
        <v>174797.18126910381</v>
      </c>
      <c r="G22" s="580">
        <v>2612.9912649998523</v>
      </c>
      <c r="H22" s="580">
        <v>6878.5297952824349</v>
      </c>
      <c r="I22" s="580">
        <v>184.52600480943971</v>
      </c>
      <c r="J22" s="580">
        <v>96982.728589366408</v>
      </c>
      <c r="K22" s="582">
        <v>281455.95692356193</v>
      </c>
      <c r="L22" s="590">
        <v>34886.144281660003</v>
      </c>
      <c r="M22" s="580">
        <v>10506.655074876031</v>
      </c>
      <c r="N22" s="580">
        <v>0</v>
      </c>
      <c r="O22" s="582">
        <v>45392.799356536038</v>
      </c>
      <c r="P22" s="580">
        <v>1105.8289420000001</v>
      </c>
      <c r="Q22" s="580">
        <v>2352.58256205</v>
      </c>
      <c r="R22" s="580">
        <v>107966.47056874222</v>
      </c>
      <c r="S22" s="580">
        <v>8046.5671374670255</v>
      </c>
      <c r="T22" s="591">
        <v>119471.44921025925</v>
      </c>
      <c r="U22" s="592">
        <v>8907.0994827195409</v>
      </c>
      <c r="V22" s="580">
        <v>235.36751620336622</v>
      </c>
      <c r="W22" s="585">
        <v>22413.34311970248</v>
      </c>
      <c r="X22" s="586">
        <v>491291.18939173117</v>
      </c>
      <c r="Y22" s="587">
        <v>35292.62302713783</v>
      </c>
      <c r="Z22" s="593"/>
      <c r="AA22" s="594"/>
      <c r="AB22" s="595"/>
      <c r="AC22" s="596"/>
      <c r="AD22" s="593"/>
      <c r="AE22" s="593"/>
      <c r="AF22" s="593"/>
      <c r="AG22" s="593"/>
      <c r="AH22" s="596"/>
      <c r="AI22" s="593"/>
      <c r="AJ22" s="593"/>
      <c r="AK22" s="596"/>
      <c r="AL22" s="593"/>
    </row>
    <row r="23" spans="1:38" ht="17.100000000000001" hidden="1" customHeight="1">
      <c r="A23" s="589">
        <v>38899</v>
      </c>
      <c r="B23" s="580">
        <v>1950.48530966</v>
      </c>
      <c r="C23" s="580">
        <v>7931.5034352401208</v>
      </c>
      <c r="D23" s="580">
        <v>3191.2813256100003</v>
      </c>
      <c r="E23" s="582">
        <v>13073.270070510122</v>
      </c>
      <c r="F23" s="580">
        <v>187284.36806007076</v>
      </c>
      <c r="G23" s="580">
        <v>2767.24208477</v>
      </c>
      <c r="H23" s="580">
        <v>8023.7493317717226</v>
      </c>
      <c r="I23" s="580">
        <v>297.70733625568329</v>
      </c>
      <c r="J23" s="580">
        <v>100553.96158061695</v>
      </c>
      <c r="K23" s="582">
        <v>298927.02839348512</v>
      </c>
      <c r="L23" s="590">
        <v>34930.650997050005</v>
      </c>
      <c r="M23" s="580">
        <v>10504.02129948</v>
      </c>
      <c r="N23" s="580">
        <v>0</v>
      </c>
      <c r="O23" s="582">
        <v>45434.672296530007</v>
      </c>
      <c r="P23" s="580">
        <v>1107.0427609999999</v>
      </c>
      <c r="Q23" s="580">
        <v>2456.1347668400003</v>
      </c>
      <c r="R23" s="580">
        <v>110892.76220764808</v>
      </c>
      <c r="S23" s="580">
        <v>8033.7600748158566</v>
      </c>
      <c r="T23" s="591">
        <v>122489.69981030392</v>
      </c>
      <c r="U23" s="592">
        <v>7674.4347434444207</v>
      </c>
      <c r="V23" s="580">
        <v>441.39948618025528</v>
      </c>
      <c r="W23" s="585">
        <v>21741.710936061041</v>
      </c>
      <c r="X23" s="586">
        <v>509782.21573651489</v>
      </c>
      <c r="Y23" s="587">
        <v>34689.340472073476</v>
      </c>
      <c r="Z23" s="593"/>
      <c r="AA23" s="594"/>
      <c r="AB23" s="595"/>
      <c r="AC23" s="596"/>
      <c r="AD23" s="593"/>
      <c r="AE23" s="593"/>
      <c r="AF23" s="593"/>
      <c r="AG23" s="593"/>
      <c r="AH23" s="596"/>
      <c r="AI23" s="593"/>
      <c r="AJ23" s="593"/>
      <c r="AK23" s="596"/>
      <c r="AL23" s="593"/>
    </row>
    <row r="24" spans="1:38" ht="17.100000000000001" hidden="1" customHeight="1">
      <c r="A24" s="589">
        <v>38930</v>
      </c>
      <c r="B24" s="580">
        <v>2387.8872047</v>
      </c>
      <c r="C24" s="580">
        <v>6790.8747300999075</v>
      </c>
      <c r="D24" s="580">
        <v>3141.6905672399998</v>
      </c>
      <c r="E24" s="582">
        <v>12320.452502039909</v>
      </c>
      <c r="F24" s="580">
        <v>194052.40369667439</v>
      </c>
      <c r="G24" s="580">
        <v>2972.3376784899997</v>
      </c>
      <c r="H24" s="580">
        <v>7436.8821390129551</v>
      </c>
      <c r="I24" s="580">
        <v>223.36028357646668</v>
      </c>
      <c r="J24" s="580">
        <v>104621.03072211855</v>
      </c>
      <c r="K24" s="582">
        <v>309306.01451987238</v>
      </c>
      <c r="L24" s="590">
        <v>33990.530390559994</v>
      </c>
      <c r="M24" s="580">
        <v>10820.123690959999</v>
      </c>
      <c r="N24" s="580">
        <v>0</v>
      </c>
      <c r="O24" s="582">
        <v>44810.654081519991</v>
      </c>
      <c r="P24" s="580">
        <v>1104.3549949999999</v>
      </c>
      <c r="Q24" s="580">
        <v>2506.2908823400003</v>
      </c>
      <c r="R24" s="580">
        <v>112715.91859762072</v>
      </c>
      <c r="S24" s="580">
        <v>8147.1589311557182</v>
      </c>
      <c r="T24" s="591">
        <v>124473.72340611645</v>
      </c>
      <c r="U24" s="592">
        <v>7668.2701907859437</v>
      </c>
      <c r="V24" s="580">
        <v>254.75915136694312</v>
      </c>
      <c r="W24" s="585">
        <v>23415.738734225419</v>
      </c>
      <c r="X24" s="586">
        <v>522249.61258592707</v>
      </c>
      <c r="Y24" s="587">
        <v>36648.482637241075</v>
      </c>
      <c r="Z24" s="593"/>
      <c r="AA24" s="594"/>
      <c r="AB24" s="595"/>
      <c r="AC24" s="596"/>
      <c r="AD24" s="593"/>
      <c r="AE24" s="593"/>
      <c r="AF24" s="593"/>
      <c r="AG24" s="593"/>
      <c r="AH24" s="596"/>
      <c r="AI24" s="593"/>
      <c r="AJ24" s="593"/>
      <c r="AK24" s="596"/>
      <c r="AL24" s="593"/>
    </row>
    <row r="25" spans="1:38" ht="17.100000000000001" hidden="1" customHeight="1">
      <c r="A25" s="589">
        <v>38961</v>
      </c>
      <c r="B25" s="580">
        <v>1917.4352451</v>
      </c>
      <c r="C25" s="580">
        <v>8839.840139035563</v>
      </c>
      <c r="D25" s="580">
        <v>2648.6843897399999</v>
      </c>
      <c r="E25" s="582">
        <v>13405.959773875562</v>
      </c>
      <c r="F25" s="580">
        <v>217278.05033045693</v>
      </c>
      <c r="G25" s="580">
        <v>2905.08375015</v>
      </c>
      <c r="H25" s="580">
        <v>7482.4796439267011</v>
      </c>
      <c r="I25" s="580">
        <v>227.96490248440699</v>
      </c>
      <c r="J25" s="580">
        <v>106898.84727054389</v>
      </c>
      <c r="K25" s="582">
        <v>334792.42589756195</v>
      </c>
      <c r="L25" s="590">
        <v>30540.711378150001</v>
      </c>
      <c r="M25" s="580">
        <v>10820.03561268</v>
      </c>
      <c r="N25" s="580">
        <v>335.03197841150006</v>
      </c>
      <c r="O25" s="582">
        <v>41695.778969241495</v>
      </c>
      <c r="P25" s="580">
        <v>1109.789117</v>
      </c>
      <c r="Q25" s="580">
        <v>2451.2007821999996</v>
      </c>
      <c r="R25" s="580">
        <v>113711.63186690935</v>
      </c>
      <c r="S25" s="580">
        <v>8256.2922323632411</v>
      </c>
      <c r="T25" s="591">
        <v>125528.91399847259</v>
      </c>
      <c r="U25" s="592">
        <v>8508.1513695896629</v>
      </c>
      <c r="V25" s="580">
        <v>264.41726504195486</v>
      </c>
      <c r="W25" s="585">
        <v>23800.404927834639</v>
      </c>
      <c r="X25" s="586">
        <v>547996.05220161774</v>
      </c>
      <c r="Y25" s="587">
        <v>39072.778054220806</v>
      </c>
      <c r="Z25" s="593"/>
      <c r="AA25" s="594"/>
      <c r="AB25" s="595"/>
      <c r="AC25" s="596"/>
      <c r="AD25" s="593"/>
      <c r="AE25" s="593"/>
      <c r="AF25" s="593"/>
      <c r="AG25" s="593"/>
      <c r="AH25" s="596"/>
      <c r="AI25" s="593"/>
      <c r="AJ25" s="593"/>
      <c r="AK25" s="596"/>
      <c r="AL25" s="593"/>
    </row>
    <row r="26" spans="1:38" ht="17.100000000000001" hidden="1" customHeight="1">
      <c r="A26" s="589">
        <v>38991</v>
      </c>
      <c r="B26" s="580">
        <v>2196.8213237399996</v>
      </c>
      <c r="C26" s="580">
        <v>7297.352523042231</v>
      </c>
      <c r="D26" s="580">
        <v>1286.26126817</v>
      </c>
      <c r="E26" s="582">
        <v>10780.43511495223</v>
      </c>
      <c r="F26" s="580">
        <v>221086.59288619674</v>
      </c>
      <c r="G26" s="580">
        <v>2638.5369446700001</v>
      </c>
      <c r="H26" s="580">
        <v>7526.3819325544</v>
      </c>
      <c r="I26" s="580">
        <v>274.33078501170002</v>
      </c>
      <c r="J26" s="580">
        <v>109075.10279859723</v>
      </c>
      <c r="K26" s="582">
        <v>340600.94534703007</v>
      </c>
      <c r="L26" s="590">
        <v>29857.776498790001</v>
      </c>
      <c r="M26" s="580">
        <v>11034.522859049999</v>
      </c>
      <c r="N26" s="580">
        <v>414.48134621879996</v>
      </c>
      <c r="O26" s="582">
        <v>41306.780704058801</v>
      </c>
      <c r="P26" s="580">
        <v>1080.303242</v>
      </c>
      <c r="Q26" s="580">
        <v>2490.1641971399999</v>
      </c>
      <c r="R26" s="580">
        <v>115404.60567996529</v>
      </c>
      <c r="S26" s="580">
        <v>8547.6391383023383</v>
      </c>
      <c r="T26" s="591">
        <v>127522.71225740763</v>
      </c>
      <c r="U26" s="592">
        <v>8647.9885205006995</v>
      </c>
      <c r="V26" s="580">
        <v>238.78520371266455</v>
      </c>
      <c r="W26" s="585">
        <v>24584.318020053786</v>
      </c>
      <c r="X26" s="586">
        <v>553681.9651677158</v>
      </c>
      <c r="Y26" s="587">
        <v>41442.800618036963</v>
      </c>
      <c r="Z26" s="593"/>
      <c r="AA26" s="594"/>
      <c r="AB26" s="595"/>
      <c r="AC26" s="596"/>
      <c r="AD26" s="593"/>
      <c r="AE26" s="593"/>
      <c r="AF26" s="593"/>
      <c r="AG26" s="593"/>
      <c r="AH26" s="596"/>
      <c r="AI26" s="593"/>
      <c r="AJ26" s="593"/>
      <c r="AK26" s="596"/>
      <c r="AL26" s="593"/>
    </row>
    <row r="27" spans="1:38" ht="17.100000000000001" hidden="1" customHeight="1">
      <c r="A27" s="589">
        <v>39022</v>
      </c>
      <c r="B27" s="580">
        <v>2463.8257039800001</v>
      </c>
      <c r="C27" s="580">
        <v>6879.5283147995997</v>
      </c>
      <c r="D27" s="580">
        <v>902.27593045000003</v>
      </c>
      <c r="E27" s="582">
        <v>10245.629949229598</v>
      </c>
      <c r="F27" s="580">
        <v>239234.27996777685</v>
      </c>
      <c r="G27" s="580">
        <v>2997.0788100549998</v>
      </c>
      <c r="H27" s="580">
        <v>7507.6285572960014</v>
      </c>
      <c r="I27" s="580">
        <v>311.8470229006</v>
      </c>
      <c r="J27" s="580">
        <v>116058.20047292477</v>
      </c>
      <c r="K27" s="582">
        <v>366109.03483095323</v>
      </c>
      <c r="L27" s="590">
        <v>27978.27405955</v>
      </c>
      <c r="M27" s="580">
        <v>11440.4223284</v>
      </c>
      <c r="N27" s="580">
        <v>2111.956836927</v>
      </c>
      <c r="O27" s="582">
        <v>41530.653224876994</v>
      </c>
      <c r="P27" s="580">
        <v>1089.0257300000001</v>
      </c>
      <c r="Q27" s="580">
        <v>2904.55731646</v>
      </c>
      <c r="R27" s="580">
        <v>116003.42530642495</v>
      </c>
      <c r="S27" s="580">
        <v>9016.0410407728014</v>
      </c>
      <c r="T27" s="591">
        <v>129013.04939365775</v>
      </c>
      <c r="U27" s="592">
        <v>7537.1064833708524</v>
      </c>
      <c r="V27" s="580">
        <v>264.47455000556999</v>
      </c>
      <c r="W27" s="585">
        <v>25255.069085450054</v>
      </c>
      <c r="X27" s="586">
        <v>579955.01751754398</v>
      </c>
      <c r="Y27" s="587">
        <v>42102.873590325202</v>
      </c>
      <c r="Z27" s="593"/>
      <c r="AA27" s="594"/>
      <c r="AB27" s="595"/>
      <c r="AC27" s="596"/>
      <c r="AD27" s="593"/>
      <c r="AE27" s="593"/>
      <c r="AF27" s="593"/>
      <c r="AG27" s="593"/>
      <c r="AH27" s="596"/>
      <c r="AI27" s="593"/>
      <c r="AJ27" s="593"/>
      <c r="AK27" s="596"/>
      <c r="AL27" s="593"/>
    </row>
    <row r="28" spans="1:38" ht="17.100000000000001" hidden="1" customHeight="1">
      <c r="A28" s="589">
        <v>39052</v>
      </c>
      <c r="B28" s="580">
        <v>3322.1699084300003</v>
      </c>
      <c r="C28" s="580">
        <v>8087.3454520200003</v>
      </c>
      <c r="D28" s="580">
        <v>753.17265300999998</v>
      </c>
      <c r="E28" s="582">
        <v>12162.688013460001</v>
      </c>
      <c r="F28" s="580">
        <v>260408.99291418245</v>
      </c>
      <c r="G28" s="580">
        <v>3839.6829179349998</v>
      </c>
      <c r="H28" s="580">
        <v>7544.7366834527493</v>
      </c>
      <c r="I28" s="580">
        <v>411.22599549</v>
      </c>
      <c r="J28" s="580">
        <v>121864.79337401502</v>
      </c>
      <c r="K28" s="582">
        <v>394069.43188507517</v>
      </c>
      <c r="L28" s="590">
        <v>26725.891024925</v>
      </c>
      <c r="M28" s="580">
        <v>11842.53495917</v>
      </c>
      <c r="N28" s="580">
        <v>-8.0369999977847328E-5</v>
      </c>
      <c r="O28" s="582">
        <v>38568.425903724994</v>
      </c>
      <c r="P28" s="580">
        <v>1084.4074909999999</v>
      </c>
      <c r="Q28" s="580">
        <v>2819.1407391999996</v>
      </c>
      <c r="R28" s="580">
        <v>118515.29877739499</v>
      </c>
      <c r="S28" s="580">
        <v>8913.6834678313226</v>
      </c>
      <c r="T28" s="591">
        <v>131332.53047542632</v>
      </c>
      <c r="U28" s="592">
        <v>6819.801318715</v>
      </c>
      <c r="V28" s="580">
        <v>2081.7390948525249</v>
      </c>
      <c r="W28" s="585">
        <v>24240.174255596074</v>
      </c>
      <c r="X28" s="586">
        <v>609274.79094684997</v>
      </c>
      <c r="Y28" s="587">
        <v>42599.592504551256</v>
      </c>
      <c r="Z28" s="593"/>
      <c r="AA28" s="594"/>
      <c r="AB28" s="595"/>
      <c r="AC28" s="596"/>
      <c r="AD28" s="593"/>
      <c r="AE28" s="593"/>
      <c r="AF28" s="593"/>
      <c r="AG28" s="593"/>
      <c r="AH28" s="596"/>
      <c r="AI28" s="593"/>
      <c r="AJ28" s="593"/>
      <c r="AK28" s="596"/>
      <c r="AL28" s="593"/>
    </row>
    <row r="29" spans="1:38" ht="17.100000000000001" hidden="1" customHeight="1">
      <c r="A29" s="589">
        <v>39083</v>
      </c>
      <c r="B29" s="580">
        <v>2515.3464133100001</v>
      </c>
      <c r="C29" s="580">
        <v>7414.4585376428467</v>
      </c>
      <c r="D29" s="580">
        <v>676.60185935000004</v>
      </c>
      <c r="E29" s="582">
        <v>10606.406810302846</v>
      </c>
      <c r="F29" s="580">
        <v>230136.60145740758</v>
      </c>
      <c r="G29" s="580">
        <v>3724.7819607557499</v>
      </c>
      <c r="H29" s="580">
        <v>7327.66436744372</v>
      </c>
      <c r="I29" s="580">
        <v>252.97820390925</v>
      </c>
      <c r="J29" s="580">
        <v>125180.7345691118</v>
      </c>
      <c r="K29" s="582">
        <v>366622.76055862807</v>
      </c>
      <c r="L29" s="590">
        <v>25664.762182627001</v>
      </c>
      <c r="M29" s="580">
        <v>12028.993756299998</v>
      </c>
      <c r="N29" s="580">
        <v>-4.1354000001092572E-4</v>
      </c>
      <c r="O29" s="582">
        <v>37693.755525387001</v>
      </c>
      <c r="P29" s="580">
        <v>1072.9588510000001</v>
      </c>
      <c r="Q29" s="580">
        <v>2893.6342978899997</v>
      </c>
      <c r="R29" s="580">
        <v>118678.11048505992</v>
      </c>
      <c r="S29" s="580">
        <v>8772.9704113661664</v>
      </c>
      <c r="T29" s="591">
        <v>131417.67404531609</v>
      </c>
      <c r="U29" s="592">
        <v>7363.4912867653447</v>
      </c>
      <c r="V29" s="580">
        <v>398.52714633186253</v>
      </c>
      <c r="W29" s="585">
        <v>25075.740122407886</v>
      </c>
      <c r="X29" s="586">
        <v>579178.35549513903</v>
      </c>
      <c r="Y29" s="587">
        <v>48736.46711056654</v>
      </c>
      <c r="Z29" s="593"/>
      <c r="AA29" s="594"/>
      <c r="AB29" s="595"/>
      <c r="AC29" s="596"/>
      <c r="AD29" s="593"/>
      <c r="AE29" s="593"/>
      <c r="AF29" s="593"/>
      <c r="AG29" s="593"/>
      <c r="AH29" s="596"/>
      <c r="AI29" s="593"/>
      <c r="AJ29" s="593"/>
      <c r="AK29" s="596"/>
      <c r="AL29" s="593"/>
    </row>
    <row r="30" spans="1:38" ht="17.100000000000001" hidden="1" customHeight="1">
      <c r="A30" s="589">
        <v>39114</v>
      </c>
      <c r="B30" s="580">
        <v>2414.9337476700002</v>
      </c>
      <c r="C30" s="580">
        <v>7832.2335556766338</v>
      </c>
      <c r="D30" s="580">
        <v>612.57368073999999</v>
      </c>
      <c r="E30" s="582">
        <v>10859.740984086635</v>
      </c>
      <c r="F30" s="580">
        <v>227791.02271942954</v>
      </c>
      <c r="G30" s="580">
        <v>3601.2120139443336</v>
      </c>
      <c r="H30" s="580">
        <v>7334.3354544371141</v>
      </c>
      <c r="I30" s="580">
        <v>247.19983713568337</v>
      </c>
      <c r="J30" s="580">
        <v>130766.35077523388</v>
      </c>
      <c r="K30" s="582">
        <v>369740.12080018059</v>
      </c>
      <c r="L30" s="590">
        <v>26569.415282485865</v>
      </c>
      <c r="M30" s="580">
        <v>13063.85957493</v>
      </c>
      <c r="N30" s="580">
        <v>-1.8119999964483213E-5</v>
      </c>
      <c r="O30" s="582">
        <v>39633.27483929586</v>
      </c>
      <c r="P30" s="580">
        <v>1077.5142370000001</v>
      </c>
      <c r="Q30" s="580">
        <v>2494.6936243099999</v>
      </c>
      <c r="R30" s="580">
        <v>117889.33920970492</v>
      </c>
      <c r="S30" s="580">
        <v>8692.3294880369231</v>
      </c>
      <c r="T30" s="591">
        <v>130153.87655905186</v>
      </c>
      <c r="U30" s="592">
        <v>7094.0560488126694</v>
      </c>
      <c r="V30" s="580">
        <v>403.28780229192182</v>
      </c>
      <c r="W30" s="585">
        <v>24097.850198892575</v>
      </c>
      <c r="X30" s="586">
        <v>581982.20723261207</v>
      </c>
      <c r="Y30" s="587">
        <v>41472.545356895906</v>
      </c>
      <c r="Z30" s="593"/>
      <c r="AA30" s="594"/>
      <c r="AB30" s="595"/>
      <c r="AC30" s="596"/>
      <c r="AD30" s="593"/>
      <c r="AE30" s="593"/>
      <c r="AF30" s="593"/>
      <c r="AG30" s="593"/>
      <c r="AH30" s="596"/>
      <c r="AI30" s="593"/>
      <c r="AJ30" s="593"/>
      <c r="AK30" s="596"/>
      <c r="AL30" s="593"/>
    </row>
    <row r="31" spans="1:38" ht="17.100000000000001" hidden="1" customHeight="1">
      <c r="A31" s="589">
        <v>39142</v>
      </c>
      <c r="B31" s="580">
        <v>2208.3231896500001</v>
      </c>
      <c r="C31" s="580">
        <v>8904.3657820227272</v>
      </c>
      <c r="D31" s="580">
        <v>2105.5414529999998</v>
      </c>
      <c r="E31" s="582">
        <v>13218.230424672727</v>
      </c>
      <c r="F31" s="580">
        <v>225140.76979755628</v>
      </c>
      <c r="G31" s="580">
        <v>3630.5191048672</v>
      </c>
      <c r="H31" s="580">
        <v>7352.0210338474772</v>
      </c>
      <c r="I31" s="580">
        <v>235.5276032173</v>
      </c>
      <c r="J31" s="580">
        <v>144304.04291992958</v>
      </c>
      <c r="K31" s="582">
        <v>380662.88045941782</v>
      </c>
      <c r="L31" s="590">
        <v>24952.837351579001</v>
      </c>
      <c r="M31" s="580">
        <v>14092.84688375</v>
      </c>
      <c r="N31" s="580">
        <v>0</v>
      </c>
      <c r="O31" s="582">
        <v>39045.684235328998</v>
      </c>
      <c r="P31" s="580">
        <v>1075.812424</v>
      </c>
      <c r="Q31" s="580">
        <v>2257.97199946</v>
      </c>
      <c r="R31" s="580">
        <v>118137.90469128633</v>
      </c>
      <c r="S31" s="580">
        <v>8768.7419710967406</v>
      </c>
      <c r="T31" s="591">
        <v>130240.43108584307</v>
      </c>
      <c r="U31" s="592">
        <v>8165.0088607375055</v>
      </c>
      <c r="V31" s="580">
        <v>978.82724416072119</v>
      </c>
      <c r="W31" s="585">
        <v>25947.430952554627</v>
      </c>
      <c r="X31" s="586">
        <v>598258.49326271552</v>
      </c>
      <c r="Y31" s="587">
        <v>41381.45342137439</v>
      </c>
      <c r="Z31" s="593"/>
      <c r="AA31" s="594"/>
      <c r="AB31" s="595"/>
      <c r="AC31" s="596"/>
      <c r="AD31" s="593"/>
      <c r="AE31" s="593"/>
      <c r="AF31" s="593"/>
      <c r="AG31" s="593"/>
      <c r="AH31" s="596"/>
      <c r="AI31" s="593"/>
      <c r="AJ31" s="593"/>
      <c r="AK31" s="596"/>
      <c r="AL31" s="593"/>
    </row>
    <row r="32" spans="1:38" ht="17.100000000000001" hidden="1" customHeight="1">
      <c r="A32" s="589">
        <v>39173</v>
      </c>
      <c r="B32" s="580">
        <v>2125.5826604099998</v>
      </c>
      <c r="C32" s="580">
        <v>7847.8561931747163</v>
      </c>
      <c r="D32" s="580">
        <v>5257.0277167676331</v>
      </c>
      <c r="E32" s="582">
        <v>15230.46657035235</v>
      </c>
      <c r="F32" s="580">
        <v>215082.60306504028</v>
      </c>
      <c r="G32" s="580">
        <v>4334.9843284903</v>
      </c>
      <c r="H32" s="580">
        <v>7303.3037030172236</v>
      </c>
      <c r="I32" s="580">
        <v>322.76965492776668</v>
      </c>
      <c r="J32" s="580">
        <v>148055.78245203148</v>
      </c>
      <c r="K32" s="582">
        <v>375099.44320350705</v>
      </c>
      <c r="L32" s="590">
        <v>25293.477736169898</v>
      </c>
      <c r="M32" s="580">
        <v>15574.514234540002</v>
      </c>
      <c r="N32" s="580">
        <v>0</v>
      </c>
      <c r="O32" s="582">
        <v>40867.991970709903</v>
      </c>
      <c r="P32" s="580">
        <v>1078.1730700000001</v>
      </c>
      <c r="Q32" s="580">
        <v>2218.8029037699998</v>
      </c>
      <c r="R32" s="580">
        <v>118210.37517120109</v>
      </c>
      <c r="S32" s="580">
        <v>8660.3572854231279</v>
      </c>
      <c r="T32" s="591">
        <v>130167.70843039421</v>
      </c>
      <c r="U32" s="592">
        <v>8660.9238065104928</v>
      </c>
      <c r="V32" s="580">
        <v>1688.0475276701654</v>
      </c>
      <c r="W32" s="585">
        <v>25992.933192268578</v>
      </c>
      <c r="X32" s="586">
        <v>597707.51470141276</v>
      </c>
      <c r="Y32" s="587">
        <v>43027.069188998837</v>
      </c>
      <c r="Z32" s="593"/>
      <c r="AA32" s="594"/>
      <c r="AB32" s="595"/>
      <c r="AC32" s="596"/>
      <c r="AD32" s="593"/>
      <c r="AE32" s="593"/>
      <c r="AF32" s="593"/>
      <c r="AG32" s="593"/>
      <c r="AH32" s="596"/>
      <c r="AI32" s="593"/>
      <c r="AJ32" s="593"/>
      <c r="AK32" s="596"/>
      <c r="AL32" s="593"/>
    </row>
    <row r="33" spans="1:38" ht="17.100000000000001" hidden="1" customHeight="1">
      <c r="A33" s="589">
        <v>39203</v>
      </c>
      <c r="B33" s="580">
        <v>2132.2369624200001</v>
      </c>
      <c r="C33" s="580">
        <v>8213.7382512547811</v>
      </c>
      <c r="D33" s="580">
        <v>5194.0317928430004</v>
      </c>
      <c r="E33" s="582">
        <v>15540.007006517782</v>
      </c>
      <c r="F33" s="580">
        <v>210811.30682141753</v>
      </c>
      <c r="G33" s="580">
        <v>4849.4541941220996</v>
      </c>
      <c r="H33" s="580">
        <v>7608.925198039824</v>
      </c>
      <c r="I33" s="580">
        <v>217.83878093069998</v>
      </c>
      <c r="J33" s="580">
        <v>153617.53656456489</v>
      </c>
      <c r="K33" s="582">
        <v>377105.06155907502</v>
      </c>
      <c r="L33" s="590">
        <v>24445.060355806352</v>
      </c>
      <c r="M33" s="580">
        <v>16707.097049236538</v>
      </c>
      <c r="N33" s="580">
        <v>0</v>
      </c>
      <c r="O33" s="582">
        <v>41152.15740504289</v>
      </c>
      <c r="P33" s="580">
        <v>1089.939942</v>
      </c>
      <c r="Q33" s="580">
        <v>2118.7421031100002</v>
      </c>
      <c r="R33" s="580">
        <v>117500.46540026003</v>
      </c>
      <c r="S33" s="580">
        <v>8580.7756408828318</v>
      </c>
      <c r="T33" s="591">
        <v>129289.92308625285</v>
      </c>
      <c r="U33" s="592">
        <v>10905.860417076925</v>
      </c>
      <c r="V33" s="580">
        <v>3977.2725024767938</v>
      </c>
      <c r="W33" s="585">
        <v>26433.651059165473</v>
      </c>
      <c r="X33" s="586">
        <v>604403.93303560792</v>
      </c>
      <c r="Y33" s="587">
        <v>42355.84467817485</v>
      </c>
      <c r="Z33" s="593"/>
      <c r="AA33" s="594"/>
      <c r="AB33" s="595"/>
      <c r="AC33" s="596"/>
      <c r="AD33" s="593"/>
      <c r="AE33" s="593"/>
      <c r="AF33" s="593"/>
      <c r="AG33" s="593"/>
      <c r="AH33" s="596"/>
      <c r="AI33" s="593"/>
      <c r="AJ33" s="593"/>
      <c r="AK33" s="596"/>
      <c r="AL33" s="593"/>
    </row>
    <row r="34" spans="1:38" ht="17.100000000000001" hidden="1" customHeight="1">
      <c r="A34" s="589">
        <v>39234</v>
      </c>
      <c r="B34" s="580">
        <v>1914.3835437999999</v>
      </c>
      <c r="C34" s="580">
        <v>9480.1453692150008</v>
      </c>
      <c r="D34" s="580">
        <v>4691.9675605938</v>
      </c>
      <c r="E34" s="582">
        <v>16086.4964736088</v>
      </c>
      <c r="F34" s="580">
        <v>217616.93429659359</v>
      </c>
      <c r="G34" s="580">
        <v>5411.3473483185999</v>
      </c>
      <c r="H34" s="580">
        <v>7783.5589346520001</v>
      </c>
      <c r="I34" s="580">
        <v>265.45146247700001</v>
      </c>
      <c r="J34" s="580">
        <v>163878.31517461836</v>
      </c>
      <c r="K34" s="582">
        <v>394955.60721665958</v>
      </c>
      <c r="L34" s="590">
        <v>24396.883621944991</v>
      </c>
      <c r="M34" s="580">
        <v>16897.491593089999</v>
      </c>
      <c r="N34" s="580">
        <v>0</v>
      </c>
      <c r="O34" s="582">
        <v>41294.37521503499</v>
      </c>
      <c r="P34" s="580">
        <v>1099.76488079</v>
      </c>
      <c r="Q34" s="580">
        <v>2227.4444136100001</v>
      </c>
      <c r="R34" s="580">
        <v>119152.89904371851</v>
      </c>
      <c r="S34" s="580">
        <v>8900.9175206197997</v>
      </c>
      <c r="T34" s="591">
        <v>131381.02585873831</v>
      </c>
      <c r="U34" s="592">
        <v>10158.161028158476</v>
      </c>
      <c r="V34" s="580">
        <v>3244.5832823625142</v>
      </c>
      <c r="W34" s="585">
        <v>26778.654972009477</v>
      </c>
      <c r="X34" s="586">
        <v>623898.90404657216</v>
      </c>
      <c r="Y34" s="587">
        <v>44498.346003262959</v>
      </c>
      <c r="Z34" s="593"/>
      <c r="AA34" s="594"/>
      <c r="AB34" s="595"/>
      <c r="AC34" s="596"/>
      <c r="AD34" s="593"/>
      <c r="AE34" s="593"/>
      <c r="AF34" s="593"/>
      <c r="AG34" s="593"/>
      <c r="AH34" s="596"/>
      <c r="AI34" s="593"/>
      <c r="AJ34" s="593"/>
      <c r="AK34" s="596"/>
      <c r="AL34" s="593"/>
    </row>
    <row r="35" spans="1:38" ht="17.100000000000001" hidden="1" customHeight="1">
      <c r="A35" s="589">
        <v>39264</v>
      </c>
      <c r="B35" s="580">
        <v>2014.8065060399999</v>
      </c>
      <c r="C35" s="580">
        <v>9021.5165828757163</v>
      </c>
      <c r="D35" s="580">
        <v>4819.319127013533</v>
      </c>
      <c r="E35" s="582">
        <v>15855.642215929249</v>
      </c>
      <c r="F35" s="580">
        <v>246368.52680708843</v>
      </c>
      <c r="G35" s="580">
        <v>5462.061287730201</v>
      </c>
      <c r="H35" s="580">
        <v>7828.2780553821221</v>
      </c>
      <c r="I35" s="580">
        <v>416.10458528966672</v>
      </c>
      <c r="J35" s="580">
        <v>161104.63519252182</v>
      </c>
      <c r="K35" s="582">
        <v>421179.60592801229</v>
      </c>
      <c r="L35" s="590">
        <v>22283.833853537133</v>
      </c>
      <c r="M35" s="580">
        <v>17013.446356559998</v>
      </c>
      <c r="N35" s="580">
        <v>4.5999999986889861E-7</v>
      </c>
      <c r="O35" s="582">
        <v>39297.280210557132</v>
      </c>
      <c r="P35" s="580">
        <v>1068.3439860999999</v>
      </c>
      <c r="Q35" s="580">
        <v>2192.6113199599999</v>
      </c>
      <c r="R35" s="580">
        <v>119368.91926965519</v>
      </c>
      <c r="S35" s="580">
        <v>8717.0350228344687</v>
      </c>
      <c r="T35" s="591">
        <v>131346.90959854965</v>
      </c>
      <c r="U35" s="592">
        <v>9810.3960254848971</v>
      </c>
      <c r="V35" s="580">
        <v>880.42799964553251</v>
      </c>
      <c r="W35" s="585">
        <v>27132.725773042421</v>
      </c>
      <c r="X35" s="586">
        <v>645502.98775122128</v>
      </c>
      <c r="Y35" s="587">
        <v>43685.724462361926</v>
      </c>
      <c r="Z35" s="593"/>
      <c r="AA35" s="594"/>
      <c r="AB35" s="595"/>
      <c r="AC35" s="596"/>
      <c r="AD35" s="593"/>
      <c r="AE35" s="593"/>
      <c r="AF35" s="593"/>
      <c r="AG35" s="593"/>
      <c r="AH35" s="596"/>
      <c r="AI35" s="593"/>
      <c r="AJ35" s="593"/>
      <c r="AK35" s="596"/>
      <c r="AL35" s="593"/>
    </row>
    <row r="36" spans="1:38" ht="17.100000000000001" hidden="1" customHeight="1">
      <c r="A36" s="589">
        <v>39295</v>
      </c>
      <c r="B36" s="580">
        <v>2011.10480798</v>
      </c>
      <c r="C36" s="580">
        <v>8481.8115072663495</v>
      </c>
      <c r="D36" s="580">
        <v>5216.7296774125498</v>
      </c>
      <c r="E36" s="582">
        <v>15709.6459926589</v>
      </c>
      <c r="F36" s="580">
        <v>259388.24230521638</v>
      </c>
      <c r="G36" s="580">
        <v>6007.0261423409002</v>
      </c>
      <c r="H36" s="580">
        <v>7601.2171946560638</v>
      </c>
      <c r="I36" s="580">
        <v>261.76049446315</v>
      </c>
      <c r="J36" s="580">
        <v>159667.29979774318</v>
      </c>
      <c r="K36" s="582">
        <v>432925.54593441973</v>
      </c>
      <c r="L36" s="590">
        <v>22908.588889873197</v>
      </c>
      <c r="M36" s="580">
        <v>18499.399305909999</v>
      </c>
      <c r="N36" s="580">
        <v>2.2000000043931323E-7</v>
      </c>
      <c r="O36" s="582">
        <v>41407.9881960032</v>
      </c>
      <c r="P36" s="580">
        <v>1132.9250440000001</v>
      </c>
      <c r="Q36" s="580">
        <v>2160.6811183</v>
      </c>
      <c r="R36" s="580">
        <v>122829.11846436048</v>
      </c>
      <c r="S36" s="580">
        <v>8629.8742944286168</v>
      </c>
      <c r="T36" s="591">
        <v>134752.59892108911</v>
      </c>
      <c r="U36" s="592">
        <v>9212.4296975850866</v>
      </c>
      <c r="V36" s="580">
        <v>868.30367472517128</v>
      </c>
      <c r="W36" s="585">
        <v>27725.159713030804</v>
      </c>
      <c r="X36" s="586">
        <v>662601.67212951195</v>
      </c>
      <c r="Y36" s="587">
        <v>46193.440427783826</v>
      </c>
      <c r="Z36" s="593"/>
      <c r="AA36" s="594"/>
      <c r="AB36" s="595"/>
      <c r="AC36" s="596"/>
      <c r="AD36" s="593"/>
      <c r="AE36" s="593"/>
      <c r="AF36" s="593"/>
      <c r="AG36" s="593"/>
      <c r="AH36" s="596"/>
      <c r="AI36" s="593"/>
      <c r="AJ36" s="593"/>
      <c r="AK36" s="596"/>
      <c r="AL36" s="593"/>
    </row>
    <row r="37" spans="1:38" ht="17.100000000000001" hidden="1" customHeight="1">
      <c r="A37" s="589">
        <v>39326</v>
      </c>
      <c r="B37" s="580">
        <v>1960.2172360300003</v>
      </c>
      <c r="C37" s="580">
        <v>10752.856724423142</v>
      </c>
      <c r="D37" s="580">
        <v>4663.670147452267</v>
      </c>
      <c r="E37" s="582">
        <v>17376.744107905412</v>
      </c>
      <c r="F37" s="580">
        <v>260662.35806514396</v>
      </c>
      <c r="G37" s="580">
        <v>5343.910944753683</v>
      </c>
      <c r="H37" s="580">
        <v>7469.3276857146666</v>
      </c>
      <c r="I37" s="580">
        <v>276.64265776133328</v>
      </c>
      <c r="J37" s="580">
        <v>166839.87766627627</v>
      </c>
      <c r="K37" s="582">
        <v>440592.11701964994</v>
      </c>
      <c r="L37" s="590">
        <v>20612.010325687766</v>
      </c>
      <c r="M37" s="580">
        <v>19983.31721248</v>
      </c>
      <c r="N37" s="580">
        <v>7.5150000000689943E-5</v>
      </c>
      <c r="O37" s="582">
        <v>40595.327613317764</v>
      </c>
      <c r="P37" s="580">
        <v>1133.6218966399999</v>
      </c>
      <c r="Q37" s="580">
        <v>2027.9759141900001</v>
      </c>
      <c r="R37" s="580">
        <v>123705.25807635103</v>
      </c>
      <c r="S37" s="580">
        <v>8654.8850504650236</v>
      </c>
      <c r="T37" s="591">
        <v>135521.74093764607</v>
      </c>
      <c r="U37" s="592">
        <v>9457.1639098106734</v>
      </c>
      <c r="V37" s="580">
        <v>1019.1449508301178</v>
      </c>
      <c r="W37" s="585">
        <v>28104.131541509414</v>
      </c>
      <c r="X37" s="586">
        <v>672666.37008066941</v>
      </c>
      <c r="Y37" s="587">
        <v>48161.581159289839</v>
      </c>
      <c r="Z37" s="593"/>
      <c r="AA37" s="594"/>
      <c r="AB37" s="595"/>
      <c r="AC37" s="596"/>
      <c r="AD37" s="593"/>
      <c r="AE37" s="593"/>
      <c r="AF37" s="593"/>
      <c r="AG37" s="593"/>
      <c r="AH37" s="596"/>
      <c r="AI37" s="593"/>
      <c r="AJ37" s="593"/>
      <c r="AK37" s="596"/>
      <c r="AL37" s="593"/>
    </row>
    <row r="38" spans="1:38" ht="17.100000000000001" hidden="1" customHeight="1">
      <c r="A38" s="589">
        <v>39356</v>
      </c>
      <c r="B38" s="580">
        <v>2346.5860313099997</v>
      </c>
      <c r="C38" s="580">
        <v>10968.233673568699</v>
      </c>
      <c r="D38" s="580">
        <v>2997.9312813514666</v>
      </c>
      <c r="E38" s="582">
        <v>16312.750986230165</v>
      </c>
      <c r="F38" s="580">
        <v>248395.93669103415</v>
      </c>
      <c r="G38" s="580">
        <v>5088.1076727949676</v>
      </c>
      <c r="H38" s="580">
        <v>7479.3421063466667</v>
      </c>
      <c r="I38" s="580">
        <v>307.54111524266671</v>
      </c>
      <c r="J38" s="580">
        <v>174432.36334277573</v>
      </c>
      <c r="K38" s="582">
        <v>435703.29092819418</v>
      </c>
      <c r="L38" s="590">
        <v>19668.123301087442</v>
      </c>
      <c r="M38" s="580">
        <v>20873.125990680001</v>
      </c>
      <c r="N38" s="580">
        <v>1.092700000002722E-4</v>
      </c>
      <c r="O38" s="582">
        <v>40541.249401037436</v>
      </c>
      <c r="P38" s="580">
        <v>1131.3664725199999</v>
      </c>
      <c r="Q38" s="580">
        <v>2009.21994795</v>
      </c>
      <c r="R38" s="580">
        <v>126373.47756990437</v>
      </c>
      <c r="S38" s="580">
        <v>8737.2312516915008</v>
      </c>
      <c r="T38" s="591">
        <v>138251.29524206588</v>
      </c>
      <c r="U38" s="592">
        <v>10963.168767571573</v>
      </c>
      <c r="V38" s="580">
        <v>824.81357572699903</v>
      </c>
      <c r="W38" s="585">
        <v>27630.637751055678</v>
      </c>
      <c r="X38" s="586">
        <v>670227.20665188204</v>
      </c>
      <c r="Y38" s="587">
        <v>51121.216738404401</v>
      </c>
      <c r="Z38" s="593"/>
      <c r="AA38" s="594"/>
      <c r="AB38" s="595"/>
      <c r="AC38" s="596"/>
      <c r="AD38" s="593"/>
      <c r="AE38" s="593"/>
      <c r="AF38" s="593"/>
      <c r="AG38" s="593"/>
      <c r="AH38" s="596"/>
      <c r="AI38" s="593"/>
      <c r="AJ38" s="593"/>
      <c r="AK38" s="596"/>
      <c r="AL38" s="593"/>
    </row>
    <row r="39" spans="1:38" ht="17.100000000000001" hidden="1" customHeight="1">
      <c r="A39" s="589">
        <v>39387</v>
      </c>
      <c r="B39" s="580">
        <v>2335.0810954200001</v>
      </c>
      <c r="C39" s="580">
        <v>9072.5255402496496</v>
      </c>
      <c r="D39" s="580">
        <v>4049.1168429084669</v>
      </c>
      <c r="E39" s="582">
        <v>15456.723478578117</v>
      </c>
      <c r="F39" s="580">
        <v>280290.6856299573</v>
      </c>
      <c r="G39" s="580">
        <v>4676.7166330497994</v>
      </c>
      <c r="H39" s="580">
        <v>7232.2307066106669</v>
      </c>
      <c r="I39" s="580">
        <v>301.95758952616666</v>
      </c>
      <c r="J39" s="580">
        <v>182609.60810432321</v>
      </c>
      <c r="K39" s="582">
        <v>475111.19866346713</v>
      </c>
      <c r="L39" s="590">
        <v>21637.289586161154</v>
      </c>
      <c r="M39" s="580">
        <v>21735.456235169997</v>
      </c>
      <c r="N39" s="580">
        <v>-2.2800999999983418E-4</v>
      </c>
      <c r="O39" s="582">
        <v>43372.745593321146</v>
      </c>
      <c r="P39" s="580">
        <v>1089.59636252</v>
      </c>
      <c r="Q39" s="580">
        <v>2048.20135927</v>
      </c>
      <c r="R39" s="580">
        <v>128372.94160738832</v>
      </c>
      <c r="S39" s="580">
        <v>8650.377601534803</v>
      </c>
      <c r="T39" s="591">
        <v>140161.11693071312</v>
      </c>
      <c r="U39" s="592">
        <v>11087.178155837784</v>
      </c>
      <c r="V39" s="580">
        <v>680.45714326123436</v>
      </c>
      <c r="W39" s="585">
        <v>28640.954721062957</v>
      </c>
      <c r="X39" s="586">
        <v>714510.3746862415</v>
      </c>
      <c r="Y39" s="587">
        <v>48002.384289997499</v>
      </c>
      <c r="Z39" s="593"/>
      <c r="AA39" s="594"/>
      <c r="AB39" s="595"/>
      <c r="AC39" s="596"/>
      <c r="AD39" s="593"/>
      <c r="AE39" s="593"/>
      <c r="AF39" s="593"/>
      <c r="AG39" s="593"/>
      <c r="AH39" s="596"/>
      <c r="AI39" s="593"/>
      <c r="AJ39" s="593"/>
      <c r="AK39" s="596"/>
      <c r="AL39" s="593"/>
    </row>
    <row r="40" spans="1:38" ht="17.100000000000001" hidden="1" customHeight="1">
      <c r="A40" s="589">
        <v>39417</v>
      </c>
      <c r="B40" s="580">
        <v>3437.6939873999995</v>
      </c>
      <c r="C40" s="580">
        <v>9863.0216191368199</v>
      </c>
      <c r="D40" s="580">
        <v>3976.8479033787498</v>
      </c>
      <c r="E40" s="582">
        <v>17277.56350991557</v>
      </c>
      <c r="F40" s="580">
        <v>260511.6357855133</v>
      </c>
      <c r="G40" s="580">
        <v>4118.0492116762507</v>
      </c>
      <c r="H40" s="580">
        <v>6885.4501198575008</v>
      </c>
      <c r="I40" s="580">
        <v>641.13749332499708</v>
      </c>
      <c r="J40" s="580">
        <v>176635.38294263743</v>
      </c>
      <c r="K40" s="582">
        <v>448791.65555300948</v>
      </c>
      <c r="L40" s="590">
        <v>21664.27290035865</v>
      </c>
      <c r="M40" s="580">
        <v>22594.272678639998</v>
      </c>
      <c r="N40" s="580">
        <v>-2.9774999999965246E-4</v>
      </c>
      <c r="O40" s="582">
        <v>44258.545281248647</v>
      </c>
      <c r="P40" s="580">
        <v>1089.07226956</v>
      </c>
      <c r="Q40" s="580">
        <v>2270.71480092</v>
      </c>
      <c r="R40" s="580">
        <v>133682.22295601096</v>
      </c>
      <c r="S40" s="580">
        <v>8270.1528139521924</v>
      </c>
      <c r="T40" s="591">
        <v>145312.16284044314</v>
      </c>
      <c r="U40" s="592">
        <v>11746.750538212651</v>
      </c>
      <c r="V40" s="580">
        <v>598.51109833824785</v>
      </c>
      <c r="W40" s="585">
        <v>26773.146589845583</v>
      </c>
      <c r="X40" s="586">
        <v>694758.33541101334</v>
      </c>
      <c r="Y40" s="587">
        <v>47553.977614061354</v>
      </c>
      <c r="Z40" s="593"/>
      <c r="AA40" s="594"/>
      <c r="AB40" s="595"/>
      <c r="AC40" s="596"/>
      <c r="AD40" s="593"/>
      <c r="AE40" s="593"/>
      <c r="AF40" s="593"/>
      <c r="AG40" s="593"/>
      <c r="AH40" s="596"/>
      <c r="AI40" s="593"/>
      <c r="AJ40" s="593"/>
      <c r="AK40" s="596"/>
      <c r="AL40" s="593"/>
    </row>
    <row r="41" spans="1:38" ht="17.100000000000001" hidden="1" customHeight="1">
      <c r="A41" s="589">
        <v>39448</v>
      </c>
      <c r="B41" s="580">
        <v>2672.7012553899999</v>
      </c>
      <c r="C41" s="580">
        <v>9101.3633934848858</v>
      </c>
      <c r="D41" s="580">
        <v>4979.3602153649617</v>
      </c>
      <c r="E41" s="582">
        <v>16753.424864239849</v>
      </c>
      <c r="F41" s="580">
        <v>278083.12229679682</v>
      </c>
      <c r="G41" s="580">
        <v>2985.54288163</v>
      </c>
      <c r="H41" s="580">
        <v>7960.5022116748542</v>
      </c>
      <c r="I41" s="580">
        <v>511.39403093639197</v>
      </c>
      <c r="J41" s="580">
        <v>183812.49165768526</v>
      </c>
      <c r="K41" s="582">
        <v>473353.05307872337</v>
      </c>
      <c r="L41" s="590">
        <v>21097.350458134773</v>
      </c>
      <c r="M41" s="580">
        <v>23814.63066875</v>
      </c>
      <c r="N41" s="580">
        <v>-4.3875999999976045E-4</v>
      </c>
      <c r="O41" s="582">
        <v>44911.980688124771</v>
      </c>
      <c r="P41" s="580">
        <v>1069.47748028</v>
      </c>
      <c r="Q41" s="580">
        <v>2332.2654250700002</v>
      </c>
      <c r="R41" s="580">
        <v>135912.56850639411</v>
      </c>
      <c r="S41" s="580">
        <v>7998.2166152692434</v>
      </c>
      <c r="T41" s="591">
        <v>147312.52802701335</v>
      </c>
      <c r="U41" s="592">
        <v>12332.944233588576</v>
      </c>
      <c r="V41" s="580">
        <v>1526.7169042326746</v>
      </c>
      <c r="W41" s="585">
        <v>27278.246602030042</v>
      </c>
      <c r="X41" s="586">
        <v>723468.89439795259</v>
      </c>
      <c r="Y41" s="587">
        <v>50219.826724544429</v>
      </c>
      <c r="Z41" s="593"/>
      <c r="AA41" s="594"/>
      <c r="AB41" s="595"/>
      <c r="AC41" s="596"/>
      <c r="AD41" s="593"/>
      <c r="AE41" s="593"/>
      <c r="AF41" s="593"/>
      <c r="AG41" s="593"/>
      <c r="AH41" s="596"/>
      <c r="AI41" s="593"/>
      <c r="AJ41" s="593"/>
      <c r="AK41" s="596"/>
      <c r="AL41" s="593"/>
    </row>
    <row r="42" spans="1:38" ht="17.100000000000001" hidden="1" customHeight="1">
      <c r="A42" s="589">
        <v>39479</v>
      </c>
      <c r="B42" s="580">
        <v>2424.0370009200001</v>
      </c>
      <c r="C42" s="580">
        <v>10967.124580128238</v>
      </c>
      <c r="D42" s="580">
        <v>4933.2501050260325</v>
      </c>
      <c r="E42" s="582">
        <v>18324.411686074272</v>
      </c>
      <c r="F42" s="580">
        <v>251585.66700935026</v>
      </c>
      <c r="G42" s="580">
        <v>3285.1861993015</v>
      </c>
      <c r="H42" s="580">
        <v>7648.3108533562799</v>
      </c>
      <c r="I42" s="580">
        <v>254.20999625625194</v>
      </c>
      <c r="J42" s="580">
        <v>189341.47590797985</v>
      </c>
      <c r="K42" s="582">
        <v>452114.84996624419</v>
      </c>
      <c r="L42" s="590">
        <v>21906.339559148182</v>
      </c>
      <c r="M42" s="580">
        <v>24589.836544908958</v>
      </c>
      <c r="N42" s="580">
        <v>1.7836999999953917E-4</v>
      </c>
      <c r="O42" s="582">
        <v>46496.176282427143</v>
      </c>
      <c r="P42" s="580">
        <v>1056.3028387699999</v>
      </c>
      <c r="Q42" s="580">
        <v>2414.4564369200002</v>
      </c>
      <c r="R42" s="580">
        <v>136059.01663985953</v>
      </c>
      <c r="S42" s="580">
        <v>7626.1012571465171</v>
      </c>
      <c r="T42" s="591">
        <v>147155.87717269603</v>
      </c>
      <c r="U42" s="592">
        <v>11070.669779080248</v>
      </c>
      <c r="V42" s="580">
        <v>1520.2954186127527</v>
      </c>
      <c r="W42" s="585">
        <v>28151.00950580732</v>
      </c>
      <c r="X42" s="586">
        <v>704833.28981094202</v>
      </c>
      <c r="Y42" s="587">
        <v>47972.86983261953</v>
      </c>
      <c r="Z42" s="593"/>
      <c r="AA42" s="594"/>
      <c r="AB42" s="595"/>
      <c r="AC42" s="596"/>
      <c r="AD42" s="593"/>
      <c r="AE42" s="593"/>
      <c r="AF42" s="593"/>
      <c r="AG42" s="593"/>
      <c r="AH42" s="596"/>
      <c r="AI42" s="593"/>
      <c r="AJ42" s="593"/>
      <c r="AK42" s="596"/>
      <c r="AL42" s="593"/>
    </row>
    <row r="43" spans="1:38" ht="17.100000000000001" hidden="1" customHeight="1">
      <c r="A43" s="589">
        <v>39508</v>
      </c>
      <c r="B43" s="580">
        <v>2201.9510797799999</v>
      </c>
      <c r="C43" s="580">
        <v>14555.37568026287</v>
      </c>
      <c r="D43" s="580">
        <v>7073.177034695932</v>
      </c>
      <c r="E43" s="582">
        <v>23830.503794738801</v>
      </c>
      <c r="F43" s="580">
        <v>238858.28624454825</v>
      </c>
      <c r="G43" s="580">
        <v>4661.4297953231162</v>
      </c>
      <c r="H43" s="580">
        <v>7536.0658003864582</v>
      </c>
      <c r="I43" s="580">
        <v>269.08003209564436</v>
      </c>
      <c r="J43" s="580">
        <v>176601.72257507121</v>
      </c>
      <c r="K43" s="582">
        <v>427926.58444742463</v>
      </c>
      <c r="L43" s="590">
        <v>21673.967512363488</v>
      </c>
      <c r="M43" s="580">
        <v>25588.193436008445</v>
      </c>
      <c r="N43" s="580">
        <v>-1.5833999999959047E-4</v>
      </c>
      <c r="O43" s="582">
        <v>47262.160790031936</v>
      </c>
      <c r="P43" s="580">
        <v>1063.0708835800001</v>
      </c>
      <c r="Q43" s="580">
        <v>2389.9419238800001</v>
      </c>
      <c r="R43" s="580">
        <v>137084.01997187562</v>
      </c>
      <c r="S43" s="580">
        <v>7521.5893217049506</v>
      </c>
      <c r="T43" s="591">
        <v>148058.62210104059</v>
      </c>
      <c r="U43" s="592">
        <v>10935.915016716805</v>
      </c>
      <c r="V43" s="580">
        <v>1619.1119846285683</v>
      </c>
      <c r="W43" s="585">
        <v>33942.871550318763</v>
      </c>
      <c r="X43" s="586">
        <v>693575.76968490006</v>
      </c>
      <c r="Y43" s="587">
        <v>46960.889008693739</v>
      </c>
      <c r="Z43" s="593"/>
      <c r="AA43" s="594"/>
      <c r="AB43" s="595"/>
      <c r="AC43" s="596"/>
      <c r="AD43" s="593"/>
      <c r="AE43" s="593"/>
      <c r="AF43" s="593"/>
      <c r="AG43" s="593"/>
      <c r="AH43" s="596"/>
      <c r="AI43" s="593"/>
      <c r="AJ43" s="593"/>
      <c r="AK43" s="596"/>
      <c r="AL43" s="593"/>
    </row>
    <row r="44" spans="1:38" ht="17.100000000000001" hidden="1" customHeight="1">
      <c r="A44" s="589">
        <v>39539</v>
      </c>
      <c r="B44" s="580">
        <v>2358.4085955599999</v>
      </c>
      <c r="C44" s="580">
        <v>9964.8704470442699</v>
      </c>
      <c r="D44" s="580">
        <v>12244.675319002201</v>
      </c>
      <c r="E44" s="582">
        <v>24567.954361606469</v>
      </c>
      <c r="F44" s="580">
        <v>221764.32197804333</v>
      </c>
      <c r="G44" s="580">
        <v>5622.8709249567992</v>
      </c>
      <c r="H44" s="580">
        <v>8016.4115218397073</v>
      </c>
      <c r="I44" s="580">
        <v>251.92707597680001</v>
      </c>
      <c r="J44" s="580">
        <v>184214.10125262471</v>
      </c>
      <c r="K44" s="582">
        <v>419869.63275344134</v>
      </c>
      <c r="L44" s="590">
        <v>22228.460655816612</v>
      </c>
      <c r="M44" s="580">
        <v>26333.24978123049</v>
      </c>
      <c r="N44" s="580">
        <v>-1.4878999999989873E-4</v>
      </c>
      <c r="O44" s="582">
        <v>48561.710288257105</v>
      </c>
      <c r="P44" s="580">
        <v>1095.74375538</v>
      </c>
      <c r="Q44" s="580">
        <v>2340.88111798</v>
      </c>
      <c r="R44" s="580">
        <v>139454.69141706382</v>
      </c>
      <c r="S44" s="580">
        <v>7394.548411257917</v>
      </c>
      <c r="T44" s="591">
        <v>150285.86470168171</v>
      </c>
      <c r="U44" s="592">
        <v>10116.967438846819</v>
      </c>
      <c r="V44" s="580">
        <v>794.9471535303195</v>
      </c>
      <c r="W44" s="585">
        <v>26829.36222634044</v>
      </c>
      <c r="X44" s="586">
        <v>681026.43892370421</v>
      </c>
      <c r="Y44" s="587">
        <v>48043.421946344381</v>
      </c>
      <c r="Z44" s="593"/>
      <c r="AA44" s="594"/>
      <c r="AB44" s="595"/>
      <c r="AC44" s="596"/>
      <c r="AD44" s="593"/>
      <c r="AE44" s="593"/>
      <c r="AF44" s="593"/>
      <c r="AG44" s="593"/>
      <c r="AH44" s="596"/>
      <c r="AI44" s="593"/>
      <c r="AJ44" s="593"/>
      <c r="AK44" s="596"/>
      <c r="AL44" s="593"/>
    </row>
    <row r="45" spans="1:38" ht="17.100000000000001" hidden="1" customHeight="1">
      <c r="A45" s="589">
        <v>39569</v>
      </c>
      <c r="B45" s="580">
        <v>2269.0402082169207</v>
      </c>
      <c r="C45" s="580">
        <v>9256.6923596451925</v>
      </c>
      <c r="D45" s="580">
        <v>10349.277130566135</v>
      </c>
      <c r="E45" s="582">
        <v>21875.00969842825</v>
      </c>
      <c r="F45" s="580">
        <v>228933.02293828106</v>
      </c>
      <c r="G45" s="580">
        <v>5877.4702602167827</v>
      </c>
      <c r="H45" s="580">
        <v>15389.435257516521</v>
      </c>
      <c r="I45" s="580">
        <v>273.38995166077211</v>
      </c>
      <c r="J45" s="580">
        <v>199594.54282519111</v>
      </c>
      <c r="K45" s="582">
        <v>450067.86123286624</v>
      </c>
      <c r="L45" s="590">
        <v>24925.797162393166</v>
      </c>
      <c r="M45" s="580">
        <v>27350.790312355442</v>
      </c>
      <c r="N45" s="580">
        <v>6.1660000000074433E-5</v>
      </c>
      <c r="O45" s="582">
        <v>52276.58753640861</v>
      </c>
      <c r="P45" s="580">
        <v>1129.46102234</v>
      </c>
      <c r="Q45" s="580">
        <v>2571.1220143800001</v>
      </c>
      <c r="R45" s="580">
        <v>141685.22779280689</v>
      </c>
      <c r="S45" s="580">
        <v>7508.9594096469837</v>
      </c>
      <c r="T45" s="591">
        <v>152894.77023917387</v>
      </c>
      <c r="U45" s="592">
        <v>11784.059732644517</v>
      </c>
      <c r="V45" s="580">
        <v>800.19299686613954</v>
      </c>
      <c r="W45" s="585">
        <v>28222.322122595488</v>
      </c>
      <c r="X45" s="586">
        <v>717920.80355898314</v>
      </c>
      <c r="Y45" s="587">
        <v>52965.345273467399</v>
      </c>
      <c r="Z45" s="593"/>
      <c r="AA45" s="594"/>
      <c r="AB45" s="595"/>
      <c r="AC45" s="596"/>
      <c r="AD45" s="593"/>
      <c r="AE45" s="593"/>
      <c r="AF45" s="593"/>
      <c r="AG45" s="593"/>
      <c r="AH45" s="596"/>
      <c r="AI45" s="593"/>
      <c r="AJ45" s="593"/>
      <c r="AK45" s="596"/>
      <c r="AL45" s="593"/>
    </row>
    <row r="46" spans="1:38" ht="17.100000000000001" hidden="1" customHeight="1">
      <c r="A46" s="589">
        <v>39600</v>
      </c>
      <c r="B46" s="580">
        <v>2093.6949126229083</v>
      </c>
      <c r="C46" s="580">
        <v>11917.527635432281</v>
      </c>
      <c r="D46" s="580">
        <v>6028.3278035419671</v>
      </c>
      <c r="E46" s="582">
        <v>20039.550351597158</v>
      </c>
      <c r="F46" s="580">
        <v>238514.52868853731</v>
      </c>
      <c r="G46" s="580">
        <v>5679.6793979248996</v>
      </c>
      <c r="H46" s="580">
        <v>21876.520966455992</v>
      </c>
      <c r="I46" s="580">
        <v>324.72733536491711</v>
      </c>
      <c r="J46" s="580">
        <v>189585.33833895801</v>
      </c>
      <c r="K46" s="582">
        <v>455980.79472724115</v>
      </c>
      <c r="L46" s="590">
        <v>31615.389150853753</v>
      </c>
      <c r="M46" s="580">
        <v>24098.958682945289</v>
      </c>
      <c r="N46" s="580">
        <v>-2.8074999999994077E-4</v>
      </c>
      <c r="O46" s="582">
        <v>55714.34755304904</v>
      </c>
      <c r="P46" s="580">
        <v>1145.2529159800001</v>
      </c>
      <c r="Q46" s="580">
        <v>2776.4430720199998</v>
      </c>
      <c r="R46" s="580">
        <v>143939.97020545643</v>
      </c>
      <c r="S46" s="580">
        <v>7985.3756967621675</v>
      </c>
      <c r="T46" s="591">
        <v>155847.04189021862</v>
      </c>
      <c r="U46" s="592">
        <v>11264.00901455368</v>
      </c>
      <c r="V46" s="580">
        <v>1546.7104122140499</v>
      </c>
      <c r="W46" s="585">
        <v>28950.01467207012</v>
      </c>
      <c r="X46" s="586">
        <v>729342.46862094384</v>
      </c>
      <c r="Y46" s="587">
        <v>53777.498538158587</v>
      </c>
      <c r="Z46" s="593"/>
      <c r="AA46" s="594"/>
      <c r="AB46" s="595"/>
      <c r="AC46" s="596"/>
      <c r="AD46" s="593"/>
      <c r="AE46" s="593"/>
      <c r="AF46" s="593"/>
      <c r="AG46" s="593"/>
      <c r="AH46" s="596"/>
      <c r="AI46" s="593"/>
      <c r="AJ46" s="593"/>
      <c r="AK46" s="596"/>
      <c r="AL46" s="593"/>
    </row>
    <row r="47" spans="1:38" ht="17.100000000000001" hidden="1" customHeight="1">
      <c r="A47" s="589">
        <v>39630</v>
      </c>
      <c r="B47" s="580">
        <v>2540.0269665742103</v>
      </c>
      <c r="C47" s="580">
        <v>10422.370499647193</v>
      </c>
      <c r="D47" s="580">
        <v>6713.4462060155047</v>
      </c>
      <c r="E47" s="582">
        <v>19675.843672236908</v>
      </c>
      <c r="F47" s="580">
        <v>264159.23422725609</v>
      </c>
      <c r="G47" s="580">
        <v>5522.9706076592502</v>
      </c>
      <c r="H47" s="580">
        <v>7999.0178695369041</v>
      </c>
      <c r="I47" s="580">
        <v>287.55060331437738</v>
      </c>
      <c r="J47" s="580">
        <v>190533.11796317811</v>
      </c>
      <c r="K47" s="582">
        <v>468501.89127094473</v>
      </c>
      <c r="L47" s="590">
        <v>33273.304561080164</v>
      </c>
      <c r="M47" s="580">
        <v>24118.832183374077</v>
      </c>
      <c r="N47" s="580">
        <v>-3.6637999999999948E-4</v>
      </c>
      <c r="O47" s="582">
        <v>57392.136378074239</v>
      </c>
      <c r="P47" s="580">
        <v>1083.1352314100002</v>
      </c>
      <c r="Q47" s="580">
        <v>2862.4089365599998</v>
      </c>
      <c r="R47" s="580">
        <v>146939.09164869069</v>
      </c>
      <c r="S47" s="580">
        <v>8273.3994280029692</v>
      </c>
      <c r="T47" s="591">
        <v>159158.03524466365</v>
      </c>
      <c r="U47" s="592">
        <v>11572.967654640182</v>
      </c>
      <c r="V47" s="580">
        <v>623.58049228652715</v>
      </c>
      <c r="W47" s="585">
        <v>30516.084042990184</v>
      </c>
      <c r="X47" s="586">
        <v>747440.53875583643</v>
      </c>
      <c r="Y47" s="587">
        <v>54041.731312599033</v>
      </c>
      <c r="Z47" s="593"/>
      <c r="AA47" s="594"/>
      <c r="AB47" s="595"/>
      <c r="AC47" s="596"/>
      <c r="AD47" s="593"/>
      <c r="AE47" s="593"/>
      <c r="AF47" s="593"/>
      <c r="AG47" s="593"/>
      <c r="AH47" s="596"/>
      <c r="AI47" s="593"/>
      <c r="AJ47" s="593"/>
      <c r="AK47" s="596"/>
      <c r="AL47" s="593"/>
    </row>
    <row r="48" spans="1:38" ht="17.100000000000001" hidden="1" customHeight="1">
      <c r="A48" s="589">
        <v>39661</v>
      </c>
      <c r="B48" s="580">
        <v>2330.8301665273989</v>
      </c>
      <c r="C48" s="580">
        <v>13858.918584288294</v>
      </c>
      <c r="D48" s="580">
        <v>4688.5191478660145</v>
      </c>
      <c r="E48" s="582">
        <v>20878.267898681708</v>
      </c>
      <c r="F48" s="580">
        <v>237567.22583443843</v>
      </c>
      <c r="G48" s="580">
        <v>5688.8756878684317</v>
      </c>
      <c r="H48" s="580">
        <v>8179.3759853822385</v>
      </c>
      <c r="I48" s="580">
        <v>303.71493699407176</v>
      </c>
      <c r="J48" s="580">
        <v>205602.19688474454</v>
      </c>
      <c r="K48" s="582">
        <v>457341.38932942774</v>
      </c>
      <c r="L48" s="590">
        <v>32144.488714235267</v>
      </c>
      <c r="M48" s="580">
        <v>23848.262998669601</v>
      </c>
      <c r="N48" s="580">
        <v>-4.8785999999978458E-4</v>
      </c>
      <c r="O48" s="582">
        <v>55992.751225044864</v>
      </c>
      <c r="P48" s="580">
        <v>1086.0350964300001</v>
      </c>
      <c r="Q48" s="580">
        <v>3048.44142465</v>
      </c>
      <c r="R48" s="580">
        <v>147602.49727391874</v>
      </c>
      <c r="S48" s="580">
        <v>8224.9688931516685</v>
      </c>
      <c r="T48" s="591">
        <v>159961.94268815042</v>
      </c>
      <c r="U48" s="592">
        <v>12792.744413992465</v>
      </c>
      <c r="V48" s="580">
        <v>681.47702268810929</v>
      </c>
      <c r="W48" s="585">
        <v>30051.046868614994</v>
      </c>
      <c r="X48" s="586">
        <v>737699.61944660032</v>
      </c>
      <c r="Y48" s="587">
        <v>55378.727578099315</v>
      </c>
      <c r="Z48" s="593"/>
      <c r="AA48" s="594"/>
      <c r="AB48" s="595"/>
      <c r="AC48" s="596"/>
      <c r="AD48" s="593"/>
      <c r="AE48" s="593"/>
      <c r="AF48" s="593"/>
      <c r="AG48" s="593"/>
      <c r="AH48" s="596"/>
      <c r="AI48" s="593"/>
      <c r="AJ48" s="593"/>
      <c r="AK48" s="596"/>
      <c r="AL48" s="593"/>
    </row>
    <row r="49" spans="1:38" ht="17.100000000000001" hidden="1" customHeight="1">
      <c r="A49" s="589">
        <v>39692</v>
      </c>
      <c r="B49" s="580">
        <v>2165.4800203127957</v>
      </c>
      <c r="C49" s="580">
        <v>16172.88831085914</v>
      </c>
      <c r="D49" s="580">
        <v>2787.791941509769</v>
      </c>
      <c r="E49" s="582">
        <v>21126.160272681704</v>
      </c>
      <c r="F49" s="580">
        <v>213219.77804946093</v>
      </c>
      <c r="G49" s="580">
        <v>5304.6612177331008</v>
      </c>
      <c r="H49" s="580">
        <v>8062.8351972511973</v>
      </c>
      <c r="I49" s="580">
        <v>266.53875668510699</v>
      </c>
      <c r="J49" s="580">
        <v>209448.33783405254</v>
      </c>
      <c r="K49" s="582">
        <v>436302.15105518291</v>
      </c>
      <c r="L49" s="590">
        <v>31227.295692822572</v>
      </c>
      <c r="M49" s="580">
        <v>23781.468128684701</v>
      </c>
      <c r="N49" s="580">
        <v>2.4497000000023306E-4</v>
      </c>
      <c r="O49" s="582">
        <v>55008.76406647727</v>
      </c>
      <c r="P49" s="580">
        <v>1070.8965004300001</v>
      </c>
      <c r="Q49" s="580">
        <v>3136.7050023500001</v>
      </c>
      <c r="R49" s="580">
        <v>154317.00286401354</v>
      </c>
      <c r="S49" s="580">
        <v>8131.5334977911634</v>
      </c>
      <c r="T49" s="591">
        <v>166656.13786458471</v>
      </c>
      <c r="U49" s="592">
        <v>14425.78791244451</v>
      </c>
      <c r="V49" s="580">
        <v>312.0929967865585</v>
      </c>
      <c r="W49" s="585">
        <v>30967.81678563328</v>
      </c>
      <c r="X49" s="586">
        <v>724798.910953791</v>
      </c>
      <c r="Y49" s="587">
        <v>51651.726738731762</v>
      </c>
      <c r="Z49" s="593"/>
      <c r="AA49" s="594"/>
      <c r="AB49" s="595"/>
      <c r="AC49" s="596"/>
      <c r="AD49" s="593"/>
      <c r="AE49" s="593"/>
      <c r="AF49" s="593"/>
      <c r="AG49" s="593"/>
      <c r="AH49" s="596"/>
      <c r="AI49" s="593"/>
      <c r="AJ49" s="593"/>
      <c r="AK49" s="596"/>
      <c r="AL49" s="593"/>
    </row>
    <row r="50" spans="1:38" ht="17.100000000000001" hidden="1" customHeight="1">
      <c r="A50" s="589">
        <v>39722</v>
      </c>
      <c r="B50" s="580">
        <v>2379.3819424453268</v>
      </c>
      <c r="C50" s="580">
        <v>13792.778389704335</v>
      </c>
      <c r="D50" s="580">
        <v>2841.0368130070192</v>
      </c>
      <c r="E50" s="582">
        <v>19013.197145156682</v>
      </c>
      <c r="F50" s="580">
        <v>223825.06784749537</v>
      </c>
      <c r="G50" s="580">
        <v>4396.4388643791999</v>
      </c>
      <c r="H50" s="580">
        <v>8028.5299916077174</v>
      </c>
      <c r="I50" s="580">
        <v>346.56312498704125</v>
      </c>
      <c r="J50" s="580">
        <v>235943.9231158811</v>
      </c>
      <c r="K50" s="582">
        <v>472540.52294435038</v>
      </c>
      <c r="L50" s="590">
        <v>28713.383077025894</v>
      </c>
      <c r="M50" s="580">
        <v>23672.815762212838</v>
      </c>
      <c r="N50" s="580">
        <v>-4.4821999999999917E-4</v>
      </c>
      <c r="O50" s="582">
        <v>52386.198391018726</v>
      </c>
      <c r="P50" s="580">
        <v>1050.1244843500001</v>
      </c>
      <c r="Q50" s="580">
        <v>3446.5393478536002</v>
      </c>
      <c r="R50" s="580">
        <v>157480.31692227343</v>
      </c>
      <c r="S50" s="580">
        <v>8013.7406906213637</v>
      </c>
      <c r="T50" s="591">
        <v>169990.7214450984</v>
      </c>
      <c r="U50" s="592">
        <v>12741.019459554294</v>
      </c>
      <c r="V50" s="580">
        <v>714.71846404604003</v>
      </c>
      <c r="W50" s="585">
        <v>31561.204727308781</v>
      </c>
      <c r="X50" s="586">
        <v>758947.58257653331</v>
      </c>
      <c r="Y50" s="587">
        <v>48692.646656937119</v>
      </c>
      <c r="Z50" s="593"/>
      <c r="AA50" s="594"/>
      <c r="AB50" s="595"/>
      <c r="AC50" s="596"/>
      <c r="AD50" s="593"/>
      <c r="AE50" s="593"/>
      <c r="AF50" s="593"/>
      <c r="AG50" s="593"/>
      <c r="AH50" s="596"/>
      <c r="AI50" s="593"/>
      <c r="AJ50" s="593"/>
      <c r="AK50" s="596"/>
      <c r="AL50" s="593"/>
    </row>
    <row r="51" spans="1:38" ht="17.100000000000001" hidden="1" customHeight="1">
      <c r="A51" s="589">
        <v>39753</v>
      </c>
      <c r="B51" s="580">
        <v>2426.0069267817598</v>
      </c>
      <c r="C51" s="580">
        <v>11839.211663592405</v>
      </c>
      <c r="D51" s="580">
        <v>2526.2581809930002</v>
      </c>
      <c r="E51" s="582">
        <v>16791.476771367164</v>
      </c>
      <c r="F51" s="580">
        <v>226166.62212156894</v>
      </c>
      <c r="G51" s="580">
        <v>4749.7367745856</v>
      </c>
      <c r="H51" s="580">
        <v>7816.0557844121058</v>
      </c>
      <c r="I51" s="580">
        <v>309.81763434782636</v>
      </c>
      <c r="J51" s="580">
        <v>230550.74400361252</v>
      </c>
      <c r="K51" s="582">
        <v>469592.97631852701</v>
      </c>
      <c r="L51" s="590">
        <v>26493.599587561555</v>
      </c>
      <c r="M51" s="580">
        <v>24862.692887959987</v>
      </c>
      <c r="N51" s="580">
        <v>4.1674999999985474E-4</v>
      </c>
      <c r="O51" s="582">
        <v>51356.292892271544</v>
      </c>
      <c r="P51" s="580">
        <v>1065.3069274500001</v>
      </c>
      <c r="Q51" s="580">
        <v>3597.6496724499998</v>
      </c>
      <c r="R51" s="580">
        <v>161653.33032716202</v>
      </c>
      <c r="S51" s="580">
        <v>7910.8474440010632</v>
      </c>
      <c r="T51" s="591">
        <v>174227.13437106309</v>
      </c>
      <c r="U51" s="592">
        <v>16099.842255742053</v>
      </c>
      <c r="V51" s="580">
        <v>225.48798605749073</v>
      </c>
      <c r="W51" s="585">
        <v>29574.350188921951</v>
      </c>
      <c r="X51" s="586">
        <v>757867.56078395038</v>
      </c>
      <c r="Y51" s="587">
        <v>48322.9</v>
      </c>
      <c r="Z51" s="593"/>
      <c r="AA51" s="594"/>
      <c r="AB51" s="595"/>
      <c r="AC51" s="596"/>
      <c r="AD51" s="593"/>
      <c r="AE51" s="593"/>
      <c r="AF51" s="593"/>
      <c r="AG51" s="593"/>
      <c r="AH51" s="596"/>
      <c r="AI51" s="593"/>
      <c r="AJ51" s="593"/>
      <c r="AK51" s="596"/>
      <c r="AL51" s="593"/>
    </row>
    <row r="52" spans="1:38" ht="17.100000000000001" hidden="1" customHeight="1">
      <c r="A52" s="589">
        <v>39783</v>
      </c>
      <c r="B52" s="580">
        <v>3783.0592854020174</v>
      </c>
      <c r="C52" s="580">
        <v>10394.993497201907</v>
      </c>
      <c r="D52" s="580">
        <v>2541.0424579692003</v>
      </c>
      <c r="E52" s="582">
        <v>16719.095240573126</v>
      </c>
      <c r="F52" s="580">
        <v>203182.19218566112</v>
      </c>
      <c r="G52" s="580">
        <v>5310.6540325869255</v>
      </c>
      <c r="H52" s="580">
        <v>22688.764497200602</v>
      </c>
      <c r="I52" s="580">
        <v>1132.6000492887999</v>
      </c>
      <c r="J52" s="580">
        <v>228452.5511462024</v>
      </c>
      <c r="K52" s="582">
        <v>460766.76191093982</v>
      </c>
      <c r="L52" s="590">
        <v>23280.255137392684</v>
      </c>
      <c r="M52" s="580">
        <v>25751.112212908149</v>
      </c>
      <c r="N52" s="580">
        <v>4.7807999999882611E-4</v>
      </c>
      <c r="O52" s="582">
        <v>49031.367828380833</v>
      </c>
      <c r="P52" s="580">
        <v>1090.1521998399999</v>
      </c>
      <c r="Q52" s="580">
        <v>3656.7621346087999</v>
      </c>
      <c r="R52" s="580">
        <v>166182.04483788076</v>
      </c>
      <c r="S52" s="580">
        <v>7995.5971949037094</v>
      </c>
      <c r="T52" s="591">
        <v>178924.55636723328</v>
      </c>
      <c r="U52" s="592">
        <v>16653.694320612474</v>
      </c>
      <c r="V52" s="580">
        <v>2117.0507981807914</v>
      </c>
      <c r="W52" s="585">
        <v>30251.38394660729</v>
      </c>
      <c r="X52" s="586">
        <v>754463.9104125275</v>
      </c>
      <c r="Y52" s="587">
        <v>48878.898620351341</v>
      </c>
      <c r="Z52" s="593"/>
      <c r="AA52" s="594"/>
      <c r="AB52" s="595"/>
      <c r="AC52" s="596"/>
      <c r="AD52" s="593"/>
      <c r="AE52" s="593"/>
      <c r="AF52" s="593"/>
      <c r="AG52" s="593"/>
      <c r="AH52" s="596"/>
      <c r="AI52" s="593"/>
      <c r="AJ52" s="593"/>
      <c r="AK52" s="596"/>
      <c r="AL52" s="593"/>
    </row>
    <row r="53" spans="1:38" ht="17.100000000000001" hidden="1" customHeight="1">
      <c r="A53" s="589">
        <v>39814</v>
      </c>
      <c r="B53" s="580">
        <v>2675.7389597870447</v>
      </c>
      <c r="C53" s="580">
        <v>13379.207433003125</v>
      </c>
      <c r="D53" s="580">
        <v>380.77639803999995</v>
      </c>
      <c r="E53" s="582">
        <v>16435.722790830168</v>
      </c>
      <c r="F53" s="580">
        <v>225786.97255809806</v>
      </c>
      <c r="G53" s="580">
        <v>5190.6907075664994</v>
      </c>
      <c r="H53" s="580">
        <v>8078.9133931259994</v>
      </c>
      <c r="I53" s="580">
        <v>480.09728371768034</v>
      </c>
      <c r="J53" s="580">
        <v>227797.31664818362</v>
      </c>
      <c r="K53" s="582">
        <v>467333.99059069186</v>
      </c>
      <c r="L53" s="590">
        <v>23998.769675405998</v>
      </c>
      <c r="M53" s="580">
        <v>27017.695396631778</v>
      </c>
      <c r="N53" s="580">
        <v>-4.9128999999936696E-4</v>
      </c>
      <c r="O53" s="582">
        <v>51016.464580747779</v>
      </c>
      <c r="P53" s="580">
        <v>1061.28539701</v>
      </c>
      <c r="Q53" s="580">
        <v>3500.8257505799997</v>
      </c>
      <c r="R53" s="580">
        <v>165899.77785732009</v>
      </c>
      <c r="S53" s="580">
        <v>7951.1167554333133</v>
      </c>
      <c r="T53" s="591">
        <v>178413.0057603434</v>
      </c>
      <c r="U53" s="592">
        <v>17631.288317367616</v>
      </c>
      <c r="V53" s="580">
        <v>512.6855123126312</v>
      </c>
      <c r="W53" s="585">
        <v>28620.276546667668</v>
      </c>
      <c r="X53" s="586">
        <v>759963.43409896118</v>
      </c>
      <c r="Y53" s="587">
        <v>49759.327407828569</v>
      </c>
      <c r="Z53" s="593"/>
      <c r="AA53" s="594"/>
      <c r="AB53" s="595"/>
      <c r="AC53" s="596"/>
      <c r="AD53" s="593"/>
      <c r="AE53" s="593"/>
      <c r="AF53" s="593"/>
      <c r="AG53" s="593"/>
      <c r="AH53" s="596"/>
      <c r="AI53" s="593"/>
      <c r="AJ53" s="593"/>
      <c r="AK53" s="596"/>
      <c r="AL53" s="593"/>
    </row>
    <row r="54" spans="1:38" ht="17.100000000000001" hidden="1" customHeight="1">
      <c r="A54" s="589">
        <v>39845</v>
      </c>
      <c r="B54" s="580">
        <v>2497.5814256836143</v>
      </c>
      <c r="C54" s="580">
        <v>13867.034989832977</v>
      </c>
      <c r="D54" s="580">
        <v>282.00428603999995</v>
      </c>
      <c r="E54" s="582">
        <v>16646.620701556592</v>
      </c>
      <c r="F54" s="580">
        <v>232392.74545033125</v>
      </c>
      <c r="G54" s="580">
        <v>5070.0398237406007</v>
      </c>
      <c r="H54" s="580">
        <v>8279.3339173969216</v>
      </c>
      <c r="I54" s="580">
        <v>433.06136312867392</v>
      </c>
      <c r="J54" s="580">
        <v>226385.32490131841</v>
      </c>
      <c r="K54" s="582">
        <v>472560.50545591587</v>
      </c>
      <c r="L54" s="590">
        <v>24219.074579512748</v>
      </c>
      <c r="M54" s="580">
        <v>27646.859557035648</v>
      </c>
      <c r="N54" s="580">
        <v>-7.9700000004123694E-6</v>
      </c>
      <c r="O54" s="582">
        <v>51865.934128578403</v>
      </c>
      <c r="P54" s="580">
        <v>1057.94213595</v>
      </c>
      <c r="Q54" s="580">
        <v>3422.6618740120002</v>
      </c>
      <c r="R54" s="580">
        <v>166875.29295453912</v>
      </c>
      <c r="S54" s="580">
        <v>7659.1320728619648</v>
      </c>
      <c r="T54" s="591">
        <v>179015.0290373631</v>
      </c>
      <c r="U54" s="592">
        <v>20040.492262257463</v>
      </c>
      <c r="V54" s="580">
        <v>282.33236353717592</v>
      </c>
      <c r="W54" s="585">
        <v>29421.016526551521</v>
      </c>
      <c r="X54" s="586">
        <v>769831.93047576025</v>
      </c>
      <c r="Y54" s="587">
        <v>48867.042645488633</v>
      </c>
      <c r="Z54" s="593"/>
      <c r="AA54" s="594"/>
      <c r="AB54" s="595"/>
      <c r="AC54" s="596"/>
      <c r="AD54" s="593"/>
      <c r="AE54" s="593"/>
      <c r="AF54" s="593"/>
      <c r="AG54" s="593"/>
      <c r="AH54" s="596"/>
      <c r="AI54" s="593"/>
      <c r="AJ54" s="593"/>
      <c r="AK54" s="596"/>
      <c r="AL54" s="593"/>
    </row>
    <row r="55" spans="1:38" ht="17.100000000000001" hidden="1" customHeight="1">
      <c r="A55" s="589">
        <v>39873</v>
      </c>
      <c r="B55" s="580">
        <v>2264.4616649219997</v>
      </c>
      <c r="C55" s="580">
        <v>12747.319282000841</v>
      </c>
      <c r="D55" s="580">
        <v>4.0000000000000001E-8</v>
      </c>
      <c r="E55" s="582">
        <v>15011.780946962841</v>
      </c>
      <c r="F55" s="580">
        <v>237236.27037212986</v>
      </c>
      <c r="G55" s="580">
        <v>4856.2030848407003</v>
      </c>
      <c r="H55" s="580">
        <v>7876.1644982471453</v>
      </c>
      <c r="I55" s="580">
        <v>370.91701422731433</v>
      </c>
      <c r="J55" s="580">
        <v>210811.13141488214</v>
      </c>
      <c r="K55" s="582">
        <v>461150.68638432713</v>
      </c>
      <c r="L55" s="590">
        <v>26831.974253313623</v>
      </c>
      <c r="M55" s="580">
        <v>27111.490435063748</v>
      </c>
      <c r="N55" s="580">
        <v>-7.4789999999325119E-5</v>
      </c>
      <c r="O55" s="582">
        <v>53943.46461358737</v>
      </c>
      <c r="P55" s="580">
        <v>998.22311665999996</v>
      </c>
      <c r="Q55" s="580">
        <v>3159.8908053024002</v>
      </c>
      <c r="R55" s="580">
        <v>168301.965432039</v>
      </c>
      <c r="S55" s="580">
        <v>7770.7349989924351</v>
      </c>
      <c r="T55" s="591">
        <v>180230.81435299385</v>
      </c>
      <c r="U55" s="592">
        <v>19553.94470994316</v>
      </c>
      <c r="V55" s="580">
        <v>1805.0989710415895</v>
      </c>
      <c r="W55" s="585">
        <v>31078.724354309787</v>
      </c>
      <c r="X55" s="586">
        <v>762774.51433316572</v>
      </c>
      <c r="Y55" s="587">
        <v>48784.739912675665</v>
      </c>
      <c r="Z55" s="593"/>
      <c r="AA55" s="594"/>
      <c r="AB55" s="595"/>
      <c r="AC55" s="596"/>
      <c r="AD55" s="593"/>
      <c r="AE55" s="593"/>
      <c r="AF55" s="593"/>
      <c r="AG55" s="593"/>
      <c r="AH55" s="596"/>
      <c r="AI55" s="593"/>
      <c r="AJ55" s="593"/>
      <c r="AK55" s="596"/>
      <c r="AL55" s="593"/>
    </row>
    <row r="56" spans="1:38" ht="17.100000000000001" hidden="1" customHeight="1">
      <c r="A56" s="589">
        <v>39904</v>
      </c>
      <c r="B56" s="580">
        <v>2463.1134872777097</v>
      </c>
      <c r="C56" s="580">
        <v>11824.772782456308</v>
      </c>
      <c r="D56" s="580">
        <v>4.0000000000000001E-8</v>
      </c>
      <c r="E56" s="582">
        <v>14287.886269774017</v>
      </c>
      <c r="F56" s="580">
        <v>228482.2480247574</v>
      </c>
      <c r="G56" s="580">
        <v>5067.3277950452502</v>
      </c>
      <c r="H56" s="580">
        <v>8258.3054765771394</v>
      </c>
      <c r="I56" s="580">
        <v>338.99840662755787</v>
      </c>
      <c r="J56" s="580">
        <v>210655.14549361699</v>
      </c>
      <c r="K56" s="582">
        <v>452802.02519662434</v>
      </c>
      <c r="L56" s="590">
        <v>28072.351401838172</v>
      </c>
      <c r="M56" s="580">
        <v>26762.608963309631</v>
      </c>
      <c r="N56" s="580">
        <v>-8.4830000000479799E-5</v>
      </c>
      <c r="O56" s="582">
        <v>54834.960280317806</v>
      </c>
      <c r="P56" s="580">
        <v>991.61189808000006</v>
      </c>
      <c r="Q56" s="580">
        <v>3221.8510688430001</v>
      </c>
      <c r="R56" s="580">
        <v>168519.4823612709</v>
      </c>
      <c r="S56" s="580">
        <v>7826.246119297638</v>
      </c>
      <c r="T56" s="591">
        <v>180559.19144749152</v>
      </c>
      <c r="U56" s="592">
        <v>19389.474546375186</v>
      </c>
      <c r="V56" s="580">
        <v>314.58034841185736</v>
      </c>
      <c r="W56" s="585">
        <v>30306.392474187531</v>
      </c>
      <c r="X56" s="586">
        <v>752494.5105631823</v>
      </c>
      <c r="Y56" s="587">
        <v>49862.04350363397</v>
      </c>
      <c r="Z56" s="593"/>
      <c r="AA56" s="594"/>
      <c r="AB56" s="595"/>
      <c r="AC56" s="596"/>
      <c r="AD56" s="593"/>
      <c r="AE56" s="593"/>
      <c r="AF56" s="593"/>
      <c r="AG56" s="593"/>
      <c r="AH56" s="596"/>
      <c r="AI56" s="593"/>
      <c r="AJ56" s="593"/>
      <c r="AK56" s="596"/>
      <c r="AL56" s="593"/>
    </row>
    <row r="57" spans="1:38" ht="17.100000000000001" hidden="1" customHeight="1">
      <c r="A57" s="589">
        <v>39934</v>
      </c>
      <c r="B57" s="580">
        <v>2134.2768452576752</v>
      </c>
      <c r="C57" s="580">
        <v>12447.787419058641</v>
      </c>
      <c r="D57" s="580">
        <v>4.0000000000000001E-8</v>
      </c>
      <c r="E57" s="582">
        <v>14582.064264356315</v>
      </c>
      <c r="F57" s="580">
        <v>223617.89176332875</v>
      </c>
      <c r="G57" s="580">
        <v>4919.5237761268263</v>
      </c>
      <c r="H57" s="580">
        <v>8071.5132469356449</v>
      </c>
      <c r="I57" s="580">
        <v>366.52847937110874</v>
      </c>
      <c r="J57" s="580">
        <v>205761.98706390473</v>
      </c>
      <c r="K57" s="582">
        <v>442737.44432966702</v>
      </c>
      <c r="L57" s="590">
        <v>29247.743368734173</v>
      </c>
      <c r="M57" s="580">
        <v>27136.253292309444</v>
      </c>
      <c r="N57" s="580">
        <v>4.8944999999989136E-4</v>
      </c>
      <c r="O57" s="582">
        <v>56383.997150493618</v>
      </c>
      <c r="P57" s="580">
        <v>1010.94572082</v>
      </c>
      <c r="Q57" s="580">
        <v>3058.5106933265602</v>
      </c>
      <c r="R57" s="580">
        <v>168810.88039717983</v>
      </c>
      <c r="S57" s="580">
        <v>8042.5445242420328</v>
      </c>
      <c r="T57" s="591">
        <v>180922.88133556844</v>
      </c>
      <c r="U57" s="592">
        <v>19944.588779338719</v>
      </c>
      <c r="V57" s="580">
        <v>1528.2840473124318</v>
      </c>
      <c r="W57" s="585">
        <v>28214.629935298603</v>
      </c>
      <c r="X57" s="586">
        <v>744313.88984203513</v>
      </c>
      <c r="Y57" s="587">
        <v>47618.664987821256</v>
      </c>
      <c r="Z57" s="593"/>
      <c r="AA57" s="594"/>
      <c r="AB57" s="595"/>
      <c r="AC57" s="596"/>
      <c r="AD57" s="593"/>
      <c r="AE57" s="593"/>
      <c r="AF57" s="593"/>
      <c r="AG57" s="593"/>
      <c r="AH57" s="596"/>
      <c r="AI57" s="593"/>
      <c r="AJ57" s="593"/>
      <c r="AK57" s="596"/>
      <c r="AL57" s="593"/>
    </row>
    <row r="58" spans="1:38" ht="17.100000000000001" hidden="1" customHeight="1">
      <c r="A58" s="589">
        <v>39965</v>
      </c>
      <c r="B58" s="580">
        <v>2255.9685788402012</v>
      </c>
      <c r="C58" s="580">
        <v>12786.85931183191</v>
      </c>
      <c r="D58" s="580">
        <v>4.0000000000000001E-8</v>
      </c>
      <c r="E58" s="582">
        <v>15042.827890712109</v>
      </c>
      <c r="F58" s="580">
        <v>207502.74957028162</v>
      </c>
      <c r="G58" s="580">
        <v>5052.3078610472485</v>
      </c>
      <c r="H58" s="580">
        <v>7615.4593083677919</v>
      </c>
      <c r="I58" s="580">
        <v>383.15109864010952</v>
      </c>
      <c r="J58" s="580">
        <v>208546.10496076485</v>
      </c>
      <c r="K58" s="582">
        <v>429099.77279910166</v>
      </c>
      <c r="L58" s="590">
        <v>32168.969940872732</v>
      </c>
      <c r="M58" s="580">
        <v>26179.035048477239</v>
      </c>
      <c r="N58" s="580">
        <v>-4.4300999999968838E-4</v>
      </c>
      <c r="O58" s="582">
        <v>58348.004546339966</v>
      </c>
      <c r="P58" s="580">
        <v>1027.92067477</v>
      </c>
      <c r="Q58" s="580">
        <v>2943.699858404304</v>
      </c>
      <c r="R58" s="580">
        <v>170563.23934842905</v>
      </c>
      <c r="S58" s="580">
        <v>8146.5689852514415</v>
      </c>
      <c r="T58" s="591">
        <v>182681.42886685481</v>
      </c>
      <c r="U58" s="592">
        <v>18644.906622961866</v>
      </c>
      <c r="V58" s="580">
        <v>9612.7558061164764</v>
      </c>
      <c r="W58" s="585">
        <v>29924.710750678842</v>
      </c>
      <c r="X58" s="586">
        <v>743354.40728276572</v>
      </c>
      <c r="Y58" s="587">
        <v>52679.091929149792</v>
      </c>
      <c r="Z58" s="593"/>
      <c r="AA58" s="594"/>
      <c r="AB58" s="595"/>
      <c r="AC58" s="596"/>
      <c r="AD58" s="593"/>
      <c r="AE58" s="593"/>
      <c r="AF58" s="593"/>
      <c r="AG58" s="593"/>
      <c r="AH58" s="596"/>
      <c r="AI58" s="593"/>
      <c r="AJ58" s="593"/>
      <c r="AK58" s="596"/>
      <c r="AL58" s="593"/>
    </row>
    <row r="59" spans="1:38" ht="17.100000000000001" hidden="1" customHeight="1">
      <c r="A59" s="589">
        <v>39995</v>
      </c>
      <c r="B59" s="580">
        <v>2382.8695062672741</v>
      </c>
      <c r="C59" s="580">
        <v>13048.835097213314</v>
      </c>
      <c r="D59" s="580">
        <v>4.0000000000000001E-8</v>
      </c>
      <c r="E59" s="582">
        <v>15431.704603520588</v>
      </c>
      <c r="F59" s="580">
        <v>199585.28677568611</v>
      </c>
      <c r="G59" s="580">
        <v>5340.5929018179913</v>
      </c>
      <c r="H59" s="580">
        <v>7465.6337234712064</v>
      </c>
      <c r="I59" s="580">
        <v>379.55498977126678</v>
      </c>
      <c r="J59" s="580">
        <v>220170.1837117885</v>
      </c>
      <c r="K59" s="582">
        <v>432941.2521025351</v>
      </c>
      <c r="L59" s="590">
        <v>33229.447500481634</v>
      </c>
      <c r="M59" s="580">
        <v>26523.371390975357</v>
      </c>
      <c r="N59" s="580">
        <v>-4.4595000000047236E-4</v>
      </c>
      <c r="O59" s="582">
        <v>59752.818445506993</v>
      </c>
      <c r="P59" s="580">
        <v>1005.70229095</v>
      </c>
      <c r="Q59" s="580">
        <v>2848.741702572057</v>
      </c>
      <c r="R59" s="580">
        <v>171246.85957813429</v>
      </c>
      <c r="S59" s="580">
        <v>8239.6431219971782</v>
      </c>
      <c r="T59" s="591">
        <v>183340.9466936535</v>
      </c>
      <c r="U59" s="592">
        <v>17930.454582945833</v>
      </c>
      <c r="V59" s="580">
        <v>1007.347995254158</v>
      </c>
      <c r="W59" s="585">
        <v>28325.579542666805</v>
      </c>
      <c r="X59" s="586">
        <v>738730.10396608291</v>
      </c>
      <c r="Y59" s="587">
        <v>53516.95281016775</v>
      </c>
      <c r="Z59" s="593"/>
      <c r="AA59" s="594"/>
      <c r="AB59" s="595"/>
      <c r="AC59" s="596"/>
      <c r="AD59" s="593"/>
      <c r="AE59" s="593"/>
      <c r="AF59" s="593"/>
      <c r="AG59" s="593"/>
      <c r="AH59" s="596"/>
      <c r="AI59" s="593"/>
      <c r="AJ59" s="593"/>
      <c r="AK59" s="596"/>
      <c r="AL59" s="593"/>
    </row>
    <row r="60" spans="1:38" ht="17.100000000000001" hidden="1" customHeight="1">
      <c r="A60" s="589">
        <v>40026</v>
      </c>
      <c r="B60" s="580">
        <v>2372.0640500348227</v>
      </c>
      <c r="C60" s="580">
        <v>12911.904016429913</v>
      </c>
      <c r="D60" s="580">
        <v>4.0000000000000001E-8</v>
      </c>
      <c r="E60" s="582">
        <v>15283.968066504734</v>
      </c>
      <c r="F60" s="580">
        <v>186924.74211456391</v>
      </c>
      <c r="G60" s="580">
        <v>6197.6560840047568</v>
      </c>
      <c r="H60" s="580">
        <v>7537.4695722724546</v>
      </c>
      <c r="I60" s="580">
        <v>391.12560458193701</v>
      </c>
      <c r="J60" s="580">
        <v>227479.78483927526</v>
      </c>
      <c r="K60" s="582">
        <v>428530.77821469831</v>
      </c>
      <c r="L60" s="590">
        <v>32852.730225507803</v>
      </c>
      <c r="M60" s="580">
        <v>26467.544237391921</v>
      </c>
      <c r="N60" s="580">
        <v>-1.9421000000008348E-4</v>
      </c>
      <c r="O60" s="582">
        <v>59320.274268689725</v>
      </c>
      <c r="P60" s="580">
        <v>978.69550494000009</v>
      </c>
      <c r="Q60" s="580">
        <v>2676.6677089507698</v>
      </c>
      <c r="R60" s="580">
        <v>171377.22431020188</v>
      </c>
      <c r="S60" s="580">
        <v>8224.6596805202153</v>
      </c>
      <c r="T60" s="591">
        <v>183257.24720461285</v>
      </c>
      <c r="U60" s="592">
        <v>17577.421130833947</v>
      </c>
      <c r="V60" s="580">
        <v>3511.7865561100925</v>
      </c>
      <c r="W60" s="585">
        <v>28883.94029621116</v>
      </c>
      <c r="X60" s="586">
        <v>736365.41573766083</v>
      </c>
      <c r="Y60" s="587">
        <v>56770.427401974914</v>
      </c>
      <c r="Z60" s="593"/>
      <c r="AA60" s="594"/>
      <c r="AB60" s="595"/>
      <c r="AC60" s="596"/>
      <c r="AD60" s="593"/>
      <c r="AE60" s="593"/>
      <c r="AF60" s="593"/>
      <c r="AG60" s="593"/>
      <c r="AH60" s="596"/>
      <c r="AI60" s="593"/>
      <c r="AJ60" s="593"/>
      <c r="AK60" s="596"/>
      <c r="AL60" s="593"/>
    </row>
    <row r="61" spans="1:38" ht="17.100000000000001" hidden="1" customHeight="1">
      <c r="A61" s="589">
        <v>40057</v>
      </c>
      <c r="B61" s="580">
        <v>2270.9747407396544</v>
      </c>
      <c r="C61" s="580">
        <v>13777.350565277988</v>
      </c>
      <c r="D61" s="580">
        <v>-4.0000000000000001E-8</v>
      </c>
      <c r="E61" s="582">
        <v>16048.325305977643</v>
      </c>
      <c r="F61" s="580">
        <v>184838.73397185601</v>
      </c>
      <c r="G61" s="580">
        <v>6738.7880661553581</v>
      </c>
      <c r="H61" s="580">
        <v>7527.2274972112864</v>
      </c>
      <c r="I61" s="580">
        <v>316.60675063207026</v>
      </c>
      <c r="J61" s="580">
        <v>225519.13353736146</v>
      </c>
      <c r="K61" s="582">
        <v>424940.48982321622</v>
      </c>
      <c r="L61" s="590">
        <v>31410.713395976705</v>
      </c>
      <c r="M61" s="580">
        <v>25349.573196798981</v>
      </c>
      <c r="N61" s="580">
        <v>-3.0500999999993894E-4</v>
      </c>
      <c r="O61" s="582">
        <v>56760.286287765688</v>
      </c>
      <c r="P61" s="580">
        <v>1003.63630024</v>
      </c>
      <c r="Q61" s="580">
        <v>2666.1609599262438</v>
      </c>
      <c r="R61" s="580">
        <v>169781.51646839036</v>
      </c>
      <c r="S61" s="580">
        <v>8376.7548721581443</v>
      </c>
      <c r="T61" s="591">
        <v>181828.06860071473</v>
      </c>
      <c r="U61" s="592">
        <v>17626.810904858539</v>
      </c>
      <c r="V61" s="580">
        <v>12700.115883948552</v>
      </c>
      <c r="W61" s="585">
        <v>28715.308075073539</v>
      </c>
      <c r="X61" s="586">
        <v>738619.40488155489</v>
      </c>
      <c r="Y61" s="587">
        <v>54026.892020260661</v>
      </c>
      <c r="Z61" s="593"/>
      <c r="AA61" s="594"/>
      <c r="AB61" s="595"/>
      <c r="AC61" s="596"/>
      <c r="AD61" s="593"/>
      <c r="AE61" s="593"/>
      <c r="AF61" s="593"/>
      <c r="AG61" s="593"/>
      <c r="AH61" s="596"/>
      <c r="AI61" s="593"/>
      <c r="AJ61" s="593"/>
      <c r="AK61" s="596"/>
      <c r="AL61" s="593"/>
    </row>
    <row r="62" spans="1:38" ht="17.100000000000001" hidden="1" customHeight="1">
      <c r="A62" s="589">
        <v>40087</v>
      </c>
      <c r="B62" s="580">
        <v>2307.4481992813303</v>
      </c>
      <c r="C62" s="580">
        <v>12206.56754091081</v>
      </c>
      <c r="D62" s="580">
        <v>-4.0000000000000001E-8</v>
      </c>
      <c r="E62" s="582">
        <v>14514.015740152141</v>
      </c>
      <c r="F62" s="580">
        <v>202144.01002198004</v>
      </c>
      <c r="G62" s="580">
        <v>7192.2973099495439</v>
      </c>
      <c r="H62" s="580">
        <v>7117.570719177349</v>
      </c>
      <c r="I62" s="580">
        <v>308.52558731316196</v>
      </c>
      <c r="J62" s="580">
        <v>210244.65961331848</v>
      </c>
      <c r="K62" s="582">
        <v>427007.06325173855</v>
      </c>
      <c r="L62" s="590">
        <v>33837.09297920455</v>
      </c>
      <c r="M62" s="580">
        <v>25366.706530736421</v>
      </c>
      <c r="N62" s="580">
        <v>2.802200000000532E-4</v>
      </c>
      <c r="O62" s="582">
        <v>59203.799790160978</v>
      </c>
      <c r="P62" s="580">
        <v>985.16581940999993</v>
      </c>
      <c r="Q62" s="580">
        <v>2682.929596335558</v>
      </c>
      <c r="R62" s="580">
        <v>169967.0147723952</v>
      </c>
      <c r="S62" s="580">
        <v>8302.3558300640834</v>
      </c>
      <c r="T62" s="591">
        <v>181937.46601820481</v>
      </c>
      <c r="U62" s="592">
        <v>16983.12483957535</v>
      </c>
      <c r="V62" s="580">
        <v>5216.054096469702</v>
      </c>
      <c r="W62" s="585">
        <v>29008.10477487617</v>
      </c>
      <c r="X62" s="586">
        <v>733869.62851117773</v>
      </c>
      <c r="Y62" s="587">
        <v>50243.165164153106</v>
      </c>
      <c r="Z62" s="593"/>
      <c r="AA62" s="594"/>
      <c r="AB62" s="595"/>
      <c r="AC62" s="596"/>
      <c r="AD62" s="593"/>
      <c r="AE62" s="593"/>
      <c r="AF62" s="593"/>
      <c r="AG62" s="593"/>
      <c r="AH62" s="596"/>
      <c r="AI62" s="593"/>
      <c r="AJ62" s="593"/>
      <c r="AK62" s="596"/>
      <c r="AL62" s="593"/>
    </row>
    <row r="63" spans="1:38" ht="17.100000000000001" hidden="1" customHeight="1">
      <c r="A63" s="589">
        <v>40118</v>
      </c>
      <c r="B63" s="580">
        <v>2500.8570033545293</v>
      </c>
      <c r="C63" s="580">
        <v>11629.663041222699</v>
      </c>
      <c r="D63" s="580">
        <v>0</v>
      </c>
      <c r="E63" s="582">
        <v>14130.520044577228</v>
      </c>
      <c r="F63" s="580">
        <v>199170.51935747339</v>
      </c>
      <c r="G63" s="580">
        <v>7443.4449799937865</v>
      </c>
      <c r="H63" s="580">
        <v>7567.9710630006502</v>
      </c>
      <c r="I63" s="580">
        <v>405.0909730760464</v>
      </c>
      <c r="J63" s="580">
        <v>204768.65731873107</v>
      </c>
      <c r="K63" s="582">
        <v>419355.68369227491</v>
      </c>
      <c r="L63" s="590">
        <v>33739.09375096234</v>
      </c>
      <c r="M63" s="580">
        <v>26156.280986041489</v>
      </c>
      <c r="N63" s="580">
        <v>8.7879999999929126E-5</v>
      </c>
      <c r="O63" s="582">
        <v>59895.374824883831</v>
      </c>
      <c r="P63" s="580">
        <v>1054.47010301</v>
      </c>
      <c r="Q63" s="580">
        <v>2566.5865455100002</v>
      </c>
      <c r="R63" s="580">
        <v>170630.26088054583</v>
      </c>
      <c r="S63" s="580">
        <v>8224.0762259592466</v>
      </c>
      <c r="T63" s="591">
        <v>182475.39375502508</v>
      </c>
      <c r="U63" s="592">
        <v>17191.143801646955</v>
      </c>
      <c r="V63" s="580">
        <v>4432.900399316125</v>
      </c>
      <c r="W63" s="585">
        <v>28934.693953399681</v>
      </c>
      <c r="X63" s="586">
        <v>726415.71047112392</v>
      </c>
      <c r="Y63" s="587">
        <v>52485.028766634619</v>
      </c>
      <c r="Z63" s="593"/>
      <c r="AA63" s="594"/>
      <c r="AB63" s="595"/>
      <c r="AC63" s="596"/>
      <c r="AD63" s="593"/>
      <c r="AE63" s="593"/>
      <c r="AF63" s="593"/>
      <c r="AG63" s="593"/>
      <c r="AH63" s="596"/>
      <c r="AI63" s="593"/>
      <c r="AJ63" s="593"/>
      <c r="AK63" s="596"/>
      <c r="AL63" s="593"/>
    </row>
    <row r="64" spans="1:38" ht="17.100000000000001" hidden="1" customHeight="1">
      <c r="A64" s="589">
        <v>40148</v>
      </c>
      <c r="B64" s="580">
        <v>3915.8101919802457</v>
      </c>
      <c r="C64" s="580">
        <v>14707.723298127281</v>
      </c>
      <c r="D64" s="580">
        <v>0</v>
      </c>
      <c r="E64" s="582">
        <v>18623.533490107526</v>
      </c>
      <c r="F64" s="580">
        <v>212882.82959792399</v>
      </c>
      <c r="G64" s="580">
        <v>9093.3874310360261</v>
      </c>
      <c r="H64" s="580">
        <v>7498.5332594366319</v>
      </c>
      <c r="I64" s="580">
        <v>624.59062635668545</v>
      </c>
      <c r="J64" s="580">
        <v>207189.02804542537</v>
      </c>
      <c r="K64" s="582">
        <v>437288.36896017869</v>
      </c>
      <c r="L64" s="590">
        <v>31694.190140637886</v>
      </c>
      <c r="M64" s="580">
        <v>26919.051777879555</v>
      </c>
      <c r="N64" s="580">
        <v>-2.1651000000000309E-4</v>
      </c>
      <c r="O64" s="582">
        <v>58613.241702007435</v>
      </c>
      <c r="P64" s="580">
        <v>1177.93864641</v>
      </c>
      <c r="Q64" s="580">
        <v>2597.0991705868482</v>
      </c>
      <c r="R64" s="580">
        <v>172902.19421826309</v>
      </c>
      <c r="S64" s="580">
        <v>7972.4800924038027</v>
      </c>
      <c r="T64" s="591">
        <v>184649.71212766369</v>
      </c>
      <c r="U64" s="592">
        <v>16984.090662227558</v>
      </c>
      <c r="V64" s="580">
        <v>3287.5360248108141</v>
      </c>
      <c r="W64" s="585">
        <v>31811.096855997894</v>
      </c>
      <c r="X64" s="586">
        <v>751257.57982299372</v>
      </c>
      <c r="Y64" s="587">
        <v>54541.08962479265</v>
      </c>
      <c r="Z64" s="593"/>
      <c r="AA64" s="594"/>
      <c r="AB64" s="595"/>
      <c r="AC64" s="596"/>
      <c r="AD64" s="593"/>
      <c r="AE64" s="593"/>
      <c r="AF64" s="593"/>
      <c r="AG64" s="593"/>
      <c r="AH64" s="596"/>
      <c r="AI64" s="593"/>
      <c r="AJ64" s="593"/>
      <c r="AK64" s="596"/>
      <c r="AL64" s="593"/>
    </row>
    <row r="65" spans="1:38" ht="24" hidden="1" customHeight="1">
      <c r="A65" s="589">
        <v>40179</v>
      </c>
      <c r="B65" s="580">
        <v>2780.023530206854</v>
      </c>
      <c r="C65" s="580">
        <v>13099.832837444601</v>
      </c>
      <c r="D65" s="580">
        <v>0</v>
      </c>
      <c r="E65" s="582">
        <v>15879.8</v>
      </c>
      <c r="F65" s="580">
        <v>221541.48925304678</v>
      </c>
      <c r="G65" s="580">
        <v>8266.5488434896215</v>
      </c>
      <c r="H65" s="580">
        <v>7503.3040874088001</v>
      </c>
      <c r="I65" s="580">
        <v>413.23181624107394</v>
      </c>
      <c r="J65" s="580">
        <v>208179.88808915144</v>
      </c>
      <c r="K65" s="582">
        <v>445904.4</v>
      </c>
      <c r="L65" s="590">
        <v>31832.421237908544</v>
      </c>
      <c r="M65" s="580">
        <v>27560.216865669645</v>
      </c>
      <c r="N65" s="580">
        <v>-1.5917999999981447E-4</v>
      </c>
      <c r="O65" s="582">
        <v>59392.637944398186</v>
      </c>
      <c r="P65" s="580">
        <v>1212.2202783599998</v>
      </c>
      <c r="Q65" s="580">
        <v>2590.5182837234652</v>
      </c>
      <c r="R65" s="580">
        <v>173058.13845241221</v>
      </c>
      <c r="S65" s="580">
        <v>7977.7670005267792</v>
      </c>
      <c r="T65" s="591">
        <v>184838.64401502244</v>
      </c>
      <c r="U65" s="592">
        <v>15314.753493705786</v>
      </c>
      <c r="V65" s="580">
        <v>7187.1286817944583</v>
      </c>
      <c r="W65" s="585">
        <v>32297.178702546567</v>
      </c>
      <c r="X65" s="586">
        <v>760814.66129445657</v>
      </c>
      <c r="Y65" s="587">
        <v>55548.169799877942</v>
      </c>
      <c r="Z65" s="593"/>
      <c r="AA65" s="594"/>
      <c r="AB65" s="595"/>
      <c r="AC65" s="596"/>
      <c r="AD65" s="593"/>
      <c r="AE65" s="593"/>
      <c r="AF65" s="593"/>
      <c r="AG65" s="593"/>
      <c r="AH65" s="596"/>
      <c r="AI65" s="593"/>
      <c r="AJ65" s="593"/>
      <c r="AK65" s="596"/>
      <c r="AL65" s="593"/>
    </row>
    <row r="66" spans="1:38" ht="24" hidden="1" customHeight="1">
      <c r="A66" s="589">
        <v>40210</v>
      </c>
      <c r="B66" s="580">
        <v>2660.6673514488489</v>
      </c>
      <c r="C66" s="580">
        <v>15436.769076361817</v>
      </c>
      <c r="D66" s="580">
        <v>0</v>
      </c>
      <c r="E66" s="582">
        <v>18097.436427810666</v>
      </c>
      <c r="F66" s="580">
        <v>213703.5873042364</v>
      </c>
      <c r="G66" s="580">
        <v>8110.8323936700262</v>
      </c>
      <c r="H66" s="580">
        <v>7349.2890265812584</v>
      </c>
      <c r="I66" s="580">
        <v>349.26166424818439</v>
      </c>
      <c r="J66" s="580">
        <v>223495.03616576595</v>
      </c>
      <c r="K66" s="582">
        <v>453008.00655450183</v>
      </c>
      <c r="L66" s="590">
        <v>31567.891394918039</v>
      </c>
      <c r="M66" s="580">
        <v>27710.946615091565</v>
      </c>
      <c r="N66" s="580">
        <v>0</v>
      </c>
      <c r="O66" s="582">
        <v>59278.838010009604</v>
      </c>
      <c r="P66" s="580">
        <v>1288.46467721</v>
      </c>
      <c r="Q66" s="580">
        <v>2676.7205614137247</v>
      </c>
      <c r="R66" s="580">
        <v>174117.69026635069</v>
      </c>
      <c r="S66" s="580">
        <v>7635.6720307078194</v>
      </c>
      <c r="T66" s="591">
        <v>185718.54753568224</v>
      </c>
      <c r="U66" s="592">
        <v>16513.464361601295</v>
      </c>
      <c r="V66" s="580">
        <v>6180.9169583330468</v>
      </c>
      <c r="W66" s="585">
        <v>30253.935396580069</v>
      </c>
      <c r="X66" s="586">
        <v>769051.14524451864</v>
      </c>
      <c r="Y66" s="587">
        <v>61589.256488542735</v>
      </c>
      <c r="Z66" s="593"/>
      <c r="AA66" s="594"/>
      <c r="AB66" s="595"/>
      <c r="AC66" s="596"/>
      <c r="AD66" s="593"/>
      <c r="AE66" s="593"/>
      <c r="AF66" s="593"/>
      <c r="AG66" s="593"/>
      <c r="AH66" s="596"/>
      <c r="AI66" s="593"/>
      <c r="AJ66" s="593"/>
      <c r="AK66" s="596"/>
      <c r="AL66" s="593"/>
    </row>
    <row r="67" spans="1:38" ht="24" hidden="1" customHeight="1">
      <c r="A67" s="589">
        <v>40238</v>
      </c>
      <c r="B67" s="580">
        <v>2897.6108960383258</v>
      </c>
      <c r="C67" s="580">
        <v>19037.869672340148</v>
      </c>
      <c r="D67" s="580">
        <v>0</v>
      </c>
      <c r="E67" s="582">
        <v>21935.480568378473</v>
      </c>
      <c r="F67" s="580">
        <v>226059.96133473181</v>
      </c>
      <c r="G67" s="580">
        <v>6403.4290238830799</v>
      </c>
      <c r="H67" s="580">
        <v>7068.583263869994</v>
      </c>
      <c r="I67" s="580">
        <v>428.86692854623249</v>
      </c>
      <c r="J67" s="580">
        <v>222838.09629763025</v>
      </c>
      <c r="K67" s="582">
        <v>462798.9368486614</v>
      </c>
      <c r="L67" s="590">
        <v>29082.739201372719</v>
      </c>
      <c r="M67" s="580">
        <v>27109.517113115129</v>
      </c>
      <c r="N67" s="580">
        <v>0</v>
      </c>
      <c r="O67" s="582">
        <v>56192.256314487851</v>
      </c>
      <c r="P67" s="580">
        <v>1341.65357657</v>
      </c>
      <c r="Q67" s="580">
        <v>2917.25126198</v>
      </c>
      <c r="R67" s="580">
        <v>176575.92054715083</v>
      </c>
      <c r="S67" s="580">
        <v>7692.3967565473622</v>
      </c>
      <c r="T67" s="591">
        <v>188527.22214224821</v>
      </c>
      <c r="U67" s="592">
        <v>16240.204882827016</v>
      </c>
      <c r="V67" s="580">
        <v>1368.2558203355959</v>
      </c>
      <c r="W67" s="585">
        <v>29527.425442278138</v>
      </c>
      <c r="X67" s="586">
        <v>776589.78201921657</v>
      </c>
      <c r="Y67" s="587">
        <v>60393.458922994294</v>
      </c>
      <c r="Z67" s="593"/>
      <c r="AA67" s="594"/>
      <c r="AB67" s="595"/>
      <c r="AC67" s="596"/>
      <c r="AD67" s="593"/>
      <c r="AE67" s="593"/>
      <c r="AF67" s="593"/>
      <c r="AG67" s="593"/>
      <c r="AH67" s="596"/>
      <c r="AI67" s="593"/>
      <c r="AJ67" s="593"/>
      <c r="AK67" s="596"/>
      <c r="AL67" s="593"/>
    </row>
    <row r="68" spans="1:38" ht="24" hidden="1" customHeight="1">
      <c r="A68" s="589">
        <v>40269</v>
      </c>
      <c r="B68" s="580">
        <v>2714.8940145849865</v>
      </c>
      <c r="C68" s="580">
        <v>16776.253461564178</v>
      </c>
      <c r="D68" s="580">
        <v>0</v>
      </c>
      <c r="E68" s="582">
        <v>19491.147476149163</v>
      </c>
      <c r="F68" s="580">
        <v>206888.80822615509</v>
      </c>
      <c r="G68" s="580">
        <v>6795.7797851839096</v>
      </c>
      <c r="H68" s="580">
        <v>7033.1904892048169</v>
      </c>
      <c r="I68" s="580">
        <v>319.51106514733038</v>
      </c>
      <c r="J68" s="580">
        <v>233229.12170045351</v>
      </c>
      <c r="K68" s="582">
        <v>454266.4112661446</v>
      </c>
      <c r="L68" s="590">
        <v>31919.457578443678</v>
      </c>
      <c r="M68" s="580">
        <v>26313.524998848003</v>
      </c>
      <c r="N68" s="580">
        <v>0</v>
      </c>
      <c r="O68" s="582">
        <v>58232.982577291681</v>
      </c>
      <c r="P68" s="580">
        <v>1403.4770519399999</v>
      </c>
      <c r="Q68" s="580">
        <v>2865.0513356261176</v>
      </c>
      <c r="R68" s="580">
        <v>176768.23369493458</v>
      </c>
      <c r="S68" s="580">
        <v>7710.5905080774355</v>
      </c>
      <c r="T68" s="591">
        <v>188747.35259057814</v>
      </c>
      <c r="U68" s="592">
        <v>15217.195867773229</v>
      </c>
      <c r="V68" s="580">
        <v>3428.5726745660982</v>
      </c>
      <c r="W68" s="585">
        <v>32298.11377464384</v>
      </c>
      <c r="X68" s="586">
        <v>771681.77622714674</v>
      </c>
      <c r="Y68" s="587">
        <v>61398.084538984862</v>
      </c>
      <c r="Z68" s="593"/>
      <c r="AA68" s="594"/>
      <c r="AB68" s="595"/>
      <c r="AC68" s="596"/>
      <c r="AD68" s="593"/>
      <c r="AE68" s="593"/>
      <c r="AF68" s="593"/>
      <c r="AG68" s="593"/>
      <c r="AH68" s="596"/>
      <c r="AI68" s="593"/>
      <c r="AJ68" s="593"/>
      <c r="AK68" s="596"/>
      <c r="AL68" s="593"/>
    </row>
    <row r="69" spans="1:38" ht="24" hidden="1" customHeight="1">
      <c r="A69" s="589">
        <v>40299</v>
      </c>
      <c r="B69" s="580">
        <v>2683.557411916996</v>
      </c>
      <c r="C69" s="580">
        <v>15996.911171375739</v>
      </c>
      <c r="D69" s="580">
        <v>694.88758855869241</v>
      </c>
      <c r="E69" s="582">
        <v>19375.356171851428</v>
      </c>
      <c r="F69" s="580">
        <v>239446.130810979</v>
      </c>
      <c r="G69" s="580">
        <v>7512.3100360126364</v>
      </c>
      <c r="H69" s="580">
        <v>7497.6233504556176</v>
      </c>
      <c r="I69" s="580">
        <v>374.43364939408548</v>
      </c>
      <c r="J69" s="580">
        <v>268250.38378702919</v>
      </c>
      <c r="K69" s="582">
        <v>523080.88163387054</v>
      </c>
      <c r="L69" s="590">
        <v>32634.839654149891</v>
      </c>
      <c r="M69" s="580">
        <v>26152.909695297556</v>
      </c>
      <c r="N69" s="580">
        <v>0</v>
      </c>
      <c r="O69" s="582">
        <v>58787.749349447447</v>
      </c>
      <c r="P69" s="580">
        <v>1729.6492064599997</v>
      </c>
      <c r="Q69" s="580">
        <v>2997.6987194799999</v>
      </c>
      <c r="R69" s="580">
        <v>180200.70065512098</v>
      </c>
      <c r="S69" s="580">
        <v>7754.2647558558556</v>
      </c>
      <c r="T69" s="591">
        <v>192682.31333691682</v>
      </c>
      <c r="U69" s="592">
        <v>18727.052802755963</v>
      </c>
      <c r="V69" s="580">
        <v>5689.7084206375794</v>
      </c>
      <c r="W69" s="585">
        <v>30700.71833679163</v>
      </c>
      <c r="X69" s="586">
        <v>849043.78005227132</v>
      </c>
      <c r="Y69" s="587">
        <v>64053.956464669158</v>
      </c>
      <c r="Z69" s="593"/>
      <c r="AA69" s="594"/>
      <c r="AB69" s="595"/>
      <c r="AC69" s="596"/>
      <c r="AD69" s="593"/>
      <c r="AE69" s="593"/>
      <c r="AF69" s="593"/>
      <c r="AG69" s="593"/>
      <c r="AH69" s="596"/>
      <c r="AI69" s="593"/>
      <c r="AJ69" s="593"/>
      <c r="AK69" s="596"/>
      <c r="AL69" s="593"/>
    </row>
    <row r="70" spans="1:38" ht="15.75" hidden="1" customHeight="1">
      <c r="A70" s="589">
        <v>40330</v>
      </c>
      <c r="B70" s="580">
        <v>2744.4322192199897</v>
      </c>
      <c r="C70" s="580">
        <v>18819.32531309249</v>
      </c>
      <c r="D70" s="580">
        <v>0</v>
      </c>
      <c r="E70" s="582">
        <v>21563.75753231248</v>
      </c>
      <c r="F70" s="580">
        <v>225780.34421533521</v>
      </c>
      <c r="G70" s="580">
        <v>7740.0328000802938</v>
      </c>
      <c r="H70" s="580">
        <v>7296.8860074548129</v>
      </c>
      <c r="I70" s="580">
        <v>299.83977082985507</v>
      </c>
      <c r="J70" s="580">
        <v>269521.53249850444</v>
      </c>
      <c r="K70" s="582">
        <v>510638.63529220456</v>
      </c>
      <c r="L70" s="590">
        <v>31299.058851508038</v>
      </c>
      <c r="M70" s="580">
        <v>28297.081063237601</v>
      </c>
      <c r="N70" s="580">
        <v>0</v>
      </c>
      <c r="O70" s="582">
        <v>59596.13991474564</v>
      </c>
      <c r="P70" s="580">
        <v>1638.1805952499997</v>
      </c>
      <c r="Q70" s="580">
        <v>2930.1236476899949</v>
      </c>
      <c r="R70" s="580">
        <v>185296.70625810683</v>
      </c>
      <c r="S70" s="580">
        <v>7951.4446825652349</v>
      </c>
      <c r="T70" s="591">
        <v>197816.45518361207</v>
      </c>
      <c r="U70" s="592">
        <v>19242.166486380072</v>
      </c>
      <c r="V70" s="580">
        <v>2101.1977220421031</v>
      </c>
      <c r="W70" s="585">
        <v>32215.365324832113</v>
      </c>
      <c r="X70" s="586">
        <v>843173.71745612903</v>
      </c>
      <c r="Y70" s="587">
        <v>79090.043422740055</v>
      </c>
      <c r="Z70" s="593"/>
      <c r="AA70" s="594"/>
      <c r="AB70" s="595"/>
      <c r="AC70" s="596"/>
      <c r="AD70" s="593"/>
      <c r="AE70" s="593"/>
      <c r="AF70" s="593"/>
      <c r="AG70" s="593"/>
      <c r="AH70" s="596"/>
      <c r="AI70" s="593"/>
      <c r="AJ70" s="593"/>
      <c r="AK70" s="596"/>
      <c r="AL70" s="593"/>
    </row>
    <row r="71" spans="1:38" ht="15.75" hidden="1" customHeight="1">
      <c r="A71" s="589">
        <v>40360</v>
      </c>
      <c r="B71" s="580">
        <v>2586.1947508917551</v>
      </c>
      <c r="C71" s="580">
        <v>19039.82427787803</v>
      </c>
      <c r="D71" s="580">
        <v>0</v>
      </c>
      <c r="E71" s="582">
        <v>21626.019028769784</v>
      </c>
      <c r="F71" s="580">
        <v>178358.0784495954</v>
      </c>
      <c r="G71" s="580">
        <v>7177.1045137878791</v>
      </c>
      <c r="H71" s="580">
        <v>6919.373129896745</v>
      </c>
      <c r="I71" s="580">
        <v>324.09124885355664</v>
      </c>
      <c r="J71" s="580">
        <v>267099.02299618517</v>
      </c>
      <c r="K71" s="582">
        <v>459877.67033831874</v>
      </c>
      <c r="L71" s="590">
        <v>27408.656196896474</v>
      </c>
      <c r="M71" s="580">
        <v>29185.711126587135</v>
      </c>
      <c r="N71" s="580">
        <v>0</v>
      </c>
      <c r="O71" s="582">
        <v>56594.36732348361</v>
      </c>
      <c r="P71" s="580">
        <v>1696.5683253899999</v>
      </c>
      <c r="Q71" s="580">
        <v>2760.0300645921998</v>
      </c>
      <c r="R71" s="580">
        <v>184840.44994928729</v>
      </c>
      <c r="S71" s="580">
        <v>7948.273948986317</v>
      </c>
      <c r="T71" s="591">
        <v>197245.32228825579</v>
      </c>
      <c r="U71" s="592">
        <v>19176.608494810571</v>
      </c>
      <c r="V71" s="580">
        <v>5512.6420233722811</v>
      </c>
      <c r="W71" s="585">
        <v>36423.195411560788</v>
      </c>
      <c r="X71" s="586">
        <v>796455.82490857143</v>
      </c>
      <c r="Y71" s="587">
        <v>73033.526870446163</v>
      </c>
      <c r="Z71" s="593"/>
      <c r="AA71" s="594"/>
      <c r="AB71" s="595"/>
      <c r="AC71" s="596"/>
      <c r="AD71" s="593"/>
      <c r="AE71" s="593"/>
      <c r="AF71" s="593"/>
      <c r="AG71" s="593"/>
      <c r="AH71" s="596"/>
      <c r="AI71" s="593"/>
      <c r="AJ71" s="593"/>
      <c r="AK71" s="596"/>
      <c r="AL71" s="593"/>
    </row>
    <row r="72" spans="1:38" ht="15.75" hidden="1" customHeight="1">
      <c r="A72" s="589">
        <v>40391</v>
      </c>
      <c r="B72" s="580">
        <v>2818.0228882735619</v>
      </c>
      <c r="C72" s="580">
        <v>17178.780995102978</v>
      </c>
      <c r="D72" s="580">
        <v>1340.6746463657</v>
      </c>
      <c r="E72" s="582">
        <v>21337.478529742239</v>
      </c>
      <c r="F72" s="580">
        <v>206491.15862294834</v>
      </c>
      <c r="G72" s="580">
        <v>6795.2903854451206</v>
      </c>
      <c r="H72" s="580">
        <v>7199.5084492770966</v>
      </c>
      <c r="I72" s="580">
        <v>364.75861413030168</v>
      </c>
      <c r="J72" s="580">
        <v>274294.24598348816</v>
      </c>
      <c r="K72" s="582">
        <v>495144.96205528895</v>
      </c>
      <c r="L72" s="590">
        <v>25078.936098629147</v>
      </c>
      <c r="M72" s="580">
        <v>30057.419785408423</v>
      </c>
      <c r="N72" s="580">
        <v>0</v>
      </c>
      <c r="O72" s="582">
        <v>55136.35588403757</v>
      </c>
      <c r="P72" s="580">
        <v>1736.5770820400001</v>
      </c>
      <c r="Q72" s="580">
        <v>2919.1129399535139</v>
      </c>
      <c r="R72" s="580">
        <v>187172.31890265777</v>
      </c>
      <c r="S72" s="580">
        <v>7867.7877123153821</v>
      </c>
      <c r="T72" s="591">
        <v>199695.7966369667</v>
      </c>
      <c r="U72" s="592">
        <v>20414.573636164874</v>
      </c>
      <c r="V72" s="580">
        <v>6516.7847087439322</v>
      </c>
      <c r="W72" s="585">
        <v>32748.89822999324</v>
      </c>
      <c r="X72" s="586">
        <v>830994.84968093759</v>
      </c>
      <c r="Y72" s="587">
        <v>69579.8</v>
      </c>
      <c r="Z72" s="593"/>
      <c r="AA72" s="594"/>
      <c r="AB72" s="595"/>
      <c r="AC72" s="596"/>
      <c r="AD72" s="593"/>
      <c r="AE72" s="593"/>
      <c r="AF72" s="593"/>
      <c r="AG72" s="593"/>
      <c r="AH72" s="596"/>
      <c r="AI72" s="593"/>
      <c r="AJ72" s="593"/>
      <c r="AK72" s="596"/>
      <c r="AL72" s="593"/>
    </row>
    <row r="73" spans="1:38" ht="15.75" hidden="1" customHeight="1">
      <c r="A73" s="589">
        <v>40422</v>
      </c>
      <c r="B73" s="580">
        <v>2853.6926894947119</v>
      </c>
      <c r="C73" s="580">
        <v>17079.637266333291</v>
      </c>
      <c r="D73" s="580">
        <v>5124.3595836402001</v>
      </c>
      <c r="E73" s="582">
        <v>25057.689539468207</v>
      </c>
      <c r="F73" s="580">
        <v>209122.50444762688</v>
      </c>
      <c r="G73" s="580">
        <v>7502.5940707455266</v>
      </c>
      <c r="H73" s="580">
        <v>7062.799988615755</v>
      </c>
      <c r="I73" s="580">
        <v>403.02794922846999</v>
      </c>
      <c r="J73" s="580">
        <v>271407.28915970615</v>
      </c>
      <c r="K73" s="582">
        <v>495498.21561592282</v>
      </c>
      <c r="L73" s="590">
        <v>22793.818513925999</v>
      </c>
      <c r="M73" s="580">
        <v>30724.429712491798</v>
      </c>
      <c r="N73" s="580">
        <v>0</v>
      </c>
      <c r="O73" s="582">
        <v>53518.248226417796</v>
      </c>
      <c r="P73" s="580">
        <v>1742.1712046199998</v>
      </c>
      <c r="Q73" s="580">
        <v>2782.5529474936498</v>
      </c>
      <c r="R73" s="580">
        <v>188808.57599211409</v>
      </c>
      <c r="S73" s="580">
        <v>7995.4577349340834</v>
      </c>
      <c r="T73" s="591">
        <v>201328.7578791618</v>
      </c>
      <c r="U73" s="592">
        <v>19903.424060649515</v>
      </c>
      <c r="V73" s="580">
        <v>6503.7721792329221</v>
      </c>
      <c r="W73" s="585">
        <v>35718.252639442195</v>
      </c>
      <c r="X73" s="586">
        <v>837528.36014029512</v>
      </c>
      <c r="Y73" s="587">
        <v>68111.565201371603</v>
      </c>
      <c r="Z73" s="593"/>
      <c r="AA73" s="594"/>
      <c r="AB73" s="595"/>
      <c r="AC73" s="596"/>
      <c r="AD73" s="593"/>
      <c r="AE73" s="593"/>
      <c r="AF73" s="593"/>
      <c r="AG73" s="593"/>
      <c r="AH73" s="596"/>
      <c r="AI73" s="593"/>
      <c r="AJ73" s="593"/>
      <c r="AK73" s="596"/>
      <c r="AL73" s="593"/>
    </row>
    <row r="74" spans="1:38" ht="15.75" hidden="1" customHeight="1">
      <c r="A74" s="597" t="s">
        <v>147</v>
      </c>
      <c r="B74" s="580">
        <v>2652.2680539120252</v>
      </c>
      <c r="C74" s="580">
        <v>19591.282364363669</v>
      </c>
      <c r="D74" s="580">
        <v>5132.4733828159997</v>
      </c>
      <c r="E74" s="582">
        <v>27376.023801091695</v>
      </c>
      <c r="F74" s="580">
        <v>212395.64738014841</v>
      </c>
      <c r="G74" s="580">
        <v>6459.3742641344843</v>
      </c>
      <c r="H74" s="580">
        <v>7617.1923113906796</v>
      </c>
      <c r="I74" s="580">
        <v>504.61739530451769</v>
      </c>
      <c r="J74" s="580">
        <v>266537.07394599478</v>
      </c>
      <c r="K74" s="582">
        <v>493513.90529697284</v>
      </c>
      <c r="L74" s="590">
        <v>21656.409726817394</v>
      </c>
      <c r="M74" s="580">
        <v>30699.32103295661</v>
      </c>
      <c r="N74" s="580">
        <v>0</v>
      </c>
      <c r="O74" s="582">
        <v>52355.730759774</v>
      </c>
      <c r="P74" s="580">
        <v>1780.2244891124328</v>
      </c>
      <c r="Q74" s="580">
        <v>2923.0782221668715</v>
      </c>
      <c r="R74" s="580">
        <v>190550.03250973506</v>
      </c>
      <c r="S74" s="580">
        <v>8019.9183582533242</v>
      </c>
      <c r="T74" s="591">
        <v>203273.25357926768</v>
      </c>
      <c r="U74" s="592">
        <v>19535.955546566296</v>
      </c>
      <c r="V74" s="580">
        <v>7507.0259352029034</v>
      </c>
      <c r="W74" s="585">
        <v>38316.494944674312</v>
      </c>
      <c r="X74" s="586">
        <v>841878.38986354973</v>
      </c>
      <c r="Y74" s="587">
        <v>70730.430464873731</v>
      </c>
      <c r="Z74" s="593"/>
      <c r="AA74" s="594"/>
      <c r="AB74" s="595"/>
      <c r="AC74" s="596"/>
      <c r="AD74" s="593"/>
      <c r="AE74" s="593"/>
      <c r="AF74" s="593"/>
      <c r="AG74" s="593"/>
      <c r="AH74" s="596"/>
      <c r="AI74" s="593"/>
      <c r="AJ74" s="593"/>
      <c r="AK74" s="596"/>
      <c r="AL74" s="593"/>
    </row>
    <row r="75" spans="1:38" ht="15.75" hidden="1" customHeight="1">
      <c r="A75" s="589">
        <v>40483</v>
      </c>
      <c r="B75" s="580">
        <v>2792.2492223402805</v>
      </c>
      <c r="C75" s="580">
        <v>20371.657220595825</v>
      </c>
      <c r="D75" s="580">
        <v>5120.6615816106296</v>
      </c>
      <c r="E75" s="582">
        <v>28284.568024546737</v>
      </c>
      <c r="F75" s="580">
        <v>215222.78794147616</v>
      </c>
      <c r="G75" s="580">
        <v>6208.1048063073995</v>
      </c>
      <c r="H75" s="580">
        <v>7359.4560861646387</v>
      </c>
      <c r="I75" s="580">
        <v>443.02881424329303</v>
      </c>
      <c r="J75" s="580">
        <v>266309.39584555058</v>
      </c>
      <c r="K75" s="582">
        <v>495542.7734937421</v>
      </c>
      <c r="L75" s="590">
        <v>22677.553178399787</v>
      </c>
      <c r="M75" s="580">
        <v>30623.326830519174</v>
      </c>
      <c r="N75" s="580">
        <v>0</v>
      </c>
      <c r="O75" s="582">
        <v>53300.880008918961</v>
      </c>
      <c r="P75" s="580">
        <v>1826.9919332100001</v>
      </c>
      <c r="Q75" s="580">
        <v>3117.7225766264401</v>
      </c>
      <c r="R75" s="580">
        <v>191939.86733791602</v>
      </c>
      <c r="S75" s="580">
        <v>8222.609143867845</v>
      </c>
      <c r="T75" s="591">
        <v>205107.1909916203</v>
      </c>
      <c r="U75" s="592">
        <v>19692.23394572805</v>
      </c>
      <c r="V75" s="580">
        <v>8676.5384254040127</v>
      </c>
      <c r="W75" s="585">
        <v>44400.893902674143</v>
      </c>
      <c r="X75" s="586">
        <v>855005.0787926343</v>
      </c>
      <c r="Y75" s="587">
        <v>61026.755245199034</v>
      </c>
      <c r="Z75" s="593"/>
      <c r="AA75" s="594"/>
      <c r="AB75" s="595"/>
      <c r="AC75" s="596"/>
      <c r="AD75" s="593"/>
      <c r="AE75" s="593"/>
      <c r="AF75" s="593"/>
      <c r="AG75" s="593"/>
      <c r="AH75" s="596"/>
      <c r="AI75" s="593"/>
      <c r="AJ75" s="593"/>
      <c r="AK75" s="596"/>
      <c r="AL75" s="593"/>
    </row>
    <row r="76" spans="1:38" ht="15.75" hidden="1" customHeight="1">
      <c r="A76" s="589">
        <v>40513</v>
      </c>
      <c r="B76" s="580">
        <v>3616.2577962918376</v>
      </c>
      <c r="C76" s="580">
        <v>22158.044021089943</v>
      </c>
      <c r="D76" s="580">
        <v>3644.6352118236568</v>
      </c>
      <c r="E76" s="582">
        <v>29418.937029205437</v>
      </c>
      <c r="F76" s="580">
        <v>213379.96359807596</v>
      </c>
      <c r="G76" s="580">
        <v>6338.8620633331029</v>
      </c>
      <c r="H76" s="580">
        <v>7607.0238474533262</v>
      </c>
      <c r="I76" s="580">
        <v>589.66209495500061</v>
      </c>
      <c r="J76" s="580">
        <v>270841.96615080861</v>
      </c>
      <c r="K76" s="582">
        <v>498757.47775462602</v>
      </c>
      <c r="L76" s="590">
        <v>24209.625501544244</v>
      </c>
      <c r="M76" s="580">
        <v>31153.374765343011</v>
      </c>
      <c r="N76" s="580">
        <v>0</v>
      </c>
      <c r="O76" s="582">
        <v>55363.000266887255</v>
      </c>
      <c r="P76" s="580">
        <v>1876.4468153099999</v>
      </c>
      <c r="Q76" s="580">
        <v>3241.766021875625</v>
      </c>
      <c r="R76" s="580">
        <v>195702.54394124955</v>
      </c>
      <c r="S76" s="580">
        <v>8748.7655749084061</v>
      </c>
      <c r="T76" s="591">
        <v>209569.52235334358</v>
      </c>
      <c r="U76" s="592">
        <v>20427.685689689079</v>
      </c>
      <c r="V76" s="580">
        <v>4536.1935280835087</v>
      </c>
      <c r="W76" s="585">
        <v>45394.63205186202</v>
      </c>
      <c r="X76" s="586">
        <v>863467.44867369696</v>
      </c>
      <c r="Y76" s="587">
        <v>72453.813803695622</v>
      </c>
      <c r="Z76" s="593"/>
      <c r="AA76" s="594"/>
      <c r="AB76" s="595"/>
      <c r="AC76" s="596"/>
      <c r="AD76" s="593"/>
      <c r="AE76" s="593"/>
      <c r="AF76" s="593"/>
      <c r="AG76" s="593"/>
      <c r="AH76" s="596"/>
      <c r="AI76" s="593"/>
      <c r="AJ76" s="593"/>
      <c r="AK76" s="596"/>
      <c r="AL76" s="593"/>
    </row>
    <row r="77" spans="1:38" ht="15.75" hidden="1" customHeight="1">
      <c r="A77" s="589">
        <v>40544</v>
      </c>
      <c r="B77" s="580">
        <v>3225.5843576301813</v>
      </c>
      <c r="C77" s="580">
        <v>22865.728545631078</v>
      </c>
      <c r="D77" s="580">
        <v>4286.3040422811182</v>
      </c>
      <c r="E77" s="582">
        <v>30377.616945542377</v>
      </c>
      <c r="F77" s="580">
        <v>212736.01270389627</v>
      </c>
      <c r="G77" s="580">
        <v>5098.1118903319548</v>
      </c>
      <c r="H77" s="580">
        <v>7488.9835415830075</v>
      </c>
      <c r="I77" s="580">
        <v>635.53063199232338</v>
      </c>
      <c r="J77" s="580">
        <v>262326.09663083911</v>
      </c>
      <c r="K77" s="582">
        <v>488284.73539864266</v>
      </c>
      <c r="L77" s="590">
        <v>23458.773238433878</v>
      </c>
      <c r="M77" s="580">
        <v>29604.37239004151</v>
      </c>
      <c r="N77" s="580">
        <v>-3.7999999988824127E-7</v>
      </c>
      <c r="O77" s="582">
        <v>53063.145628095386</v>
      </c>
      <c r="P77" s="580">
        <v>1828.02485572</v>
      </c>
      <c r="Q77" s="580">
        <v>3160.7625865800965</v>
      </c>
      <c r="R77" s="580">
        <v>193931.31380575561</v>
      </c>
      <c r="S77" s="580">
        <v>8648.8833144157834</v>
      </c>
      <c r="T77" s="591">
        <v>207568.98456247148</v>
      </c>
      <c r="U77" s="592">
        <v>20451.283387642052</v>
      </c>
      <c r="V77" s="580">
        <v>7453.2866069876854</v>
      </c>
      <c r="W77" s="585">
        <v>42879.796657467159</v>
      </c>
      <c r="X77" s="586">
        <v>850078.84918684885</v>
      </c>
      <c r="Y77" s="587">
        <v>70234.770978216868</v>
      </c>
      <c r="Z77" s="593"/>
      <c r="AA77" s="594"/>
      <c r="AB77" s="595"/>
      <c r="AC77" s="596"/>
      <c r="AD77" s="593"/>
      <c r="AE77" s="593"/>
      <c r="AF77" s="593"/>
      <c r="AG77" s="593"/>
      <c r="AH77" s="596"/>
      <c r="AI77" s="593"/>
      <c r="AJ77" s="593"/>
      <c r="AK77" s="596"/>
      <c r="AL77" s="593"/>
    </row>
    <row r="78" spans="1:38" ht="15.75" hidden="1" customHeight="1">
      <c r="A78" s="589">
        <v>40575</v>
      </c>
      <c r="B78" s="580">
        <v>2789.0219851159918</v>
      </c>
      <c r="C78" s="580">
        <v>22793.221585526288</v>
      </c>
      <c r="D78" s="580">
        <v>5484.737176855755</v>
      </c>
      <c r="E78" s="582">
        <v>31066.980747498033</v>
      </c>
      <c r="F78" s="580">
        <v>216046.12511097974</v>
      </c>
      <c r="G78" s="580">
        <v>4689.7670654446274</v>
      </c>
      <c r="H78" s="580">
        <v>7569.884346578644</v>
      </c>
      <c r="I78" s="580">
        <v>458.82486672154221</v>
      </c>
      <c r="J78" s="580">
        <v>263587.37333366123</v>
      </c>
      <c r="K78" s="582">
        <v>492351.97472338582</v>
      </c>
      <c r="L78" s="590">
        <v>23364.63550813137</v>
      </c>
      <c r="M78" s="580">
        <v>28384.956497972027</v>
      </c>
      <c r="N78" s="580">
        <v>0</v>
      </c>
      <c r="O78" s="582">
        <v>51749.592006103398</v>
      </c>
      <c r="P78" s="580">
        <v>1791.5602022099999</v>
      </c>
      <c r="Q78" s="580">
        <v>3225.7377535037813</v>
      </c>
      <c r="R78" s="580">
        <v>195732.6338296523</v>
      </c>
      <c r="S78" s="580">
        <v>8799.1596146674347</v>
      </c>
      <c r="T78" s="591">
        <v>209549.0914000335</v>
      </c>
      <c r="U78" s="592">
        <v>20691.085174811651</v>
      </c>
      <c r="V78" s="580">
        <v>5609.3739375352425</v>
      </c>
      <c r="W78" s="585">
        <v>44302.194425451475</v>
      </c>
      <c r="X78" s="586">
        <v>855320.29241481901</v>
      </c>
      <c r="Y78" s="587">
        <v>74332.888893920986</v>
      </c>
      <c r="Z78" s="593"/>
      <c r="AA78" s="594"/>
      <c r="AB78" s="595"/>
      <c r="AC78" s="596"/>
      <c r="AD78" s="593"/>
      <c r="AE78" s="593"/>
      <c r="AF78" s="593"/>
      <c r="AG78" s="593"/>
      <c r="AH78" s="596"/>
      <c r="AI78" s="593"/>
      <c r="AJ78" s="593"/>
      <c r="AK78" s="596"/>
      <c r="AL78" s="593"/>
    </row>
    <row r="79" spans="1:38" ht="15.75" hidden="1" customHeight="1">
      <c r="A79" s="589">
        <v>40603</v>
      </c>
      <c r="B79" s="580">
        <v>3063.9193258381529</v>
      </c>
      <c r="C79" s="580">
        <v>21929.962441261283</v>
      </c>
      <c r="D79" s="580">
        <v>5089.9681918370989</v>
      </c>
      <c r="E79" s="582">
        <v>30083.849958936535</v>
      </c>
      <c r="F79" s="580">
        <v>177639.23883035607</v>
      </c>
      <c r="G79" s="580">
        <v>4901.585761290361</v>
      </c>
      <c r="H79" s="580">
        <v>7328.9037064704817</v>
      </c>
      <c r="I79" s="580">
        <v>337.53798993913193</v>
      </c>
      <c r="J79" s="580">
        <v>268490.42036553135</v>
      </c>
      <c r="K79" s="582">
        <v>458697.68665358739</v>
      </c>
      <c r="L79" s="590">
        <v>23770.001544924096</v>
      </c>
      <c r="M79" s="580">
        <v>27862.283991310411</v>
      </c>
      <c r="N79" s="580">
        <v>0</v>
      </c>
      <c r="O79" s="582">
        <v>51632.285536234507</v>
      </c>
      <c r="P79" s="580">
        <v>2021.0745067100002</v>
      </c>
      <c r="Q79" s="580">
        <v>2911.3008551143203</v>
      </c>
      <c r="R79" s="580">
        <v>196056.09690503727</v>
      </c>
      <c r="S79" s="580">
        <v>8900.1375993667207</v>
      </c>
      <c r="T79" s="591">
        <v>209888.6098662283</v>
      </c>
      <c r="U79" s="592">
        <v>21549.573097771052</v>
      </c>
      <c r="V79" s="580">
        <v>3777.4874615691347</v>
      </c>
      <c r="W79" s="585">
        <v>49542.515383962127</v>
      </c>
      <c r="X79" s="586">
        <v>825172.007958289</v>
      </c>
      <c r="Y79" s="587">
        <v>75589.158320363349</v>
      </c>
      <c r="Z79" s="593"/>
      <c r="AA79" s="594"/>
      <c r="AB79" s="595"/>
      <c r="AC79" s="596"/>
      <c r="AD79" s="593"/>
      <c r="AE79" s="593"/>
      <c r="AF79" s="593"/>
      <c r="AG79" s="593"/>
      <c r="AH79" s="596"/>
      <c r="AI79" s="593"/>
      <c r="AJ79" s="593"/>
      <c r="AK79" s="596"/>
      <c r="AL79" s="593"/>
    </row>
    <row r="80" spans="1:38" ht="15.75" hidden="1" customHeight="1">
      <c r="A80" s="589">
        <v>40634</v>
      </c>
      <c r="B80" s="580">
        <v>2705.8164150554585</v>
      </c>
      <c r="C80" s="580">
        <v>22959.214333860637</v>
      </c>
      <c r="D80" s="580">
        <v>5292.9957092716177</v>
      </c>
      <c r="E80" s="582">
        <v>30958.026458187713</v>
      </c>
      <c r="F80" s="580">
        <v>214205.9173297674</v>
      </c>
      <c r="G80" s="580">
        <v>4532.9920135676648</v>
      </c>
      <c r="H80" s="580">
        <v>6944.0728612010171</v>
      </c>
      <c r="I80" s="580">
        <v>437.21727384792217</v>
      </c>
      <c r="J80" s="580">
        <v>263041.8904447247</v>
      </c>
      <c r="K80" s="582">
        <v>489162.0899231087</v>
      </c>
      <c r="L80" s="590">
        <v>23741.459320154816</v>
      </c>
      <c r="M80" s="580">
        <v>28593.697072701903</v>
      </c>
      <c r="N80" s="580">
        <v>1.4625000000023647E-4</v>
      </c>
      <c r="O80" s="582">
        <v>52335.15653910672</v>
      </c>
      <c r="P80" s="580">
        <v>2073.7466184099999</v>
      </c>
      <c r="Q80" s="580">
        <v>3005.6227395250662</v>
      </c>
      <c r="R80" s="580">
        <v>197709.00641826532</v>
      </c>
      <c r="S80" s="580">
        <v>9012.0854666104715</v>
      </c>
      <c r="T80" s="591">
        <v>211800.46124281085</v>
      </c>
      <c r="U80" s="592">
        <v>20818.192582347841</v>
      </c>
      <c r="V80" s="580">
        <v>3199.6368082277017</v>
      </c>
      <c r="W80" s="585">
        <v>48366.347275845961</v>
      </c>
      <c r="X80" s="586">
        <v>856639.91082963557</v>
      </c>
      <c r="Y80" s="587">
        <v>74222.737103658146</v>
      </c>
      <c r="Z80" s="593"/>
      <c r="AA80" s="594"/>
      <c r="AB80" s="595"/>
      <c r="AC80" s="596"/>
      <c r="AD80" s="593"/>
      <c r="AE80" s="593"/>
      <c r="AF80" s="593"/>
      <c r="AG80" s="593"/>
      <c r="AH80" s="596"/>
      <c r="AI80" s="593"/>
      <c r="AJ80" s="593"/>
      <c r="AK80" s="596"/>
      <c r="AL80" s="593"/>
    </row>
    <row r="81" spans="1:38" ht="15.75" hidden="1" customHeight="1">
      <c r="A81" s="589">
        <v>40664</v>
      </c>
      <c r="B81" s="580">
        <v>3000.0062699328291</v>
      </c>
      <c r="C81" s="580">
        <v>20852.072573058114</v>
      </c>
      <c r="D81" s="580">
        <v>6155.7071333131389</v>
      </c>
      <c r="E81" s="582">
        <v>30007.785976304083</v>
      </c>
      <c r="F81" s="580">
        <v>175045.0754913305</v>
      </c>
      <c r="G81" s="580">
        <v>4344.8813409041904</v>
      </c>
      <c r="H81" s="580">
        <v>8059.9749926756294</v>
      </c>
      <c r="I81" s="580">
        <v>347.67298356067403</v>
      </c>
      <c r="J81" s="580">
        <v>267856.61801254831</v>
      </c>
      <c r="K81" s="582">
        <v>455654.2228210193</v>
      </c>
      <c r="L81" s="590">
        <v>24577.810442849099</v>
      </c>
      <c r="M81" s="580">
        <v>27460.832777376123</v>
      </c>
      <c r="N81" s="580">
        <v>0</v>
      </c>
      <c r="O81" s="582">
        <v>52038.643220225218</v>
      </c>
      <c r="P81" s="580">
        <v>2106.0621074900005</v>
      </c>
      <c r="Q81" s="580">
        <v>2899.2770230959554</v>
      </c>
      <c r="R81" s="580">
        <v>198688.98156546062</v>
      </c>
      <c r="S81" s="580">
        <v>9074.0540482481611</v>
      </c>
      <c r="T81" s="591">
        <v>212768.37474429474</v>
      </c>
      <c r="U81" s="592">
        <v>21804.283013493809</v>
      </c>
      <c r="V81" s="580">
        <v>3691.377350635229</v>
      </c>
      <c r="W81" s="585">
        <v>50331.705088058763</v>
      </c>
      <c r="X81" s="586">
        <v>826296.39221403108</v>
      </c>
      <c r="Y81" s="587">
        <v>76957.781246871265</v>
      </c>
      <c r="Z81" s="593"/>
      <c r="AA81" s="594"/>
      <c r="AB81" s="595"/>
      <c r="AC81" s="596"/>
      <c r="AD81" s="593"/>
      <c r="AE81" s="593"/>
      <c r="AF81" s="593"/>
      <c r="AG81" s="593"/>
      <c r="AH81" s="596"/>
      <c r="AI81" s="593"/>
      <c r="AJ81" s="593"/>
      <c r="AK81" s="596"/>
      <c r="AL81" s="593"/>
    </row>
    <row r="82" spans="1:38" ht="15.75" hidden="1" customHeight="1">
      <c r="A82" s="589">
        <v>40695</v>
      </c>
      <c r="B82" s="580">
        <v>2936.6751681768264</v>
      </c>
      <c r="C82" s="580">
        <v>21543.726431744282</v>
      </c>
      <c r="D82" s="580">
        <v>7354.6553030121568</v>
      </c>
      <c r="E82" s="582">
        <v>31835.056902933266</v>
      </c>
      <c r="F82" s="580">
        <v>199741.0461100158</v>
      </c>
      <c r="G82" s="580">
        <v>5568.9404552623573</v>
      </c>
      <c r="H82" s="580">
        <v>8800.2736034388272</v>
      </c>
      <c r="I82" s="580">
        <v>258.79348738965939</v>
      </c>
      <c r="J82" s="580">
        <v>282419.11159923853</v>
      </c>
      <c r="K82" s="582">
        <v>496788.16525534517</v>
      </c>
      <c r="L82" s="590">
        <v>24144.934497290309</v>
      </c>
      <c r="M82" s="580">
        <v>27352.174444878925</v>
      </c>
      <c r="N82" s="580">
        <v>0</v>
      </c>
      <c r="O82" s="582">
        <v>51497.10894216923</v>
      </c>
      <c r="P82" s="580">
        <v>2156.5839423800003</v>
      </c>
      <c r="Q82" s="580">
        <v>3146.1639456446578</v>
      </c>
      <c r="R82" s="580">
        <v>202016.91875500561</v>
      </c>
      <c r="S82" s="580">
        <v>9255.5049622427105</v>
      </c>
      <c r="T82" s="591">
        <v>216575.17160527298</v>
      </c>
      <c r="U82" s="592">
        <v>21697.245580654038</v>
      </c>
      <c r="V82" s="580">
        <v>3776.313118616732</v>
      </c>
      <c r="W82" s="585">
        <v>52908.002071598756</v>
      </c>
      <c r="X82" s="586">
        <v>875077.06347659009</v>
      </c>
      <c r="Y82" s="587">
        <v>78346.26749010841</v>
      </c>
      <c r="Z82" s="593"/>
      <c r="AA82" s="594"/>
      <c r="AB82" s="595"/>
      <c r="AC82" s="596"/>
      <c r="AD82" s="593"/>
      <c r="AE82" s="593"/>
      <c r="AF82" s="593"/>
      <c r="AG82" s="593"/>
      <c r="AH82" s="596"/>
      <c r="AI82" s="593"/>
      <c r="AJ82" s="593"/>
      <c r="AK82" s="596"/>
      <c r="AL82" s="593"/>
    </row>
    <row r="83" spans="1:38" ht="15.75" hidden="1" customHeight="1">
      <c r="A83" s="589">
        <v>40725</v>
      </c>
      <c r="B83" s="580">
        <v>2859.8503637397707</v>
      </c>
      <c r="C83" s="580">
        <v>21040.443483399824</v>
      </c>
      <c r="D83" s="580">
        <v>7954.8583207552874</v>
      </c>
      <c r="E83" s="582">
        <v>31855.152167894881</v>
      </c>
      <c r="F83" s="580">
        <v>179502.18365970708</v>
      </c>
      <c r="G83" s="580">
        <v>6218.9539309351749</v>
      </c>
      <c r="H83" s="580">
        <v>8672.7557852685568</v>
      </c>
      <c r="I83" s="580">
        <v>410.66970653098201</v>
      </c>
      <c r="J83" s="580">
        <v>286196.02315934189</v>
      </c>
      <c r="K83" s="582">
        <v>481000.58624178369</v>
      </c>
      <c r="L83" s="590">
        <v>24841.530352050224</v>
      </c>
      <c r="M83" s="580">
        <v>27423.323500567094</v>
      </c>
      <c r="N83" s="580">
        <v>0</v>
      </c>
      <c r="O83" s="582">
        <v>52264.853852617322</v>
      </c>
      <c r="P83" s="580">
        <v>2189.6837342899998</v>
      </c>
      <c r="Q83" s="580">
        <v>2998.1004229363793</v>
      </c>
      <c r="R83" s="580">
        <v>204220.26709719573</v>
      </c>
      <c r="S83" s="580">
        <v>9115.5414143006383</v>
      </c>
      <c r="T83" s="591">
        <v>218523.59266872273</v>
      </c>
      <c r="U83" s="592">
        <v>22125.953862983071</v>
      </c>
      <c r="V83" s="580">
        <v>677.75062408921565</v>
      </c>
      <c r="W83" s="585">
        <v>47497.857586786413</v>
      </c>
      <c r="X83" s="586">
        <v>853945.74700487731</v>
      </c>
      <c r="Y83" s="587">
        <v>78224.745723918531</v>
      </c>
      <c r="Z83" s="593"/>
      <c r="AA83" s="594"/>
      <c r="AB83" s="595"/>
      <c r="AC83" s="596"/>
      <c r="AD83" s="593"/>
      <c r="AE83" s="593"/>
      <c r="AF83" s="593"/>
      <c r="AG83" s="593"/>
      <c r="AH83" s="596"/>
      <c r="AI83" s="593"/>
      <c r="AJ83" s="593"/>
      <c r="AK83" s="596"/>
      <c r="AL83" s="593"/>
    </row>
    <row r="84" spans="1:38" ht="15.75" hidden="1" customHeight="1">
      <c r="A84" s="589">
        <v>40756</v>
      </c>
      <c r="B84" s="580">
        <f>[3]ADJ!$B83</f>
        <v>3375.3384309329995</v>
      </c>
      <c r="C84" s="580">
        <f>[3]ADJ!$C83</f>
        <v>22392.698689076999</v>
      </c>
      <c r="D84" s="580">
        <f>[3]ADJ!$D83</f>
        <v>7682.1327746235002</v>
      </c>
      <c r="E84" s="582">
        <f>[3]ADJ!$E83</f>
        <v>33450.169894633495</v>
      </c>
      <c r="F84" s="580">
        <f>[3]ADJ!$K83</f>
        <v>166230.86015341053</v>
      </c>
      <c r="G84" s="580">
        <f>[3]ADJ!$L83</f>
        <v>7042.4914972244997</v>
      </c>
      <c r="H84" s="580">
        <f>[3]ADJ!$M83</f>
        <v>12469.731554830501</v>
      </c>
      <c r="I84" s="580">
        <f>[3]ADJ!$N83</f>
        <v>347.47321022869482</v>
      </c>
      <c r="J84" s="580">
        <f>[3]ADJ!$O83</f>
        <v>291404.4771116653</v>
      </c>
      <c r="K84" s="582">
        <f>[3]ADJ!$P83</f>
        <v>477495.03352735948</v>
      </c>
      <c r="L84" s="590">
        <f>[3]ADJ!$F83</f>
        <v>23308.359653477502</v>
      </c>
      <c r="M84" s="580">
        <f>[3]ADJ!$G83</f>
        <v>27298.333473545503</v>
      </c>
      <c r="N84" s="580">
        <f>[3]ADJ!$H83</f>
        <v>0</v>
      </c>
      <c r="O84" s="582">
        <f>[3]ADJ!$I83</f>
        <v>50606.693127023005</v>
      </c>
      <c r="P84" s="580">
        <f>[3]ADJ!$Q83</f>
        <v>2133.1364882500002</v>
      </c>
      <c r="Q84" s="580">
        <f>[3]ADJ!$R83</f>
        <v>3083.261600522143</v>
      </c>
      <c r="R84" s="580">
        <f>[3]ADJ!$S83+[3]ADJ!$T83+[3]ADJ!$U83+[3]ADJ!$V83</f>
        <v>206399.69239687311</v>
      </c>
      <c r="S84" s="580">
        <f>[3]ADJ!$W83</f>
        <v>8932.7667650755011</v>
      </c>
      <c r="T84" s="591">
        <f>[3]ADJ!$X83</f>
        <v>220548.85725072076</v>
      </c>
      <c r="U84" s="592">
        <f>[3]ADJ!$Y83</f>
        <v>21644.789536806504</v>
      </c>
      <c r="V84" s="580">
        <f>[3]ADJ!$AC83</f>
        <v>3376.6940116475998</v>
      </c>
      <c r="W84" s="585">
        <f>[3]ADJ!$AD83+[3]ADJ!$J83</f>
        <v>35563.74454400465</v>
      </c>
      <c r="X84" s="586">
        <f>[3]ADJ!$AE83</f>
        <v>842685.98189219553</v>
      </c>
      <c r="Y84" s="587">
        <f>([4]TOTAL!$E$147+[4]TOTAL!$E$148+[4]TOTAL!$E$149)/1000000</f>
        <v>78201.485125693944</v>
      </c>
      <c r="Z84" s="593"/>
      <c r="AA84" s="594"/>
      <c r="AB84" s="595"/>
      <c r="AC84" s="596"/>
      <c r="AD84" s="593"/>
      <c r="AE84" s="593"/>
      <c r="AF84" s="593"/>
      <c r="AG84" s="593"/>
      <c r="AH84" s="596"/>
      <c r="AI84" s="593"/>
      <c r="AJ84" s="593"/>
      <c r="AK84" s="596"/>
      <c r="AL84" s="593"/>
    </row>
    <row r="85" spans="1:38" ht="15.75" hidden="1" customHeight="1">
      <c r="A85" s="589">
        <v>40787</v>
      </c>
      <c r="B85" s="598">
        <v>3198.3239795405002</v>
      </c>
      <c r="C85" s="598">
        <v>20954.786082438801</v>
      </c>
      <c r="D85" s="598">
        <v>6795.9140200788997</v>
      </c>
      <c r="E85" s="599">
        <v>30949.0240820582</v>
      </c>
      <c r="F85" s="598">
        <v>178059.91321855754</v>
      </c>
      <c r="G85" s="598">
        <v>8787.0884687589005</v>
      </c>
      <c r="H85" s="598">
        <v>13882.909634781699</v>
      </c>
      <c r="I85" s="598">
        <v>324.11229653161985</v>
      </c>
      <c r="J85" s="598">
        <v>291918.39331768663</v>
      </c>
      <c r="K85" s="599">
        <v>492972.41693631641</v>
      </c>
      <c r="L85" s="600">
        <v>22209.637730357696</v>
      </c>
      <c r="M85" s="598">
        <v>27885.488088108701</v>
      </c>
      <c r="N85" s="598">
        <v>0</v>
      </c>
      <c r="O85" s="599">
        <v>50095.125818466397</v>
      </c>
      <c r="P85" s="598">
        <v>2234.5835929999998</v>
      </c>
      <c r="Q85" s="598">
        <v>2990.3539351994</v>
      </c>
      <c r="R85" s="598">
        <v>208826.63667584871</v>
      </c>
      <c r="S85" s="598">
        <v>8920.8796536114314</v>
      </c>
      <c r="T85" s="601">
        <v>222972.45385765954</v>
      </c>
      <c r="U85" s="602">
        <v>22114.8215742795</v>
      </c>
      <c r="V85" s="598">
        <v>4156.3375820420224</v>
      </c>
      <c r="W85" s="603">
        <v>47548.1586484539</v>
      </c>
      <c r="X85" s="604">
        <v>870808.33849927585</v>
      </c>
      <c r="Y85" s="605">
        <v>77780.808069186402</v>
      </c>
      <c r="Z85" s="593"/>
      <c r="AA85" s="594"/>
      <c r="AB85" s="595"/>
      <c r="AC85" s="596"/>
      <c r="AD85" s="593"/>
      <c r="AE85" s="593"/>
      <c r="AF85" s="593"/>
      <c r="AG85" s="593"/>
      <c r="AH85" s="596"/>
      <c r="AI85" s="593"/>
      <c r="AJ85" s="593"/>
      <c r="AK85" s="596"/>
      <c r="AL85" s="593"/>
    </row>
    <row r="86" spans="1:38" ht="15.75" hidden="1" customHeight="1">
      <c r="A86" s="589">
        <v>40817</v>
      </c>
      <c r="B86" s="598">
        <v>3543.2</v>
      </c>
      <c r="C86" s="598">
        <v>20388.8</v>
      </c>
      <c r="D86" s="598">
        <v>6810.7</v>
      </c>
      <c r="E86" s="599">
        <v>30742.7</v>
      </c>
      <c r="F86" s="598">
        <v>178987.9</v>
      </c>
      <c r="G86" s="598">
        <v>6414.7</v>
      </c>
      <c r="H86" s="598">
        <v>13661.1</v>
      </c>
      <c r="I86" s="598">
        <v>409.1</v>
      </c>
      <c r="J86" s="598">
        <v>293219.09999999998</v>
      </c>
      <c r="K86" s="599">
        <v>492691.9</v>
      </c>
      <c r="L86" s="600">
        <v>23068.400000000001</v>
      </c>
      <c r="M86" s="598">
        <v>28737.8</v>
      </c>
      <c r="N86" s="598">
        <v>0</v>
      </c>
      <c r="O86" s="599">
        <v>51806.2</v>
      </c>
      <c r="P86" s="598">
        <v>2175.9</v>
      </c>
      <c r="Q86" s="598">
        <v>3060.6</v>
      </c>
      <c r="R86" s="598">
        <v>210613.6</v>
      </c>
      <c r="S86" s="598">
        <v>8962.6</v>
      </c>
      <c r="T86" s="601">
        <v>224812.79999999999</v>
      </c>
      <c r="U86" s="602">
        <v>23066</v>
      </c>
      <c r="V86" s="598">
        <v>4218.2</v>
      </c>
      <c r="W86" s="603">
        <v>46834.400000000001</v>
      </c>
      <c r="X86" s="604">
        <v>874172.2</v>
      </c>
      <c r="Y86" s="605">
        <v>76972.433192168188</v>
      </c>
      <c r="Z86" s="593"/>
      <c r="AA86" s="594"/>
      <c r="AB86" s="595"/>
      <c r="AC86" s="596"/>
      <c r="AD86" s="593"/>
      <c r="AE86" s="593"/>
      <c r="AF86" s="593"/>
      <c r="AG86" s="593"/>
      <c r="AH86" s="596"/>
      <c r="AI86" s="593"/>
      <c r="AJ86" s="593"/>
      <c r="AK86" s="596"/>
      <c r="AL86" s="593"/>
    </row>
    <row r="87" spans="1:38" ht="15.75" hidden="1" customHeight="1">
      <c r="A87" s="589">
        <v>40848</v>
      </c>
      <c r="B87" s="598">
        <v>3528.7870211434019</v>
      </c>
      <c r="C87" s="598">
        <v>20286.5075946332</v>
      </c>
      <c r="D87" s="598">
        <v>6807.2422332584683</v>
      </c>
      <c r="E87" s="599">
        <v>30622.53684903507</v>
      </c>
      <c r="F87" s="598">
        <v>225502.1599820547</v>
      </c>
      <c r="G87" s="598">
        <v>5403.2641804745026</v>
      </c>
      <c r="H87" s="598">
        <v>13875.289969407406</v>
      </c>
      <c r="I87" s="598">
        <v>466.91467365863764</v>
      </c>
      <c r="J87" s="598">
        <v>296007.52189673163</v>
      </c>
      <c r="K87" s="599">
        <v>541255.15070232691</v>
      </c>
      <c r="L87" s="600">
        <v>21950.139617520377</v>
      </c>
      <c r="M87" s="598">
        <v>28415.982532359067</v>
      </c>
      <c r="N87" s="598">
        <v>0</v>
      </c>
      <c r="O87" s="599">
        <v>50366.122149879448</v>
      </c>
      <c r="P87" s="598">
        <v>2159.2118388099998</v>
      </c>
      <c r="Q87" s="598">
        <v>3114.7926491511566</v>
      </c>
      <c r="R87" s="598">
        <v>213001.6115340812</v>
      </c>
      <c r="S87" s="598">
        <v>8815.6814621638987</v>
      </c>
      <c r="T87" s="601">
        <v>227091.29748420627</v>
      </c>
      <c r="U87" s="602">
        <v>21712.15426137509</v>
      </c>
      <c r="V87" s="598">
        <v>5157.3365843991069</v>
      </c>
      <c r="W87" s="603">
        <v>48019.937514440222</v>
      </c>
      <c r="X87" s="604">
        <v>924224.53554566216</v>
      </c>
      <c r="Y87" s="605">
        <v>82656.617079239164</v>
      </c>
      <c r="Z87" s="593"/>
      <c r="AA87" s="594"/>
      <c r="AB87" s="595"/>
      <c r="AC87" s="596"/>
      <c r="AD87" s="593"/>
      <c r="AE87" s="593"/>
      <c r="AF87" s="593"/>
      <c r="AG87" s="593"/>
      <c r="AH87" s="596"/>
      <c r="AI87" s="593"/>
      <c r="AJ87" s="593"/>
      <c r="AK87" s="596"/>
      <c r="AL87" s="593"/>
    </row>
    <row r="88" spans="1:38" ht="15.75" hidden="1" customHeight="1">
      <c r="A88" s="589">
        <v>40878</v>
      </c>
      <c r="B88" s="598">
        <v>4161.3058933593975</v>
      </c>
      <c r="C88" s="598">
        <v>23666.015403390866</v>
      </c>
      <c r="D88" s="598">
        <v>5530.7222544847891</v>
      </c>
      <c r="E88" s="599">
        <v>33358.043551235052</v>
      </c>
      <c r="F88" s="598">
        <v>169559.63251429689</v>
      </c>
      <c r="G88" s="598">
        <v>5256.2560837023948</v>
      </c>
      <c r="H88" s="598">
        <v>14215.849824108576</v>
      </c>
      <c r="I88" s="598">
        <v>578.94824093098407</v>
      </c>
      <c r="J88" s="598">
        <v>304525.95358682761</v>
      </c>
      <c r="K88" s="599">
        <v>494136.64024986647</v>
      </c>
      <c r="L88" s="600">
        <v>22359.262628340559</v>
      </c>
      <c r="M88" s="598">
        <v>27610.718725664014</v>
      </c>
      <c r="N88" s="598">
        <v>0</v>
      </c>
      <c r="O88" s="599">
        <v>49969.981354004572</v>
      </c>
      <c r="P88" s="598">
        <v>2267.3750127500002</v>
      </c>
      <c r="Q88" s="598">
        <v>3367.0263419879279</v>
      </c>
      <c r="R88" s="598">
        <v>215502.7567929512</v>
      </c>
      <c r="S88" s="598">
        <v>5906.699644370342</v>
      </c>
      <c r="T88" s="601">
        <v>227043.85779205948</v>
      </c>
      <c r="U88" s="602">
        <v>21696.255118983932</v>
      </c>
      <c r="V88" s="598">
        <v>5539.7199611784636</v>
      </c>
      <c r="W88" s="603">
        <v>51217.418348084189</v>
      </c>
      <c r="X88" s="604">
        <v>882961.91637541214</v>
      </c>
      <c r="Y88" s="605">
        <v>82921.153734625128</v>
      </c>
      <c r="Z88" s="593"/>
      <c r="AA88" s="594"/>
      <c r="AB88" s="595"/>
      <c r="AC88" s="596"/>
      <c r="AD88" s="593"/>
      <c r="AE88" s="593"/>
      <c r="AF88" s="593"/>
      <c r="AG88" s="593"/>
      <c r="AH88" s="596"/>
      <c r="AI88" s="593"/>
      <c r="AJ88" s="593"/>
      <c r="AK88" s="596"/>
      <c r="AL88" s="593"/>
    </row>
    <row r="89" spans="1:38" ht="15.75" hidden="1" customHeight="1">
      <c r="A89" s="589">
        <v>40909</v>
      </c>
      <c r="B89" s="598">
        <v>3377.8577229181574</v>
      </c>
      <c r="C89" s="598">
        <v>21141.943766675478</v>
      </c>
      <c r="D89" s="598">
        <v>5970.5931081138569</v>
      </c>
      <c r="E89" s="599">
        <v>30490.394597707491</v>
      </c>
      <c r="F89" s="598">
        <v>137049.49255194288</v>
      </c>
      <c r="G89" s="598">
        <v>5794.927933896126</v>
      </c>
      <c r="H89" s="598">
        <v>14366.909559920852</v>
      </c>
      <c r="I89" s="598">
        <v>397.71367002277361</v>
      </c>
      <c r="J89" s="598">
        <v>317520.01417282637</v>
      </c>
      <c r="K89" s="599">
        <v>475129.05788860901</v>
      </c>
      <c r="L89" s="600">
        <v>23274.470704213691</v>
      </c>
      <c r="M89" s="598">
        <v>27470.682987923836</v>
      </c>
      <c r="N89" s="598">
        <v>0</v>
      </c>
      <c r="O89" s="599">
        <v>50745.153692137523</v>
      </c>
      <c r="P89" s="598">
        <v>2179.4598121100003</v>
      </c>
      <c r="Q89" s="598">
        <v>3376.4400918290557</v>
      </c>
      <c r="R89" s="598">
        <v>216216.57323338234</v>
      </c>
      <c r="S89" s="598">
        <v>5213.3593300410193</v>
      </c>
      <c r="T89" s="601">
        <v>226985.8324673624</v>
      </c>
      <c r="U89" s="602">
        <v>21860.66818401829</v>
      </c>
      <c r="V89" s="598">
        <v>3537.278033084031</v>
      </c>
      <c r="W89" s="603">
        <v>47435.948723034679</v>
      </c>
      <c r="X89" s="604">
        <v>856184.33358595346</v>
      </c>
      <c r="Y89" s="605">
        <v>81550.897167730524</v>
      </c>
      <c r="Z89" s="593"/>
      <c r="AA89" s="594"/>
      <c r="AB89" s="595"/>
      <c r="AC89" s="596"/>
      <c r="AD89" s="593"/>
      <c r="AE89" s="593"/>
      <c r="AF89" s="593"/>
      <c r="AG89" s="593"/>
      <c r="AH89" s="596"/>
      <c r="AI89" s="593"/>
      <c r="AJ89" s="593"/>
      <c r="AK89" s="596"/>
      <c r="AL89" s="593"/>
    </row>
    <row r="90" spans="1:38" ht="15.75" hidden="1" customHeight="1">
      <c r="A90" s="589">
        <v>40940</v>
      </c>
      <c r="B90" s="598">
        <v>3247.5483847620671</v>
      </c>
      <c r="C90" s="598">
        <v>22594.063526663413</v>
      </c>
      <c r="D90" s="598">
        <v>5969.3324446488286</v>
      </c>
      <c r="E90" s="599">
        <v>31810.944356074309</v>
      </c>
      <c r="F90" s="598">
        <v>158801.00354184365</v>
      </c>
      <c r="G90" s="598">
        <v>5420.9639458060328</v>
      </c>
      <c r="H90" s="598">
        <v>14624.484856336006</v>
      </c>
      <c r="I90" s="598">
        <v>392.39835692719828</v>
      </c>
      <c r="J90" s="598">
        <v>303132.90251555695</v>
      </c>
      <c r="K90" s="599">
        <v>482371.75321646984</v>
      </c>
      <c r="L90" s="600">
        <v>22638.77102865322</v>
      </c>
      <c r="M90" s="598">
        <v>27054.463399570774</v>
      </c>
      <c r="N90" s="598">
        <v>0</v>
      </c>
      <c r="O90" s="599">
        <v>49693.234428223994</v>
      </c>
      <c r="P90" s="598">
        <v>2169.36700866</v>
      </c>
      <c r="Q90" s="598">
        <v>3291.9655209218181</v>
      </c>
      <c r="R90" s="598">
        <v>216656.83916802227</v>
      </c>
      <c r="S90" s="598">
        <v>5080.7606061628576</v>
      </c>
      <c r="T90" s="601">
        <v>227198.93230376695</v>
      </c>
      <c r="U90" s="602">
        <v>21590.509142442963</v>
      </c>
      <c r="V90" s="598">
        <v>917.06412928932218</v>
      </c>
      <c r="W90" s="603">
        <v>46864.893579726588</v>
      </c>
      <c r="X90" s="604">
        <v>860447.33115599398</v>
      </c>
      <c r="Y90" s="605">
        <v>81373.939486907533</v>
      </c>
      <c r="Z90" s="593"/>
      <c r="AA90" s="594"/>
      <c r="AB90" s="595"/>
      <c r="AC90" s="596"/>
      <c r="AD90" s="593"/>
      <c r="AE90" s="593"/>
      <c r="AF90" s="593"/>
      <c r="AG90" s="593"/>
      <c r="AH90" s="596"/>
      <c r="AI90" s="593"/>
      <c r="AJ90" s="593"/>
      <c r="AK90" s="596"/>
      <c r="AL90" s="593"/>
    </row>
    <row r="91" spans="1:38" ht="15.75" hidden="1" customHeight="1">
      <c r="A91" s="589">
        <v>40969</v>
      </c>
      <c r="B91" s="598">
        <v>2882.7408640878157</v>
      </c>
      <c r="C91" s="598">
        <v>22641.169606127009</v>
      </c>
      <c r="D91" s="598">
        <v>5870.4795776286392</v>
      </c>
      <c r="E91" s="599">
        <v>31394.390047843466</v>
      </c>
      <c r="F91" s="598">
        <v>205042.19268547531</v>
      </c>
      <c r="G91" s="598">
        <v>6066.1011481882742</v>
      </c>
      <c r="H91" s="598">
        <v>14657.901986392124</v>
      </c>
      <c r="I91" s="598">
        <v>428.69531279547692</v>
      </c>
      <c r="J91" s="598">
        <v>301873.03399931861</v>
      </c>
      <c r="K91" s="599">
        <v>528067.92513216985</v>
      </c>
      <c r="L91" s="600">
        <v>23268.36474161423</v>
      </c>
      <c r="M91" s="598">
        <v>28247.482431714627</v>
      </c>
      <c r="N91" s="598">
        <v>0</v>
      </c>
      <c r="O91" s="599">
        <v>51515.847173328861</v>
      </c>
      <c r="P91" s="598">
        <v>2403.1448821400004</v>
      </c>
      <c r="Q91" s="598">
        <v>3257.4345401909009</v>
      </c>
      <c r="R91" s="598">
        <v>217096.22724605363</v>
      </c>
      <c r="S91" s="598">
        <v>5044.5155523813146</v>
      </c>
      <c r="T91" s="601">
        <v>227801.32222076584</v>
      </c>
      <c r="U91" s="602">
        <v>24633.307281702608</v>
      </c>
      <c r="V91" s="598">
        <v>1816.4239201337509</v>
      </c>
      <c r="W91" s="603">
        <v>49132.555337492049</v>
      </c>
      <c r="X91" s="604">
        <v>914361.77111343644</v>
      </c>
      <c r="Y91" s="605">
        <v>74544.44820685919</v>
      </c>
      <c r="Z91" s="593"/>
      <c r="AA91" s="594"/>
      <c r="AB91" s="595"/>
      <c r="AC91" s="596"/>
      <c r="AD91" s="593"/>
      <c r="AE91" s="593"/>
      <c r="AF91" s="593"/>
      <c r="AG91" s="593"/>
      <c r="AH91" s="596"/>
      <c r="AI91" s="593"/>
      <c r="AJ91" s="593"/>
      <c r="AK91" s="596"/>
      <c r="AL91" s="593"/>
    </row>
    <row r="92" spans="1:38" ht="15.75" hidden="1" customHeight="1">
      <c r="A92" s="589">
        <v>41000</v>
      </c>
      <c r="B92" s="598">
        <v>2977.1581511389591</v>
      </c>
      <c r="C92" s="598">
        <v>22436.676579636103</v>
      </c>
      <c r="D92" s="598">
        <v>5614.029617527437</v>
      </c>
      <c r="E92" s="599">
        <v>31027.864348302501</v>
      </c>
      <c r="F92" s="598">
        <v>203118.85343870491</v>
      </c>
      <c r="G92" s="598">
        <v>12264.459541750135</v>
      </c>
      <c r="H92" s="598">
        <v>16288.21412787103</v>
      </c>
      <c r="I92" s="598">
        <v>416.86687836259568</v>
      </c>
      <c r="J92" s="598">
        <v>297238.87085867958</v>
      </c>
      <c r="K92" s="599">
        <v>529327.26484536822</v>
      </c>
      <c r="L92" s="600">
        <v>21512.482986064988</v>
      </c>
      <c r="M92" s="598">
        <v>28792.887020003527</v>
      </c>
      <c r="N92" s="598">
        <v>0</v>
      </c>
      <c r="O92" s="599">
        <v>50305.370006068515</v>
      </c>
      <c r="P92" s="598">
        <v>2349.4463478000002</v>
      </c>
      <c r="Q92" s="598">
        <v>3137.7763356302967</v>
      </c>
      <c r="R92" s="598">
        <v>218740.46690582077</v>
      </c>
      <c r="S92" s="598">
        <v>5042.5205945498255</v>
      </c>
      <c r="T92" s="601">
        <v>229270.2101838009</v>
      </c>
      <c r="U92" s="602">
        <v>25617.146470715572</v>
      </c>
      <c r="V92" s="598">
        <v>2538.8054058670537</v>
      </c>
      <c r="W92" s="603">
        <v>49954.81970859108</v>
      </c>
      <c r="X92" s="604">
        <v>918041.48096871376</v>
      </c>
      <c r="Y92" s="605">
        <v>73035.197989719571</v>
      </c>
      <c r="Z92" s="593"/>
      <c r="AA92" s="594"/>
      <c r="AB92" s="595"/>
      <c r="AC92" s="596"/>
      <c r="AD92" s="593"/>
      <c r="AE92" s="593"/>
      <c r="AF92" s="593"/>
      <c r="AG92" s="593"/>
      <c r="AH92" s="596"/>
      <c r="AI92" s="593"/>
      <c r="AJ92" s="593"/>
      <c r="AK92" s="596"/>
      <c r="AL92" s="593"/>
    </row>
    <row r="93" spans="1:38" ht="15.75" hidden="1" customHeight="1">
      <c r="A93" s="589">
        <v>41030</v>
      </c>
      <c r="B93" s="598">
        <v>3403.2816521788723</v>
      </c>
      <c r="C93" s="598">
        <v>22469.61414010738</v>
      </c>
      <c r="D93" s="598">
        <v>4992.590669825955</v>
      </c>
      <c r="E93" s="599">
        <v>30865.486462112211</v>
      </c>
      <c r="F93" s="598">
        <v>211692.68722091772</v>
      </c>
      <c r="G93" s="598">
        <v>8727.8956672498425</v>
      </c>
      <c r="H93" s="598">
        <v>16236.615435390586</v>
      </c>
      <c r="I93" s="598">
        <v>265.62382705664709</v>
      </c>
      <c r="J93" s="598">
        <v>303646.20910962846</v>
      </c>
      <c r="K93" s="599">
        <v>540569.03126024327</v>
      </c>
      <c r="L93" s="600">
        <v>22129.940814470876</v>
      </c>
      <c r="M93" s="598">
        <v>29284.299435042747</v>
      </c>
      <c r="N93" s="598">
        <v>0</v>
      </c>
      <c r="O93" s="599">
        <v>51414.240249513619</v>
      </c>
      <c r="P93" s="598">
        <v>2264.5195456799997</v>
      </c>
      <c r="Q93" s="598">
        <v>3434.0187590331684</v>
      </c>
      <c r="R93" s="598">
        <v>222519.84833212622</v>
      </c>
      <c r="S93" s="598">
        <v>5440.3567334665586</v>
      </c>
      <c r="T93" s="601">
        <v>233658.74337030592</v>
      </c>
      <c r="U93" s="602">
        <v>25871.304967811051</v>
      </c>
      <c r="V93" s="598">
        <v>2174.0060830678635</v>
      </c>
      <c r="W93" s="603">
        <v>54803.370092568781</v>
      </c>
      <c r="X93" s="604">
        <v>939356.1824856227</v>
      </c>
      <c r="Y93" s="605">
        <v>78916.17595602537</v>
      </c>
      <c r="Z93" s="593"/>
      <c r="AA93" s="594"/>
      <c r="AB93" s="595"/>
      <c r="AC93" s="596"/>
      <c r="AD93" s="593"/>
      <c r="AE93" s="593"/>
      <c r="AF93" s="593"/>
      <c r="AG93" s="593"/>
      <c r="AH93" s="596"/>
      <c r="AI93" s="593"/>
      <c r="AJ93" s="593"/>
      <c r="AK93" s="596"/>
      <c r="AL93" s="593"/>
    </row>
    <row r="94" spans="1:38" ht="15.75" hidden="1" customHeight="1">
      <c r="A94" s="589">
        <v>41061</v>
      </c>
      <c r="B94" s="598">
        <v>2731.1107226587774</v>
      </c>
      <c r="C94" s="598">
        <v>23950.041637013281</v>
      </c>
      <c r="D94" s="598">
        <v>4904.0601349360959</v>
      </c>
      <c r="E94" s="599">
        <v>31585.212494608153</v>
      </c>
      <c r="F94" s="598">
        <v>151528.96451311992</v>
      </c>
      <c r="G94" s="598">
        <v>15388.823455999925</v>
      </c>
      <c r="H94" s="598">
        <v>17100.604029549966</v>
      </c>
      <c r="I94" s="598">
        <v>339.75802811770177</v>
      </c>
      <c r="J94" s="598">
        <v>318500.15766009828</v>
      </c>
      <c r="K94" s="599">
        <v>502858.30768688582</v>
      </c>
      <c r="L94" s="600">
        <v>22202.084318121986</v>
      </c>
      <c r="M94" s="598">
        <v>29901.408042010324</v>
      </c>
      <c r="N94" s="598">
        <v>0</v>
      </c>
      <c r="O94" s="599">
        <v>52103.49236013231</v>
      </c>
      <c r="P94" s="598">
        <v>2263.8692802900009</v>
      </c>
      <c r="Q94" s="598">
        <v>3577.8578079299991</v>
      </c>
      <c r="R94" s="598">
        <v>228453.35532406234</v>
      </c>
      <c r="S94" s="598">
        <v>5465.2015017986141</v>
      </c>
      <c r="T94" s="601">
        <v>239760.28391408097</v>
      </c>
      <c r="U94" s="602">
        <v>27463.113710590642</v>
      </c>
      <c r="V94" s="598">
        <v>2926.7806992231053</v>
      </c>
      <c r="W94" s="603">
        <v>53602.674955190458</v>
      </c>
      <c r="X94" s="604">
        <v>910299.86582071136</v>
      </c>
      <c r="Y94" s="605">
        <v>77117.232420134213</v>
      </c>
      <c r="Z94" s="593"/>
      <c r="AA94" s="594"/>
      <c r="AB94" s="595"/>
      <c r="AC94" s="596"/>
      <c r="AD94" s="593"/>
      <c r="AE94" s="593"/>
      <c r="AF94" s="593"/>
      <c r="AG94" s="593"/>
      <c r="AH94" s="596"/>
      <c r="AI94" s="593"/>
      <c r="AJ94" s="593"/>
      <c r="AK94" s="596"/>
      <c r="AL94" s="593"/>
    </row>
    <row r="95" spans="1:38" ht="15.75" hidden="1" customHeight="1">
      <c r="A95" s="589">
        <v>41091</v>
      </c>
      <c r="B95" s="598">
        <v>2921.0103157083176</v>
      </c>
      <c r="C95" s="598">
        <v>23713.508129245078</v>
      </c>
      <c r="D95" s="598">
        <v>4780.6728805872081</v>
      </c>
      <c r="E95" s="599">
        <v>31415.191325540603</v>
      </c>
      <c r="F95" s="598">
        <v>194436.1491565741</v>
      </c>
      <c r="G95" s="598">
        <v>6610.5813201246274</v>
      </c>
      <c r="H95" s="598">
        <v>17177.378447944815</v>
      </c>
      <c r="I95" s="598">
        <v>404.22224966960994</v>
      </c>
      <c r="J95" s="598">
        <v>312712.25437268877</v>
      </c>
      <c r="K95" s="599">
        <v>531340.58554700192</v>
      </c>
      <c r="L95" s="600">
        <v>20322.818580521896</v>
      </c>
      <c r="M95" s="598">
        <v>29867.604892200838</v>
      </c>
      <c r="N95" s="598">
        <v>0</v>
      </c>
      <c r="O95" s="599">
        <v>50190.42347272273</v>
      </c>
      <c r="P95" s="598">
        <v>2216.59188593</v>
      </c>
      <c r="Q95" s="598">
        <v>3718.2181354924633</v>
      </c>
      <c r="R95" s="598">
        <v>230251.53480015229</v>
      </c>
      <c r="S95" s="598">
        <v>5051.7902635482924</v>
      </c>
      <c r="T95" s="601">
        <v>241238.13508512304</v>
      </c>
      <c r="U95" s="602">
        <v>25789.873753587151</v>
      </c>
      <c r="V95" s="598">
        <v>2865.3593143427711</v>
      </c>
      <c r="W95" s="603">
        <v>50916.962320157028</v>
      </c>
      <c r="X95" s="604">
        <v>933756.53081847518</v>
      </c>
      <c r="Y95" s="605">
        <v>76661.289627980936</v>
      </c>
      <c r="Z95" s="593"/>
      <c r="AA95" s="594"/>
      <c r="AB95" s="595"/>
      <c r="AC95" s="596"/>
      <c r="AD95" s="593"/>
      <c r="AE95" s="593"/>
      <c r="AF95" s="593"/>
      <c r="AG95" s="593"/>
      <c r="AH95" s="596"/>
      <c r="AI95" s="593"/>
      <c r="AJ95" s="593"/>
      <c r="AK95" s="596"/>
      <c r="AL95" s="593"/>
    </row>
    <row r="96" spans="1:38" ht="15.75" hidden="1" customHeight="1">
      <c r="A96" s="589">
        <v>41122</v>
      </c>
      <c r="B96" s="598">
        <v>3284.4810359086955</v>
      </c>
      <c r="C96" s="598">
        <v>23523.554012584336</v>
      </c>
      <c r="D96" s="598">
        <v>4061.6556221765641</v>
      </c>
      <c r="E96" s="599">
        <v>30869.690670669595</v>
      </c>
      <c r="F96" s="598">
        <v>162741.38229825956</v>
      </c>
      <c r="G96" s="598">
        <v>9851.2425503996456</v>
      </c>
      <c r="H96" s="598">
        <v>17435.091239850364</v>
      </c>
      <c r="I96" s="598">
        <v>306.7691450936004</v>
      </c>
      <c r="J96" s="598">
        <v>303070.00273284176</v>
      </c>
      <c r="K96" s="599">
        <v>493404.48796644493</v>
      </c>
      <c r="L96" s="600">
        <v>20643.316118093797</v>
      </c>
      <c r="M96" s="598">
        <v>31012.597817991547</v>
      </c>
      <c r="N96" s="598">
        <v>0</v>
      </c>
      <c r="O96" s="599">
        <v>51655.913936085344</v>
      </c>
      <c r="P96" s="598">
        <v>2176.5146290299972</v>
      </c>
      <c r="Q96" s="598">
        <v>3495.0830790664813</v>
      </c>
      <c r="R96" s="598">
        <v>232869.04253645663</v>
      </c>
      <c r="S96" s="598">
        <v>5206.2745493063485</v>
      </c>
      <c r="T96" s="601">
        <v>243746.91479385947</v>
      </c>
      <c r="U96" s="602">
        <v>26319.768176589088</v>
      </c>
      <c r="V96" s="598">
        <v>4859.412819033736</v>
      </c>
      <c r="W96" s="603">
        <v>48714.162755731348</v>
      </c>
      <c r="X96" s="604">
        <v>899570.35111841338</v>
      </c>
      <c r="Y96" s="605">
        <v>73975.667162467682</v>
      </c>
      <c r="Z96" s="593"/>
      <c r="AA96" s="594"/>
      <c r="AB96" s="595"/>
      <c r="AC96" s="596"/>
      <c r="AD96" s="593"/>
      <c r="AE96" s="593"/>
      <c r="AF96" s="593"/>
      <c r="AG96" s="593"/>
      <c r="AH96" s="596"/>
      <c r="AI96" s="593"/>
      <c r="AJ96" s="593"/>
      <c r="AK96" s="596"/>
      <c r="AL96" s="593"/>
    </row>
    <row r="97" spans="1:38" ht="15.75" hidden="1" customHeight="1">
      <c r="A97" s="589">
        <v>41153</v>
      </c>
      <c r="B97" s="598">
        <v>3218.2288786296672</v>
      </c>
      <c r="C97" s="598">
        <v>24567.280498543936</v>
      </c>
      <c r="D97" s="598">
        <v>4098.1801504752711</v>
      </c>
      <c r="E97" s="599">
        <v>31883.689527648872</v>
      </c>
      <c r="F97" s="598">
        <v>170705.50366254535</v>
      </c>
      <c r="G97" s="598">
        <v>5542.377223081432</v>
      </c>
      <c r="H97" s="598">
        <v>74403.369127877566</v>
      </c>
      <c r="I97" s="598">
        <v>357.04215440172322</v>
      </c>
      <c r="J97" s="598">
        <v>255989.53546947165</v>
      </c>
      <c r="K97" s="599">
        <v>506997.82763737772</v>
      </c>
      <c r="L97" s="600">
        <v>19790.847510056385</v>
      </c>
      <c r="M97" s="598">
        <v>31857.256550132257</v>
      </c>
      <c r="N97" s="598">
        <v>0</v>
      </c>
      <c r="O97" s="599">
        <v>51648.104060188642</v>
      </c>
      <c r="P97" s="598">
        <v>2166.0323224699996</v>
      </c>
      <c r="Q97" s="598">
        <v>3597.3311136899993</v>
      </c>
      <c r="R97" s="598">
        <v>234385.18802095356</v>
      </c>
      <c r="S97" s="598">
        <v>5200.3828885887542</v>
      </c>
      <c r="T97" s="601">
        <v>245348.93434570232</v>
      </c>
      <c r="U97" s="602">
        <v>24825.458582824092</v>
      </c>
      <c r="V97" s="598">
        <v>3228.9814879340802</v>
      </c>
      <c r="W97" s="603">
        <v>51266.297694450324</v>
      </c>
      <c r="X97" s="604">
        <v>915199.29333612614</v>
      </c>
      <c r="Y97" s="605">
        <v>75662.066773687082</v>
      </c>
      <c r="Z97" s="593"/>
      <c r="AA97" s="594"/>
      <c r="AB97" s="595"/>
      <c r="AC97" s="596"/>
      <c r="AD97" s="593"/>
      <c r="AE97" s="593"/>
      <c r="AF97" s="593"/>
      <c r="AG97" s="593"/>
      <c r="AH97" s="596"/>
      <c r="AI97" s="593"/>
      <c r="AJ97" s="593"/>
      <c r="AK97" s="596"/>
      <c r="AL97" s="593"/>
    </row>
    <row r="98" spans="1:38" ht="15.75" hidden="1" customHeight="1">
      <c r="A98" s="589">
        <v>41183</v>
      </c>
      <c r="B98" s="598">
        <v>3774.5899837413481</v>
      </c>
      <c r="C98" s="598">
        <v>23306.248333443531</v>
      </c>
      <c r="D98" s="598">
        <v>3735.0619519924121</v>
      </c>
      <c r="E98" s="599">
        <v>30815.900269177291</v>
      </c>
      <c r="F98" s="598">
        <v>180452.16199523627</v>
      </c>
      <c r="G98" s="598">
        <v>5773.055153109498</v>
      </c>
      <c r="H98" s="598">
        <v>74175.837945345731</v>
      </c>
      <c r="I98" s="598">
        <v>453.56446622043683</v>
      </c>
      <c r="J98" s="598">
        <v>267400.68326330849</v>
      </c>
      <c r="K98" s="599">
        <v>528255.30282322038</v>
      </c>
      <c r="L98" s="600">
        <v>20951.76090043164</v>
      </c>
      <c r="M98" s="598">
        <v>32775.04618245233</v>
      </c>
      <c r="N98" s="598">
        <v>0</v>
      </c>
      <c r="O98" s="599">
        <v>53726.80708288397</v>
      </c>
      <c r="P98" s="598">
        <v>2152.3988804899996</v>
      </c>
      <c r="Q98" s="598">
        <v>3608.6489464346573</v>
      </c>
      <c r="R98" s="598">
        <v>237642.99863015331</v>
      </c>
      <c r="S98" s="598">
        <v>5193.0040613247984</v>
      </c>
      <c r="T98" s="601">
        <v>248597.05051840277</v>
      </c>
      <c r="U98" s="602">
        <v>24639.436049841115</v>
      </c>
      <c r="V98" s="598">
        <v>2445.1176567562434</v>
      </c>
      <c r="W98" s="603">
        <v>50717.96188035018</v>
      </c>
      <c r="X98" s="604">
        <v>939197.57628063182</v>
      </c>
      <c r="Y98" s="605">
        <v>82600.739648435498</v>
      </c>
      <c r="Z98" s="593"/>
      <c r="AA98" s="594"/>
      <c r="AB98" s="595"/>
      <c r="AC98" s="596"/>
      <c r="AD98" s="593"/>
      <c r="AE98" s="593"/>
      <c r="AF98" s="593"/>
      <c r="AG98" s="593"/>
      <c r="AH98" s="596"/>
      <c r="AI98" s="593"/>
      <c r="AJ98" s="593"/>
      <c r="AK98" s="596"/>
      <c r="AL98" s="593"/>
    </row>
    <row r="99" spans="1:38" ht="15.75" hidden="1" customHeight="1">
      <c r="A99" s="589">
        <v>41214</v>
      </c>
      <c r="B99" s="598">
        <v>3585.7834358731334</v>
      </c>
      <c r="C99" s="598">
        <v>22118.502086285411</v>
      </c>
      <c r="D99" s="598">
        <v>3924.7981016869289</v>
      </c>
      <c r="E99" s="599">
        <v>29629.083623845472</v>
      </c>
      <c r="F99" s="598">
        <v>180946.66637666876</v>
      </c>
      <c r="G99" s="598">
        <v>10427.826476748913</v>
      </c>
      <c r="H99" s="598">
        <v>76520.990202872854</v>
      </c>
      <c r="I99" s="598">
        <v>394.01705846880384</v>
      </c>
      <c r="J99" s="598">
        <v>270565.96483887202</v>
      </c>
      <c r="K99" s="599">
        <v>538855.4649536314</v>
      </c>
      <c r="L99" s="600">
        <v>22618.050443832763</v>
      </c>
      <c r="M99" s="598">
        <v>32754.743679875355</v>
      </c>
      <c r="N99" s="598">
        <v>0</v>
      </c>
      <c r="O99" s="599">
        <v>55372.794123708118</v>
      </c>
      <c r="P99" s="598">
        <v>2146.4969997899998</v>
      </c>
      <c r="Q99" s="598">
        <v>4025.1186350762955</v>
      </c>
      <c r="R99" s="598">
        <v>240003.17928584196</v>
      </c>
      <c r="S99" s="598">
        <v>5222.3287444529587</v>
      </c>
      <c r="T99" s="601">
        <v>251397.12366516123</v>
      </c>
      <c r="U99" s="602">
        <v>25261.940211193039</v>
      </c>
      <c r="V99" s="598">
        <v>3812.701609465566</v>
      </c>
      <c r="W99" s="603">
        <v>51651.65056377367</v>
      </c>
      <c r="X99" s="604">
        <v>955980.75875077839</v>
      </c>
      <c r="Y99" s="605">
        <v>84546.226308585712</v>
      </c>
      <c r="Z99" s="593"/>
      <c r="AA99" s="594"/>
      <c r="AB99" s="595"/>
      <c r="AC99" s="596"/>
      <c r="AD99" s="593"/>
      <c r="AE99" s="593"/>
      <c r="AF99" s="593"/>
      <c r="AG99" s="593"/>
      <c r="AH99" s="596"/>
      <c r="AI99" s="593"/>
      <c r="AJ99" s="593"/>
      <c r="AK99" s="596"/>
      <c r="AL99" s="593"/>
    </row>
    <row r="100" spans="1:38" ht="15.75" hidden="1" customHeight="1">
      <c r="A100" s="589">
        <v>41244</v>
      </c>
      <c r="B100" s="598">
        <v>4790.6840856975523</v>
      </c>
      <c r="C100" s="598">
        <v>25339.780584248743</v>
      </c>
      <c r="D100" s="598">
        <v>3905.92799421463</v>
      </c>
      <c r="E100" s="599">
        <v>34036.392664160929</v>
      </c>
      <c r="F100" s="598">
        <v>199260.7330669355</v>
      </c>
      <c r="G100" s="598">
        <v>9097.6390664785158</v>
      </c>
      <c r="H100" s="598">
        <v>59733.1076888928</v>
      </c>
      <c r="I100" s="598">
        <v>840.52055735902934</v>
      </c>
      <c r="J100" s="598">
        <v>267568.86667540995</v>
      </c>
      <c r="K100" s="599">
        <v>536500.86705507583</v>
      </c>
      <c r="L100" s="600">
        <v>22866.860033246521</v>
      </c>
      <c r="M100" s="598">
        <v>32475.39564267586</v>
      </c>
      <c r="N100" s="598">
        <v>0</v>
      </c>
      <c r="O100" s="599">
        <v>55342.255675922381</v>
      </c>
      <c r="P100" s="598">
        <v>2161.7332296599998</v>
      </c>
      <c r="Q100" s="598">
        <v>3941.2395126400002</v>
      </c>
      <c r="R100" s="598">
        <v>244689.29471564887</v>
      </c>
      <c r="S100" s="598">
        <v>5232.8626867983548</v>
      </c>
      <c r="T100" s="601">
        <v>256025.13014474724</v>
      </c>
      <c r="U100" s="602">
        <v>24522.991983031116</v>
      </c>
      <c r="V100" s="598">
        <v>3465.9404415139197</v>
      </c>
      <c r="W100" s="603">
        <v>58226.614831499624</v>
      </c>
      <c r="X100" s="604">
        <v>968120.19279595104</v>
      </c>
      <c r="Y100" s="605">
        <v>97199.698506452565</v>
      </c>
      <c r="Z100" s="593"/>
      <c r="AA100" s="594"/>
      <c r="AB100" s="595"/>
      <c r="AC100" s="596"/>
      <c r="AD100" s="593"/>
      <c r="AE100" s="593"/>
      <c r="AF100" s="593"/>
      <c r="AG100" s="593"/>
      <c r="AH100" s="596"/>
      <c r="AI100" s="593"/>
      <c r="AJ100" s="593"/>
      <c r="AK100" s="596"/>
      <c r="AL100" s="593"/>
    </row>
    <row r="101" spans="1:38" ht="15.75" hidden="1" customHeight="1">
      <c r="A101" s="589">
        <v>41275</v>
      </c>
      <c r="B101" s="598">
        <v>4197.9410828299788</v>
      </c>
      <c r="C101" s="598">
        <v>24811.495700873409</v>
      </c>
      <c r="D101" s="598">
        <v>6127.1671396705433</v>
      </c>
      <c r="E101" s="599">
        <v>35136.603923373928</v>
      </c>
      <c r="F101" s="598">
        <v>214992.23385839554</v>
      </c>
      <c r="G101" s="598">
        <v>7854.3039085798318</v>
      </c>
      <c r="H101" s="598">
        <v>59660.071731718002</v>
      </c>
      <c r="I101" s="598">
        <v>542.6002541327581</v>
      </c>
      <c r="J101" s="598">
        <v>266977.69319286681</v>
      </c>
      <c r="K101" s="599">
        <v>550026.90294569288</v>
      </c>
      <c r="L101" s="600">
        <v>21868.924538016981</v>
      </c>
      <c r="M101" s="598">
        <v>32305.609157436753</v>
      </c>
      <c r="N101" s="598">
        <v>0</v>
      </c>
      <c r="O101" s="599">
        <v>54174.533695453734</v>
      </c>
      <c r="P101" s="598">
        <v>2055.31211196</v>
      </c>
      <c r="Q101" s="598">
        <v>4080.2196987469401</v>
      </c>
      <c r="R101" s="598">
        <v>243699.34253958875</v>
      </c>
      <c r="S101" s="598">
        <v>5166.7593326383421</v>
      </c>
      <c r="T101" s="601">
        <v>255001.63368293401</v>
      </c>
      <c r="U101" s="602">
        <v>24587.881833676674</v>
      </c>
      <c r="V101" s="598">
        <v>3548.4109893249556</v>
      </c>
      <c r="W101" s="603">
        <v>57809.348672554406</v>
      </c>
      <c r="X101" s="604">
        <v>980285.31574301061</v>
      </c>
      <c r="Y101" s="605">
        <v>97486.770289453445</v>
      </c>
      <c r="Z101" s="593"/>
      <c r="AA101" s="594"/>
      <c r="AB101" s="595"/>
      <c r="AC101" s="596"/>
      <c r="AD101" s="593"/>
      <c r="AE101" s="593"/>
      <c r="AF101" s="593"/>
      <c r="AG101" s="593"/>
      <c r="AH101" s="596"/>
      <c r="AI101" s="593"/>
      <c r="AJ101" s="593"/>
      <c r="AK101" s="596"/>
      <c r="AL101" s="593"/>
    </row>
    <row r="102" spans="1:38" ht="15.75" hidden="1" customHeight="1">
      <c r="A102" s="589">
        <v>41306</v>
      </c>
      <c r="B102" s="598">
        <v>3717.6308666898854</v>
      </c>
      <c r="C102" s="598">
        <v>27615.861378601181</v>
      </c>
      <c r="D102" s="598">
        <v>5724.8602325562551</v>
      </c>
      <c r="E102" s="599">
        <v>37058.352477847322</v>
      </c>
      <c r="F102" s="598">
        <v>165082.25885845107</v>
      </c>
      <c r="G102" s="598">
        <v>9808.4620404039179</v>
      </c>
      <c r="H102" s="598">
        <v>61830.639548710227</v>
      </c>
      <c r="I102" s="598">
        <v>399.53841073952901</v>
      </c>
      <c r="J102" s="598">
        <v>273282.26831628883</v>
      </c>
      <c r="K102" s="599">
        <v>510403.16717459355</v>
      </c>
      <c r="L102" s="600">
        <v>21241.102000206731</v>
      </c>
      <c r="M102" s="598">
        <v>33028.635964010806</v>
      </c>
      <c r="N102" s="598">
        <v>0</v>
      </c>
      <c r="O102" s="599">
        <v>54269.737964217537</v>
      </c>
      <c r="P102" s="598">
        <v>1995.1757597799999</v>
      </c>
      <c r="Q102" s="598">
        <v>4121.0003794499753</v>
      </c>
      <c r="R102" s="598">
        <v>246132.10945075788</v>
      </c>
      <c r="S102" s="598">
        <v>5139.0358453779891</v>
      </c>
      <c r="T102" s="601">
        <v>257387.32143536585</v>
      </c>
      <c r="U102" s="602">
        <v>24577.124134676214</v>
      </c>
      <c r="V102" s="598">
        <v>4226.7756793264771</v>
      </c>
      <c r="W102" s="603">
        <v>57652.202033863359</v>
      </c>
      <c r="X102" s="604">
        <v>945574.68089989026</v>
      </c>
      <c r="Y102" s="605">
        <v>83953.280145166311</v>
      </c>
      <c r="Z102" s="593"/>
      <c r="AA102" s="594"/>
      <c r="AB102" s="595"/>
      <c r="AC102" s="596"/>
      <c r="AD102" s="593"/>
      <c r="AE102" s="593"/>
      <c r="AF102" s="593"/>
      <c r="AG102" s="593"/>
      <c r="AH102" s="596"/>
      <c r="AI102" s="593"/>
      <c r="AJ102" s="593"/>
      <c r="AK102" s="596"/>
      <c r="AL102" s="593"/>
    </row>
    <row r="103" spans="1:38" ht="21" hidden="1" customHeight="1">
      <c r="A103" s="589">
        <v>41334</v>
      </c>
      <c r="B103" s="598">
        <v>3967.2277917323436</v>
      </c>
      <c r="C103" s="598">
        <v>26916.1579577753</v>
      </c>
      <c r="D103" s="598">
        <v>7325.4277845211036</v>
      </c>
      <c r="E103" s="599">
        <v>38208.813534028748</v>
      </c>
      <c r="F103" s="598">
        <v>204401.43653566597</v>
      </c>
      <c r="G103" s="598">
        <v>13170.632378161816</v>
      </c>
      <c r="H103" s="598">
        <v>62892.780986644</v>
      </c>
      <c r="I103" s="598">
        <v>383.05522580256928</v>
      </c>
      <c r="J103" s="598">
        <v>261834.43335867175</v>
      </c>
      <c r="K103" s="599">
        <v>542682.33848494617</v>
      </c>
      <c r="L103" s="600">
        <v>22374.683074228218</v>
      </c>
      <c r="M103" s="598">
        <v>33015.043053453017</v>
      </c>
      <c r="N103" s="598">
        <v>0</v>
      </c>
      <c r="O103" s="599">
        <v>55389.726127681235</v>
      </c>
      <c r="P103" s="598">
        <v>2053.4655619599998</v>
      </c>
      <c r="Q103" s="598">
        <v>4209.707040420657</v>
      </c>
      <c r="R103" s="598">
        <v>246236.70799282534</v>
      </c>
      <c r="S103" s="598">
        <v>5143.7960124826923</v>
      </c>
      <c r="T103" s="601">
        <v>257643.67660768869</v>
      </c>
      <c r="U103" s="602">
        <v>25392.032758178866</v>
      </c>
      <c r="V103" s="598">
        <v>3394.8798851569527</v>
      </c>
      <c r="W103" s="603">
        <v>56954.00814356764</v>
      </c>
      <c r="X103" s="604">
        <v>979665.47554124834</v>
      </c>
      <c r="Y103" s="605">
        <v>87762.748039115148</v>
      </c>
      <c r="Z103" s="593"/>
      <c r="AA103" s="594"/>
      <c r="AB103" s="595"/>
      <c r="AC103" s="596"/>
      <c r="AD103" s="593"/>
      <c r="AE103" s="593"/>
      <c r="AF103" s="593"/>
      <c r="AG103" s="593"/>
      <c r="AH103" s="596"/>
      <c r="AI103" s="593"/>
      <c r="AJ103" s="593"/>
      <c r="AK103" s="596"/>
      <c r="AL103" s="593"/>
    </row>
    <row r="104" spans="1:38" ht="21.6" hidden="1" customHeight="1">
      <c r="A104" s="589">
        <v>41365</v>
      </c>
      <c r="B104" s="606">
        <v>4262.6947439086689</v>
      </c>
      <c r="C104" s="606">
        <v>23732.577148695545</v>
      </c>
      <c r="D104" s="606">
        <v>8018.9071872932154</v>
      </c>
      <c r="E104" s="607">
        <v>36014.179079897433</v>
      </c>
      <c r="F104" s="606">
        <v>208353.53231493372</v>
      </c>
      <c r="G104" s="606">
        <v>10080.333223700765</v>
      </c>
      <c r="H104" s="606">
        <v>62979.815321048707</v>
      </c>
      <c r="I104" s="606">
        <v>332.87887703450582</v>
      </c>
      <c r="J104" s="606">
        <v>271716.37731327518</v>
      </c>
      <c r="K104" s="607">
        <v>553462.93704999285</v>
      </c>
      <c r="L104" s="608">
        <v>22727.02891464431</v>
      </c>
      <c r="M104" s="606">
        <v>33169.458219518427</v>
      </c>
      <c r="N104" s="606">
        <v>0</v>
      </c>
      <c r="O104" s="607">
        <v>55896.487134162737</v>
      </c>
      <c r="P104" s="606">
        <v>1911.3687765</v>
      </c>
      <c r="Q104" s="606">
        <v>4138.5714254347795</v>
      </c>
      <c r="R104" s="606">
        <v>246482.02950709529</v>
      </c>
      <c r="S104" s="606">
        <v>5138.6910889667797</v>
      </c>
      <c r="T104" s="609">
        <v>257670.66079799685</v>
      </c>
      <c r="U104" s="610">
        <v>26377.229050806625</v>
      </c>
      <c r="V104" s="606">
        <v>3261.1137703635104</v>
      </c>
      <c r="W104" s="611">
        <v>59716.386728413723</v>
      </c>
      <c r="X104" s="612">
        <v>992398.99361163378</v>
      </c>
      <c r="Y104" s="613">
        <v>83059.376085762604</v>
      </c>
      <c r="Z104" s="593"/>
      <c r="AA104" s="594"/>
      <c r="AB104" s="595"/>
      <c r="AC104" s="596"/>
      <c r="AD104" s="593"/>
      <c r="AE104" s="593"/>
      <c r="AF104" s="593"/>
      <c r="AG104" s="593"/>
      <c r="AH104" s="596"/>
      <c r="AI104" s="593"/>
      <c r="AJ104" s="593"/>
      <c r="AK104" s="596"/>
      <c r="AL104" s="593"/>
    </row>
    <row r="105" spans="1:38" ht="21.6" hidden="1" customHeight="1">
      <c r="A105" s="589">
        <v>41395</v>
      </c>
      <c r="B105" s="606">
        <v>4029.9208662018909</v>
      </c>
      <c r="C105" s="606">
        <v>28097.547205747709</v>
      </c>
      <c r="D105" s="606">
        <v>9224.6091864278842</v>
      </c>
      <c r="E105" s="607">
        <v>41352.077258377481</v>
      </c>
      <c r="F105" s="606">
        <v>229181.32199153971</v>
      </c>
      <c r="G105" s="606">
        <v>11456.155941579871</v>
      </c>
      <c r="H105" s="606">
        <v>64401.236482210137</v>
      </c>
      <c r="I105" s="606">
        <v>298.55997035352829</v>
      </c>
      <c r="J105" s="606">
        <v>275172.81739512604</v>
      </c>
      <c r="K105" s="607">
        <v>580510.09178080934</v>
      </c>
      <c r="L105" s="608">
        <v>23029.93481222304</v>
      </c>
      <c r="M105" s="606">
        <v>33127.532275362857</v>
      </c>
      <c r="N105" s="606">
        <v>0</v>
      </c>
      <c r="O105" s="607">
        <v>56157.467087585901</v>
      </c>
      <c r="P105" s="606">
        <v>2023.6883983299999</v>
      </c>
      <c r="Q105" s="606">
        <v>4504.3748470081355</v>
      </c>
      <c r="R105" s="606">
        <v>244485.41144904454</v>
      </c>
      <c r="S105" s="606">
        <v>5165.972585386543</v>
      </c>
      <c r="T105" s="609">
        <v>256179.44727976923</v>
      </c>
      <c r="U105" s="610">
        <v>25009.374336319936</v>
      </c>
      <c r="V105" s="606">
        <v>4413.0958466446027</v>
      </c>
      <c r="W105" s="611">
        <v>58218.583225184673</v>
      </c>
      <c r="X105" s="612">
        <v>1021840.1368146911</v>
      </c>
      <c r="Y105" s="613">
        <v>79259.359279211771</v>
      </c>
      <c r="Z105" s="593"/>
      <c r="AA105" s="594"/>
      <c r="AB105" s="595"/>
      <c r="AC105" s="596"/>
      <c r="AD105" s="593"/>
      <c r="AE105" s="593"/>
      <c r="AF105" s="593"/>
      <c r="AG105" s="593"/>
      <c r="AH105" s="596"/>
      <c r="AI105" s="593"/>
      <c r="AJ105" s="593"/>
      <c r="AK105" s="596"/>
      <c r="AL105" s="593"/>
    </row>
    <row r="106" spans="1:38" ht="21.6" hidden="1" customHeight="1">
      <c r="A106" s="589">
        <v>41426</v>
      </c>
      <c r="B106" s="606">
        <v>3880.7910153801176</v>
      </c>
      <c r="C106" s="606">
        <v>28141.999478795293</v>
      </c>
      <c r="D106" s="606">
        <v>10151.768490547971</v>
      </c>
      <c r="E106" s="607">
        <v>42174.558984723379</v>
      </c>
      <c r="F106" s="606">
        <v>209466.98424653077</v>
      </c>
      <c r="G106" s="606">
        <v>8873.0575161805755</v>
      </c>
      <c r="H106" s="606">
        <v>60450.905929176195</v>
      </c>
      <c r="I106" s="606">
        <v>384.48773600076333</v>
      </c>
      <c r="J106" s="606">
        <v>277889.1891076871</v>
      </c>
      <c r="K106" s="607">
        <v>557064.62453557539</v>
      </c>
      <c r="L106" s="608">
        <v>22398.011030656187</v>
      </c>
      <c r="M106" s="606">
        <v>33426.986061342279</v>
      </c>
      <c r="N106" s="606">
        <v>0</v>
      </c>
      <c r="O106" s="607">
        <v>55824.997091998463</v>
      </c>
      <c r="P106" s="606">
        <v>1910.56088669</v>
      </c>
      <c r="Q106" s="606">
        <v>4433.8913253866158</v>
      </c>
      <c r="R106" s="606">
        <v>247153.31376983286</v>
      </c>
      <c r="S106" s="606">
        <v>5354.6861570313777</v>
      </c>
      <c r="T106" s="609">
        <v>258852.45213894086</v>
      </c>
      <c r="U106" s="610">
        <v>25578.031640610257</v>
      </c>
      <c r="V106" s="606">
        <v>4490.1979337635748</v>
      </c>
      <c r="W106" s="611">
        <v>59370.119487361488</v>
      </c>
      <c r="X106" s="612">
        <v>1003354.9818129735</v>
      </c>
      <c r="Y106" s="613">
        <v>82396.02447648035</v>
      </c>
      <c r="Z106" s="593"/>
      <c r="AA106" s="594"/>
      <c r="AB106" s="595"/>
      <c r="AC106" s="596"/>
      <c r="AD106" s="593"/>
      <c r="AE106" s="593"/>
      <c r="AF106" s="593"/>
      <c r="AG106" s="593"/>
      <c r="AH106" s="596"/>
      <c r="AI106" s="593"/>
      <c r="AJ106" s="593"/>
      <c r="AK106" s="596"/>
      <c r="AL106" s="593"/>
    </row>
    <row r="107" spans="1:38" ht="21.6" hidden="1" customHeight="1">
      <c r="A107" s="589">
        <v>41456</v>
      </c>
      <c r="B107" s="606">
        <v>4399.672453168796</v>
      </c>
      <c r="C107" s="606">
        <v>28845.911377799446</v>
      </c>
      <c r="D107" s="606">
        <v>9856.9029232079247</v>
      </c>
      <c r="E107" s="607">
        <v>43102.486754176171</v>
      </c>
      <c r="F107" s="606">
        <v>226422.23091285076</v>
      </c>
      <c r="G107" s="606">
        <v>14718.634986213397</v>
      </c>
      <c r="H107" s="606">
        <v>61273.923120491098</v>
      </c>
      <c r="I107" s="606">
        <v>525.28397690566101</v>
      </c>
      <c r="J107" s="606">
        <v>280260.06819464517</v>
      </c>
      <c r="K107" s="607">
        <v>583200.14119110606</v>
      </c>
      <c r="L107" s="608">
        <v>23051.591366495388</v>
      </c>
      <c r="M107" s="606">
        <v>34387.619725586366</v>
      </c>
      <c r="N107" s="606">
        <v>0</v>
      </c>
      <c r="O107" s="607">
        <v>57439.21109208175</v>
      </c>
      <c r="P107" s="606">
        <v>1846.9816478299999</v>
      </c>
      <c r="Q107" s="606">
        <v>4556.6056778832335</v>
      </c>
      <c r="R107" s="606">
        <v>248392.52522024908</v>
      </c>
      <c r="S107" s="606">
        <v>5332.6384012472836</v>
      </c>
      <c r="T107" s="609">
        <v>260128.75094720954</v>
      </c>
      <c r="U107" s="610">
        <v>28453.399480534346</v>
      </c>
      <c r="V107" s="606">
        <v>5469.3324128259519</v>
      </c>
      <c r="W107" s="611">
        <v>62763.807245401651</v>
      </c>
      <c r="X107" s="612">
        <v>1040557.1291233355</v>
      </c>
      <c r="Y107" s="613">
        <v>77093.805824002426</v>
      </c>
      <c r="Z107" s="593"/>
      <c r="AA107" s="594"/>
      <c r="AB107" s="595"/>
      <c r="AC107" s="596"/>
      <c r="AD107" s="593"/>
      <c r="AE107" s="593"/>
      <c r="AF107" s="593"/>
      <c r="AG107" s="593"/>
      <c r="AH107" s="596"/>
      <c r="AI107" s="593"/>
      <c r="AJ107" s="593"/>
      <c r="AK107" s="596"/>
      <c r="AL107" s="593"/>
    </row>
    <row r="108" spans="1:38" ht="21.6" hidden="1" customHeight="1">
      <c r="A108" s="589">
        <v>41487</v>
      </c>
      <c r="B108" s="606">
        <v>4328.8715194583456</v>
      </c>
      <c r="C108" s="606">
        <v>26079.403917639902</v>
      </c>
      <c r="D108" s="606">
        <v>11539.137224767033</v>
      </c>
      <c r="E108" s="607">
        <v>41947.412661865281</v>
      </c>
      <c r="F108" s="606">
        <v>201642.23773973188</v>
      </c>
      <c r="G108" s="606">
        <v>13291.317903286385</v>
      </c>
      <c r="H108" s="606">
        <v>59002.211185275606</v>
      </c>
      <c r="I108" s="606">
        <v>328.9703920295845</v>
      </c>
      <c r="J108" s="606">
        <v>280354.89569847874</v>
      </c>
      <c r="K108" s="607">
        <v>554619.63291880221</v>
      </c>
      <c r="L108" s="608">
        <v>23621.371254237791</v>
      </c>
      <c r="M108" s="606">
        <v>34981.967966864213</v>
      </c>
      <c r="N108" s="606">
        <v>0</v>
      </c>
      <c r="O108" s="607">
        <v>58603.339221102004</v>
      </c>
      <c r="P108" s="606">
        <v>1861.5179682299997</v>
      </c>
      <c r="Q108" s="606">
        <v>4578.1518455265023</v>
      </c>
      <c r="R108" s="606">
        <v>251717.37413608353</v>
      </c>
      <c r="S108" s="606">
        <v>5625.9974800944192</v>
      </c>
      <c r="T108" s="609">
        <v>263783.04142993444</v>
      </c>
      <c r="U108" s="610">
        <v>29189.758705660588</v>
      </c>
      <c r="V108" s="606">
        <v>5559.2895301262051</v>
      </c>
      <c r="W108" s="611">
        <v>71411.732976076673</v>
      </c>
      <c r="X108" s="612">
        <v>1025114.2074435673</v>
      </c>
      <c r="Y108" s="613">
        <v>77938.519070114548</v>
      </c>
      <c r="Z108" s="593"/>
      <c r="AA108" s="594"/>
      <c r="AB108" s="595"/>
      <c r="AC108" s="596"/>
      <c r="AD108" s="593"/>
      <c r="AE108" s="593"/>
      <c r="AF108" s="593"/>
      <c r="AG108" s="593"/>
      <c r="AH108" s="596"/>
      <c r="AI108" s="593"/>
      <c r="AJ108" s="593"/>
      <c r="AK108" s="596"/>
      <c r="AL108" s="593"/>
    </row>
    <row r="109" spans="1:38" ht="21.6" hidden="1" customHeight="1">
      <c r="A109" s="589">
        <v>41518</v>
      </c>
      <c r="B109" s="606">
        <v>4241.3018763716818</v>
      </c>
      <c r="C109" s="606">
        <v>24890.737504334746</v>
      </c>
      <c r="D109" s="606">
        <v>11640.855292581578</v>
      </c>
      <c r="E109" s="607">
        <v>40772.894673288007</v>
      </c>
      <c r="F109" s="606">
        <v>201181.30612873103</v>
      </c>
      <c r="G109" s="606">
        <v>15367.485923513073</v>
      </c>
      <c r="H109" s="606">
        <v>61736.596293362869</v>
      </c>
      <c r="I109" s="606">
        <v>412.3802881285082</v>
      </c>
      <c r="J109" s="606">
        <v>267359.381999943</v>
      </c>
      <c r="K109" s="607">
        <v>546057.15063367854</v>
      </c>
      <c r="L109" s="608">
        <v>23056.323995721505</v>
      </c>
      <c r="M109" s="606">
        <v>35832.984629299659</v>
      </c>
      <c r="N109" s="606">
        <v>0</v>
      </c>
      <c r="O109" s="607">
        <v>58889.308625021164</v>
      </c>
      <c r="P109" s="606">
        <v>1744.7541001300001</v>
      </c>
      <c r="Q109" s="606">
        <v>4635.1738163300006</v>
      </c>
      <c r="R109" s="606">
        <v>255504.36996933469</v>
      </c>
      <c r="S109" s="606">
        <v>5474.8776835143226</v>
      </c>
      <c r="T109" s="609">
        <v>267359.17556930904</v>
      </c>
      <c r="U109" s="610">
        <v>29573.916580039506</v>
      </c>
      <c r="V109" s="606">
        <v>5937.002199294634</v>
      </c>
      <c r="W109" s="611">
        <v>66756.659861477528</v>
      </c>
      <c r="X109" s="612">
        <v>1015346.1081421084</v>
      </c>
      <c r="Y109" s="613">
        <v>84791.639829964421</v>
      </c>
      <c r="Z109" s="593"/>
      <c r="AA109" s="594"/>
      <c r="AB109" s="595"/>
      <c r="AC109" s="596"/>
      <c r="AD109" s="593"/>
      <c r="AE109" s="593"/>
      <c r="AF109" s="593"/>
      <c r="AG109" s="593"/>
      <c r="AH109" s="596"/>
      <c r="AI109" s="593"/>
      <c r="AJ109" s="593"/>
      <c r="AK109" s="596"/>
      <c r="AL109" s="593"/>
    </row>
    <row r="110" spans="1:38" ht="21.6" hidden="1" customHeight="1">
      <c r="A110" s="589">
        <v>41548</v>
      </c>
      <c r="B110" s="606">
        <v>4811.2506011403848</v>
      </c>
      <c r="C110" s="606">
        <v>26385.796652097277</v>
      </c>
      <c r="D110" s="606">
        <v>11358.624307611208</v>
      </c>
      <c r="E110" s="607">
        <v>42555.671560848874</v>
      </c>
      <c r="F110" s="606">
        <v>197492.02880524518</v>
      </c>
      <c r="G110" s="606">
        <v>13562.874693319922</v>
      </c>
      <c r="H110" s="606">
        <v>55268.322681338752</v>
      </c>
      <c r="I110" s="606">
        <v>447.42692513944536</v>
      </c>
      <c r="J110" s="606">
        <v>267686.65164087864</v>
      </c>
      <c r="K110" s="607">
        <v>534457.30474592187</v>
      </c>
      <c r="L110" s="608">
        <v>22116.745892637948</v>
      </c>
      <c r="M110" s="606">
        <v>36231.068644660998</v>
      </c>
      <c r="N110" s="606">
        <v>0</v>
      </c>
      <c r="O110" s="607">
        <v>58347.814537298946</v>
      </c>
      <c r="P110" s="606">
        <v>1828.8747707699999</v>
      </c>
      <c r="Q110" s="606">
        <v>4706.1784363385841</v>
      </c>
      <c r="R110" s="606">
        <v>253652.4042292707</v>
      </c>
      <c r="S110" s="606">
        <v>5818.5795464006596</v>
      </c>
      <c r="T110" s="609">
        <v>266006.03698277991</v>
      </c>
      <c r="U110" s="610">
        <v>30639.468371773331</v>
      </c>
      <c r="V110" s="606">
        <v>3204.2819639692034</v>
      </c>
      <c r="W110" s="611">
        <v>58011.338147617535</v>
      </c>
      <c r="X110" s="612">
        <v>993221.91631020966</v>
      </c>
      <c r="Y110" s="613">
        <v>84512.298503910337</v>
      </c>
      <c r="Z110" s="593"/>
      <c r="AA110" s="594"/>
      <c r="AB110" s="595"/>
      <c r="AC110" s="596"/>
      <c r="AD110" s="593"/>
      <c r="AE110" s="593"/>
      <c r="AF110" s="593"/>
      <c r="AG110" s="593"/>
      <c r="AH110" s="596"/>
      <c r="AI110" s="593"/>
      <c r="AJ110" s="593"/>
      <c r="AK110" s="596"/>
      <c r="AL110" s="593"/>
    </row>
    <row r="111" spans="1:38" ht="21.6" hidden="1" customHeight="1">
      <c r="A111" s="589">
        <v>41579</v>
      </c>
      <c r="B111" s="606">
        <v>4467.1702216118156</v>
      </c>
      <c r="C111" s="606">
        <v>28214.962233215654</v>
      </c>
      <c r="D111" s="606">
        <v>11185.337246683976</v>
      </c>
      <c r="E111" s="607">
        <v>43867.469701511451</v>
      </c>
      <c r="F111" s="606">
        <v>201668.973496063</v>
      </c>
      <c r="G111" s="606">
        <v>14493.669740705081</v>
      </c>
      <c r="H111" s="606">
        <v>61561.754411019509</v>
      </c>
      <c r="I111" s="606">
        <v>533.67200817338755</v>
      </c>
      <c r="J111" s="606">
        <v>268190.87126118608</v>
      </c>
      <c r="K111" s="607">
        <v>546448.94091714709</v>
      </c>
      <c r="L111" s="608">
        <v>21313.562095464211</v>
      </c>
      <c r="M111" s="606">
        <v>36534.336342814095</v>
      </c>
      <c r="N111" s="606">
        <v>0</v>
      </c>
      <c r="O111" s="607">
        <v>57847.898438278309</v>
      </c>
      <c r="P111" s="606">
        <v>1975.8009962900001</v>
      </c>
      <c r="Q111" s="606">
        <v>4912.2183182799663</v>
      </c>
      <c r="R111" s="606">
        <v>256542.35086008051</v>
      </c>
      <c r="S111" s="606">
        <v>5789.3053788147263</v>
      </c>
      <c r="T111" s="609">
        <v>269219.6755534652</v>
      </c>
      <c r="U111" s="610">
        <v>30624.318209656696</v>
      </c>
      <c r="V111" s="606">
        <v>3823.9849964586647</v>
      </c>
      <c r="W111" s="611">
        <v>55512.380091501676</v>
      </c>
      <c r="X111" s="612">
        <v>1007344.667908019</v>
      </c>
      <c r="Y111" s="613">
        <v>82429.32420046936</v>
      </c>
      <c r="Z111" s="593"/>
      <c r="AA111" s="594"/>
      <c r="AB111" s="595"/>
      <c r="AC111" s="596"/>
      <c r="AD111" s="593"/>
      <c r="AE111" s="593"/>
      <c r="AF111" s="593"/>
      <c r="AG111" s="593"/>
      <c r="AH111" s="596"/>
      <c r="AI111" s="593"/>
      <c r="AJ111" s="593"/>
      <c r="AK111" s="596"/>
      <c r="AL111" s="593"/>
    </row>
    <row r="112" spans="1:38" ht="21.6" hidden="1" customHeight="1">
      <c r="A112" s="589">
        <v>41609</v>
      </c>
      <c r="B112" s="606">
        <v>6810.0933414541223</v>
      </c>
      <c r="C112" s="606">
        <v>32104.327647379319</v>
      </c>
      <c r="D112" s="606">
        <v>10648.579377938948</v>
      </c>
      <c r="E112" s="607">
        <v>49563.000366772394</v>
      </c>
      <c r="F112" s="606">
        <v>241109.85381519891</v>
      </c>
      <c r="G112" s="606">
        <v>11330.997677129855</v>
      </c>
      <c r="H112" s="606">
        <v>59863.851260588883</v>
      </c>
      <c r="I112" s="606">
        <v>731.03640634573128</v>
      </c>
      <c r="J112" s="606">
        <v>258154.37026382881</v>
      </c>
      <c r="K112" s="607">
        <v>571190.10942309222</v>
      </c>
      <c r="L112" s="608">
        <v>21011.114171994846</v>
      </c>
      <c r="M112" s="606">
        <v>37059.885545682861</v>
      </c>
      <c r="N112" s="606">
        <v>0</v>
      </c>
      <c r="O112" s="607">
        <v>58070.999717677711</v>
      </c>
      <c r="P112" s="606">
        <v>1861.9622497999999</v>
      </c>
      <c r="Q112" s="606">
        <v>4696.5305705006012</v>
      </c>
      <c r="R112" s="606">
        <v>258919.20191453653</v>
      </c>
      <c r="S112" s="606">
        <v>5769.7931111539401</v>
      </c>
      <c r="T112" s="609">
        <v>271247.4878459911</v>
      </c>
      <c r="U112" s="610">
        <v>33709.939182922913</v>
      </c>
      <c r="V112" s="606">
        <v>3817.7409457248541</v>
      </c>
      <c r="W112" s="611">
        <v>53218.495915106425</v>
      </c>
      <c r="X112" s="612">
        <v>1040817.7733972876</v>
      </c>
      <c r="Y112" s="613">
        <v>86111.620200683043</v>
      </c>
      <c r="Z112" s="593"/>
      <c r="AA112" s="594"/>
      <c r="AB112" s="595"/>
      <c r="AC112" s="596"/>
      <c r="AD112" s="593"/>
      <c r="AE112" s="593"/>
      <c r="AF112" s="593"/>
      <c r="AG112" s="593"/>
      <c r="AH112" s="596"/>
      <c r="AI112" s="593"/>
      <c r="AJ112" s="593"/>
      <c r="AK112" s="596"/>
      <c r="AL112" s="593"/>
    </row>
    <row r="113" spans="1:38" ht="21.6" hidden="1" customHeight="1">
      <c r="A113" s="589">
        <v>41640</v>
      </c>
      <c r="B113" s="606">
        <v>5069.024049682791</v>
      </c>
      <c r="C113" s="606">
        <v>31278.309183396799</v>
      </c>
      <c r="D113" s="606">
        <v>12149.355474783542</v>
      </c>
      <c r="E113" s="607">
        <v>48496.688707863133</v>
      </c>
      <c r="F113" s="606">
        <v>213504.46302230025</v>
      </c>
      <c r="G113" s="606">
        <v>11157.538159604272</v>
      </c>
      <c r="H113" s="606">
        <v>59094.832595400811</v>
      </c>
      <c r="I113" s="606">
        <v>627.66205105705922</v>
      </c>
      <c r="J113" s="606">
        <v>259686.68708638541</v>
      </c>
      <c r="K113" s="607">
        <v>544071.18291474774</v>
      </c>
      <c r="L113" s="608">
        <v>21871.693204192634</v>
      </c>
      <c r="M113" s="606">
        <v>38150.652335324557</v>
      </c>
      <c r="N113" s="606">
        <v>0</v>
      </c>
      <c r="O113" s="607">
        <v>60022.345539517191</v>
      </c>
      <c r="P113" s="606">
        <v>599.78035923999994</v>
      </c>
      <c r="Q113" s="606">
        <v>4800.9684769160085</v>
      </c>
      <c r="R113" s="606">
        <v>258422.95630467447</v>
      </c>
      <c r="S113" s="606">
        <v>5767.8365389796272</v>
      </c>
      <c r="T113" s="609">
        <v>269591.54167981009</v>
      </c>
      <c r="U113" s="610">
        <v>34534.598701656825</v>
      </c>
      <c r="V113" s="606">
        <v>2400.9949190990351</v>
      </c>
      <c r="W113" s="611">
        <v>51649.548720236475</v>
      </c>
      <c r="X113" s="612">
        <v>1010766.9011829303</v>
      </c>
      <c r="Y113" s="613">
        <v>81520.564717422894</v>
      </c>
      <c r="Z113" s="593"/>
      <c r="AA113" s="594"/>
      <c r="AB113" s="595"/>
      <c r="AC113" s="596"/>
      <c r="AD113" s="593"/>
      <c r="AE113" s="593"/>
      <c r="AF113" s="593"/>
      <c r="AG113" s="593"/>
      <c r="AH113" s="596"/>
      <c r="AI113" s="593"/>
      <c r="AJ113" s="593"/>
      <c r="AK113" s="596"/>
      <c r="AL113" s="593"/>
    </row>
    <row r="114" spans="1:38" ht="21.6" hidden="1" customHeight="1">
      <c r="A114" s="589">
        <v>41671</v>
      </c>
      <c r="B114" s="606">
        <v>4858.8513606829583</v>
      </c>
      <c r="C114" s="606">
        <v>37064.609421999492</v>
      </c>
      <c r="D114" s="606">
        <v>12985.686127324472</v>
      </c>
      <c r="E114" s="607">
        <v>54909.146910006923</v>
      </c>
      <c r="F114" s="606">
        <v>219188.38170315442</v>
      </c>
      <c r="G114" s="606">
        <v>7445.125906775178</v>
      </c>
      <c r="H114" s="606">
        <v>60607.024886473038</v>
      </c>
      <c r="I114" s="606">
        <v>484.1258497778316</v>
      </c>
      <c r="J114" s="606">
        <v>258128.9906881373</v>
      </c>
      <c r="K114" s="607">
        <v>545853.64903431782</v>
      </c>
      <c r="L114" s="608">
        <v>20297.090313608434</v>
      </c>
      <c r="M114" s="606">
        <v>39998.900745781175</v>
      </c>
      <c r="N114" s="606">
        <v>0</v>
      </c>
      <c r="O114" s="607">
        <v>60295.991059389606</v>
      </c>
      <c r="P114" s="606">
        <v>537.44428195999978</v>
      </c>
      <c r="Q114" s="606">
        <v>4723.1151700500004</v>
      </c>
      <c r="R114" s="606">
        <v>259577.90196538699</v>
      </c>
      <c r="S114" s="606">
        <v>5751.9439673543302</v>
      </c>
      <c r="T114" s="609">
        <v>270590.40538475133</v>
      </c>
      <c r="U114" s="610">
        <v>33295.519640815248</v>
      </c>
      <c r="V114" s="606">
        <v>4039.7461403108264</v>
      </c>
      <c r="W114" s="611">
        <v>51686.148804152734</v>
      </c>
      <c r="X114" s="612">
        <v>1020670.6069737443</v>
      </c>
      <c r="Y114" s="613">
        <v>76465.815371534773</v>
      </c>
      <c r="AA114" s="614"/>
      <c r="AB114" s="614"/>
    </row>
    <row r="115" spans="1:38" ht="21.6" hidden="1" customHeight="1">
      <c r="A115" s="589">
        <v>41699</v>
      </c>
      <c r="B115" s="606">
        <v>4677.8088589876961</v>
      </c>
      <c r="C115" s="606">
        <v>35347.830840093993</v>
      </c>
      <c r="D115" s="606">
        <v>15103.693457069929</v>
      </c>
      <c r="E115" s="607">
        <v>55129.333156151617</v>
      </c>
      <c r="F115" s="606">
        <v>236486.71607347639</v>
      </c>
      <c r="G115" s="606">
        <v>9679.4603381679699</v>
      </c>
      <c r="H115" s="606">
        <v>60272.620452496441</v>
      </c>
      <c r="I115" s="606">
        <v>404.76557631137359</v>
      </c>
      <c r="J115" s="606">
        <v>255697.16750234505</v>
      </c>
      <c r="K115" s="607">
        <v>562540.72994279722</v>
      </c>
      <c r="L115" s="608">
        <v>19891.185917170846</v>
      </c>
      <c r="M115" s="606">
        <v>41404.786531058096</v>
      </c>
      <c r="N115" s="606">
        <v>0</v>
      </c>
      <c r="O115" s="607">
        <v>61295.972448228946</v>
      </c>
      <c r="P115" s="606">
        <v>662.00819439999987</v>
      </c>
      <c r="Q115" s="606">
        <v>4542.2501521800004</v>
      </c>
      <c r="R115" s="606">
        <v>260030.06550859928</v>
      </c>
      <c r="S115" s="606">
        <v>5781.0270268888817</v>
      </c>
      <c r="T115" s="609">
        <v>271015.35088206816</v>
      </c>
      <c r="U115" s="610">
        <v>31751.160609195824</v>
      </c>
      <c r="V115" s="606">
        <v>6125.4585455618308</v>
      </c>
      <c r="W115" s="611">
        <v>48191.781848586528</v>
      </c>
      <c r="X115" s="612">
        <v>1036049.7874325902</v>
      </c>
      <c r="Y115" s="613">
        <v>84296.050950388628</v>
      </c>
      <c r="AA115" s="614"/>
      <c r="AB115" s="614"/>
    </row>
    <row r="116" spans="1:38" ht="21.6" hidden="1" customHeight="1">
      <c r="A116" s="589">
        <v>41730</v>
      </c>
      <c r="B116" s="606">
        <v>5001.6165995124438</v>
      </c>
      <c r="C116" s="606">
        <v>34975.195226555348</v>
      </c>
      <c r="D116" s="606">
        <v>15651.557001741576</v>
      </c>
      <c r="E116" s="607">
        <v>55628.368827809369</v>
      </c>
      <c r="F116" s="606">
        <v>224785.39700616617</v>
      </c>
      <c r="G116" s="606">
        <v>6751.4183300266086</v>
      </c>
      <c r="H116" s="606">
        <v>58895.977357063566</v>
      </c>
      <c r="I116" s="606">
        <v>532.92622258742745</v>
      </c>
      <c r="J116" s="606">
        <v>264694.90196888958</v>
      </c>
      <c r="K116" s="607">
        <v>555660.62088473327</v>
      </c>
      <c r="L116" s="608">
        <v>19385.555067877907</v>
      </c>
      <c r="M116" s="606">
        <v>44219.705902657792</v>
      </c>
      <c r="N116" s="606">
        <v>0</v>
      </c>
      <c r="O116" s="607">
        <v>63605.260970535703</v>
      </c>
      <c r="P116" s="606">
        <v>638.91066726999986</v>
      </c>
      <c r="Q116" s="606">
        <v>4475.2051822949998</v>
      </c>
      <c r="R116" s="606">
        <v>258880.05013901339</v>
      </c>
      <c r="S116" s="606">
        <v>6104.2650248939344</v>
      </c>
      <c r="T116" s="609">
        <v>270098.43101347232</v>
      </c>
      <c r="U116" s="610">
        <v>31689.688584023053</v>
      </c>
      <c r="V116" s="606">
        <v>4915.7592953834283</v>
      </c>
      <c r="W116" s="611">
        <v>51535.431043000914</v>
      </c>
      <c r="X116" s="612">
        <v>1033133.560618958</v>
      </c>
      <c r="Y116" s="613">
        <v>87831.740264898981</v>
      </c>
      <c r="AA116" s="614"/>
      <c r="AB116" s="614"/>
    </row>
    <row r="117" spans="1:38" ht="21.6" hidden="1" customHeight="1">
      <c r="A117" s="589">
        <v>41760</v>
      </c>
      <c r="B117" s="606">
        <v>4284.2831568149759</v>
      </c>
      <c r="C117" s="606">
        <v>36200.592122623988</v>
      </c>
      <c r="D117" s="606">
        <v>16872.746480860293</v>
      </c>
      <c r="E117" s="607">
        <v>57357.621760299255</v>
      </c>
      <c r="F117" s="606">
        <v>195777.90346106852</v>
      </c>
      <c r="G117" s="606">
        <v>7457.2671456919497</v>
      </c>
      <c r="H117" s="606">
        <v>63157.735522620926</v>
      </c>
      <c r="I117" s="606">
        <v>462.37334705635686</v>
      </c>
      <c r="J117" s="606">
        <v>270641.87205841206</v>
      </c>
      <c r="K117" s="607">
        <v>537497.15153484978</v>
      </c>
      <c r="L117" s="608">
        <v>19449.203798030103</v>
      </c>
      <c r="M117" s="606">
        <v>45829.315121733198</v>
      </c>
      <c r="N117" s="606">
        <v>0</v>
      </c>
      <c r="O117" s="607">
        <v>65278.518919763301</v>
      </c>
      <c r="P117" s="606">
        <v>629.68270240000004</v>
      </c>
      <c r="Q117" s="606">
        <v>4103.0691505200011</v>
      </c>
      <c r="R117" s="606">
        <v>256877.68471434969</v>
      </c>
      <c r="S117" s="606">
        <v>6113.097089343506</v>
      </c>
      <c r="T117" s="609">
        <v>267723.5336566132</v>
      </c>
      <c r="U117" s="610">
        <v>35159.629754696762</v>
      </c>
      <c r="V117" s="606">
        <v>4519.9698590793578</v>
      </c>
      <c r="W117" s="611">
        <v>50599.316390320753</v>
      </c>
      <c r="X117" s="612">
        <v>1018135.7418756223</v>
      </c>
      <c r="Y117" s="613">
        <v>92313.545399901574</v>
      </c>
      <c r="AA117" s="614"/>
      <c r="AB117" s="614"/>
    </row>
    <row r="118" spans="1:38" ht="21.6" customHeight="1">
      <c r="A118" s="589">
        <v>41791</v>
      </c>
      <c r="B118" s="606">
        <v>4659.0554516293196</v>
      </c>
      <c r="C118" s="606">
        <v>35450.801770102997</v>
      </c>
      <c r="D118" s="606">
        <v>17010.5318632323</v>
      </c>
      <c r="E118" s="607">
        <v>57120.389084964612</v>
      </c>
      <c r="F118" s="606">
        <v>189045.37336056825</v>
      </c>
      <c r="G118" s="606">
        <v>10369.533545288798</v>
      </c>
      <c r="H118" s="606">
        <v>62255.367329174507</v>
      </c>
      <c r="I118" s="606">
        <v>456.95772599887545</v>
      </c>
      <c r="J118" s="606">
        <v>271001.10262459249</v>
      </c>
      <c r="K118" s="607">
        <v>533128.33458562288</v>
      </c>
      <c r="L118" s="608">
        <v>19819.410237617558</v>
      </c>
      <c r="M118" s="606">
        <v>47476.458302434759</v>
      </c>
      <c r="N118" s="606">
        <v>0</v>
      </c>
      <c r="O118" s="607">
        <v>67295.868540052325</v>
      </c>
      <c r="P118" s="606">
        <v>650.40999287</v>
      </c>
      <c r="Q118" s="606">
        <v>4066.5693370800013</v>
      </c>
      <c r="R118" s="606">
        <v>260505.65980676812</v>
      </c>
      <c r="S118" s="606">
        <v>2822.3301723813711</v>
      </c>
      <c r="T118" s="609">
        <v>268044.96930909948</v>
      </c>
      <c r="U118" s="610">
        <v>34493.732392353057</v>
      </c>
      <c r="V118" s="606">
        <v>3610.9673657993299</v>
      </c>
      <c r="W118" s="611">
        <v>50028.784782582959</v>
      </c>
      <c r="X118" s="612">
        <v>1013723.0460604746</v>
      </c>
      <c r="Y118" s="613">
        <v>97965.217452960336</v>
      </c>
      <c r="AA118" s="614"/>
      <c r="AB118" s="614"/>
    </row>
    <row r="119" spans="1:38" ht="21.6" customHeight="1">
      <c r="A119" s="589">
        <v>41821</v>
      </c>
      <c r="B119" s="606">
        <v>5158.9866176597716</v>
      </c>
      <c r="C119" s="606">
        <v>37422.462011476397</v>
      </c>
      <c r="D119" s="606">
        <v>15704.911478740391</v>
      </c>
      <c r="E119" s="607">
        <v>58286.360107876557</v>
      </c>
      <c r="F119" s="606">
        <v>206155.51745140454</v>
      </c>
      <c r="G119" s="606">
        <v>11380.261462772494</v>
      </c>
      <c r="H119" s="606">
        <v>66761.815542407014</v>
      </c>
      <c r="I119" s="606">
        <v>524.036182703431</v>
      </c>
      <c r="J119" s="606">
        <v>263286.65347439225</v>
      </c>
      <c r="K119" s="607">
        <v>548108.28411367978</v>
      </c>
      <c r="L119" s="608">
        <v>18505.119341124726</v>
      </c>
      <c r="M119" s="606">
        <v>47845.158066684016</v>
      </c>
      <c r="N119" s="606">
        <v>0</v>
      </c>
      <c r="O119" s="607">
        <v>66350.277407808739</v>
      </c>
      <c r="P119" s="606">
        <v>614.80640303999985</v>
      </c>
      <c r="Q119" s="606">
        <v>4102.7702037600002</v>
      </c>
      <c r="R119" s="606">
        <v>259480.43962487776</v>
      </c>
      <c r="S119" s="606">
        <v>2757.9693064837793</v>
      </c>
      <c r="T119" s="609">
        <v>266955.98553816153</v>
      </c>
      <c r="U119" s="610">
        <v>34558.3131155917</v>
      </c>
      <c r="V119" s="606">
        <v>5364.8964200236633</v>
      </c>
      <c r="W119" s="611">
        <v>50825.090472658238</v>
      </c>
      <c r="X119" s="612">
        <v>1030449.2071758001</v>
      </c>
      <c r="Y119" s="613">
        <v>87726.859449611686</v>
      </c>
      <c r="AA119" s="614"/>
      <c r="AB119" s="614"/>
    </row>
    <row r="120" spans="1:38" ht="21.6" customHeight="1">
      <c r="A120" s="589">
        <v>41852</v>
      </c>
      <c r="B120" s="606">
        <v>4783.9330257040938</v>
      </c>
      <c r="C120" s="606">
        <v>39205.599398618615</v>
      </c>
      <c r="D120" s="606">
        <v>14073.94859628893</v>
      </c>
      <c r="E120" s="607">
        <v>58063.481020611638</v>
      </c>
      <c r="F120" s="606">
        <v>210646.33906666574</v>
      </c>
      <c r="G120" s="606">
        <v>10833.163781597261</v>
      </c>
      <c r="H120" s="606">
        <v>67261.901229396215</v>
      </c>
      <c r="I120" s="606">
        <v>489.15980662670495</v>
      </c>
      <c r="J120" s="606">
        <v>268822.20049978665</v>
      </c>
      <c r="K120" s="607">
        <v>558052.76438407251</v>
      </c>
      <c r="L120" s="608">
        <v>19092.051607781948</v>
      </c>
      <c r="M120" s="606">
        <v>47479.913957568693</v>
      </c>
      <c r="N120" s="606">
        <v>0</v>
      </c>
      <c r="O120" s="607">
        <v>66571.965565350634</v>
      </c>
      <c r="P120" s="606">
        <v>595.15408637000007</v>
      </c>
      <c r="Q120" s="606">
        <v>4004.9184446100007</v>
      </c>
      <c r="R120" s="606">
        <v>257807.28886094718</v>
      </c>
      <c r="S120" s="606">
        <v>2778.8037777058048</v>
      </c>
      <c r="T120" s="609">
        <v>265186.16516963299</v>
      </c>
      <c r="U120" s="610">
        <v>37320.369150139006</v>
      </c>
      <c r="V120" s="606">
        <v>3901.5552625953073</v>
      </c>
      <c r="W120" s="611">
        <v>54103.691203704548</v>
      </c>
      <c r="X120" s="612">
        <v>1043199.9917561066</v>
      </c>
      <c r="Y120" s="613">
        <v>94191.093106427041</v>
      </c>
      <c r="AA120" s="614"/>
      <c r="AB120" s="614"/>
    </row>
    <row r="121" spans="1:38" ht="21.6" customHeight="1">
      <c r="A121" s="589">
        <v>41883</v>
      </c>
      <c r="B121" s="606">
        <v>4721.8598425532718</v>
      </c>
      <c r="C121" s="606">
        <v>37002.045763067938</v>
      </c>
      <c r="D121" s="606">
        <v>12868.283676338735</v>
      </c>
      <c r="E121" s="607">
        <v>54592.189281959945</v>
      </c>
      <c r="F121" s="606">
        <v>241497.46582976929</v>
      </c>
      <c r="G121" s="606">
        <v>22638.874790773516</v>
      </c>
      <c r="H121" s="606">
        <v>72410.725851973199</v>
      </c>
      <c r="I121" s="606">
        <v>404.11560476436847</v>
      </c>
      <c r="J121" s="606">
        <v>279949.72377013729</v>
      </c>
      <c r="K121" s="607">
        <v>616900.90584741766</v>
      </c>
      <c r="L121" s="608">
        <v>20841.192965205635</v>
      </c>
      <c r="M121" s="606">
        <v>49311.273427091706</v>
      </c>
      <c r="N121" s="606">
        <v>0</v>
      </c>
      <c r="O121" s="607">
        <v>70152.466392297341</v>
      </c>
      <c r="P121" s="606">
        <v>1204.78531834</v>
      </c>
      <c r="Q121" s="606">
        <v>3956.20205786</v>
      </c>
      <c r="R121" s="606">
        <v>257741.75044826962</v>
      </c>
      <c r="S121" s="606">
        <v>2893.8275306513988</v>
      </c>
      <c r="T121" s="609">
        <v>265796.56535512104</v>
      </c>
      <c r="U121" s="610">
        <v>36937.144859480009</v>
      </c>
      <c r="V121" s="606">
        <v>3494.5042009850386</v>
      </c>
      <c r="W121" s="611">
        <v>53644.037666903401</v>
      </c>
      <c r="X121" s="612">
        <v>1101517.8136041644</v>
      </c>
      <c r="Y121" s="613">
        <v>93105.294553467218</v>
      </c>
      <c r="AA121" s="614"/>
      <c r="AB121" s="614"/>
    </row>
    <row r="122" spans="1:38" ht="21.6" customHeight="1">
      <c r="A122" s="589">
        <v>41913</v>
      </c>
      <c r="B122" s="606">
        <v>4492.649312281681</v>
      </c>
      <c r="C122" s="606">
        <v>38500.56024633006</v>
      </c>
      <c r="D122" s="606">
        <v>11653.603059561827</v>
      </c>
      <c r="E122" s="607">
        <v>54646.812618173572</v>
      </c>
      <c r="F122" s="606">
        <v>283588.27739075571</v>
      </c>
      <c r="G122" s="606">
        <v>15696.340933801455</v>
      </c>
      <c r="H122" s="606">
        <v>74290.892330663701</v>
      </c>
      <c r="I122" s="606">
        <v>372.43701177531921</v>
      </c>
      <c r="J122" s="606">
        <v>287625.04534671869</v>
      </c>
      <c r="K122" s="607">
        <v>661572.99301371491</v>
      </c>
      <c r="L122" s="608">
        <v>22788.69977854802</v>
      </c>
      <c r="M122" s="606">
        <v>49234.620012670108</v>
      </c>
      <c r="N122" s="606">
        <v>0</v>
      </c>
      <c r="O122" s="607">
        <v>72023.31979121812</v>
      </c>
      <c r="P122" s="606">
        <v>1055.2526737799999</v>
      </c>
      <c r="Q122" s="606">
        <v>4155.2940386799992</v>
      </c>
      <c r="R122" s="606">
        <v>259597.61617624603</v>
      </c>
      <c r="S122" s="606">
        <v>2910.0922891256919</v>
      </c>
      <c r="T122" s="609">
        <v>267718.25517783168</v>
      </c>
      <c r="U122" s="610">
        <v>38588.068086102903</v>
      </c>
      <c r="V122" s="606">
        <v>4436.5284438296185</v>
      </c>
      <c r="W122" s="611">
        <v>50787.698279336269</v>
      </c>
      <c r="X122" s="612">
        <v>1149773.6754102069</v>
      </c>
      <c r="Y122" s="613">
        <v>88784.874498484074</v>
      </c>
      <c r="AA122" s="614"/>
      <c r="AB122" s="614"/>
    </row>
    <row r="123" spans="1:38" ht="21.6" customHeight="1">
      <c r="A123" s="589">
        <v>41944</v>
      </c>
      <c r="B123" s="606">
        <v>4727.1846390311903</v>
      </c>
      <c r="C123" s="606">
        <v>36085.471126053111</v>
      </c>
      <c r="D123" s="606">
        <v>15210.922675100292</v>
      </c>
      <c r="E123" s="607">
        <v>56023.578440184596</v>
      </c>
      <c r="F123" s="606">
        <v>250682.06717242204</v>
      </c>
      <c r="G123" s="606">
        <v>15889.04143503056</v>
      </c>
      <c r="H123" s="606">
        <v>74023.403009874062</v>
      </c>
      <c r="I123" s="606">
        <v>471.70632810358029</v>
      </c>
      <c r="J123" s="606">
        <v>302530.87009861757</v>
      </c>
      <c r="K123" s="607">
        <v>643597.08804404782</v>
      </c>
      <c r="L123" s="608">
        <v>24474.865649890035</v>
      </c>
      <c r="M123" s="606">
        <v>48721.490397489331</v>
      </c>
      <c r="N123" s="606">
        <v>0</v>
      </c>
      <c r="O123" s="607">
        <v>73196.356047379362</v>
      </c>
      <c r="P123" s="606">
        <v>557.85945064999999</v>
      </c>
      <c r="Q123" s="606">
        <v>4216.6680827899991</v>
      </c>
      <c r="R123" s="606">
        <v>265315.15363750805</v>
      </c>
      <c r="S123" s="606">
        <v>2961.0692214494534</v>
      </c>
      <c r="T123" s="609">
        <v>273050.75039239752</v>
      </c>
      <c r="U123" s="610">
        <v>37311.071565382525</v>
      </c>
      <c r="V123" s="606">
        <v>2263.0481247403895</v>
      </c>
      <c r="W123" s="611">
        <v>50572.478060513968</v>
      </c>
      <c r="X123" s="612">
        <v>1136014.370674646</v>
      </c>
      <c r="Y123" s="613">
        <v>93260.628681751041</v>
      </c>
      <c r="AA123" s="614"/>
      <c r="AB123" s="614"/>
    </row>
    <row r="124" spans="1:38" ht="21.6" customHeight="1">
      <c r="A124" s="589">
        <v>41974</v>
      </c>
      <c r="B124" s="606">
        <v>7138.8698263849874</v>
      </c>
      <c r="C124" s="606">
        <v>35330.824416916745</v>
      </c>
      <c r="D124" s="606">
        <v>15317.641635744041</v>
      </c>
      <c r="E124" s="607">
        <v>57787.335879045771</v>
      </c>
      <c r="F124" s="606">
        <v>266515.11987930769</v>
      </c>
      <c r="G124" s="606">
        <v>14617.870804461954</v>
      </c>
      <c r="H124" s="606">
        <v>69204.795036991141</v>
      </c>
      <c r="I124" s="606">
        <v>698.70482332930794</v>
      </c>
      <c r="J124" s="606">
        <v>304621.50741572567</v>
      </c>
      <c r="K124" s="607">
        <v>655657.99795981566</v>
      </c>
      <c r="L124" s="608">
        <v>24705.266712910248</v>
      </c>
      <c r="M124" s="606">
        <v>48514.500255780149</v>
      </c>
      <c r="N124" s="606">
        <v>0</v>
      </c>
      <c r="O124" s="607">
        <v>73219.766968690397</v>
      </c>
      <c r="P124" s="606">
        <v>762.17531808999991</v>
      </c>
      <c r="Q124" s="606">
        <v>4402.5172417299982</v>
      </c>
      <c r="R124" s="606">
        <v>266520.64316056465</v>
      </c>
      <c r="S124" s="606">
        <v>2961.2719943200236</v>
      </c>
      <c r="T124" s="609">
        <v>274646.60771470465</v>
      </c>
      <c r="U124" s="610">
        <v>37418.929106908152</v>
      </c>
      <c r="V124" s="606">
        <v>3572.0776124096519</v>
      </c>
      <c r="W124" s="611">
        <v>51268.178589074407</v>
      </c>
      <c r="X124" s="612">
        <v>1153570.8938306486</v>
      </c>
      <c r="Y124" s="613">
        <v>91515.374804406674</v>
      </c>
      <c r="AA124" s="614"/>
      <c r="AB124" s="614"/>
    </row>
    <row r="125" spans="1:38" ht="21.6" customHeight="1">
      <c r="A125" s="589">
        <v>42005</v>
      </c>
      <c r="B125" s="606">
        <v>4662.5904915924611</v>
      </c>
      <c r="C125" s="606">
        <v>40581.183993312639</v>
      </c>
      <c r="D125" s="606">
        <v>13341.741282099831</v>
      </c>
      <c r="E125" s="607">
        <v>58585.51576700493</v>
      </c>
      <c r="F125" s="606">
        <v>282588.8168799429</v>
      </c>
      <c r="G125" s="606">
        <v>13188.068583386335</v>
      </c>
      <c r="H125" s="606">
        <v>74023.959394408768</v>
      </c>
      <c r="I125" s="606">
        <v>423.98167363562555</v>
      </c>
      <c r="J125" s="606">
        <v>301795.32793572039</v>
      </c>
      <c r="K125" s="607">
        <v>672020.15446709399</v>
      </c>
      <c r="L125" s="608">
        <v>23696.282027837231</v>
      </c>
      <c r="M125" s="606">
        <v>49107.152948742332</v>
      </c>
      <c r="N125" s="606">
        <v>0</v>
      </c>
      <c r="O125" s="607">
        <v>72803.434976579563</v>
      </c>
      <c r="P125" s="606">
        <v>668.46850611000002</v>
      </c>
      <c r="Q125" s="606">
        <v>4113.7618372799998</v>
      </c>
      <c r="R125" s="606">
        <v>266129.58407158725</v>
      </c>
      <c r="S125" s="606">
        <v>2922.2774754293609</v>
      </c>
      <c r="T125" s="609">
        <v>273834.09189040662</v>
      </c>
      <c r="U125" s="610">
        <v>38942.074562934256</v>
      </c>
      <c r="V125" s="606">
        <v>1995.9759622269819</v>
      </c>
      <c r="W125" s="611">
        <v>57491.171525257334</v>
      </c>
      <c r="X125" s="612">
        <v>1175672.4191515036</v>
      </c>
      <c r="Y125" s="613">
        <v>86125.649676295565</v>
      </c>
      <c r="AA125" s="614"/>
      <c r="AB125" s="614"/>
    </row>
    <row r="126" spans="1:38" ht="21.6" customHeight="1">
      <c r="A126" s="589">
        <v>42036</v>
      </c>
      <c r="B126" s="606">
        <v>4522.8056762799606</v>
      </c>
      <c r="C126" s="606">
        <v>43088.471447396041</v>
      </c>
      <c r="D126" s="606">
        <v>12154.001948226352</v>
      </c>
      <c r="E126" s="607">
        <v>59765.279071902354</v>
      </c>
      <c r="F126" s="606">
        <v>274813.25639467535</v>
      </c>
      <c r="G126" s="606">
        <v>6544.8169872574999</v>
      </c>
      <c r="H126" s="606">
        <v>78718.735061059255</v>
      </c>
      <c r="I126" s="606">
        <v>531.04310666307526</v>
      </c>
      <c r="J126" s="606">
        <v>310334.15366113075</v>
      </c>
      <c r="K126" s="607">
        <v>670942.00521078589</v>
      </c>
      <c r="L126" s="608">
        <v>23746.902084888268</v>
      </c>
      <c r="M126" s="606">
        <v>51119.852370799366</v>
      </c>
      <c r="N126" s="606">
        <v>0</v>
      </c>
      <c r="O126" s="607">
        <v>74866.754455687638</v>
      </c>
      <c r="P126" s="606">
        <v>672.90090731000009</v>
      </c>
      <c r="Q126" s="606">
        <v>4091.4738456500004</v>
      </c>
      <c r="R126" s="606">
        <v>265680.70168443827</v>
      </c>
      <c r="S126" s="606">
        <v>3276.5821133728914</v>
      </c>
      <c r="T126" s="609">
        <v>273721.65855077119</v>
      </c>
      <c r="U126" s="610">
        <v>39123.37462154025</v>
      </c>
      <c r="V126" s="606">
        <v>2344.9416190246702</v>
      </c>
      <c r="W126" s="611">
        <v>55690.157978399424</v>
      </c>
      <c r="X126" s="612">
        <v>1176454.1715081113</v>
      </c>
      <c r="Y126" s="613">
        <v>84699.023299068809</v>
      </c>
      <c r="AA126" s="614"/>
      <c r="AB126" s="614"/>
    </row>
    <row r="127" spans="1:38" ht="21.6" customHeight="1">
      <c r="A127" s="589">
        <v>42064</v>
      </c>
      <c r="B127" s="606">
        <v>4449.7476041728087</v>
      </c>
      <c r="C127" s="606">
        <v>47517.731696131472</v>
      </c>
      <c r="D127" s="606">
        <v>12650.82660702057</v>
      </c>
      <c r="E127" s="607">
        <v>64618.305907324851</v>
      </c>
      <c r="F127" s="606">
        <v>319010.4342419267</v>
      </c>
      <c r="G127" s="606">
        <v>13194.9098727324</v>
      </c>
      <c r="H127" s="606">
        <v>89878.736476133607</v>
      </c>
      <c r="I127" s="606">
        <v>604.83257995779968</v>
      </c>
      <c r="J127" s="606">
        <v>321443.09934415459</v>
      </c>
      <c r="K127" s="607">
        <v>744132.01251490507</v>
      </c>
      <c r="L127" s="608">
        <v>22775.731356741493</v>
      </c>
      <c r="M127" s="606">
        <v>48762.891840431017</v>
      </c>
      <c r="N127" s="606">
        <v>0</v>
      </c>
      <c r="O127" s="607">
        <v>71538.623197172506</v>
      </c>
      <c r="P127" s="606">
        <v>837.05014994999988</v>
      </c>
      <c r="Q127" s="606">
        <v>4207.8137703700013</v>
      </c>
      <c r="R127" s="606">
        <v>269723.75073279109</v>
      </c>
      <c r="S127" s="606">
        <v>3372.4781010728543</v>
      </c>
      <c r="T127" s="609">
        <v>278141.09275418392</v>
      </c>
      <c r="U127" s="610">
        <v>45104.057822078292</v>
      </c>
      <c r="V127" s="606">
        <v>1987.9562750494242</v>
      </c>
      <c r="W127" s="611">
        <v>56699.155656277457</v>
      </c>
      <c r="X127" s="612">
        <v>1262221.2041269913</v>
      </c>
      <c r="Y127" s="613">
        <v>88599.906417803009</v>
      </c>
      <c r="AA127" s="614"/>
      <c r="AB127" s="614"/>
    </row>
    <row r="128" spans="1:38" ht="21.6" customHeight="1">
      <c r="A128" s="589">
        <v>42095</v>
      </c>
      <c r="B128" s="606">
        <v>4978.3235708260127</v>
      </c>
      <c r="C128" s="606">
        <v>48730.192411207536</v>
      </c>
      <c r="D128" s="606">
        <v>11885.349935664692</v>
      </c>
      <c r="E128" s="607">
        <v>65593.865917698233</v>
      </c>
      <c r="F128" s="606">
        <v>331639.16668903478</v>
      </c>
      <c r="G128" s="606">
        <v>10155.407412508752</v>
      </c>
      <c r="H128" s="606">
        <v>90526.794890186822</v>
      </c>
      <c r="I128" s="606">
        <v>400.98453939155047</v>
      </c>
      <c r="J128" s="606">
        <v>305405.97173065192</v>
      </c>
      <c r="K128" s="607">
        <v>738128.32526177377</v>
      </c>
      <c r="L128" s="608">
        <v>22871.83761205207</v>
      </c>
      <c r="M128" s="606">
        <v>50651.450769147217</v>
      </c>
      <c r="N128" s="606">
        <v>0</v>
      </c>
      <c r="O128" s="607">
        <v>73523.288381199294</v>
      </c>
      <c r="P128" s="606">
        <v>933.07250800999998</v>
      </c>
      <c r="Q128" s="606">
        <v>4083.0272215</v>
      </c>
      <c r="R128" s="606">
        <v>266426.81588494434</v>
      </c>
      <c r="S128" s="606">
        <v>2901.5090085943002</v>
      </c>
      <c r="T128" s="609">
        <v>274344.42462304869</v>
      </c>
      <c r="U128" s="610">
        <v>39438.014354035775</v>
      </c>
      <c r="V128" s="606">
        <v>3080.787987128786</v>
      </c>
      <c r="W128" s="611">
        <v>56148.738162947397</v>
      </c>
      <c r="X128" s="612">
        <v>1250257.4446878321</v>
      </c>
      <c r="Y128" s="613">
        <v>82150.112358648505</v>
      </c>
      <c r="AA128" s="614"/>
      <c r="AB128" s="614"/>
    </row>
    <row r="129" spans="1:57" ht="21.6" customHeight="1">
      <c r="A129" s="589">
        <v>42125</v>
      </c>
      <c r="B129" s="606">
        <v>4160.0451258495286</v>
      </c>
      <c r="C129" s="606">
        <v>46801.404808395993</v>
      </c>
      <c r="D129" s="606">
        <v>15268.735002714959</v>
      </c>
      <c r="E129" s="607">
        <v>66230.18493696049</v>
      </c>
      <c r="F129" s="606">
        <v>291425.92654686864</v>
      </c>
      <c r="G129" s="606">
        <v>13775.837362444399</v>
      </c>
      <c r="H129" s="606">
        <v>86491.289501565523</v>
      </c>
      <c r="I129" s="606">
        <v>439.67506363855654</v>
      </c>
      <c r="J129" s="606">
        <v>293251.29033557267</v>
      </c>
      <c r="K129" s="607">
        <v>685384.01881008968</v>
      </c>
      <c r="L129" s="608">
        <v>23015.673915492593</v>
      </c>
      <c r="M129" s="606">
        <v>53041.289763508299</v>
      </c>
      <c r="N129" s="606">
        <v>0</v>
      </c>
      <c r="O129" s="607">
        <v>76056.963679000895</v>
      </c>
      <c r="P129" s="606">
        <v>952.68595091999998</v>
      </c>
      <c r="Q129" s="606">
        <v>4099.1001657300003</v>
      </c>
      <c r="R129" s="606">
        <v>266435.07649085496</v>
      </c>
      <c r="S129" s="606">
        <v>2940.4089577793466</v>
      </c>
      <c r="T129" s="609">
        <v>274427.27156528435</v>
      </c>
      <c r="U129" s="610">
        <v>38892.542777977214</v>
      </c>
      <c r="V129" s="606">
        <v>2131.0275963038389</v>
      </c>
      <c r="W129" s="611">
        <v>53234.479909467227</v>
      </c>
      <c r="X129" s="612">
        <v>1196356.4892750836</v>
      </c>
      <c r="Y129" s="613">
        <v>82126.880468885531</v>
      </c>
      <c r="AA129" s="614"/>
      <c r="AB129" s="614"/>
    </row>
    <row r="130" spans="1:57" ht="21.6" customHeight="1">
      <c r="A130" s="589">
        <v>42156</v>
      </c>
      <c r="B130" s="606">
        <v>4382.5595780579861</v>
      </c>
      <c r="C130" s="606">
        <v>48452.474201602265</v>
      </c>
      <c r="D130" s="606">
        <v>18882.365288663474</v>
      </c>
      <c r="E130" s="607">
        <v>71717.399068323721</v>
      </c>
      <c r="F130" s="606">
        <v>277584.79123526294</v>
      </c>
      <c r="G130" s="606">
        <v>11677.135575557837</v>
      </c>
      <c r="H130" s="606">
        <v>85249.06320567544</v>
      </c>
      <c r="I130" s="606">
        <v>451.37073547571742</v>
      </c>
      <c r="J130" s="606">
        <v>288812.91085779545</v>
      </c>
      <c r="K130" s="607">
        <v>663775.27160976734</v>
      </c>
      <c r="L130" s="608">
        <v>24312.420672213637</v>
      </c>
      <c r="M130" s="606">
        <v>51045.987499749979</v>
      </c>
      <c r="N130" s="606">
        <v>0</v>
      </c>
      <c r="O130" s="607">
        <v>75358.408171963616</v>
      </c>
      <c r="P130" s="606">
        <v>975.87733921000006</v>
      </c>
      <c r="Q130" s="606">
        <v>3984.3610223699984</v>
      </c>
      <c r="R130" s="606">
        <v>267201.28654745989</v>
      </c>
      <c r="S130" s="606">
        <v>3104.5373864047438</v>
      </c>
      <c r="T130" s="609">
        <v>275266.06229544466</v>
      </c>
      <c r="U130" s="610">
        <v>41427.287141513545</v>
      </c>
      <c r="V130" s="606">
        <v>2148.0480161570995</v>
      </c>
      <c r="W130" s="611">
        <v>53630.358331788571</v>
      </c>
      <c r="X130" s="612">
        <v>1183322.8346349585</v>
      </c>
      <c r="Y130" s="613">
        <v>79335.383138803241</v>
      </c>
      <c r="AA130" s="614"/>
      <c r="AB130" s="614"/>
    </row>
    <row r="131" spans="1:57" ht="9.75" customHeight="1" thickBot="1">
      <c r="A131" s="615"/>
      <c r="B131" s="616"/>
      <c r="C131" s="617"/>
      <c r="D131" s="617"/>
      <c r="E131" s="618"/>
      <c r="F131" s="619"/>
      <c r="G131" s="617"/>
      <c r="H131" s="617"/>
      <c r="I131" s="617"/>
      <c r="J131" s="617"/>
      <c r="K131" s="618"/>
      <c r="L131" s="619"/>
      <c r="M131" s="617"/>
      <c r="N131" s="617"/>
      <c r="O131" s="618"/>
      <c r="P131" s="619"/>
      <c r="Q131" s="617"/>
      <c r="R131" s="617"/>
      <c r="S131" s="617"/>
      <c r="T131" s="618"/>
      <c r="U131" s="620"/>
      <c r="V131" s="616"/>
      <c r="W131" s="621"/>
      <c r="X131" s="622"/>
      <c r="Y131" s="623"/>
    </row>
    <row r="132" spans="1:57" ht="17.100000000000001" customHeight="1" thickTop="1">
      <c r="A132" s="624" t="s">
        <v>2343</v>
      </c>
      <c r="K132" s="625" t="s">
        <v>2344</v>
      </c>
      <c r="L132" s="626"/>
      <c r="N132" s="588"/>
      <c r="O132" s="626"/>
      <c r="R132" s="624"/>
      <c r="S132" s="588"/>
      <c r="U132" s="588"/>
      <c r="V132" s="588"/>
      <c r="W132" s="627"/>
      <c r="X132" s="588"/>
    </row>
    <row r="133" spans="1:57" ht="17.100000000000001" customHeight="1">
      <c r="A133" s="624" t="s">
        <v>2345</v>
      </c>
      <c r="K133" s="628" t="s">
        <v>2346</v>
      </c>
      <c r="L133" s="626"/>
      <c r="N133" s="588"/>
      <c r="O133" s="626"/>
      <c r="R133" s="624"/>
      <c r="S133" s="588"/>
      <c r="U133" s="588"/>
      <c r="V133" s="588"/>
      <c r="W133" s="627"/>
      <c r="X133" s="588"/>
      <c r="Z133" s="588"/>
      <c r="AA133" s="588"/>
      <c r="AB133" s="588"/>
      <c r="AC133" s="588"/>
      <c r="AD133" s="588"/>
      <c r="AE133" s="588"/>
    </row>
    <row r="134" spans="1:57" ht="17.100000000000001" customHeight="1">
      <c r="A134" s="629" t="s">
        <v>2053</v>
      </c>
      <c r="B134" s="588"/>
      <c r="C134" s="588"/>
      <c r="D134" s="588"/>
      <c r="E134" s="588"/>
      <c r="F134" s="588"/>
      <c r="G134" s="588"/>
      <c r="H134" s="588"/>
      <c r="I134" s="588"/>
      <c r="J134" s="588"/>
      <c r="K134" s="588"/>
      <c r="L134" s="588"/>
      <c r="M134" s="630"/>
      <c r="N134" s="588"/>
      <c r="O134" s="588"/>
      <c r="P134" s="631"/>
      <c r="Q134" s="588"/>
      <c r="R134" s="588"/>
      <c r="S134" s="588"/>
      <c r="T134" s="588"/>
      <c r="U134" s="588"/>
      <c r="V134" s="588"/>
      <c r="W134" s="588"/>
      <c r="X134" s="588"/>
      <c r="Y134" s="588"/>
      <c r="Z134" s="632"/>
      <c r="AA134" s="632"/>
      <c r="AB134" s="632"/>
      <c r="AC134" s="632"/>
      <c r="AD134" s="632"/>
      <c r="AE134" s="632"/>
      <c r="AF134" s="632"/>
      <c r="AG134" s="632"/>
      <c r="AH134" s="632"/>
      <c r="AI134" s="632"/>
      <c r="AJ134" s="632"/>
      <c r="AK134" s="632"/>
      <c r="AL134" s="632"/>
      <c r="AM134" s="632"/>
      <c r="AN134" s="632"/>
      <c r="AO134" s="632"/>
      <c r="AP134" s="632"/>
      <c r="AQ134" s="632"/>
      <c r="AR134" s="632"/>
      <c r="AS134" s="632"/>
      <c r="AT134" s="632"/>
      <c r="AU134" s="632"/>
      <c r="AV134" s="632"/>
      <c r="AW134" s="632"/>
      <c r="AX134" s="632"/>
      <c r="AY134" s="632"/>
      <c r="AZ134" s="632"/>
      <c r="BA134" s="632"/>
      <c r="BB134" s="632"/>
      <c r="BC134" s="632"/>
      <c r="BD134" s="632"/>
      <c r="BE134" s="632"/>
    </row>
    <row r="135" spans="1:57" ht="17.100000000000001" customHeight="1">
      <c r="A135" s="629"/>
      <c r="B135" s="588"/>
      <c r="C135" s="588"/>
      <c r="D135" s="588"/>
      <c r="E135" s="588"/>
      <c r="F135" s="588"/>
      <c r="G135" s="588"/>
      <c r="H135" s="588"/>
      <c r="I135" s="588"/>
      <c r="J135" s="588"/>
      <c r="K135" s="588"/>
      <c r="L135" s="588"/>
      <c r="M135" s="630"/>
      <c r="N135" s="588"/>
      <c r="O135" s="588"/>
      <c r="P135" s="631"/>
      <c r="Q135" s="588"/>
      <c r="R135" s="588"/>
      <c r="S135" s="588"/>
      <c r="T135" s="588"/>
      <c r="U135" s="588"/>
      <c r="V135" s="588"/>
      <c r="W135" s="588"/>
      <c r="X135" s="588"/>
      <c r="Y135" s="588"/>
      <c r="Z135" s="632"/>
      <c r="AA135" s="632"/>
      <c r="AB135" s="632"/>
      <c r="AC135" s="632"/>
      <c r="AD135" s="632"/>
      <c r="AE135" s="632"/>
      <c r="AF135" s="632"/>
      <c r="AG135" s="632"/>
      <c r="AH135" s="632"/>
      <c r="AI135" s="632"/>
      <c r="AJ135" s="632"/>
      <c r="AK135" s="632"/>
      <c r="AL135" s="632"/>
      <c r="AM135" s="632"/>
      <c r="AN135" s="632"/>
      <c r="AO135" s="632"/>
      <c r="AP135" s="632"/>
      <c r="AQ135" s="632"/>
      <c r="AR135" s="632"/>
      <c r="AS135" s="632"/>
      <c r="AT135" s="632"/>
      <c r="AU135" s="632"/>
      <c r="AV135" s="632"/>
      <c r="AW135" s="632"/>
      <c r="AX135" s="632"/>
      <c r="AY135" s="632"/>
      <c r="AZ135" s="632"/>
      <c r="BA135" s="632"/>
      <c r="BB135" s="632"/>
      <c r="BC135" s="632"/>
      <c r="BD135" s="632"/>
      <c r="BE135" s="632"/>
    </row>
    <row r="136" spans="1:57" ht="17.100000000000001" customHeight="1">
      <c r="A136" s="633"/>
      <c r="B136" s="632"/>
      <c r="C136" s="632"/>
      <c r="D136" s="632"/>
      <c r="E136" s="632"/>
      <c r="F136" s="632"/>
      <c r="G136" s="632"/>
      <c r="H136" s="632"/>
      <c r="I136" s="632"/>
      <c r="J136" s="632"/>
      <c r="K136" s="632"/>
      <c r="L136" s="632"/>
      <c r="M136" s="632"/>
      <c r="N136" s="632"/>
      <c r="O136" s="632"/>
      <c r="P136" s="632"/>
      <c r="Q136" s="632"/>
      <c r="R136" s="632"/>
      <c r="S136" s="632"/>
      <c r="T136" s="632"/>
      <c r="U136" s="632"/>
      <c r="V136" s="632"/>
      <c r="W136" s="632"/>
      <c r="X136" s="632"/>
      <c r="Y136" s="632"/>
      <c r="Z136" s="632"/>
      <c r="AA136" s="632"/>
      <c r="AB136" s="632"/>
      <c r="AC136" s="632"/>
      <c r="AD136" s="632"/>
      <c r="AE136" s="632"/>
      <c r="AF136" s="632"/>
      <c r="AG136" s="632"/>
      <c r="AH136" s="632"/>
      <c r="AI136" s="632"/>
      <c r="AJ136" s="632"/>
      <c r="AK136" s="632"/>
      <c r="AL136" s="632"/>
      <c r="AM136" s="632"/>
      <c r="AN136" s="632"/>
      <c r="AO136" s="632"/>
      <c r="AP136" s="632"/>
      <c r="AQ136" s="632"/>
      <c r="AR136" s="632"/>
      <c r="AS136" s="632"/>
      <c r="AT136" s="632"/>
      <c r="AU136" s="632"/>
      <c r="AV136" s="632"/>
      <c r="AW136" s="632"/>
      <c r="AX136" s="632"/>
      <c r="AY136" s="632"/>
    </row>
    <row r="137" spans="1:57" ht="17.100000000000001" customHeight="1">
      <c r="A137" s="3161" t="s">
        <v>2347</v>
      </c>
      <c r="B137" s="3161"/>
      <c r="C137" s="3161"/>
      <c r="D137" s="3161"/>
      <c r="E137" s="3161"/>
      <c r="F137" s="3161"/>
      <c r="G137" s="3161"/>
      <c r="H137" s="3161"/>
      <c r="I137" s="3161"/>
      <c r="J137" s="3161"/>
      <c r="K137" s="3161"/>
      <c r="L137" s="3161"/>
      <c r="M137" s="3161"/>
      <c r="N137" s="3161"/>
      <c r="O137" s="3161"/>
      <c r="P137" s="3161"/>
      <c r="Q137" s="3161"/>
      <c r="R137" s="3161"/>
      <c r="S137" s="630"/>
      <c r="T137" s="588"/>
      <c r="U137" s="588"/>
      <c r="V137" s="588"/>
      <c r="W137" s="588"/>
      <c r="X137" s="588"/>
      <c r="Y137" s="588"/>
    </row>
    <row r="138" spans="1:57" ht="17.100000000000001" customHeight="1" thickBot="1">
      <c r="R138" s="543" t="s">
        <v>49</v>
      </c>
      <c r="Y138" s="632"/>
      <c r="Z138" s="588"/>
      <c r="AA138" s="588"/>
      <c r="AB138" s="588"/>
      <c r="AC138" s="588"/>
      <c r="AD138" s="588"/>
      <c r="AE138" s="588"/>
    </row>
    <row r="139" spans="1:57" ht="17.100000000000001" customHeight="1" thickTop="1" thickBot="1">
      <c r="A139" s="544" t="s">
        <v>2298</v>
      </c>
      <c r="B139" s="634" t="s">
        <v>2348</v>
      </c>
      <c r="C139" s="548" t="s">
        <v>2349</v>
      </c>
      <c r="D139" s="548"/>
      <c r="E139" s="548"/>
      <c r="F139" s="548"/>
      <c r="G139" s="549"/>
      <c r="H139" s="635" t="s">
        <v>2314</v>
      </c>
      <c r="I139" s="635" t="s">
        <v>2350</v>
      </c>
      <c r="J139" s="635" t="s">
        <v>21</v>
      </c>
      <c r="K139" s="3162" t="s">
        <v>2351</v>
      </c>
      <c r="L139" s="3163"/>
      <c r="M139" s="635" t="s">
        <v>2316</v>
      </c>
      <c r="N139" s="635" t="s">
        <v>2168</v>
      </c>
      <c r="O139" s="636" t="s">
        <v>54</v>
      </c>
      <c r="P139" s="637" t="s">
        <v>2307</v>
      </c>
      <c r="Q139" s="635" t="s">
        <v>2321</v>
      </c>
      <c r="R139" s="636" t="s">
        <v>2338</v>
      </c>
      <c r="S139" s="588"/>
      <c r="T139" s="588"/>
      <c r="U139" s="588"/>
      <c r="V139" s="588"/>
      <c r="W139" s="588"/>
      <c r="X139" s="588"/>
      <c r="Y139" s="588"/>
    </row>
    <row r="140" spans="1:57" ht="17.100000000000001" customHeight="1">
      <c r="A140" s="554" t="s">
        <v>118</v>
      </c>
      <c r="B140" s="638" t="s">
        <v>2330</v>
      </c>
      <c r="C140" s="639" t="s">
        <v>2352</v>
      </c>
      <c r="D140" s="640" t="s">
        <v>2353</v>
      </c>
      <c r="E140" s="640" t="s">
        <v>2354</v>
      </c>
      <c r="F140" s="640" t="s">
        <v>2311</v>
      </c>
      <c r="G140" s="641" t="s">
        <v>81</v>
      </c>
      <c r="H140" s="642" t="s">
        <v>2355</v>
      </c>
      <c r="I140" s="642" t="s">
        <v>21</v>
      </c>
      <c r="J140" s="642" t="s">
        <v>2356</v>
      </c>
      <c r="K140" s="639" t="s">
        <v>2093</v>
      </c>
      <c r="L140" s="640" t="s">
        <v>2093</v>
      </c>
      <c r="M140" s="642" t="s">
        <v>2357</v>
      </c>
      <c r="N140" s="642" t="s">
        <v>2358</v>
      </c>
      <c r="O140" s="643" t="s">
        <v>0</v>
      </c>
      <c r="P140" s="644" t="s">
        <v>2359</v>
      </c>
      <c r="Q140" s="642" t="s">
        <v>2360</v>
      </c>
      <c r="R140" s="643" t="s">
        <v>42</v>
      </c>
    </row>
    <row r="141" spans="1:57" ht="17.100000000000001" customHeight="1">
      <c r="A141" s="554" t="s">
        <v>78</v>
      </c>
      <c r="B141" s="638" t="s">
        <v>2361</v>
      </c>
      <c r="C141" s="645"/>
      <c r="D141" s="646"/>
      <c r="E141" s="646"/>
      <c r="F141" s="646" t="s">
        <v>2362</v>
      </c>
      <c r="G141" s="647"/>
      <c r="H141" s="642"/>
      <c r="I141" s="642"/>
      <c r="J141" s="642" t="s">
        <v>2070</v>
      </c>
      <c r="K141" s="645" t="s">
        <v>2322</v>
      </c>
      <c r="L141" s="646" t="s">
        <v>2339</v>
      </c>
      <c r="M141" s="642"/>
      <c r="N141" s="642"/>
      <c r="O141" s="643"/>
      <c r="P141" s="644" t="s">
        <v>2363</v>
      </c>
      <c r="Q141" s="642"/>
      <c r="R141" s="643"/>
    </row>
    <row r="142" spans="1:57" ht="17.100000000000001" customHeight="1">
      <c r="A142" s="570" t="s">
        <v>42</v>
      </c>
      <c r="B142" s="648"/>
      <c r="C142" s="649"/>
      <c r="D142" s="650"/>
      <c r="E142" s="650"/>
      <c r="F142" s="650" t="s">
        <v>6</v>
      </c>
      <c r="G142" s="651"/>
      <c r="H142" s="652"/>
      <c r="I142" s="652"/>
      <c r="J142" s="652" t="s">
        <v>2075</v>
      </c>
      <c r="K142" s="653" t="s">
        <v>2075</v>
      </c>
      <c r="L142" s="649"/>
      <c r="M142" s="652"/>
      <c r="N142" s="652"/>
      <c r="O142" s="654"/>
      <c r="P142" s="655"/>
      <c r="Q142" s="652"/>
      <c r="R142" s="654"/>
    </row>
    <row r="143" spans="1:57" ht="17.100000000000001" hidden="1" customHeight="1">
      <c r="A143" s="570"/>
      <c r="B143" s="656"/>
      <c r="C143" s="657"/>
      <c r="D143" s="658"/>
      <c r="E143" s="658"/>
      <c r="F143" s="658"/>
      <c r="G143" s="659"/>
      <c r="H143" s="660"/>
      <c r="I143" s="660"/>
      <c r="J143" s="660"/>
      <c r="K143" s="661"/>
      <c r="L143" s="658"/>
      <c r="M143" s="660"/>
      <c r="N143" s="660"/>
      <c r="O143" s="662"/>
      <c r="P143" s="656"/>
      <c r="Q143" s="660"/>
      <c r="R143" s="662"/>
    </row>
    <row r="144" spans="1:57" ht="17.100000000000001" hidden="1" customHeight="1">
      <c r="A144" s="579"/>
      <c r="B144" s="663"/>
      <c r="C144" s="580"/>
      <c r="D144" s="581"/>
      <c r="E144" s="581"/>
      <c r="F144" s="581"/>
      <c r="G144" s="582"/>
      <c r="H144" s="664"/>
      <c r="I144" s="664"/>
      <c r="J144" s="664"/>
      <c r="K144" s="583"/>
      <c r="L144" s="581"/>
      <c r="M144" s="664"/>
      <c r="N144" s="664"/>
      <c r="O144" s="665"/>
      <c r="P144" s="663"/>
      <c r="Q144" s="664"/>
      <c r="R144" s="666"/>
    </row>
    <row r="145" spans="1:18" ht="17.100000000000001" hidden="1" customHeight="1">
      <c r="A145" s="589">
        <v>38507</v>
      </c>
      <c r="B145" s="582">
        <v>33314.3296652313</v>
      </c>
      <c r="C145" s="580">
        <f>12403.7541621657+137.783</f>
        <v>12541.5371621657</v>
      </c>
      <c r="D145" s="580">
        <f>63359.1606115899+1330.64</f>
        <v>64689.800611589897</v>
      </c>
      <c r="E145" s="581">
        <f>46898.3281212962+49.348</f>
        <v>46947.676121296201</v>
      </c>
      <c r="F145" s="580">
        <v>185530.59383451584</v>
      </c>
      <c r="G145" s="582">
        <f>SUM(C145:F145)</f>
        <v>309709.60772956762</v>
      </c>
      <c r="H145" s="663">
        <v>294.13099999999997</v>
      </c>
      <c r="I145" s="663">
        <v>176.06079</v>
      </c>
      <c r="J145" s="667">
        <v>1824.9484996299898</v>
      </c>
      <c r="K145" s="583">
        <v>534.96565491799993</v>
      </c>
      <c r="L145" s="581">
        <v>44451.889366543561</v>
      </c>
      <c r="M145" s="664">
        <v>233.75249338</v>
      </c>
      <c r="N145" s="588">
        <v>26172.337258578093</v>
      </c>
      <c r="O145" s="668">
        <f>B145+G145+H145+I145+J145+K145+L145+M145+N145</f>
        <v>416712.02245784854</v>
      </c>
      <c r="P145" s="663">
        <v>1386.595668385</v>
      </c>
      <c r="Q145" s="664">
        <v>7129.5542757148251</v>
      </c>
      <c r="R145" s="666">
        <v>23605.773775925765</v>
      </c>
    </row>
    <row r="146" spans="1:18" ht="17.100000000000001" hidden="1" customHeight="1">
      <c r="A146" s="589">
        <v>38537</v>
      </c>
      <c r="B146" s="582">
        <v>35655.840129182223</v>
      </c>
      <c r="C146" s="580">
        <f>12403.7318402061+120.368</f>
        <v>12524.0998402061</v>
      </c>
      <c r="D146" s="580">
        <f>63550.0828963899+1150.549</f>
        <v>64700.631896389896</v>
      </c>
      <c r="E146" s="581">
        <f>43427.00470713+48.348</f>
        <v>43475.352707129998</v>
      </c>
      <c r="F146" s="580">
        <v>172578.70953205152</v>
      </c>
      <c r="G146" s="582">
        <f>SUM(C146:F146)</f>
        <v>293278.79397577752</v>
      </c>
      <c r="H146" s="663">
        <v>439.52199999999999</v>
      </c>
      <c r="I146" s="663">
        <v>256.65156100000002</v>
      </c>
      <c r="J146" s="667">
        <v>1965.37868288</v>
      </c>
      <c r="K146" s="583">
        <v>543.55635719600002</v>
      </c>
      <c r="L146" s="581">
        <v>43598.200048683779</v>
      </c>
      <c r="M146" s="664">
        <v>197.56938764999998</v>
      </c>
      <c r="N146" s="588">
        <v>24349.856048317906</v>
      </c>
      <c r="O146" s="668">
        <f>B146+G146+H146+I146+J146+K146+L146+M146+N146</f>
        <v>400285.36819068744</v>
      </c>
      <c r="P146" s="663">
        <v>1212.9483919088393</v>
      </c>
      <c r="Q146" s="664">
        <v>6586.7872792642711</v>
      </c>
      <c r="R146" s="666">
        <v>24238.623600216506</v>
      </c>
    </row>
    <row r="147" spans="1:18" ht="17.100000000000001" hidden="1" customHeight="1">
      <c r="A147" s="589">
        <v>38568</v>
      </c>
      <c r="B147" s="582">
        <v>34807.926521993882</v>
      </c>
      <c r="C147" s="580">
        <v>12270.817540330001</v>
      </c>
      <c r="D147" s="580">
        <v>65173.569934319996</v>
      </c>
      <c r="E147" s="581">
        <v>44538.826833970001</v>
      </c>
      <c r="F147" s="580">
        <v>174702.33705945779</v>
      </c>
      <c r="G147" s="582">
        <v>296685.55136807775</v>
      </c>
      <c r="H147" s="663">
        <v>443.97899999999998</v>
      </c>
      <c r="I147" s="663">
        <v>207.467126107642</v>
      </c>
      <c r="J147" s="667">
        <v>2024.9421581700001</v>
      </c>
      <c r="K147" s="583">
        <v>767.93342603415795</v>
      </c>
      <c r="L147" s="581">
        <v>47846.490397179819</v>
      </c>
      <c r="M147" s="664">
        <v>187.29691399999999</v>
      </c>
      <c r="N147" s="588">
        <v>30819.523098918944</v>
      </c>
      <c r="O147" s="668">
        <v>413791.1100104822</v>
      </c>
      <c r="P147" s="663">
        <v>618.3953475774</v>
      </c>
      <c r="Q147" s="664">
        <v>7438.0409352728529</v>
      </c>
      <c r="R147" s="666">
        <v>24823.17850991038</v>
      </c>
    </row>
    <row r="148" spans="1:18" ht="17.100000000000001" hidden="1" customHeight="1">
      <c r="A148" s="589">
        <v>38599</v>
      </c>
      <c r="B148" s="582">
        <v>34679.337280858068</v>
      </c>
      <c r="C148" s="580">
        <v>13133.051838309999</v>
      </c>
      <c r="D148" s="580">
        <v>65814.825229919996</v>
      </c>
      <c r="E148" s="581">
        <v>45604.084845470003</v>
      </c>
      <c r="F148" s="580">
        <v>168539.09622266487</v>
      </c>
      <c r="G148" s="582">
        <v>293091.05813636485</v>
      </c>
      <c r="H148" s="663">
        <v>471.721</v>
      </c>
      <c r="I148" s="663">
        <v>498.23988800000001</v>
      </c>
      <c r="J148" s="667">
        <v>1941.948607</v>
      </c>
      <c r="K148" s="583">
        <v>376.61374038959997</v>
      </c>
      <c r="L148" s="581">
        <v>70186.567670441116</v>
      </c>
      <c r="M148" s="664">
        <v>299.35067511</v>
      </c>
      <c r="N148" s="588">
        <v>29807.131427826018</v>
      </c>
      <c r="O148" s="668">
        <v>431351.96842598967</v>
      </c>
      <c r="P148" s="663">
        <v>831.60307686940007</v>
      </c>
      <c r="Q148" s="664">
        <v>8289.9490468058011</v>
      </c>
      <c r="R148" s="666">
        <v>24860.211941645201</v>
      </c>
    </row>
    <row r="149" spans="1:18" ht="17.100000000000001" hidden="1" customHeight="1">
      <c r="A149" s="589">
        <v>38629</v>
      </c>
      <c r="B149" s="582">
        <v>34949.918854685537</v>
      </c>
      <c r="C149" s="580">
        <v>13177.965172479997</v>
      </c>
      <c r="D149" s="580">
        <v>65220.554194400014</v>
      </c>
      <c r="E149" s="581">
        <v>46809.53954939</v>
      </c>
      <c r="F149" s="580">
        <v>169555.64450865064</v>
      </c>
      <c r="G149" s="582">
        <v>294763.70342492068</v>
      </c>
      <c r="H149" s="663">
        <v>410.94436300000001</v>
      </c>
      <c r="I149" s="663">
        <v>637.72974366666665</v>
      </c>
      <c r="J149" s="667">
        <v>1919.1523198299999</v>
      </c>
      <c r="K149" s="583">
        <v>345.63559025706667</v>
      </c>
      <c r="L149" s="581">
        <v>68994.12984421193</v>
      </c>
      <c r="M149" s="664">
        <v>188.41700259999999</v>
      </c>
      <c r="N149" s="588">
        <v>28956.235910349227</v>
      </c>
      <c r="O149" s="668">
        <v>431165.8670535211</v>
      </c>
      <c r="P149" s="663">
        <v>827.45719163144372</v>
      </c>
      <c r="Q149" s="664">
        <v>7338.4225083410975</v>
      </c>
      <c r="R149" s="666">
        <v>26421.413142311201</v>
      </c>
    </row>
    <row r="150" spans="1:18" ht="17.100000000000001" hidden="1" customHeight="1">
      <c r="A150" s="589">
        <v>38660</v>
      </c>
      <c r="B150" s="582">
        <v>34569.799230259065</v>
      </c>
      <c r="C150" s="580">
        <v>13508.101885370001</v>
      </c>
      <c r="D150" s="580">
        <v>65724.891629670004</v>
      </c>
      <c r="E150" s="581">
        <v>48167.1976122958</v>
      </c>
      <c r="F150" s="580">
        <v>187200.09959854669</v>
      </c>
      <c r="G150" s="582">
        <v>314600.29072588251</v>
      </c>
      <c r="H150" s="663">
        <v>574.05638999999996</v>
      </c>
      <c r="I150" s="663">
        <v>797.50450000000001</v>
      </c>
      <c r="J150" s="667">
        <v>1909.2033610999999</v>
      </c>
      <c r="K150" s="583">
        <v>979.66696502100001</v>
      </c>
      <c r="L150" s="581">
        <v>64551.397934147477</v>
      </c>
      <c r="M150" s="664">
        <v>171.91533527000001</v>
      </c>
      <c r="N150" s="588">
        <v>32647.344193514655</v>
      </c>
      <c r="O150" s="668">
        <v>450801.17863519466</v>
      </c>
      <c r="P150" s="663">
        <v>856.7</v>
      </c>
      <c r="Q150" s="664">
        <v>7216.3</v>
      </c>
      <c r="R150" s="666">
        <v>27579.4</v>
      </c>
    </row>
    <row r="151" spans="1:18" ht="17.100000000000001" hidden="1" customHeight="1">
      <c r="A151" s="589">
        <v>38690</v>
      </c>
      <c r="B151" s="582">
        <v>34574.420254218647</v>
      </c>
      <c r="C151" s="580">
        <v>14110.53589809</v>
      </c>
      <c r="D151" s="580">
        <v>67501.420431265593</v>
      </c>
      <c r="E151" s="581">
        <v>47244.470643932567</v>
      </c>
      <c r="F151" s="580">
        <v>174181.71096754924</v>
      </c>
      <c r="G151" s="582">
        <v>303038.13794083742</v>
      </c>
      <c r="H151" s="663">
        <v>1010.2077939825701</v>
      </c>
      <c r="I151" s="663">
        <v>1437.3346373766665</v>
      </c>
      <c r="J151" s="667">
        <v>1987.4868184100001</v>
      </c>
      <c r="K151" s="583">
        <v>1076.5130019999999</v>
      </c>
      <c r="L151" s="581">
        <v>64852.58950334743</v>
      </c>
      <c r="M151" s="664">
        <v>166.07655534</v>
      </c>
      <c r="N151" s="588">
        <v>31652.435671702529</v>
      </c>
      <c r="O151" s="668">
        <v>439795.20217721525</v>
      </c>
      <c r="P151" s="663">
        <v>928.4</v>
      </c>
      <c r="Q151" s="664">
        <v>7948.1</v>
      </c>
      <c r="R151" s="666">
        <v>28045.599999999999</v>
      </c>
    </row>
    <row r="152" spans="1:18" ht="17.100000000000001" hidden="1" customHeight="1">
      <c r="A152" s="589">
        <v>38721</v>
      </c>
      <c r="B152" s="582">
        <v>36924.35446157265</v>
      </c>
      <c r="C152" s="580">
        <v>13983.074644281842</v>
      </c>
      <c r="D152" s="580">
        <v>68332.636517339997</v>
      </c>
      <c r="E152" s="581">
        <v>47491.847798671755</v>
      </c>
      <c r="F152" s="580">
        <v>176916.80491587555</v>
      </c>
      <c r="G152" s="582">
        <v>306724.36387616914</v>
      </c>
      <c r="H152" s="663">
        <v>503.04685326176002</v>
      </c>
      <c r="I152" s="663">
        <v>2070.0501545390002</v>
      </c>
      <c r="J152" s="667">
        <v>1888.4039616300001</v>
      </c>
      <c r="K152" s="583">
        <v>158.27166600000001</v>
      </c>
      <c r="L152" s="581">
        <v>60758.515065852342</v>
      </c>
      <c r="M152" s="664">
        <v>183.78642453000001</v>
      </c>
      <c r="N152" s="588">
        <v>31387.622715742345</v>
      </c>
      <c r="O152" s="668">
        <v>440598.41517929721</v>
      </c>
      <c r="P152" s="663">
        <v>1077.9000000000001</v>
      </c>
      <c r="Q152" s="664">
        <v>6275.4</v>
      </c>
      <c r="R152" s="666">
        <v>27917.4</v>
      </c>
    </row>
    <row r="153" spans="1:18" ht="17.100000000000001" hidden="1" customHeight="1">
      <c r="A153" s="589">
        <v>38752</v>
      </c>
      <c r="B153" s="582">
        <v>36627.104248475021</v>
      </c>
      <c r="C153" s="580">
        <v>12790.41216901</v>
      </c>
      <c r="D153" s="580">
        <v>70087.675198149984</v>
      </c>
      <c r="E153" s="581">
        <v>48122.885505840008</v>
      </c>
      <c r="F153" s="580">
        <v>203185.96320741251</v>
      </c>
      <c r="G153" s="582">
        <v>334186.93608041247</v>
      </c>
      <c r="H153" s="663">
        <v>497.67116764000002</v>
      </c>
      <c r="I153" s="663">
        <v>1036.3906663333332</v>
      </c>
      <c r="J153" s="667">
        <v>1878.2635167999999</v>
      </c>
      <c r="K153" s="583">
        <v>123.572222</v>
      </c>
      <c r="L153" s="581">
        <v>61300.669975414079</v>
      </c>
      <c r="M153" s="664">
        <v>237.19258668999998</v>
      </c>
      <c r="N153" s="588">
        <v>31760.560316088995</v>
      </c>
      <c r="O153" s="668">
        <v>467648.36077985395</v>
      </c>
      <c r="P153" s="663">
        <v>1099.9000000000001</v>
      </c>
      <c r="Q153" s="664">
        <v>6848.2</v>
      </c>
      <c r="R153" s="666">
        <v>27361.3</v>
      </c>
    </row>
    <row r="154" spans="1:18" ht="17.100000000000001" hidden="1" customHeight="1">
      <c r="A154" s="589">
        <v>38780</v>
      </c>
      <c r="B154" s="582">
        <v>36958.36487863915</v>
      </c>
      <c r="C154" s="580">
        <v>12805.844599700002</v>
      </c>
      <c r="D154" s="580">
        <v>69688.856829174372</v>
      </c>
      <c r="E154" s="581">
        <v>49522.178670157497</v>
      </c>
      <c r="F154" s="580">
        <v>205318.67478298573</v>
      </c>
      <c r="G154" s="582">
        <v>337335.5548820176</v>
      </c>
      <c r="H154" s="663">
        <v>666.22069099999999</v>
      </c>
      <c r="I154" s="663">
        <v>1191.648193</v>
      </c>
      <c r="J154" s="667">
        <v>1783.6481996399998</v>
      </c>
      <c r="K154" s="583">
        <v>119.6611312463</v>
      </c>
      <c r="L154" s="581">
        <v>64140.453085788766</v>
      </c>
      <c r="M154" s="664">
        <v>180.36242061000002</v>
      </c>
      <c r="N154" s="588">
        <v>32254.836692658588</v>
      </c>
      <c r="O154" s="668">
        <v>474630.7501746004</v>
      </c>
      <c r="P154" s="663">
        <v>844.1</v>
      </c>
      <c r="Q154" s="664">
        <v>7712.3</v>
      </c>
      <c r="R154" s="666">
        <v>26934.2</v>
      </c>
    </row>
    <row r="155" spans="1:18" ht="17.100000000000001" hidden="1" customHeight="1">
      <c r="A155" s="589">
        <v>38811</v>
      </c>
      <c r="B155" s="582">
        <v>37789.083059867386</v>
      </c>
      <c r="C155" s="580">
        <v>12339.17701003</v>
      </c>
      <c r="D155" s="580">
        <v>69908.187465793453</v>
      </c>
      <c r="E155" s="581">
        <v>48888.403495937499</v>
      </c>
      <c r="F155" s="580">
        <v>191542.68850449726</v>
      </c>
      <c r="G155" s="582">
        <v>322678.45647625823</v>
      </c>
      <c r="H155" s="663">
        <v>675.66790700000001</v>
      </c>
      <c r="I155" s="663">
        <v>1506.6770185</v>
      </c>
      <c r="J155" s="667">
        <v>1766.0030543200003</v>
      </c>
      <c r="K155" s="583">
        <v>115.39687499999999</v>
      </c>
      <c r="L155" s="581">
        <v>69075.346047901214</v>
      </c>
      <c r="M155" s="664">
        <v>171.32919222999999</v>
      </c>
      <c r="N155" s="588">
        <v>33618.464355409305</v>
      </c>
      <c r="O155" s="668">
        <v>467396.4239864861</v>
      </c>
      <c r="P155" s="663">
        <v>859.50071336691997</v>
      </c>
      <c r="Q155" s="664">
        <v>8681.2519002012414</v>
      </c>
      <c r="R155" s="666">
        <v>26333.643518534278</v>
      </c>
    </row>
    <row r="156" spans="1:18" ht="17.100000000000001" hidden="1" customHeight="1">
      <c r="A156" s="589">
        <v>38841</v>
      </c>
      <c r="B156" s="582">
        <v>36328.548670672157</v>
      </c>
      <c r="C156" s="580">
        <v>12456.594394139998</v>
      </c>
      <c r="D156" s="580">
        <v>69281.615019550009</v>
      </c>
      <c r="E156" s="581">
        <v>49475.622163072505</v>
      </c>
      <c r="F156" s="580">
        <v>208622.99470665227</v>
      </c>
      <c r="G156" s="582">
        <v>339836.82628341479</v>
      </c>
      <c r="H156" s="663">
        <v>608.93604400000004</v>
      </c>
      <c r="I156" s="663">
        <v>920.86022607929999</v>
      </c>
      <c r="J156" s="667">
        <v>1776.53939898</v>
      </c>
      <c r="K156" s="583">
        <v>111.3600499197</v>
      </c>
      <c r="L156" s="581">
        <v>83185.643189479306</v>
      </c>
      <c r="M156" s="664">
        <v>146.50138437999999</v>
      </c>
      <c r="N156" s="588">
        <v>35824.189557003177</v>
      </c>
      <c r="O156" s="668">
        <v>498739.40480392834</v>
      </c>
      <c r="P156" s="663">
        <v>759.54695717229401</v>
      </c>
      <c r="Q156" s="664">
        <v>9110.7840926324461</v>
      </c>
      <c r="R156" s="666">
        <v>26639.475061536417</v>
      </c>
    </row>
    <row r="157" spans="1:18" ht="17.100000000000001" hidden="1" customHeight="1">
      <c r="A157" s="589">
        <v>38872</v>
      </c>
      <c r="B157" s="582">
        <v>35945.678492865554</v>
      </c>
      <c r="C157" s="580">
        <v>14240.402501648103</v>
      </c>
      <c r="D157" s="580">
        <v>70504.164355250003</v>
      </c>
      <c r="E157" s="581">
        <v>50414.439548219998</v>
      </c>
      <c r="F157" s="580">
        <v>208440.57626165368</v>
      </c>
      <c r="G157" s="582">
        <v>343599.58266677184</v>
      </c>
      <c r="H157" s="663">
        <v>841.06467599999996</v>
      </c>
      <c r="I157" s="663">
        <v>1393.282193342762</v>
      </c>
      <c r="J157" s="667">
        <v>1680.85943479</v>
      </c>
      <c r="K157" s="583">
        <v>106.961805</v>
      </c>
      <c r="L157" s="581">
        <v>73413.897162165798</v>
      </c>
      <c r="M157" s="664">
        <v>268.34537397999998</v>
      </c>
      <c r="N157" s="588">
        <v>34041.51757578503</v>
      </c>
      <c r="O157" s="668">
        <v>491291.18938070093</v>
      </c>
      <c r="P157" s="663">
        <v>884.22912759779695</v>
      </c>
      <c r="Q157" s="664">
        <v>9224.5234574953029</v>
      </c>
      <c r="R157" s="666">
        <v>25183.870442024734</v>
      </c>
    </row>
    <row r="158" spans="1:18" ht="17.100000000000001" hidden="1" customHeight="1">
      <c r="A158" s="589">
        <v>38902</v>
      </c>
      <c r="B158" s="582">
        <v>38856.715565693012</v>
      </c>
      <c r="C158" s="580">
        <v>13651.915797934758</v>
      </c>
      <c r="D158" s="580">
        <v>70665.480435509991</v>
      </c>
      <c r="E158" s="581">
        <v>51500.670103259996</v>
      </c>
      <c r="F158" s="580">
        <v>217617.05176535808</v>
      </c>
      <c r="G158" s="582">
        <v>353435.11810206284</v>
      </c>
      <c r="H158" s="663">
        <v>1017.480589</v>
      </c>
      <c r="I158" s="663">
        <v>789.3799865574</v>
      </c>
      <c r="J158" s="667">
        <v>1663.21851984</v>
      </c>
      <c r="K158" s="583">
        <v>103.833333</v>
      </c>
      <c r="L158" s="581">
        <v>80259.341724990096</v>
      </c>
      <c r="M158" s="664">
        <v>184.77071556000001</v>
      </c>
      <c r="N158" s="588">
        <v>33472.357200486753</v>
      </c>
      <c r="O158" s="668">
        <v>509782.2157371901</v>
      </c>
      <c r="P158" s="663">
        <v>811.86053165465</v>
      </c>
      <c r="Q158" s="664">
        <v>9500.8478939076012</v>
      </c>
      <c r="R158" s="666">
        <v>24376.632046391231</v>
      </c>
    </row>
    <row r="159" spans="1:18" ht="17.100000000000001" hidden="1" customHeight="1">
      <c r="A159" s="589">
        <v>38933</v>
      </c>
      <c r="B159" s="582">
        <v>39538.894083582309</v>
      </c>
      <c r="C159" s="580">
        <v>14606.158464992388</v>
      </c>
      <c r="D159" s="580">
        <v>71360.13975301999</v>
      </c>
      <c r="E159" s="581">
        <v>52029.152807316896</v>
      </c>
      <c r="F159" s="580">
        <v>222634.03862917353</v>
      </c>
      <c r="G159" s="582">
        <v>360629.48965450283</v>
      </c>
      <c r="H159" s="663">
        <v>763.323081</v>
      </c>
      <c r="I159" s="663">
        <v>1007.0960447402</v>
      </c>
      <c r="J159" s="667">
        <v>2103.03426756</v>
      </c>
      <c r="K159" s="583">
        <v>103.34861594253333</v>
      </c>
      <c r="L159" s="581">
        <v>83111.495058473738</v>
      </c>
      <c r="M159" s="664">
        <v>185.93523019999998</v>
      </c>
      <c r="N159" s="588">
        <v>34806.996549945376</v>
      </c>
      <c r="O159" s="668">
        <v>522249.61258594698</v>
      </c>
      <c r="P159" s="663">
        <v>909.05931357014083</v>
      </c>
      <c r="Q159" s="664">
        <v>11204.916419407582</v>
      </c>
      <c r="R159" s="666">
        <v>24534.506904093349</v>
      </c>
    </row>
    <row r="160" spans="1:18" ht="17.100000000000001" hidden="1" customHeight="1">
      <c r="A160" s="589">
        <v>38964</v>
      </c>
      <c r="B160" s="582">
        <v>38415.680143325524</v>
      </c>
      <c r="C160" s="580">
        <v>14755.339781037763</v>
      </c>
      <c r="D160" s="580">
        <v>70865.407833656151</v>
      </c>
      <c r="E160" s="581">
        <v>52258.20919070152</v>
      </c>
      <c r="F160" s="580">
        <v>246474.22319282172</v>
      </c>
      <c r="G160" s="582">
        <v>384353.17999821715</v>
      </c>
      <c r="H160" s="663">
        <v>576.47537799999998</v>
      </c>
      <c r="I160" s="663">
        <v>1542.863464</v>
      </c>
      <c r="J160" s="667">
        <v>1645.1564350599999</v>
      </c>
      <c r="K160" s="583">
        <v>99.100597968799988</v>
      </c>
      <c r="L160" s="581">
        <v>82272.749120402979</v>
      </c>
      <c r="M160" s="664">
        <v>409.62573135000002</v>
      </c>
      <c r="N160" s="588">
        <v>38681.221334301532</v>
      </c>
      <c r="O160" s="668">
        <v>547996.0522026259</v>
      </c>
      <c r="P160" s="663">
        <v>784.88532452712388</v>
      </c>
      <c r="Q160" s="664">
        <v>13396.544971753299</v>
      </c>
      <c r="R160" s="666">
        <v>24891.347758025375</v>
      </c>
    </row>
    <row r="161" spans="1:18" ht="17.100000000000001" hidden="1" customHeight="1">
      <c r="A161" s="589">
        <v>38994</v>
      </c>
      <c r="B161" s="582">
        <v>39183.210187195349</v>
      </c>
      <c r="C161" s="580">
        <v>13763.312606333302</v>
      </c>
      <c r="D161" s="580">
        <v>70353.759731990474</v>
      </c>
      <c r="E161" s="581">
        <v>52952.367946641803</v>
      </c>
      <c r="F161" s="580">
        <v>247893.75165553577</v>
      </c>
      <c r="G161" s="582">
        <v>384963.19194050133</v>
      </c>
      <c r="H161" s="663">
        <v>1942.4446660000001</v>
      </c>
      <c r="I161" s="663">
        <v>1525.3531800000001</v>
      </c>
      <c r="J161" s="667">
        <v>1544.2456067999999</v>
      </c>
      <c r="K161" s="583">
        <v>99.152777</v>
      </c>
      <c r="L161" s="581">
        <v>85273.871437792142</v>
      </c>
      <c r="M161" s="664">
        <v>181.78692365000001</v>
      </c>
      <c r="N161" s="588">
        <v>38968.708448031422</v>
      </c>
      <c r="O161" s="668">
        <v>553681.96516697027</v>
      </c>
      <c r="P161" s="663">
        <v>948.10002470860195</v>
      </c>
      <c r="Q161" s="664">
        <v>14847.023643733521</v>
      </c>
      <c r="R161" s="666">
        <v>25647.676949284843</v>
      </c>
    </row>
    <row r="162" spans="1:18" ht="17.100000000000001" hidden="1" customHeight="1">
      <c r="A162" s="589">
        <v>39025</v>
      </c>
      <c r="B162" s="582">
        <v>39628.254322696332</v>
      </c>
      <c r="C162" s="580">
        <v>14530.925454881601</v>
      </c>
      <c r="D162" s="580">
        <v>70805.037313051493</v>
      </c>
      <c r="E162" s="581">
        <v>52101.017588882773</v>
      </c>
      <c r="F162" s="580">
        <v>272561.67765062919</v>
      </c>
      <c r="G162" s="582">
        <v>409998.65800744505</v>
      </c>
      <c r="H162" s="663">
        <v>1735.303161</v>
      </c>
      <c r="I162" s="663">
        <v>1552.3153500000001</v>
      </c>
      <c r="J162" s="667">
        <v>1541.1359628</v>
      </c>
      <c r="K162" s="583">
        <v>90.284722000000002</v>
      </c>
      <c r="L162" s="581">
        <v>83848.779267479214</v>
      </c>
      <c r="M162" s="664">
        <v>195.18050628</v>
      </c>
      <c r="N162" s="588">
        <v>41365.106218092849</v>
      </c>
      <c r="O162" s="668">
        <v>579955.01751779357</v>
      </c>
      <c r="P162" s="663">
        <v>920.66912907108997</v>
      </c>
      <c r="Q162" s="664">
        <v>14385.066447959533</v>
      </c>
      <c r="R162" s="666">
        <v>26797.138012394582</v>
      </c>
    </row>
    <row r="163" spans="1:18" ht="17.100000000000001" hidden="1" customHeight="1">
      <c r="A163" s="589">
        <v>39055</v>
      </c>
      <c r="B163" s="582">
        <v>38264.265274796315</v>
      </c>
      <c r="C163" s="580">
        <v>15094.59161351</v>
      </c>
      <c r="D163" s="580">
        <v>72630.524212953576</v>
      </c>
      <c r="E163" s="581">
        <v>52007.626654745</v>
      </c>
      <c r="F163" s="580">
        <v>299459.55919592892</v>
      </c>
      <c r="G163" s="582">
        <v>439192.3016771375</v>
      </c>
      <c r="H163" s="663">
        <v>1942.5017720000001</v>
      </c>
      <c r="I163" s="663">
        <v>922.40969308000001</v>
      </c>
      <c r="J163" s="667">
        <v>1535.6781856100001</v>
      </c>
      <c r="K163" s="583">
        <v>1710.8034720000001</v>
      </c>
      <c r="L163" s="581">
        <v>85821.266988164993</v>
      </c>
      <c r="M163" s="664">
        <v>188.93912783999997</v>
      </c>
      <c r="N163" s="588">
        <v>39696.624835439325</v>
      </c>
      <c r="O163" s="668">
        <v>609274.79102606804</v>
      </c>
      <c r="P163" s="663">
        <v>1036.9925128875</v>
      </c>
      <c r="Q163" s="664">
        <v>14817.26762307225</v>
      </c>
      <c r="R163" s="666">
        <v>26745.332369011503</v>
      </c>
    </row>
    <row r="164" spans="1:18" ht="17.100000000000001" hidden="1" customHeight="1">
      <c r="A164" s="589">
        <v>39086</v>
      </c>
      <c r="B164" s="582">
        <v>41237.896880329274</v>
      </c>
      <c r="C164" s="580">
        <v>14926.672092806451</v>
      </c>
      <c r="D164" s="580">
        <v>72075.320443250006</v>
      </c>
      <c r="E164" s="581">
        <v>52383.656059624169</v>
      </c>
      <c r="F164" s="580">
        <v>273912.26782859705</v>
      </c>
      <c r="G164" s="582">
        <v>413297.9164242777</v>
      </c>
      <c r="H164" s="663">
        <v>495.6</v>
      </c>
      <c r="I164" s="663">
        <v>2034.7150406097501</v>
      </c>
      <c r="J164" s="667">
        <v>1439.55187161</v>
      </c>
      <c r="K164" s="583">
        <v>84.233287000000004</v>
      </c>
      <c r="L164" s="581">
        <v>82434.071374812906</v>
      </c>
      <c r="M164" s="664">
        <v>394.68905271000006</v>
      </c>
      <c r="N164" s="588">
        <v>37759.681166899434</v>
      </c>
      <c r="O164" s="668">
        <v>579178.35509824904</v>
      </c>
      <c r="P164" s="663">
        <v>894.8075234487676</v>
      </c>
      <c r="Q164" s="664">
        <v>20719.872950271463</v>
      </c>
      <c r="R164" s="666">
        <v>27121.786636066317</v>
      </c>
    </row>
    <row r="165" spans="1:18" ht="17.100000000000001" hidden="1" customHeight="1">
      <c r="A165" s="589">
        <v>39117</v>
      </c>
      <c r="B165" s="582">
        <v>39361.552037328802</v>
      </c>
      <c r="C165" s="580">
        <v>15969.821559922933</v>
      </c>
      <c r="D165" s="580">
        <v>73475.119023290012</v>
      </c>
      <c r="E165" s="581">
        <v>52703.943840727508</v>
      </c>
      <c r="F165" s="580">
        <v>275346.52046434314</v>
      </c>
      <c r="G165" s="582">
        <v>417495.40488828358</v>
      </c>
      <c r="H165" s="663">
        <v>1432.41155</v>
      </c>
      <c r="I165" s="663">
        <v>596.00466031999997</v>
      </c>
      <c r="J165" s="667">
        <v>1437.4964736100001</v>
      </c>
      <c r="K165" s="583">
        <v>87.513453148183331</v>
      </c>
      <c r="L165" s="581">
        <v>82689.254730108049</v>
      </c>
      <c r="M165" s="664">
        <v>202.66117700000001</v>
      </c>
      <c r="N165" s="588">
        <v>38679.908281309705</v>
      </c>
      <c r="O165" s="668">
        <v>581982.20725110837</v>
      </c>
      <c r="P165" s="663">
        <v>634.22318991004317</v>
      </c>
      <c r="Q165" s="664">
        <v>13048.87204747268</v>
      </c>
      <c r="R165" s="666">
        <v>27789.450119973182</v>
      </c>
    </row>
    <row r="166" spans="1:18" ht="17.100000000000001" hidden="1" customHeight="1">
      <c r="A166" s="589">
        <v>39145</v>
      </c>
      <c r="B166" s="582">
        <v>39093.285654012958</v>
      </c>
      <c r="C166" s="580">
        <v>15971.881930221802</v>
      </c>
      <c r="D166" s="580">
        <v>73118.177204579988</v>
      </c>
      <c r="E166" s="581">
        <v>54628.388704122393</v>
      </c>
      <c r="F166" s="580">
        <v>283611.89338598202</v>
      </c>
      <c r="G166" s="582">
        <v>427330.34122490621</v>
      </c>
      <c r="H166" s="663">
        <v>1260.2740650000001</v>
      </c>
      <c r="I166" s="663">
        <v>1166.8732867342976</v>
      </c>
      <c r="J166" s="667">
        <v>1435.15478981</v>
      </c>
      <c r="K166" s="583">
        <v>71.990440748531313</v>
      </c>
      <c r="L166" s="581">
        <v>87663.059775620422</v>
      </c>
      <c r="M166" s="664">
        <v>194.75647052000002</v>
      </c>
      <c r="N166" s="588">
        <v>40042.757555454584</v>
      </c>
      <c r="O166" s="668">
        <v>598258.49326280702</v>
      </c>
      <c r="P166" s="663">
        <v>668.99630235338998</v>
      </c>
      <c r="Q166" s="664">
        <v>13823.225738575306</v>
      </c>
      <c r="R166" s="666">
        <v>26889.231380395693</v>
      </c>
    </row>
    <row r="167" spans="1:18" ht="17.100000000000001" hidden="1" customHeight="1">
      <c r="A167" s="589">
        <v>39176</v>
      </c>
      <c r="B167" s="582">
        <v>40016.14276302675</v>
      </c>
      <c r="C167" s="580">
        <v>16421.777443627736</v>
      </c>
      <c r="D167" s="580">
        <v>73037.387095263563</v>
      </c>
      <c r="E167" s="581">
        <v>54999.42761372737</v>
      </c>
      <c r="F167" s="580">
        <v>282141.28529764002</v>
      </c>
      <c r="G167" s="582">
        <v>426599.8774502587</v>
      </c>
      <c r="H167" s="663">
        <v>1176.9680900000001</v>
      </c>
      <c r="I167" s="663">
        <v>1435.8381945547274</v>
      </c>
      <c r="J167" s="667">
        <v>1340.0286288099999</v>
      </c>
      <c r="K167" s="583">
        <v>856.250001</v>
      </c>
      <c r="L167" s="581">
        <v>86063.911275163235</v>
      </c>
      <c r="M167" s="664">
        <v>172.40133334999999</v>
      </c>
      <c r="N167" s="588">
        <v>40046.096965503864</v>
      </c>
      <c r="O167" s="668">
        <v>597707.51470166724</v>
      </c>
      <c r="P167" s="663">
        <v>616.82661953017669</v>
      </c>
      <c r="Q167" s="664">
        <v>14862.392229500863</v>
      </c>
      <c r="R167" s="666">
        <v>27547.850340083387</v>
      </c>
    </row>
    <row r="168" spans="1:18" ht="17.100000000000001" hidden="1" customHeight="1">
      <c r="A168" s="589">
        <v>39206</v>
      </c>
      <c r="B168" s="582">
        <v>39592.090761160915</v>
      </c>
      <c r="C168" s="580">
        <v>17439.220281897567</v>
      </c>
      <c r="D168" s="580">
        <v>72496.842956805354</v>
      </c>
      <c r="E168" s="581">
        <v>55883.906478431891</v>
      </c>
      <c r="F168" s="580">
        <v>275617.64896454872</v>
      </c>
      <c r="G168" s="582">
        <v>421437.61868168355</v>
      </c>
      <c r="H168" s="663">
        <v>2068.7641610000001</v>
      </c>
      <c r="I168" s="663">
        <v>570.24548286940001</v>
      </c>
      <c r="J168" s="667">
        <v>1339.9668938099999</v>
      </c>
      <c r="K168" s="583">
        <v>3166.3652769999999</v>
      </c>
      <c r="L168" s="581">
        <v>92525.658885445999</v>
      </c>
      <c r="M168" s="664">
        <v>198.01183466999998</v>
      </c>
      <c r="N168" s="588">
        <v>43505.211066319098</v>
      </c>
      <c r="O168" s="668">
        <v>604403.93304395897</v>
      </c>
      <c r="P168" s="663">
        <v>1570.99340514</v>
      </c>
      <c r="Q168" s="664">
        <v>12298.885359942966</v>
      </c>
      <c r="R168" s="666">
        <v>28485.965913041888</v>
      </c>
    </row>
    <row r="169" spans="1:18" ht="17.100000000000001" hidden="1" customHeight="1">
      <c r="A169" s="589">
        <v>39237</v>
      </c>
      <c r="B169" s="582">
        <v>39761.497566172409</v>
      </c>
      <c r="C169" s="580">
        <v>16218.650150268439</v>
      </c>
      <c r="D169" s="580">
        <v>75083.559045704606</v>
      </c>
      <c r="E169" s="581">
        <v>56171.337685987099</v>
      </c>
      <c r="F169" s="580">
        <v>286940.21505947877</v>
      </c>
      <c r="G169" s="582">
        <v>434413.76194143889</v>
      </c>
      <c r="H169" s="663">
        <v>740.66122600000006</v>
      </c>
      <c r="I169" s="663">
        <v>1095.6070701645601</v>
      </c>
      <c r="J169" s="667">
        <v>1337.4968465999998</v>
      </c>
      <c r="K169" s="583">
        <v>2388.9479135000001</v>
      </c>
      <c r="L169" s="581">
        <v>101448.19552319779</v>
      </c>
      <c r="M169" s="664">
        <v>179.19547094999999</v>
      </c>
      <c r="N169" s="588">
        <v>42533.540475688707</v>
      </c>
      <c r="O169" s="668">
        <v>623898.90403371223</v>
      </c>
      <c r="P169" s="663">
        <v>754.09366899313</v>
      </c>
      <c r="Q169" s="664">
        <v>14636.019580593207</v>
      </c>
      <c r="R169" s="666">
        <v>29108.232753626628</v>
      </c>
    </row>
    <row r="170" spans="1:18" ht="17.100000000000001" hidden="1" customHeight="1">
      <c r="A170" s="589">
        <v>39267</v>
      </c>
      <c r="B170" s="582">
        <v>42815.13521403545</v>
      </c>
      <c r="C170" s="580">
        <v>14882.622112465391</v>
      </c>
      <c r="D170" s="580">
        <v>74439.564063894199</v>
      </c>
      <c r="E170" s="581">
        <v>57338.248666217769</v>
      </c>
      <c r="F170" s="580">
        <v>321345.06791420595</v>
      </c>
      <c r="G170" s="582">
        <v>468005.50275678333</v>
      </c>
      <c r="H170" s="663">
        <v>793.87748399999998</v>
      </c>
      <c r="I170" s="663">
        <v>1331.0079938677331</v>
      </c>
      <c r="J170" s="667">
        <v>1240.68604329</v>
      </c>
      <c r="K170" s="583">
        <v>51.508333</v>
      </c>
      <c r="L170" s="581">
        <v>91349.802510185749</v>
      </c>
      <c r="M170" s="664">
        <v>204.43575978000001</v>
      </c>
      <c r="N170" s="588">
        <v>39711.031656833256</v>
      </c>
      <c r="O170" s="668">
        <v>645502.98775177554</v>
      </c>
      <c r="P170" s="663">
        <v>660.59865343611864</v>
      </c>
      <c r="Q170" s="664">
        <v>14579.387111143475</v>
      </c>
      <c r="R170" s="666">
        <v>28445.738697732326</v>
      </c>
    </row>
    <row r="171" spans="1:18" ht="17.100000000000001" hidden="1" customHeight="1">
      <c r="A171" s="589">
        <v>39298</v>
      </c>
      <c r="B171" s="582">
        <v>42107.660789130772</v>
      </c>
      <c r="C171" s="580">
        <v>15038.221269937188</v>
      </c>
      <c r="D171" s="580">
        <v>74510.392492476822</v>
      </c>
      <c r="E171" s="581">
        <v>59252.264913179082</v>
      </c>
      <c r="F171" s="580">
        <v>327309.68400544632</v>
      </c>
      <c r="G171" s="582">
        <v>476110.56268103939</v>
      </c>
      <c r="H171" s="663">
        <v>1200.041553</v>
      </c>
      <c r="I171" s="663">
        <v>2090.1869199770999</v>
      </c>
      <c r="J171" s="667">
        <v>1240.57743891</v>
      </c>
      <c r="K171" s="583">
        <v>47.124304999999993</v>
      </c>
      <c r="L171" s="581">
        <v>97019.453372070886</v>
      </c>
      <c r="M171" s="664">
        <v>262.66118234999999</v>
      </c>
      <c r="N171" s="588">
        <v>42523.403885241409</v>
      </c>
      <c r="O171" s="668">
        <v>662601.6721267195</v>
      </c>
      <c r="P171" s="663">
        <v>1871.4671275974499</v>
      </c>
      <c r="Q171" s="664">
        <v>14424.54493593898</v>
      </c>
      <c r="R171" s="666">
        <v>29897.428364197403</v>
      </c>
    </row>
    <row r="172" spans="1:18" ht="17.100000000000001" hidden="1" customHeight="1">
      <c r="A172" s="589">
        <v>39329</v>
      </c>
      <c r="B172" s="582">
        <v>41351.253952710242</v>
      </c>
      <c r="C172" s="580">
        <v>17698.460957907664</v>
      </c>
      <c r="D172" s="580">
        <v>74643.907522941721</v>
      </c>
      <c r="E172" s="581">
        <v>59005.12241185984</v>
      </c>
      <c r="F172" s="580">
        <v>332024.35019516654</v>
      </c>
      <c r="G172" s="582">
        <v>483371.84108787577</v>
      </c>
      <c r="H172" s="663">
        <v>598.56087500000001</v>
      </c>
      <c r="I172" s="663">
        <v>2428.8150328634665</v>
      </c>
      <c r="J172" s="667">
        <v>1238.2822980000001</v>
      </c>
      <c r="K172" s="583">
        <v>157.33760255819118</v>
      </c>
      <c r="L172" s="581">
        <v>101282.39344934023</v>
      </c>
      <c r="M172" s="664">
        <v>223.00376259999999</v>
      </c>
      <c r="N172" s="588">
        <v>42014.882050474902</v>
      </c>
      <c r="O172" s="668">
        <v>672666.37011142273</v>
      </c>
      <c r="P172" s="663">
        <v>1760.2558156549348</v>
      </c>
      <c r="Q172" s="664">
        <v>15610.524431525258</v>
      </c>
      <c r="R172" s="666">
        <v>30790.800912059651</v>
      </c>
    </row>
    <row r="173" spans="1:18" ht="17.100000000000001" hidden="1" customHeight="1">
      <c r="A173" s="589">
        <v>39359</v>
      </c>
      <c r="B173" s="582">
        <v>41761.875019543375</v>
      </c>
      <c r="C173" s="580">
        <v>17484.290051539319</v>
      </c>
      <c r="D173" s="580">
        <v>74176.35885617754</v>
      </c>
      <c r="E173" s="581">
        <v>60562.157653942711</v>
      </c>
      <c r="F173" s="580">
        <v>334505.25595951884</v>
      </c>
      <c r="G173" s="582">
        <v>486728.06252117839</v>
      </c>
      <c r="H173" s="663">
        <v>550.20000000000005</v>
      </c>
      <c r="I173" s="663">
        <v>1167.161942</v>
      </c>
      <c r="J173" s="667">
        <v>1138.8180956800002</v>
      </c>
      <c r="K173" s="583">
        <v>127.737499</v>
      </c>
      <c r="L173" s="581">
        <v>93162.695088233537</v>
      </c>
      <c r="M173" s="664">
        <v>176.05114791999998</v>
      </c>
      <c r="N173" s="588">
        <v>45414.605347294979</v>
      </c>
      <c r="O173" s="668">
        <v>670227.20666085021</v>
      </c>
      <c r="P173" s="663">
        <v>742.39100515989878</v>
      </c>
      <c r="Q173" s="664">
        <v>18279.364566641376</v>
      </c>
      <c r="R173" s="666">
        <v>32099.461166553127</v>
      </c>
    </row>
    <row r="174" spans="1:18" ht="17.100000000000001" hidden="1" customHeight="1">
      <c r="A174" s="589">
        <v>39390</v>
      </c>
      <c r="B174" s="582">
        <v>41349.790478749084</v>
      </c>
      <c r="C174" s="580">
        <v>17581.012513052476</v>
      </c>
      <c r="D174" s="580">
        <v>75478.222469530127</v>
      </c>
      <c r="E174" s="581">
        <v>62086.77497899274</v>
      </c>
      <c r="F174" s="580">
        <v>369659.41182994132</v>
      </c>
      <c r="G174" s="582">
        <v>524805.42179151671</v>
      </c>
      <c r="H174" s="663">
        <v>1580.2014790000001</v>
      </c>
      <c r="I174" s="663">
        <v>1699.1791639999999</v>
      </c>
      <c r="J174" s="667">
        <v>1138.8181356800001</v>
      </c>
      <c r="K174" s="583">
        <v>122.185832</v>
      </c>
      <c r="L174" s="581">
        <v>97693.564260183644</v>
      </c>
      <c r="M174" s="664">
        <v>194.71733823000002</v>
      </c>
      <c r="N174" s="588">
        <v>45926.496207031982</v>
      </c>
      <c r="O174" s="668">
        <v>714510.37468639144</v>
      </c>
      <c r="P174" s="663">
        <v>1846.1546069188505</v>
      </c>
      <c r="Q174" s="664">
        <v>14067.362827346911</v>
      </c>
      <c r="R174" s="666">
        <v>32088.866855681736</v>
      </c>
    </row>
    <row r="175" spans="1:18" ht="17.100000000000001" hidden="1" customHeight="1">
      <c r="A175" s="589">
        <v>39420</v>
      </c>
      <c r="B175" s="582">
        <v>40608.749888339378</v>
      </c>
      <c r="C175" s="580">
        <v>20988.844513389162</v>
      </c>
      <c r="D175" s="580">
        <v>80058.047623434672</v>
      </c>
      <c r="E175" s="581">
        <v>60979.576944237982</v>
      </c>
      <c r="F175" s="580">
        <v>341766.62186746439</v>
      </c>
      <c r="G175" s="582">
        <v>503793.09094852622</v>
      </c>
      <c r="H175" s="663">
        <v>1688.2</v>
      </c>
      <c r="I175" s="663">
        <v>1179.985846</v>
      </c>
      <c r="J175" s="667">
        <v>1039.8980081</v>
      </c>
      <c r="K175" s="583">
        <v>27.756944000000001</v>
      </c>
      <c r="L175" s="581">
        <v>98714.051315161196</v>
      </c>
      <c r="M175" s="664">
        <v>156.28003122999999</v>
      </c>
      <c r="N175" s="588">
        <v>47550.322329328767</v>
      </c>
      <c r="O175" s="668">
        <v>694758.33531068545</v>
      </c>
      <c r="P175" s="663">
        <v>1915.9548169166123</v>
      </c>
      <c r="Q175" s="664">
        <v>20762.554697381362</v>
      </c>
      <c r="R175" s="666">
        <v>24875.468099713384</v>
      </c>
    </row>
    <row r="176" spans="1:18" ht="17.100000000000001" hidden="1" customHeight="1">
      <c r="A176" s="589">
        <v>39451</v>
      </c>
      <c r="B176" s="582">
        <v>45219.733712550544</v>
      </c>
      <c r="C176" s="580">
        <v>18534.134153139501</v>
      </c>
      <c r="D176" s="580">
        <v>81207.245343740928</v>
      </c>
      <c r="E176" s="581">
        <v>63277.397415653177</v>
      </c>
      <c r="F176" s="580">
        <v>371821.6633845421</v>
      </c>
      <c r="G176" s="582">
        <v>534840.44029707578</v>
      </c>
      <c r="H176" s="663">
        <v>528.68053399999997</v>
      </c>
      <c r="I176" s="663">
        <v>1391.4727522820558</v>
      </c>
      <c r="J176" s="667">
        <v>1031.7192833500001</v>
      </c>
      <c r="K176" s="583">
        <v>663.72923800000001</v>
      </c>
      <c r="L176" s="581">
        <v>94578.328081936867</v>
      </c>
      <c r="M176" s="664">
        <v>258.47888306999999</v>
      </c>
      <c r="N176" s="588">
        <v>44956.311655903381</v>
      </c>
      <c r="O176" s="668">
        <v>723468.89443816862</v>
      </c>
      <c r="P176" s="663">
        <v>797.35901141019599</v>
      </c>
      <c r="Q176" s="664">
        <v>15835.307889879743</v>
      </c>
      <c r="R176" s="666">
        <v>33587.159823334492</v>
      </c>
    </row>
    <row r="177" spans="1:18" ht="17.100000000000001" hidden="1" customHeight="1">
      <c r="A177" s="589">
        <v>39482</v>
      </c>
      <c r="B177" s="582">
        <v>44157.010248564169</v>
      </c>
      <c r="C177" s="580">
        <v>18412.574908160284</v>
      </c>
      <c r="D177" s="580">
        <v>83938.260442163475</v>
      </c>
      <c r="E177" s="581">
        <v>63170.641707209703</v>
      </c>
      <c r="F177" s="580">
        <v>349702.87977487751</v>
      </c>
      <c r="G177" s="582">
        <v>515224.35683241097</v>
      </c>
      <c r="H177" s="663">
        <v>619.20630000000006</v>
      </c>
      <c r="I177" s="663">
        <v>2392.6345342760801</v>
      </c>
      <c r="J177" s="667">
        <v>1031.7117390999999</v>
      </c>
      <c r="K177" s="583">
        <v>673.01901154910229</v>
      </c>
      <c r="L177" s="581">
        <v>96548.267291048774</v>
      </c>
      <c r="M177" s="664">
        <v>251.84620692999999</v>
      </c>
      <c r="N177" s="588">
        <v>43935.237624523965</v>
      </c>
      <c r="O177" s="668">
        <v>704833.28978840297</v>
      </c>
      <c r="P177" s="663">
        <v>683.9946615662401</v>
      </c>
      <c r="Q177" s="664">
        <v>13923.390133913685</v>
      </c>
      <c r="R177" s="666">
        <v>33365.485037089602</v>
      </c>
    </row>
    <row r="178" spans="1:18" ht="17.100000000000001" hidden="1" customHeight="1">
      <c r="A178" s="589">
        <v>39511</v>
      </c>
      <c r="B178" s="582">
        <v>44910.173476965756</v>
      </c>
      <c r="C178" s="580">
        <v>19724.030662492001</v>
      </c>
      <c r="D178" s="580">
        <v>84561.29692060352</v>
      </c>
      <c r="E178" s="581">
        <v>63780.792761205383</v>
      </c>
      <c r="F178" s="580">
        <v>333992.21119524055</v>
      </c>
      <c r="G178" s="582">
        <v>502058.33153954148</v>
      </c>
      <c r="H178" s="663">
        <v>522.72570900000005</v>
      </c>
      <c r="I178" s="663">
        <v>1708.8411643392001</v>
      </c>
      <c r="J178" s="667">
        <v>948.38940024999999</v>
      </c>
      <c r="K178" s="583">
        <v>1448.8523960578514</v>
      </c>
      <c r="L178" s="581">
        <v>99935.646526357232</v>
      </c>
      <c r="M178" s="664">
        <v>212.59675449000002</v>
      </c>
      <c r="N178" s="588">
        <v>41830.212677692951</v>
      </c>
      <c r="O178" s="668">
        <v>693575.76964469452</v>
      </c>
      <c r="P178" s="663">
        <v>679.58188638586478</v>
      </c>
      <c r="Q178" s="664">
        <v>13558.901720736643</v>
      </c>
      <c r="R178" s="666">
        <v>32722.405401442564</v>
      </c>
    </row>
    <row r="179" spans="1:18" ht="17.100000000000001" hidden="1" customHeight="1">
      <c r="A179" s="589">
        <v>39542</v>
      </c>
      <c r="B179" s="582">
        <v>45848.841611171447</v>
      </c>
      <c r="C179" s="580">
        <v>19734.298720471084</v>
      </c>
      <c r="D179" s="580">
        <v>84690.78256286215</v>
      </c>
      <c r="E179" s="581">
        <v>65010.498764904842</v>
      </c>
      <c r="F179" s="580">
        <v>324774.01394262968</v>
      </c>
      <c r="G179" s="582">
        <v>494209.59399086778</v>
      </c>
      <c r="H179" s="663">
        <v>802.36300000000006</v>
      </c>
      <c r="I179" s="663">
        <v>2093.9754046900002</v>
      </c>
      <c r="J179" s="667">
        <v>920.78114125000002</v>
      </c>
      <c r="K179" s="583">
        <v>576.63443815050289</v>
      </c>
      <c r="L179" s="581">
        <v>94274.512404133231</v>
      </c>
      <c r="M179" s="664">
        <v>222.74640398000003</v>
      </c>
      <c r="N179" s="588">
        <v>42076.990137140856</v>
      </c>
      <c r="O179" s="668">
        <v>681026.43853138376</v>
      </c>
      <c r="P179" s="663">
        <v>578.80602092979598</v>
      </c>
      <c r="Q179" s="664">
        <v>14802.094783983917</v>
      </c>
      <c r="R179" s="666">
        <v>32662.521141380668</v>
      </c>
    </row>
    <row r="180" spans="1:18" ht="15.75" hidden="1">
      <c r="A180" s="589">
        <v>39572</v>
      </c>
      <c r="B180" s="582">
        <v>47177.779339516645</v>
      </c>
      <c r="C180" s="580">
        <v>19685.681642919943</v>
      </c>
      <c r="D180" s="580">
        <v>85463.976679167085</v>
      </c>
      <c r="E180" s="581">
        <v>65817.924610309477</v>
      </c>
      <c r="F180" s="580">
        <v>360244.46664578613</v>
      </c>
      <c r="G180" s="582">
        <v>531212.04957818263</v>
      </c>
      <c r="H180" s="663">
        <v>1003.659224</v>
      </c>
      <c r="I180" s="663">
        <v>2641.5220657513678</v>
      </c>
      <c r="J180" s="667">
        <v>920.78114225000002</v>
      </c>
      <c r="K180" s="583">
        <v>603.82880214461977</v>
      </c>
      <c r="L180" s="581">
        <v>88488.464074485993</v>
      </c>
      <c r="M180" s="664">
        <v>414.39452836000004</v>
      </c>
      <c r="N180" s="588">
        <v>45458.324808682773</v>
      </c>
      <c r="O180" s="668">
        <v>717920.80356337398</v>
      </c>
      <c r="P180" s="663">
        <v>546.942120975889</v>
      </c>
      <c r="Q180" s="664">
        <v>15101.476187212389</v>
      </c>
      <c r="R180" s="666">
        <v>37316.926964848237</v>
      </c>
    </row>
    <row r="181" spans="1:18" ht="15.75" hidden="1">
      <c r="A181" s="589">
        <v>39603</v>
      </c>
      <c r="B181" s="582">
        <v>47360.804633645967</v>
      </c>
      <c r="C181" s="580">
        <v>21507.384456406235</v>
      </c>
      <c r="D181" s="580">
        <v>88942.767253905346</v>
      </c>
      <c r="E181" s="581">
        <v>63879.467641770272</v>
      </c>
      <c r="F181" s="580">
        <v>361915.3205144697</v>
      </c>
      <c r="G181" s="582">
        <v>536244.93986655155</v>
      </c>
      <c r="H181" s="663">
        <v>832.39395200000001</v>
      </c>
      <c r="I181" s="663">
        <v>1134.3030817885001</v>
      </c>
      <c r="J181" s="667">
        <v>836.01806525999996</v>
      </c>
      <c r="K181" s="583">
        <v>1441.3874209032226</v>
      </c>
      <c r="L181" s="581">
        <v>95825.776374097186</v>
      </c>
      <c r="M181" s="664">
        <v>296.52655923000003</v>
      </c>
      <c r="N181" s="588">
        <v>45370.31866591471</v>
      </c>
      <c r="O181" s="668">
        <v>729342.46861939097</v>
      </c>
      <c r="P181" s="663">
        <v>556.66365399074368</v>
      </c>
      <c r="Q181" s="664">
        <v>16837.667766306666</v>
      </c>
      <c r="R181" s="666">
        <v>36383.167117811172</v>
      </c>
    </row>
    <row r="182" spans="1:18" ht="15.75" hidden="1">
      <c r="A182" s="589">
        <v>39633</v>
      </c>
      <c r="B182" s="582">
        <v>49144.686777378432</v>
      </c>
      <c r="C182" s="580">
        <v>21475.655013545398</v>
      </c>
      <c r="D182" s="580">
        <v>88717.012885069897</v>
      </c>
      <c r="E182" s="581">
        <v>66791.014981336702</v>
      </c>
      <c r="F182" s="580">
        <v>378284.92903650901</v>
      </c>
      <c r="G182" s="582">
        <v>555268.61191646103</v>
      </c>
      <c r="H182" s="663">
        <v>1425.744909</v>
      </c>
      <c r="I182" s="663">
        <v>3194.8850221512498</v>
      </c>
      <c r="J182" s="667">
        <v>806.85000100000002</v>
      </c>
      <c r="K182" s="583">
        <v>483.66829337891187</v>
      </c>
      <c r="L182" s="581">
        <v>93151.564762463036</v>
      </c>
      <c r="M182" s="664">
        <v>172.64354832999999</v>
      </c>
      <c r="N182" s="588">
        <v>43791.883484629529</v>
      </c>
      <c r="O182" s="668">
        <v>747440.53871479211</v>
      </c>
      <c r="P182" s="663">
        <v>571.37464843946839</v>
      </c>
      <c r="Q182" s="664">
        <v>20302.100770603825</v>
      </c>
      <c r="R182" s="666">
        <v>33168.255893505731</v>
      </c>
    </row>
    <row r="183" spans="1:18" ht="15.75" hidden="1">
      <c r="A183" s="589">
        <v>39664</v>
      </c>
      <c r="B183" s="582">
        <v>51340.932441332523</v>
      </c>
      <c r="C183" s="580">
        <v>21134.872596868096</v>
      </c>
      <c r="D183" s="580">
        <v>90539.478492278417</v>
      </c>
      <c r="E183" s="581">
        <v>67987.345907546434</v>
      </c>
      <c r="F183" s="580">
        <v>361505.7955692744</v>
      </c>
      <c r="G183" s="582">
        <v>541167.49256596738</v>
      </c>
      <c r="H183" s="663">
        <v>496.41699999999997</v>
      </c>
      <c r="I183" s="663">
        <v>2912.2194842146</v>
      </c>
      <c r="J183" s="667">
        <v>806.85000026</v>
      </c>
      <c r="K183" s="583">
        <v>428.9992502465808</v>
      </c>
      <c r="L183" s="581">
        <v>95045.208723996795</v>
      </c>
      <c r="M183" s="664">
        <v>197.95109120999999</v>
      </c>
      <c r="N183" s="588">
        <v>45303.54849054887</v>
      </c>
      <c r="O183" s="668">
        <v>737699.61904777668</v>
      </c>
      <c r="P183" s="663">
        <v>593.14658540923926</v>
      </c>
      <c r="Q183" s="664">
        <v>21393.544766134102</v>
      </c>
      <c r="R183" s="666">
        <v>33392.036226588069</v>
      </c>
    </row>
    <row r="184" spans="1:18" ht="15.75" hidden="1">
      <c r="A184" s="589">
        <v>39695</v>
      </c>
      <c r="B184" s="582">
        <v>50216.105079680594</v>
      </c>
      <c r="C184" s="580">
        <v>22304.164342481843</v>
      </c>
      <c r="D184" s="580">
        <v>89344.572167662031</v>
      </c>
      <c r="E184" s="581">
        <v>68170.122612989639</v>
      </c>
      <c r="F184" s="580">
        <v>348498.6935376653</v>
      </c>
      <c r="G184" s="582">
        <v>528317.55266079889</v>
      </c>
      <c r="H184" s="663">
        <v>487.24700000000001</v>
      </c>
      <c r="I184" s="663">
        <v>3292.5991291874998</v>
      </c>
      <c r="J184" s="667">
        <v>4113.2387461899998</v>
      </c>
      <c r="K184" s="583">
        <v>157.03017788684411</v>
      </c>
      <c r="L184" s="581">
        <v>89352.648733748138</v>
      </c>
      <c r="M184" s="664">
        <v>222.63850665999996</v>
      </c>
      <c r="N184" s="588">
        <v>48639.851340202571</v>
      </c>
      <c r="O184" s="668">
        <v>724798.9113743545</v>
      </c>
      <c r="P184" s="663">
        <v>594.39894971594413</v>
      </c>
      <c r="Q184" s="664">
        <v>17244.768851782479</v>
      </c>
      <c r="R184" s="666">
        <v>33812.558937183348</v>
      </c>
    </row>
    <row r="185" spans="1:18" ht="15.75" hidden="1">
      <c r="A185" s="589">
        <v>39725</v>
      </c>
      <c r="B185" s="582">
        <v>51729.080520453237</v>
      </c>
      <c r="C185" s="580">
        <v>20511.657671893747</v>
      </c>
      <c r="D185" s="580">
        <v>88694.685949735169</v>
      </c>
      <c r="E185" s="581">
        <v>68678.174452889565</v>
      </c>
      <c r="F185" s="580">
        <v>373608.02982834564</v>
      </c>
      <c r="G185" s="582">
        <v>551492.54790286417</v>
      </c>
      <c r="H185" s="663">
        <v>526.87300000000005</v>
      </c>
      <c r="I185" s="663">
        <v>2147.0628055925999</v>
      </c>
      <c r="J185" s="667">
        <v>3333.8130922747</v>
      </c>
      <c r="K185" s="583">
        <v>610.7525222577367</v>
      </c>
      <c r="L185" s="581">
        <v>97682.110377361721</v>
      </c>
      <c r="M185" s="664">
        <v>206.12754294760001</v>
      </c>
      <c r="N185" s="588">
        <v>51219.215057716414</v>
      </c>
      <c r="O185" s="668">
        <v>758947.58282146824</v>
      </c>
      <c r="P185" s="663">
        <v>786.25701884270302</v>
      </c>
      <c r="Q185" s="664">
        <v>14122.024991602661</v>
      </c>
      <c r="R185" s="666">
        <v>33784.364646441754</v>
      </c>
    </row>
    <row r="186" spans="1:18" ht="15.75" hidden="1">
      <c r="A186" s="589">
        <v>39756</v>
      </c>
      <c r="B186" s="582">
        <v>52853.248062491599</v>
      </c>
      <c r="C186" s="580">
        <v>20841.055160320411</v>
      </c>
      <c r="D186" s="580">
        <v>89034.257963490003</v>
      </c>
      <c r="E186" s="581">
        <v>69351.55656582168</v>
      </c>
      <c r="F186" s="580">
        <v>372210.63852001436</v>
      </c>
      <c r="G186" s="582">
        <v>551437.50820964645</v>
      </c>
      <c r="H186" s="663">
        <v>1348.5377089999999</v>
      </c>
      <c r="I186" s="663">
        <v>1222.2685451919999</v>
      </c>
      <c r="J186" s="667">
        <v>1943.3734891232</v>
      </c>
      <c r="K186" s="583">
        <v>108.30803224993818</v>
      </c>
      <c r="L186" s="581">
        <v>96953.76987736435</v>
      </c>
      <c r="M186" s="664">
        <v>259.99400323280003</v>
      </c>
      <c r="N186" s="588">
        <v>51740.552854688089</v>
      </c>
      <c r="O186" s="668">
        <v>757867.56078298844</v>
      </c>
      <c r="P186" s="663">
        <v>874.13585125856923</v>
      </c>
      <c r="Q186" s="664">
        <v>13784.792607661788</v>
      </c>
      <c r="R186" s="666">
        <v>33663.999416034982</v>
      </c>
    </row>
    <row r="187" spans="1:18" ht="15.75" hidden="1">
      <c r="A187" s="589">
        <v>39786</v>
      </c>
      <c r="B187" s="582">
        <v>54700.343137394317</v>
      </c>
      <c r="C187" s="580">
        <v>22844.721323428636</v>
      </c>
      <c r="D187" s="580">
        <v>92669.709372234051</v>
      </c>
      <c r="E187" s="581">
        <v>69807.812998389098</v>
      </c>
      <c r="F187" s="580">
        <v>362019.32611493685</v>
      </c>
      <c r="G187" s="582">
        <v>547341.5698089886</v>
      </c>
      <c r="H187" s="663">
        <v>802.36400000000003</v>
      </c>
      <c r="I187" s="663">
        <v>2052.5273361</v>
      </c>
      <c r="J187" s="667">
        <v>1046.4665269899999</v>
      </c>
      <c r="K187" s="583">
        <v>1894.7161161956001</v>
      </c>
      <c r="L187" s="581">
        <v>95617.851318108107</v>
      </c>
      <c r="M187" s="664">
        <v>221.77706874840001</v>
      </c>
      <c r="N187" s="588">
        <v>50786.295439785128</v>
      </c>
      <c r="O187" s="668">
        <v>754463.91075231007</v>
      </c>
      <c r="P187" s="663">
        <v>860.23191000476345</v>
      </c>
      <c r="Q187" s="664">
        <v>13595.05324248684</v>
      </c>
      <c r="R187" s="666">
        <v>34423.613467809737</v>
      </c>
    </row>
    <row r="188" spans="1:18" ht="15.75" hidden="1">
      <c r="A188" s="589">
        <v>39817</v>
      </c>
      <c r="B188" s="582">
        <v>58857.989894412516</v>
      </c>
      <c r="C188" s="580">
        <v>21162.444175694542</v>
      </c>
      <c r="D188" s="580">
        <v>93319.282377482974</v>
      </c>
      <c r="E188" s="581">
        <v>71270.215750839605</v>
      </c>
      <c r="F188" s="580">
        <v>366897.56039632543</v>
      </c>
      <c r="G188" s="582">
        <v>552649.50270034256</v>
      </c>
      <c r="H188" s="663">
        <v>1545.654442</v>
      </c>
      <c r="I188" s="663">
        <v>1935.5991266999999</v>
      </c>
      <c r="J188" s="667">
        <v>708.50234898999997</v>
      </c>
      <c r="K188" s="583">
        <v>305.550929</v>
      </c>
      <c r="L188" s="581">
        <v>95114.735272365855</v>
      </c>
      <c r="M188" s="664">
        <v>292.67397846000006</v>
      </c>
      <c r="N188" s="588">
        <v>48553.225396595313</v>
      </c>
      <c r="O188" s="668">
        <v>759963.43408886623</v>
      </c>
      <c r="P188" s="663">
        <v>747.78617163979743</v>
      </c>
      <c r="Q188" s="664">
        <v>15630.616656338127</v>
      </c>
      <c r="R188" s="666">
        <v>33380.924579800638</v>
      </c>
    </row>
    <row r="189" spans="1:18" ht="15.75" hidden="1">
      <c r="A189" s="589">
        <v>39848</v>
      </c>
      <c r="B189" s="582">
        <v>60166.100554600511</v>
      </c>
      <c r="C189" s="580">
        <v>21787.346253175554</v>
      </c>
      <c r="D189" s="580">
        <v>97048.745818822383</v>
      </c>
      <c r="E189" s="581">
        <v>69140.669554318418</v>
      </c>
      <c r="F189" s="580">
        <v>371794.90896761115</v>
      </c>
      <c r="G189" s="582">
        <v>559771.6705939275</v>
      </c>
      <c r="H189" s="663">
        <v>1041.838</v>
      </c>
      <c r="I189" s="663">
        <v>1784.46137275</v>
      </c>
      <c r="J189" s="667">
        <v>743.81295198999999</v>
      </c>
      <c r="K189" s="583">
        <v>36.565853641600015</v>
      </c>
      <c r="L189" s="581">
        <v>99738.3217176951</v>
      </c>
      <c r="M189" s="664">
        <v>257.89429102720004</v>
      </c>
      <c r="N189" s="588">
        <v>46291.264199137979</v>
      </c>
      <c r="O189" s="668">
        <v>769831.92953476985</v>
      </c>
      <c r="P189" s="663">
        <v>688.32938447617107</v>
      </c>
      <c r="Q189" s="664">
        <v>15048.786912847008</v>
      </c>
      <c r="R189" s="666">
        <v>33129.926348115448</v>
      </c>
    </row>
    <row r="190" spans="1:18" ht="15.75" hidden="1">
      <c r="A190" s="589">
        <v>39873</v>
      </c>
      <c r="B190" s="582">
        <v>62953.644872439858</v>
      </c>
      <c r="C190" s="580">
        <v>21385.308853695024</v>
      </c>
      <c r="D190" s="580">
        <v>97652.100510577875</v>
      </c>
      <c r="E190" s="581">
        <v>70456.998155416484</v>
      </c>
      <c r="F190" s="580">
        <v>366535.51354843064</v>
      </c>
      <c r="G190" s="582">
        <v>556029.92106812005</v>
      </c>
      <c r="H190" s="663">
        <v>767.279</v>
      </c>
      <c r="I190" s="663">
        <v>2604.8436032179998</v>
      </c>
      <c r="J190" s="667">
        <v>487.72308737999998</v>
      </c>
      <c r="K190" s="583">
        <v>1694.3440419999999</v>
      </c>
      <c r="L190" s="581">
        <v>93470.135853915897</v>
      </c>
      <c r="M190" s="664">
        <v>228.20029296520002</v>
      </c>
      <c r="N190" s="588">
        <v>44538.422700314746</v>
      </c>
      <c r="O190" s="668">
        <v>762774.51452035375</v>
      </c>
      <c r="P190" s="663">
        <v>599.85100501955935</v>
      </c>
      <c r="Q190" s="664">
        <v>14537.89662064004</v>
      </c>
      <c r="R190" s="666">
        <v>33646.992286966066</v>
      </c>
    </row>
    <row r="191" spans="1:18" ht="15.75" hidden="1">
      <c r="A191" s="589">
        <v>39907</v>
      </c>
      <c r="B191" s="582">
        <v>61599.155955257971</v>
      </c>
      <c r="C191" s="580">
        <v>22643.723497651659</v>
      </c>
      <c r="D191" s="580">
        <v>96213.609601596501</v>
      </c>
      <c r="E191" s="581">
        <v>70501.880388499543</v>
      </c>
      <c r="F191" s="580">
        <v>364065.51867827045</v>
      </c>
      <c r="G191" s="582">
        <v>553424.7321660181</v>
      </c>
      <c r="H191" s="663">
        <v>990.61699999999996</v>
      </c>
      <c r="I191" s="663">
        <v>2345.1108859069996</v>
      </c>
      <c r="J191" s="667">
        <v>460.46300437999997</v>
      </c>
      <c r="K191" s="583">
        <v>0</v>
      </c>
      <c r="L191" s="581">
        <v>85439.550612757273</v>
      </c>
      <c r="M191" s="664">
        <v>189.77917418000001</v>
      </c>
      <c r="N191" s="588">
        <v>48045.101579254704</v>
      </c>
      <c r="O191" s="668">
        <v>752494.51037775492</v>
      </c>
      <c r="P191" s="663">
        <v>587.85364539409352</v>
      </c>
      <c r="Q191" s="664">
        <v>14430.403990702565</v>
      </c>
      <c r="R191" s="666">
        <v>34843.785867487306</v>
      </c>
    </row>
    <row r="192" spans="1:18" ht="15.75" hidden="1">
      <c r="A192" s="589">
        <v>39937</v>
      </c>
      <c r="B192" s="582">
        <v>60137.435609038781</v>
      </c>
      <c r="C192" s="580">
        <v>22969.437891841248</v>
      </c>
      <c r="D192" s="580">
        <v>97012.589999816802</v>
      </c>
      <c r="E192" s="581">
        <v>71313.036934640142</v>
      </c>
      <c r="F192" s="580">
        <v>364263.76003305835</v>
      </c>
      <c r="G192" s="582">
        <v>555558.82485935651</v>
      </c>
      <c r="H192" s="663">
        <v>639.61599999999999</v>
      </c>
      <c r="I192" s="663">
        <v>1171.7315468959998</v>
      </c>
      <c r="J192" s="667">
        <v>457.09956438</v>
      </c>
      <c r="K192" s="583">
        <v>1052.40977709</v>
      </c>
      <c r="L192" s="581">
        <v>77984.557781941199</v>
      </c>
      <c r="M192" s="664">
        <v>200.94665505695201</v>
      </c>
      <c r="N192" s="588">
        <v>47111.267697345</v>
      </c>
      <c r="O192" s="668">
        <v>744313.88949110452</v>
      </c>
      <c r="P192" s="663">
        <v>695.16017213884834</v>
      </c>
      <c r="Q192" s="664">
        <v>13298.053462980382</v>
      </c>
      <c r="R192" s="666">
        <v>33625.451352652024</v>
      </c>
    </row>
    <row r="193" spans="1:18" ht="15.75" hidden="1">
      <c r="A193" s="589">
        <v>39968</v>
      </c>
      <c r="B193" s="582">
        <v>60638.934105374392</v>
      </c>
      <c r="C193" s="580">
        <v>24660.848066690891</v>
      </c>
      <c r="D193" s="580">
        <v>99170.970640773055</v>
      </c>
      <c r="E193" s="581">
        <v>71892.474309693629</v>
      </c>
      <c r="F193" s="580">
        <v>351092.8373943466</v>
      </c>
      <c r="G193" s="582">
        <v>546817.13041150419</v>
      </c>
      <c r="H193" s="663">
        <v>945.46699999999998</v>
      </c>
      <c r="I193" s="663">
        <v>2621.4465825488001</v>
      </c>
      <c r="J193" s="667">
        <v>452.69533885000004</v>
      </c>
      <c r="K193" s="583">
        <v>9096.6384214655991</v>
      </c>
      <c r="L193" s="581">
        <v>75381.104810002726</v>
      </c>
      <c r="M193" s="664">
        <v>217.88154949246402</v>
      </c>
      <c r="N193" s="588">
        <v>47183.109431425612</v>
      </c>
      <c r="O193" s="668">
        <v>743354.40765066363</v>
      </c>
      <c r="P193" s="663">
        <v>683.94380281842825</v>
      </c>
      <c r="Q193" s="664">
        <v>15800.262109073437</v>
      </c>
      <c r="R193" s="666">
        <v>36194.886017207922</v>
      </c>
    </row>
    <row r="194" spans="1:18" ht="15.75" hidden="1">
      <c r="A194" s="589">
        <v>39998</v>
      </c>
      <c r="B194" s="582">
        <v>63310.04966833441</v>
      </c>
      <c r="C194" s="580">
        <v>24383.715771260006</v>
      </c>
      <c r="D194" s="580">
        <v>99304.822027424074</v>
      </c>
      <c r="E194" s="581">
        <v>73341.416255129268</v>
      </c>
      <c r="F194" s="580">
        <v>347319.40878746758</v>
      </c>
      <c r="G194" s="582">
        <v>544349.36284128088</v>
      </c>
      <c r="H194" s="663">
        <v>1319.0889999999999</v>
      </c>
      <c r="I194" s="663">
        <v>1405.4850506135999</v>
      </c>
      <c r="J194" s="667">
        <v>462.58009242000003</v>
      </c>
      <c r="K194" s="583">
        <v>772.20568403800007</v>
      </c>
      <c r="L194" s="581">
        <v>84025.869412232176</v>
      </c>
      <c r="M194" s="664">
        <v>243.824599229097</v>
      </c>
      <c r="N194" s="588">
        <v>42841.637353917242</v>
      </c>
      <c r="O194" s="668">
        <v>738730.10370206553</v>
      </c>
      <c r="P194" s="663">
        <v>705.88179097797536</v>
      </c>
      <c r="Q194" s="664">
        <v>14378.144842656218</v>
      </c>
      <c r="R194" s="666">
        <v>38432.926176483554</v>
      </c>
    </row>
    <row r="195" spans="1:18" ht="15.75" hidden="1">
      <c r="A195" s="589">
        <v>40029</v>
      </c>
      <c r="B195" s="582">
        <v>63117.091124944825</v>
      </c>
      <c r="C195" s="580">
        <v>24701.374362548806</v>
      </c>
      <c r="D195" s="580">
        <v>100572.77282245575</v>
      </c>
      <c r="E195" s="581">
        <v>72956.364376813319</v>
      </c>
      <c r="F195" s="580">
        <v>338901.28668538213</v>
      </c>
      <c r="G195" s="582">
        <v>537131.79824719997</v>
      </c>
      <c r="H195" s="663">
        <v>597.60299999999995</v>
      </c>
      <c r="I195" s="663">
        <v>811.08419085909998</v>
      </c>
      <c r="J195" s="667">
        <v>462.18009241999999</v>
      </c>
      <c r="K195" s="583">
        <v>3216.3249145012996</v>
      </c>
      <c r="L195" s="581">
        <v>84605.003176492697</v>
      </c>
      <c r="M195" s="664">
        <v>222.29705368637897</v>
      </c>
      <c r="N195" s="588">
        <v>46202.034381075879</v>
      </c>
      <c r="O195" s="668">
        <v>736365.41618118028</v>
      </c>
      <c r="P195" s="663">
        <v>841.77812490621181</v>
      </c>
      <c r="Q195" s="664">
        <v>16199.676937812368</v>
      </c>
      <c r="R195" s="666">
        <v>39728.972339206332</v>
      </c>
    </row>
    <row r="196" spans="1:18" ht="15.75" hidden="1">
      <c r="A196" s="589">
        <v>40060</v>
      </c>
      <c r="B196" s="582">
        <v>60270.263501462847</v>
      </c>
      <c r="C196" s="580">
        <v>25408.006177711872</v>
      </c>
      <c r="D196" s="580">
        <v>101205.02584365846</v>
      </c>
      <c r="E196" s="581">
        <v>70772.101154821808</v>
      </c>
      <c r="F196" s="580">
        <v>338202.52197144518</v>
      </c>
      <c r="G196" s="582">
        <v>535587.65514763724</v>
      </c>
      <c r="H196" s="663">
        <v>590.00010199999997</v>
      </c>
      <c r="I196" s="663">
        <v>1754.6526391672</v>
      </c>
      <c r="J196" s="667">
        <v>413.25054242000004</v>
      </c>
      <c r="K196" s="583">
        <v>12501.32108602</v>
      </c>
      <c r="L196" s="581">
        <v>83323.615262644555</v>
      </c>
      <c r="M196" s="664">
        <v>279.96912524733995</v>
      </c>
      <c r="N196" s="588">
        <v>43898.677469838753</v>
      </c>
      <c r="O196" s="668">
        <v>738619.40487643797</v>
      </c>
      <c r="P196" s="663">
        <v>696.35762966758557</v>
      </c>
      <c r="Q196" s="664">
        <v>15754.287299319312</v>
      </c>
      <c r="R196" s="666">
        <v>37576.247091223755</v>
      </c>
    </row>
    <row r="197" spans="1:18" ht="15.75" hidden="1">
      <c r="A197" s="589">
        <v>40090</v>
      </c>
      <c r="B197" s="582">
        <v>58614.921235808266</v>
      </c>
      <c r="C197" s="580">
        <v>25541.324838773071</v>
      </c>
      <c r="D197" s="580">
        <v>101682.3562799466</v>
      </c>
      <c r="E197" s="581">
        <v>71257.78200145025</v>
      </c>
      <c r="F197" s="580">
        <v>344703.39074290846</v>
      </c>
      <c r="G197" s="582">
        <v>543184.8538630784</v>
      </c>
      <c r="H197" s="663">
        <v>574.73800000000006</v>
      </c>
      <c r="I197" s="663">
        <v>1869.1356212365499</v>
      </c>
      <c r="J197" s="667">
        <v>365.42098736000003</v>
      </c>
      <c r="K197" s="583">
        <v>4886.9200119999996</v>
      </c>
      <c r="L197" s="581">
        <v>80699.100584355561</v>
      </c>
      <c r="M197" s="664">
        <v>219.93677501367003</v>
      </c>
      <c r="N197" s="588">
        <v>43454.601246132122</v>
      </c>
      <c r="O197" s="668">
        <v>733869.62832498457</v>
      </c>
      <c r="P197" s="663">
        <v>804.64957255244565</v>
      </c>
      <c r="Q197" s="664">
        <v>13315.379064818513</v>
      </c>
      <c r="R197" s="666">
        <v>36123.136526732145</v>
      </c>
    </row>
    <row r="198" spans="1:18" ht="15.75" hidden="1">
      <c r="A198" s="589">
        <v>40121</v>
      </c>
      <c r="B198" s="582">
        <v>57720.947676280644</v>
      </c>
      <c r="C198" s="580">
        <v>26396.26670676767</v>
      </c>
      <c r="D198" s="580">
        <v>101932.73453164015</v>
      </c>
      <c r="E198" s="581">
        <v>71392.822813875347</v>
      </c>
      <c r="F198" s="580">
        <v>335529.00979733584</v>
      </c>
      <c r="G198" s="582">
        <v>535250.83384961903</v>
      </c>
      <c r="H198" s="663">
        <v>539.995</v>
      </c>
      <c r="I198" s="663">
        <v>938.23169517168003</v>
      </c>
      <c r="J198" s="667">
        <v>365.42098736000003</v>
      </c>
      <c r="K198" s="583">
        <v>4047.6405648699997</v>
      </c>
      <c r="L198" s="581">
        <v>81192.308700342226</v>
      </c>
      <c r="M198" s="664">
        <v>242.558543944848</v>
      </c>
      <c r="N198" s="588">
        <v>46117.773024352355</v>
      </c>
      <c r="O198" s="668">
        <v>726415.71004194068</v>
      </c>
      <c r="P198" s="663">
        <v>812.32342899062257</v>
      </c>
      <c r="Q198" s="664">
        <v>13939.539499181197</v>
      </c>
      <c r="R198" s="666">
        <v>37733.165838412795</v>
      </c>
    </row>
    <row r="199" spans="1:18" ht="15.75" hidden="1">
      <c r="A199" s="589">
        <v>40151</v>
      </c>
      <c r="B199" s="582">
        <v>59648.150701442661</v>
      </c>
      <c r="C199" s="580">
        <v>27901.590387446253</v>
      </c>
      <c r="D199" s="580">
        <v>105915.75618267751</v>
      </c>
      <c r="E199" s="581">
        <v>73072.342645833138</v>
      </c>
      <c r="F199" s="580">
        <v>352095.89741475391</v>
      </c>
      <c r="G199" s="582">
        <v>558985.58663071087</v>
      </c>
      <c r="H199" s="663">
        <v>845.947</v>
      </c>
      <c r="I199" s="663">
        <v>1830.5481243183203</v>
      </c>
      <c r="J199" s="667">
        <v>1430.0372753600002</v>
      </c>
      <c r="K199" s="583">
        <v>2896.7726990400001</v>
      </c>
      <c r="L199" s="581">
        <v>81732.602769156903</v>
      </c>
      <c r="M199" s="664">
        <v>195.25768278197202</v>
      </c>
      <c r="N199" s="588">
        <v>43692.676524058392</v>
      </c>
      <c r="O199" s="668">
        <v>751257.57940686925</v>
      </c>
      <c r="P199" s="663">
        <v>899.89029019846896</v>
      </c>
      <c r="Q199" s="664">
        <v>9142.3687734577506</v>
      </c>
      <c r="R199" s="666">
        <v>44498.830561086426</v>
      </c>
    </row>
    <row r="200" spans="1:18" ht="15.75" hidden="1">
      <c r="A200" s="589">
        <v>40182</v>
      </c>
      <c r="B200" s="582">
        <v>63088.254963484345</v>
      </c>
      <c r="C200" s="580">
        <v>25771.048575719818</v>
      </c>
      <c r="D200" s="580">
        <v>107634.71024283554</v>
      </c>
      <c r="E200" s="581">
        <v>71754.820625917258</v>
      </c>
      <c r="F200" s="580">
        <v>363452.46963566192</v>
      </c>
      <c r="G200" s="582">
        <v>568613.0490801346</v>
      </c>
      <c r="H200" s="663">
        <v>657.73299999999995</v>
      </c>
      <c r="I200" s="663">
        <v>2379.4219479885996</v>
      </c>
      <c r="J200" s="667">
        <v>333.21099047000001</v>
      </c>
      <c r="K200" s="583">
        <v>6641.7400369000006</v>
      </c>
      <c r="L200" s="581">
        <v>78540.627635632729</v>
      </c>
      <c r="M200" s="664">
        <v>275.35400546631399</v>
      </c>
      <c r="N200" s="588">
        <v>40285.269598589002</v>
      </c>
      <c r="O200" s="668">
        <v>760814.66125866561</v>
      </c>
      <c r="P200" s="663">
        <v>839.42731636216206</v>
      </c>
      <c r="Q200" s="664">
        <v>15412.779712187546</v>
      </c>
      <c r="R200" s="666">
        <v>39295.962771278239</v>
      </c>
    </row>
    <row r="201" spans="1:18" ht="15.75" hidden="1">
      <c r="A201" s="589">
        <v>40213</v>
      </c>
      <c r="B201" s="582">
        <v>63536.374062793846</v>
      </c>
      <c r="C201" s="580">
        <v>25545.988949335038</v>
      </c>
      <c r="D201" s="580">
        <v>109078.69935259863</v>
      </c>
      <c r="E201" s="581">
        <v>72240.931718022883</v>
      </c>
      <c r="F201" s="580">
        <v>367483.3846103804</v>
      </c>
      <c r="G201" s="582">
        <v>574349.004630337</v>
      </c>
      <c r="H201" s="663">
        <v>669.02501500000005</v>
      </c>
      <c r="I201" s="663">
        <v>1313.4365986536998</v>
      </c>
      <c r="J201" s="667">
        <v>363.92599050999996</v>
      </c>
      <c r="K201" s="583">
        <v>6068.6632345840007</v>
      </c>
      <c r="L201" s="581">
        <v>80973.788461741671</v>
      </c>
      <c r="M201" s="664">
        <v>288.75883642715002</v>
      </c>
      <c r="N201" s="588">
        <v>41488.168410227459</v>
      </c>
      <c r="O201" s="668">
        <v>769051.14524027484</v>
      </c>
      <c r="P201" s="663">
        <v>939.29816982476905</v>
      </c>
      <c r="Q201" s="664">
        <v>16530.551057188768</v>
      </c>
      <c r="R201" s="666">
        <v>44119.407261529195</v>
      </c>
    </row>
    <row r="202" spans="1:18" ht="15.75" hidden="1">
      <c r="A202" s="589">
        <v>40241</v>
      </c>
      <c r="B202" s="582">
        <v>63685.445589822688</v>
      </c>
      <c r="C202" s="580">
        <v>26766.646982739643</v>
      </c>
      <c r="D202" s="580">
        <v>109194.86743656197</v>
      </c>
      <c r="E202" s="581">
        <v>72647.718333594152</v>
      </c>
      <c r="F202" s="580">
        <v>376848.3720023185</v>
      </c>
      <c r="G202" s="582">
        <v>585457.6047552143</v>
      </c>
      <c r="H202" s="663">
        <v>766.63499999999999</v>
      </c>
      <c r="I202" s="663">
        <v>1893.776658864</v>
      </c>
      <c r="J202" s="667">
        <v>348.39862247000002</v>
      </c>
      <c r="K202" s="583">
        <v>1005.37250264</v>
      </c>
      <c r="L202" s="581">
        <v>80709.760527384336</v>
      </c>
      <c r="M202" s="664">
        <v>245.53002126599998</v>
      </c>
      <c r="N202" s="588">
        <v>42477.258020842986</v>
      </c>
      <c r="O202" s="668">
        <v>776589.78169850435</v>
      </c>
      <c r="P202" s="663">
        <v>1006.6991333039598</v>
      </c>
      <c r="Q202" s="664">
        <v>15921.337542578091</v>
      </c>
      <c r="R202" s="666">
        <v>43465.422247112241</v>
      </c>
    </row>
    <row r="203" spans="1:18" ht="15.75" hidden="1">
      <c r="A203" s="589">
        <v>40272</v>
      </c>
      <c r="B203" s="582">
        <v>64155.037333835753</v>
      </c>
      <c r="C203" s="580">
        <v>25424.543586466887</v>
      </c>
      <c r="D203" s="580">
        <v>111529.21988229034</v>
      </c>
      <c r="E203" s="581">
        <v>70829.486090551378</v>
      </c>
      <c r="F203" s="580">
        <v>359078.4299898615</v>
      </c>
      <c r="G203" s="582">
        <v>566861.67954917008</v>
      </c>
      <c r="H203" s="663">
        <v>728.07500000000005</v>
      </c>
      <c r="I203" s="663">
        <v>2997.5087838333816</v>
      </c>
      <c r="J203" s="667">
        <v>362.14667774000003</v>
      </c>
      <c r="K203" s="583">
        <v>3169.3483500700004</v>
      </c>
      <c r="L203" s="581">
        <v>92725.45034858596</v>
      </c>
      <c r="M203" s="664">
        <v>243.22210433356304</v>
      </c>
      <c r="N203" s="588">
        <v>40439.307847336931</v>
      </c>
      <c r="O203" s="668">
        <v>771681.77599490562</v>
      </c>
      <c r="P203" s="663">
        <v>1103.5665607132212</v>
      </c>
      <c r="Q203" s="664">
        <v>16350.244152235589</v>
      </c>
      <c r="R203" s="666">
        <v>43944.273826036057</v>
      </c>
    </row>
    <row r="204" spans="1:18" ht="15.75" hidden="1" customHeight="1">
      <c r="A204" s="589">
        <v>40302</v>
      </c>
      <c r="B204" s="582">
        <v>66502.903105371413</v>
      </c>
      <c r="C204" s="580">
        <v>27591.654213031969</v>
      </c>
      <c r="D204" s="580">
        <v>111167.86030812196</v>
      </c>
      <c r="E204" s="581">
        <v>70632.556758248131</v>
      </c>
      <c r="F204" s="580">
        <v>412386.00942964578</v>
      </c>
      <c r="G204" s="582">
        <v>621778.08070904785</v>
      </c>
      <c r="H204" s="663">
        <v>653.27200000000005</v>
      </c>
      <c r="I204" s="663">
        <v>1450.7473077499997</v>
      </c>
      <c r="J204" s="667">
        <v>334.18167774</v>
      </c>
      <c r="K204" s="583">
        <v>5566.8358775196621</v>
      </c>
      <c r="L204" s="581">
        <v>104327.30432343241</v>
      </c>
      <c r="M204" s="664">
        <v>278.622239245081</v>
      </c>
      <c r="N204" s="588">
        <v>48151.832603799216</v>
      </c>
      <c r="O204" s="668">
        <v>849043.77984390559</v>
      </c>
      <c r="P204" s="663">
        <v>1095.8451834909629</v>
      </c>
      <c r="Q204" s="664">
        <v>18030.516394027152</v>
      </c>
      <c r="R204" s="666">
        <v>44927.594887161038</v>
      </c>
    </row>
    <row r="205" spans="1:18" ht="15.75" hidden="1" customHeight="1">
      <c r="A205" s="589">
        <v>40333</v>
      </c>
      <c r="B205" s="582">
        <v>68275.818700393953</v>
      </c>
      <c r="C205" s="580">
        <v>27921.061733068374</v>
      </c>
      <c r="D205" s="580">
        <v>112552.85981934627</v>
      </c>
      <c r="E205" s="581">
        <v>75464.248917661142</v>
      </c>
      <c r="F205" s="580">
        <v>403825.21422575816</v>
      </c>
      <c r="G205" s="582">
        <v>619763.3846958339</v>
      </c>
      <c r="H205" s="663">
        <v>780.17200000000003</v>
      </c>
      <c r="I205" s="663">
        <v>2204.0221570507001</v>
      </c>
      <c r="J205" s="667">
        <v>373.5310801</v>
      </c>
      <c r="K205" s="583">
        <v>1463.8916393789</v>
      </c>
      <c r="L205" s="581">
        <v>103522.78615831111</v>
      </c>
      <c r="M205" s="664">
        <v>292.49951222285603</v>
      </c>
      <c r="N205" s="588">
        <v>46497.611193766192</v>
      </c>
      <c r="O205" s="668">
        <v>843173.71713705768</v>
      </c>
      <c r="P205" s="663">
        <v>2464.8077281573505</v>
      </c>
      <c r="Q205" s="664">
        <v>32572.595280409791</v>
      </c>
      <c r="R205" s="666">
        <v>44052.640414172922</v>
      </c>
    </row>
    <row r="206" spans="1:18" ht="15.75" hidden="1" customHeight="1">
      <c r="A206" s="589">
        <v>40363</v>
      </c>
      <c r="B206" s="582">
        <v>71227.077879063654</v>
      </c>
      <c r="C206" s="580">
        <v>26836.789889825268</v>
      </c>
      <c r="D206" s="580">
        <v>113362.1409121715</v>
      </c>
      <c r="E206" s="581">
        <v>74981.814501889821</v>
      </c>
      <c r="F206" s="580">
        <v>364273.46238650411</v>
      </c>
      <c r="G206" s="582">
        <v>579454.20769039076</v>
      </c>
      <c r="H206" s="663">
        <v>717.21</v>
      </c>
      <c r="I206" s="663">
        <v>766.21901896999998</v>
      </c>
      <c r="J206" s="667">
        <v>328.68392384000003</v>
      </c>
      <c r="K206" s="583">
        <v>4466.5441746214274</v>
      </c>
      <c r="L206" s="581">
        <v>97405.679435756538</v>
      </c>
      <c r="M206" s="664">
        <v>263.951469272883</v>
      </c>
      <c r="N206" s="588">
        <v>41826.251316656526</v>
      </c>
      <c r="O206" s="668">
        <v>796455.82490857178</v>
      </c>
      <c r="P206" s="663">
        <v>2390.2858265569771</v>
      </c>
      <c r="Q206" s="664">
        <v>30590.023338938641</v>
      </c>
      <c r="R206" s="666">
        <v>40053.217704810544</v>
      </c>
    </row>
    <row r="207" spans="1:18" ht="15.75" hidden="1" customHeight="1">
      <c r="A207" s="589">
        <v>40394</v>
      </c>
      <c r="B207" s="582">
        <v>71143.551478769718</v>
      </c>
      <c r="C207" s="580">
        <v>27617.747624458225</v>
      </c>
      <c r="D207" s="580">
        <v>114336.55092844734</v>
      </c>
      <c r="E207" s="581">
        <v>72254.534627499917</v>
      </c>
      <c r="F207" s="580">
        <v>390803.05053912569</v>
      </c>
      <c r="G207" s="582">
        <v>605011.88371953112</v>
      </c>
      <c r="H207" s="663">
        <v>650.89344400000004</v>
      </c>
      <c r="I207" s="663">
        <v>1555.9278199600001</v>
      </c>
      <c r="J207" s="667">
        <v>360.44601583999997</v>
      </c>
      <c r="K207" s="583">
        <v>5969.537134231</v>
      </c>
      <c r="L207" s="581">
        <v>105313.20449475345</v>
      </c>
      <c r="M207" s="664">
        <v>250.99309935346901</v>
      </c>
      <c r="N207" s="588">
        <v>40738.41247306166</v>
      </c>
      <c r="O207" s="668">
        <v>830994.84967950056</v>
      </c>
      <c r="P207" s="663">
        <v>2647.8517933424091</v>
      </c>
      <c r="Q207" s="664">
        <v>26835.493648603526</v>
      </c>
      <c r="R207" s="666">
        <v>40096.466051720912</v>
      </c>
    </row>
    <row r="208" spans="1:18" ht="15.75" hidden="1" customHeight="1">
      <c r="A208" s="589">
        <v>40425</v>
      </c>
      <c r="B208" s="582">
        <v>69708.82198647123</v>
      </c>
      <c r="C208" s="580">
        <v>28158.5908656826</v>
      </c>
      <c r="D208" s="580">
        <v>115806.69826929308</v>
      </c>
      <c r="E208" s="581">
        <v>71850.427301611518</v>
      </c>
      <c r="F208" s="580">
        <v>394936.08643463557</v>
      </c>
      <c r="G208" s="582">
        <v>610751.80287122272</v>
      </c>
      <c r="H208" s="663">
        <v>658.91700000000003</v>
      </c>
      <c r="I208" s="663">
        <v>2669.8709598399996</v>
      </c>
      <c r="J208" s="667">
        <v>544.81786240999998</v>
      </c>
      <c r="K208" s="583">
        <v>5846.0067053005996</v>
      </c>
      <c r="L208" s="581">
        <v>101666.27468922634</v>
      </c>
      <c r="M208" s="664">
        <v>258.90709036369998</v>
      </c>
      <c r="N208" s="588">
        <v>45422.94097523349</v>
      </c>
      <c r="O208" s="668">
        <v>837528.36014006799</v>
      </c>
      <c r="P208" s="663">
        <v>2715.5322607255866</v>
      </c>
      <c r="Q208" s="664">
        <v>24938.611197876184</v>
      </c>
      <c r="R208" s="666">
        <v>40457.421742769839</v>
      </c>
    </row>
    <row r="209" spans="1:19" ht="15.75" hidden="1" customHeight="1">
      <c r="A209" s="597" t="s">
        <v>147</v>
      </c>
      <c r="B209" s="582">
        <v>69811.232807923821</v>
      </c>
      <c r="C209" s="580">
        <v>28069.971441576639</v>
      </c>
      <c r="D209" s="580">
        <v>116689.99198776182</v>
      </c>
      <c r="E209" s="581">
        <v>72775.969485212001</v>
      </c>
      <c r="F209" s="580">
        <v>395447.09165531205</v>
      </c>
      <c r="G209" s="582">
        <v>612983.02456986252</v>
      </c>
      <c r="H209" s="663">
        <v>664.99199999999996</v>
      </c>
      <c r="I209" s="663">
        <v>1876.6600001796</v>
      </c>
      <c r="J209" s="667">
        <v>596.49269889000004</v>
      </c>
      <c r="K209" s="583">
        <v>7062.0755323124395</v>
      </c>
      <c r="L209" s="581">
        <v>94597.841468001847</v>
      </c>
      <c r="M209" s="664">
        <v>261.33919234705996</v>
      </c>
      <c r="N209" s="588">
        <v>54024.731617983125</v>
      </c>
      <c r="O209" s="668">
        <v>841878.38988750032</v>
      </c>
      <c r="P209" s="663">
        <v>2698.9364488039237</v>
      </c>
      <c r="Q209" s="664">
        <v>26535.341211770436</v>
      </c>
      <c r="R209" s="666">
        <v>41496.152804299374</v>
      </c>
    </row>
    <row r="210" spans="1:19" ht="15.75" hidden="1" customHeight="1">
      <c r="A210" s="589">
        <v>40483</v>
      </c>
      <c r="B210" s="582">
        <v>71819.55398807906</v>
      </c>
      <c r="C210" s="580">
        <v>29345.241082260334</v>
      </c>
      <c r="D210" s="580">
        <v>116312.2510405466</v>
      </c>
      <c r="E210" s="581">
        <v>74901.84571583246</v>
      </c>
      <c r="F210" s="580">
        <v>398861.89993510942</v>
      </c>
      <c r="G210" s="582">
        <v>619421.23777374881</v>
      </c>
      <c r="H210" s="663">
        <v>658.99199999999996</v>
      </c>
      <c r="I210" s="663">
        <v>4308.4024994402798</v>
      </c>
      <c r="J210" s="667">
        <v>991.04507108999996</v>
      </c>
      <c r="K210" s="583">
        <v>8280.4925598495392</v>
      </c>
      <c r="L210" s="581">
        <v>92509.907109523716</v>
      </c>
      <c r="M210" s="664">
        <v>296.15530191341998</v>
      </c>
      <c r="N210" s="588">
        <v>56719.292914647733</v>
      </c>
      <c r="O210" s="668">
        <v>855005.07921829249</v>
      </c>
      <c r="P210" s="663">
        <v>2750.5133399917759</v>
      </c>
      <c r="Q210" s="664">
        <v>26772.55397464706</v>
      </c>
      <c r="R210" s="666">
        <v>41911.244149020196</v>
      </c>
    </row>
    <row r="211" spans="1:19" ht="15.75" hidden="1" customHeight="1">
      <c r="A211" s="589">
        <v>40516</v>
      </c>
      <c r="B211" s="582">
        <v>71958.184168184671</v>
      </c>
      <c r="C211" s="580">
        <v>32673.637819172611</v>
      </c>
      <c r="D211" s="580">
        <v>121023.3822818949</v>
      </c>
      <c r="E211" s="581">
        <v>73718.453441072648</v>
      </c>
      <c r="F211" s="580">
        <v>405381.70867787389</v>
      </c>
      <c r="G211" s="582">
        <v>632797.18222001405</v>
      </c>
      <c r="H211" s="663">
        <v>843.41600000000005</v>
      </c>
      <c r="I211" s="663">
        <v>5232.7412640064977</v>
      </c>
      <c r="J211" s="667">
        <v>975.03363002999993</v>
      </c>
      <c r="K211" s="583">
        <v>4269.4683195600001</v>
      </c>
      <c r="L211" s="581">
        <v>85682.043937697104</v>
      </c>
      <c r="M211" s="664">
        <v>198.71203370812003</v>
      </c>
      <c r="N211" s="588">
        <v>61510.666985200674</v>
      </c>
      <c r="O211" s="668">
        <v>863467.44855840108</v>
      </c>
      <c r="P211" s="663">
        <v>2859.652860248671</v>
      </c>
      <c r="Q211" s="664">
        <v>26960.933966428613</v>
      </c>
      <c r="R211" s="666">
        <v>42633.226976758349</v>
      </c>
    </row>
    <row r="212" spans="1:19" ht="15.75" hidden="1" customHeight="1">
      <c r="A212" s="589">
        <v>40547</v>
      </c>
      <c r="B212" s="582">
        <v>74047.987046456576</v>
      </c>
      <c r="C212" s="580">
        <v>31288.605026666588</v>
      </c>
      <c r="D212" s="580">
        <v>122498.978109989</v>
      </c>
      <c r="E212" s="581">
        <v>72211.759921383491</v>
      </c>
      <c r="F212" s="580">
        <v>401444.17940840899</v>
      </c>
      <c r="G212" s="582">
        <v>627443.52246644802</v>
      </c>
      <c r="H212" s="663">
        <v>717.59400000000005</v>
      </c>
      <c r="I212" s="663">
        <v>3357.6084247100002</v>
      </c>
      <c r="J212" s="667">
        <v>964.52194749</v>
      </c>
      <c r="K212" s="583">
        <v>6602.1330069706819</v>
      </c>
      <c r="L212" s="581">
        <v>79903.781870258084</v>
      </c>
      <c r="M212" s="664">
        <v>260.22613338603406</v>
      </c>
      <c r="N212" s="588">
        <v>56781.474286654178</v>
      </c>
      <c r="O212" s="668">
        <v>850078.84918237349</v>
      </c>
      <c r="P212" s="663">
        <v>2829.0815550333891</v>
      </c>
      <c r="Q212" s="664">
        <v>24828.466673689371</v>
      </c>
      <c r="R212" s="666">
        <v>42577.222749494111</v>
      </c>
    </row>
    <row r="213" spans="1:19" ht="15.75" hidden="1" customHeight="1">
      <c r="A213" s="589">
        <v>40578</v>
      </c>
      <c r="B213" s="582">
        <v>74853.636671657572</v>
      </c>
      <c r="C213" s="580">
        <v>30362.404696405716</v>
      </c>
      <c r="D213" s="580">
        <v>125350.91506899617</v>
      </c>
      <c r="E213" s="581">
        <v>69858.125045171881</v>
      </c>
      <c r="F213" s="580">
        <v>402591.59376523638</v>
      </c>
      <c r="G213" s="582">
        <v>628163.03857581015</v>
      </c>
      <c r="H213" s="663">
        <v>952.37</v>
      </c>
      <c r="I213" s="663">
        <v>4986.6584145321995</v>
      </c>
      <c r="J213" s="667">
        <v>964.26194749000001</v>
      </c>
      <c r="K213" s="583">
        <v>5400.817612978899</v>
      </c>
      <c r="L213" s="581">
        <v>81804.495652096724</v>
      </c>
      <c r="M213" s="664">
        <v>282.56577364748892</v>
      </c>
      <c r="N213" s="588">
        <v>57912.447611142008</v>
      </c>
      <c r="O213" s="668">
        <v>855320.29225935496</v>
      </c>
      <c r="P213" s="663">
        <v>2646.7960228920742</v>
      </c>
      <c r="Q213" s="664">
        <v>27818.897027598854</v>
      </c>
      <c r="R213" s="666">
        <v>43867.195843430054</v>
      </c>
    </row>
    <row r="214" spans="1:19" ht="15.75" hidden="1" customHeight="1">
      <c r="A214" s="589">
        <v>40606</v>
      </c>
      <c r="B214" s="582">
        <v>76789.355354269515</v>
      </c>
      <c r="C214" s="580">
        <v>30110.77207123808</v>
      </c>
      <c r="D214" s="580">
        <v>125789.94411874903</v>
      </c>
      <c r="E214" s="581">
        <v>69454.516815334442</v>
      </c>
      <c r="F214" s="580">
        <v>372193.8817414756</v>
      </c>
      <c r="G214" s="582">
        <v>597549.11474679713</v>
      </c>
      <c r="H214" s="663">
        <v>1120.8430000000001</v>
      </c>
      <c r="I214" s="663">
        <v>3662.2113458216004</v>
      </c>
      <c r="J214" s="667">
        <v>206.23537719999999</v>
      </c>
      <c r="K214" s="583">
        <v>3501.8580761788139</v>
      </c>
      <c r="L214" s="581">
        <v>80573.079040452387</v>
      </c>
      <c r="M214" s="664">
        <v>275.55106499726401</v>
      </c>
      <c r="N214" s="588">
        <v>61493.759920640921</v>
      </c>
      <c r="O214" s="668">
        <v>825172.00792635768</v>
      </c>
      <c r="P214" s="663">
        <v>2646.6184642214239</v>
      </c>
      <c r="Q214" s="664">
        <v>28354.504783170109</v>
      </c>
      <c r="R214" s="666">
        <v>44588.035072971819</v>
      </c>
    </row>
    <row r="215" spans="1:19" ht="15.75" hidden="1" customHeight="1">
      <c r="A215" s="589">
        <v>40637</v>
      </c>
      <c r="B215" s="582">
        <v>76456.287781692372</v>
      </c>
      <c r="C215" s="580">
        <v>30195.506958344908</v>
      </c>
      <c r="D215" s="580">
        <v>127277.36113852791</v>
      </c>
      <c r="E215" s="581">
        <v>69103.301405043414</v>
      </c>
      <c r="F215" s="580">
        <v>402319.98389230797</v>
      </c>
      <c r="G215" s="582">
        <v>628896.15339422412</v>
      </c>
      <c r="H215" s="663">
        <v>1335.222</v>
      </c>
      <c r="I215" s="663">
        <v>3628.0564652045</v>
      </c>
      <c r="J215" s="667">
        <v>194.97344360999998</v>
      </c>
      <c r="K215" s="583">
        <v>2932.404509</v>
      </c>
      <c r="L215" s="581">
        <v>92964.283602078969</v>
      </c>
      <c r="M215" s="664">
        <v>299.16057685304497</v>
      </c>
      <c r="N215" s="588">
        <v>49933.369513303514</v>
      </c>
      <c r="O215" s="668">
        <v>856639.91128596652</v>
      </c>
      <c r="P215" s="663">
        <v>2665.9516886849851</v>
      </c>
      <c r="Q215" s="664">
        <v>24509.200000000001</v>
      </c>
      <c r="R215" s="666">
        <v>47047.520488739028</v>
      </c>
    </row>
    <row r="216" spans="1:19" ht="15.75" hidden="1" customHeight="1">
      <c r="A216" s="589">
        <v>40667</v>
      </c>
      <c r="B216" s="582">
        <v>75743.364788620805</v>
      </c>
      <c r="C216" s="580">
        <v>30702.244648725151</v>
      </c>
      <c r="D216" s="580">
        <v>124162.58745766095</v>
      </c>
      <c r="E216" s="581">
        <v>69671.653472228849</v>
      </c>
      <c r="F216" s="580">
        <v>380544.03353076626</v>
      </c>
      <c r="G216" s="582">
        <v>605080.51910938125</v>
      </c>
      <c r="H216" s="663">
        <v>1103.53</v>
      </c>
      <c r="I216" s="663">
        <v>4062.3501496975314</v>
      </c>
      <c r="J216" s="667">
        <v>595.30344361000004</v>
      </c>
      <c r="K216" s="583">
        <v>3258.8127845355566</v>
      </c>
      <c r="L216" s="581">
        <v>72877.70659559971</v>
      </c>
      <c r="M216" s="664">
        <v>360.21468015017592</v>
      </c>
      <c r="N216" s="588">
        <v>63214.590903155535</v>
      </c>
      <c r="O216" s="668">
        <v>826296.3924547506</v>
      </c>
      <c r="P216" s="663">
        <v>2633.1786993020978</v>
      </c>
      <c r="Q216" s="664">
        <v>26977.951248752091</v>
      </c>
      <c r="R216" s="666">
        <v>47346.651298817073</v>
      </c>
    </row>
    <row r="217" spans="1:19" ht="15.75" hidden="1" customHeight="1">
      <c r="A217" s="589">
        <v>40698</v>
      </c>
      <c r="B217" s="582">
        <v>75418.780908623216</v>
      </c>
      <c r="C217" s="580">
        <v>32314.753671814229</v>
      </c>
      <c r="D217" s="580">
        <v>126316.97466999752</v>
      </c>
      <c r="E217" s="581">
        <v>70253.61582255215</v>
      </c>
      <c r="F217" s="580">
        <v>411103.27486864943</v>
      </c>
      <c r="G217" s="582">
        <v>639988.61903301335</v>
      </c>
      <c r="H217" s="663">
        <v>1113.778</v>
      </c>
      <c r="I217" s="663">
        <v>8807.9412896494414</v>
      </c>
      <c r="J217" s="667">
        <v>179.43377349000002</v>
      </c>
      <c r="K217" s="583">
        <v>3354.4412090664</v>
      </c>
      <c r="L217" s="581">
        <v>83245.746823911497</v>
      </c>
      <c r="M217" s="664">
        <v>333.593312587078</v>
      </c>
      <c r="N217" s="588">
        <v>62634.729257178449</v>
      </c>
      <c r="O217" s="668">
        <v>875077.06360751949</v>
      </c>
      <c r="P217" s="663">
        <v>2603.3067927765378</v>
      </c>
      <c r="Q217" s="664">
        <v>26632.993703269691</v>
      </c>
      <c r="R217" s="666">
        <v>49109.966994062182</v>
      </c>
    </row>
    <row r="218" spans="1:19" ht="15.75" hidden="1" customHeight="1">
      <c r="A218" s="589">
        <v>40728</v>
      </c>
      <c r="B218" s="582">
        <v>78585.051613898977</v>
      </c>
      <c r="C218" s="580">
        <v>31720.918188238265</v>
      </c>
      <c r="D218" s="580">
        <v>126653.07644592701</v>
      </c>
      <c r="E218" s="581">
        <v>70247.93777623566</v>
      </c>
      <c r="F218" s="580">
        <v>389723.32285252446</v>
      </c>
      <c r="G218" s="582">
        <v>618345.25526292541</v>
      </c>
      <c r="H218" s="663">
        <v>1262.942</v>
      </c>
      <c r="I218" s="663">
        <v>7933.1365532320006</v>
      </c>
      <c r="J218" s="667">
        <v>1751.7216656400001</v>
      </c>
      <c r="K218" s="583">
        <v>305.82475157700003</v>
      </c>
      <c r="L218" s="581">
        <v>90804.137829566462</v>
      </c>
      <c r="M218" s="664">
        <v>348.38155762139502</v>
      </c>
      <c r="N218" s="588">
        <v>54609.295382354954</v>
      </c>
      <c r="O218" s="668">
        <v>853945.74661681615</v>
      </c>
      <c r="P218" s="663">
        <v>2462.0230517719156</v>
      </c>
      <c r="Q218" s="664">
        <v>26767.340365850243</v>
      </c>
      <c r="R218" s="666">
        <v>48995.382306296371</v>
      </c>
      <c r="S218" s="588"/>
    </row>
    <row r="219" spans="1:19" ht="15.75" hidden="1" customHeight="1">
      <c r="A219" s="589">
        <v>40759</v>
      </c>
      <c r="B219" s="582">
        <v>83513.63737184956</v>
      </c>
      <c r="C219" s="580">
        <v>32649.066461258</v>
      </c>
      <c r="D219" s="580">
        <v>126916.60251138601</v>
      </c>
      <c r="E219" s="581">
        <v>70622.341774945497</v>
      </c>
      <c r="F219" s="580">
        <v>376917.27474054921</v>
      </c>
      <c r="G219" s="582">
        <v>607105.28548813867</v>
      </c>
      <c r="H219" s="663">
        <v>1525.6179669999999</v>
      </c>
      <c r="I219" s="663">
        <v>3772.7239561060001</v>
      </c>
      <c r="J219" s="667">
        <v>1030.6016440000001</v>
      </c>
      <c r="K219" s="583">
        <v>3069.0622507974999</v>
      </c>
      <c r="L219" s="581">
        <v>94995.251343593016</v>
      </c>
      <c r="M219" s="664">
        <v>315.24851019800002</v>
      </c>
      <c r="N219" s="588">
        <v>47358.553310397372</v>
      </c>
      <c r="O219" s="668">
        <v>842685.98184208001</v>
      </c>
      <c r="P219" s="663">
        <v>2535.9199841785003</v>
      </c>
      <c r="Q219" s="664">
        <v>26014.205287048499</v>
      </c>
      <c r="R219" s="666">
        <v>49651.359854466937</v>
      </c>
      <c r="S219" s="588"/>
    </row>
    <row r="220" spans="1:19" ht="15.75" hidden="1" customHeight="1">
      <c r="A220" s="589">
        <v>40790</v>
      </c>
      <c r="B220" s="582">
        <v>85113.952867349668</v>
      </c>
      <c r="C220" s="580">
        <v>33515.651613825801</v>
      </c>
      <c r="D220" s="580">
        <v>126974.66010586319</v>
      </c>
      <c r="E220" s="581">
        <v>71003.748970558998</v>
      </c>
      <c r="F220" s="580">
        <v>381492.103888679</v>
      </c>
      <c r="G220" s="582">
        <v>612986.16457892698</v>
      </c>
      <c r="H220" s="663">
        <v>1119.211</v>
      </c>
      <c r="I220" s="663">
        <v>5476.6288919655999</v>
      </c>
      <c r="J220" s="667">
        <v>724.05278499999997</v>
      </c>
      <c r="K220" s="583">
        <v>3922.798037</v>
      </c>
      <c r="L220" s="581">
        <v>104003.16297190395</v>
      </c>
      <c r="M220" s="664">
        <v>308.32020056019996</v>
      </c>
      <c r="N220" s="588">
        <v>57154.047460545866</v>
      </c>
      <c r="O220" s="668">
        <v>870808.33879325213</v>
      </c>
      <c r="P220" s="663">
        <v>2597.2604368578</v>
      </c>
      <c r="Q220" s="664">
        <v>27323.143967645599</v>
      </c>
      <c r="R220" s="666">
        <v>47860.403664682999</v>
      </c>
      <c r="S220" s="588"/>
    </row>
    <row r="221" spans="1:19" ht="15.75" hidden="1" customHeight="1">
      <c r="A221" s="589">
        <v>40820</v>
      </c>
      <c r="B221" s="582">
        <v>83604.5</v>
      </c>
      <c r="C221" s="580">
        <v>32843.699999999997</v>
      </c>
      <c r="D221" s="580">
        <v>127213.2</v>
      </c>
      <c r="E221" s="581">
        <v>71351.100000000006</v>
      </c>
      <c r="F221" s="580">
        <v>377609</v>
      </c>
      <c r="G221" s="582">
        <v>609017.1</v>
      </c>
      <c r="H221" s="663">
        <v>2084.1</v>
      </c>
      <c r="I221" s="663">
        <v>4607</v>
      </c>
      <c r="J221" s="667">
        <v>911.3</v>
      </c>
      <c r="K221" s="583">
        <v>3910.4</v>
      </c>
      <c r="L221" s="581">
        <v>109553.3</v>
      </c>
      <c r="M221" s="664">
        <v>318.89999999999998</v>
      </c>
      <c r="N221" s="588">
        <v>60165.599999999999</v>
      </c>
      <c r="O221" s="668">
        <v>874172.2</v>
      </c>
      <c r="P221" s="663">
        <v>2738.358101460447</v>
      </c>
      <c r="Q221" s="664">
        <v>28017.652141925264</v>
      </c>
      <c r="R221" s="666">
        <v>46216.42294878247</v>
      </c>
      <c r="S221" s="588"/>
    </row>
    <row r="222" spans="1:19" ht="15.75" hidden="1" customHeight="1">
      <c r="A222" s="589">
        <v>40851</v>
      </c>
      <c r="B222" s="582">
        <v>85341.287007083054</v>
      </c>
      <c r="C222" s="580">
        <v>33745.1397557608</v>
      </c>
      <c r="D222" s="580">
        <v>127172.70092677772</v>
      </c>
      <c r="E222" s="581">
        <v>71453.389077017811</v>
      </c>
      <c r="F222" s="580">
        <v>430756.73283985478</v>
      </c>
      <c r="G222" s="582">
        <v>663127.96259941114</v>
      </c>
      <c r="H222" s="663">
        <v>1071.5450000000001</v>
      </c>
      <c r="I222" s="663">
        <v>3956.188830539917</v>
      </c>
      <c r="J222" s="667">
        <v>1067.5176299799998</v>
      </c>
      <c r="K222" s="583">
        <v>4928.5981398961239</v>
      </c>
      <c r="L222" s="581">
        <v>99983.950569355657</v>
      </c>
      <c r="M222" s="664">
        <v>608.77041252340791</v>
      </c>
      <c r="N222" s="588">
        <v>64138.715578088493</v>
      </c>
      <c r="O222" s="668">
        <v>924224.53576687793</v>
      </c>
      <c r="P222" s="663">
        <v>2755.7193201143809</v>
      </c>
      <c r="Q222" s="664">
        <v>29792.334706412927</v>
      </c>
      <c r="R222" s="666">
        <v>50108.563052711856</v>
      </c>
      <c r="S222" s="588"/>
    </row>
    <row r="223" spans="1:19" ht="15.75" hidden="1" customHeight="1">
      <c r="A223" s="589">
        <v>40881</v>
      </c>
      <c r="B223" s="582">
        <v>83809.825626176127</v>
      </c>
      <c r="C223" s="580">
        <v>36033.443504546158</v>
      </c>
      <c r="D223" s="580">
        <v>132425.0388905812</v>
      </c>
      <c r="E223" s="581">
        <v>72181.618174025338</v>
      </c>
      <c r="F223" s="580">
        <v>372016.90833563538</v>
      </c>
      <c r="G223" s="582">
        <v>612657.00890478806</v>
      </c>
      <c r="H223" s="663">
        <v>1042.915</v>
      </c>
      <c r="I223" s="663">
        <v>6005.4004488969003</v>
      </c>
      <c r="J223" s="667">
        <v>1114.8821868599998</v>
      </c>
      <c r="K223" s="583">
        <v>5193.1934919624</v>
      </c>
      <c r="L223" s="581">
        <v>109465.72838847182</v>
      </c>
      <c r="M223" s="664">
        <v>368.97363175252798</v>
      </c>
      <c r="N223" s="588">
        <v>63303.988222508458</v>
      </c>
      <c r="O223" s="668">
        <v>882961.91590141621</v>
      </c>
      <c r="P223" s="663">
        <v>2884.7155837824475</v>
      </c>
      <c r="Q223" s="664">
        <v>28366.883551936127</v>
      </c>
      <c r="R223" s="666">
        <v>51669.554598906543</v>
      </c>
      <c r="S223" s="588"/>
    </row>
    <row r="224" spans="1:19" ht="15.75" hidden="1" customHeight="1">
      <c r="A224" s="589">
        <v>40912</v>
      </c>
      <c r="B224" s="582">
        <v>84758.099934525875</v>
      </c>
      <c r="C224" s="580">
        <v>35994.433152732134</v>
      </c>
      <c r="D224" s="580">
        <v>132814.2099145664</v>
      </c>
      <c r="E224" s="581">
        <v>70973.653296346049</v>
      </c>
      <c r="F224" s="580">
        <v>346577.08356266248</v>
      </c>
      <c r="G224" s="582">
        <v>586359.37992630713</v>
      </c>
      <c r="H224" s="663">
        <v>1481.6949999999999</v>
      </c>
      <c r="I224" s="663">
        <v>3766.7715452600423</v>
      </c>
      <c r="J224" s="667">
        <v>1091.41321634</v>
      </c>
      <c r="K224" s="583">
        <v>3185.3655339797301</v>
      </c>
      <c r="L224" s="581">
        <v>115355.29027617861</v>
      </c>
      <c r="M224" s="664">
        <v>434.13260952365994</v>
      </c>
      <c r="N224" s="588">
        <v>59752.185234568191</v>
      </c>
      <c r="O224" s="668">
        <v>856184.33327668335</v>
      </c>
      <c r="P224" s="663">
        <v>2821.7123677397631</v>
      </c>
      <c r="Q224" s="664">
        <v>28813.052995399325</v>
      </c>
      <c r="R224" s="666">
        <v>49916.131804591445</v>
      </c>
      <c r="S224" s="588"/>
    </row>
    <row r="225" spans="1:19" ht="15.75" hidden="1" customHeight="1">
      <c r="A225" s="589">
        <v>40943</v>
      </c>
      <c r="B225" s="582">
        <v>84859.899867073589</v>
      </c>
      <c r="C225" s="580">
        <v>35068.282943368475</v>
      </c>
      <c r="D225" s="580">
        <v>134939.53384215693</v>
      </c>
      <c r="E225" s="581">
        <v>69704.701686358734</v>
      </c>
      <c r="F225" s="580">
        <v>355238.7194571257</v>
      </c>
      <c r="G225" s="582">
        <v>594951.23792900983</v>
      </c>
      <c r="H225" s="663">
        <v>1515.202</v>
      </c>
      <c r="I225" s="663">
        <v>3103.0469215846401</v>
      </c>
      <c r="J225" s="667">
        <v>1099.7932091700002</v>
      </c>
      <c r="K225" s="583">
        <v>701.66408002906599</v>
      </c>
      <c r="L225" s="581">
        <v>111905.48699807325</v>
      </c>
      <c r="M225" s="664">
        <v>427.30459541964598</v>
      </c>
      <c r="N225" s="588">
        <v>61883.695068951522</v>
      </c>
      <c r="O225" s="668">
        <v>860447.33066931169</v>
      </c>
      <c r="P225" s="663">
        <v>2759.411751148617</v>
      </c>
      <c r="Q225" s="664">
        <v>29158.089065161621</v>
      </c>
      <c r="R225" s="666">
        <v>49456.438670597287</v>
      </c>
      <c r="S225" s="588"/>
    </row>
    <row r="226" spans="1:19" ht="15.75" hidden="1" customHeight="1">
      <c r="A226" s="589">
        <v>40972</v>
      </c>
      <c r="B226" s="582">
        <v>87766.875483462922</v>
      </c>
      <c r="C226" s="580">
        <v>34553.902894812614</v>
      </c>
      <c r="D226" s="580">
        <v>135882.10005695315</v>
      </c>
      <c r="E226" s="581">
        <v>70872.015047895955</v>
      </c>
      <c r="F226" s="580">
        <v>411038.85604893375</v>
      </c>
      <c r="G226" s="582">
        <v>652346.87404859543</v>
      </c>
      <c r="H226" s="663">
        <v>1478.809</v>
      </c>
      <c r="I226" s="663">
        <v>6344.8398908775007</v>
      </c>
      <c r="J226" s="667">
        <v>1099.0506297099998</v>
      </c>
      <c r="K226" s="583">
        <v>1554.7469978331999</v>
      </c>
      <c r="L226" s="581">
        <v>105675.52312420629</v>
      </c>
      <c r="M226" s="664">
        <v>460.90758538229551</v>
      </c>
      <c r="N226" s="588">
        <v>57634.144197996582</v>
      </c>
      <c r="O226" s="668">
        <v>914361.77095806436</v>
      </c>
      <c r="P226" s="663">
        <v>2885.45057107393</v>
      </c>
      <c r="Q226" s="664">
        <v>22976.781313039559</v>
      </c>
      <c r="R226" s="666">
        <v>48682.216322745699</v>
      </c>
      <c r="S226" s="588"/>
    </row>
    <row r="227" spans="1:19" ht="15.75" hidden="1" customHeight="1">
      <c r="A227" s="589">
        <v>41003</v>
      </c>
      <c r="B227" s="582">
        <v>89176.489317551852</v>
      </c>
      <c r="C227" s="580">
        <v>35025.171655382081</v>
      </c>
      <c r="D227" s="580">
        <v>134899.50693514047</v>
      </c>
      <c r="E227" s="581">
        <v>70776.944392959427</v>
      </c>
      <c r="F227" s="580">
        <v>413604.75025362393</v>
      </c>
      <c r="G227" s="582">
        <v>654306.3732371059</v>
      </c>
      <c r="H227" s="663">
        <v>1556.537</v>
      </c>
      <c r="I227" s="663">
        <v>5801.6094873497896</v>
      </c>
      <c r="J227" s="667">
        <v>1080.7483627700001</v>
      </c>
      <c r="K227" s="583">
        <v>1167.9430645350139</v>
      </c>
      <c r="L227" s="581">
        <v>106091.22996343728</v>
      </c>
      <c r="M227" s="664">
        <v>406.22929911051796</v>
      </c>
      <c r="N227" s="588">
        <v>58454.321538450604</v>
      </c>
      <c r="O227" s="668">
        <v>918041.48127031082</v>
      </c>
      <c r="P227" s="663">
        <v>2790.1429762011853</v>
      </c>
      <c r="Q227" s="664">
        <v>22428.198355347962</v>
      </c>
      <c r="R227" s="666">
        <v>47816.856658170429</v>
      </c>
      <c r="S227" s="588"/>
    </row>
    <row r="228" spans="1:19" ht="15.75" hidden="1" customHeight="1">
      <c r="A228" s="589">
        <v>41033</v>
      </c>
      <c r="B228" s="582">
        <v>91156.019585703049</v>
      </c>
      <c r="C228" s="580">
        <v>34945.694702214802</v>
      </c>
      <c r="D228" s="580">
        <v>134116.2918903417</v>
      </c>
      <c r="E228" s="581">
        <v>75286.2817948374</v>
      </c>
      <c r="F228" s="580">
        <v>425156.63291932363</v>
      </c>
      <c r="G228" s="582">
        <v>669504.90130671754</v>
      </c>
      <c r="H228" s="663">
        <v>1632.962</v>
      </c>
      <c r="I228" s="663">
        <v>3586.473140854333</v>
      </c>
      <c r="J228" s="667">
        <v>49.19253057000001</v>
      </c>
      <c r="K228" s="583">
        <v>2052.9093821399997</v>
      </c>
      <c r="L228" s="581">
        <v>103244.94422507088</v>
      </c>
      <c r="M228" s="664">
        <v>404.15151633362996</v>
      </c>
      <c r="N228" s="588">
        <v>67724.628858044613</v>
      </c>
      <c r="O228" s="668">
        <v>939356.18254543422</v>
      </c>
      <c r="P228" s="663">
        <v>2887.5245964966307</v>
      </c>
      <c r="Q228" s="664">
        <v>26897.386207970292</v>
      </c>
      <c r="R228" s="666">
        <v>49131.265151558451</v>
      </c>
      <c r="S228" s="588"/>
    </row>
    <row r="229" spans="1:19" ht="15.75" hidden="1" customHeight="1">
      <c r="A229" s="589">
        <v>41064</v>
      </c>
      <c r="B229" s="582">
        <v>91384.349566698365</v>
      </c>
      <c r="C229" s="580">
        <v>36269.300144301204</v>
      </c>
      <c r="D229" s="580">
        <v>136714.59807530811</v>
      </c>
      <c r="E229" s="581">
        <v>75783.123382673628</v>
      </c>
      <c r="F229" s="580">
        <v>369930.90738595295</v>
      </c>
      <c r="G229" s="582">
        <v>618697.92898823589</v>
      </c>
      <c r="H229" s="663">
        <v>1876.806</v>
      </c>
      <c r="I229" s="663">
        <v>3925.9665552144957</v>
      </c>
      <c r="J229" s="667">
        <v>412.99217190999997</v>
      </c>
      <c r="K229" s="583">
        <v>2728.6366338249836</v>
      </c>
      <c r="L229" s="581">
        <v>122329.52647481611</v>
      </c>
      <c r="M229" s="664">
        <v>487.65999416487853</v>
      </c>
      <c r="N229" s="588">
        <v>68455.999422508961</v>
      </c>
      <c r="O229" s="668">
        <v>910299.86580737366</v>
      </c>
      <c r="P229" s="663">
        <v>3083.6774514934064</v>
      </c>
      <c r="Q229" s="664">
        <v>24242.75302641427</v>
      </c>
      <c r="R229" s="666">
        <v>49790.801942226535</v>
      </c>
      <c r="S229" s="588"/>
    </row>
    <row r="230" spans="1:19" ht="15.75" hidden="1" customHeight="1">
      <c r="A230" s="589">
        <v>41094</v>
      </c>
      <c r="B230" s="582">
        <v>98382.627742234064</v>
      </c>
      <c r="C230" s="580">
        <v>35496.121872483913</v>
      </c>
      <c r="D230" s="580">
        <v>136630.76520391487</v>
      </c>
      <c r="E230" s="581">
        <v>77682.339250770237</v>
      </c>
      <c r="F230" s="580">
        <v>395364.27094781742</v>
      </c>
      <c r="G230" s="582">
        <v>645173.49727498647</v>
      </c>
      <c r="H230" s="663">
        <v>2072.1239999999998</v>
      </c>
      <c r="I230" s="663">
        <v>3249.7536127762878</v>
      </c>
      <c r="J230" s="667">
        <v>146.05067693000001</v>
      </c>
      <c r="K230" s="583">
        <v>2751.2126752029826</v>
      </c>
      <c r="L230" s="581">
        <v>124101.68618888553</v>
      </c>
      <c r="M230" s="664">
        <v>395.43364768092817</v>
      </c>
      <c r="N230" s="588">
        <v>57484.145346347701</v>
      </c>
      <c r="O230" s="668">
        <v>933756.53116504382</v>
      </c>
      <c r="P230" s="663">
        <v>2970.4374520983065</v>
      </c>
      <c r="Q230" s="664">
        <v>24868.537926476474</v>
      </c>
      <c r="R230" s="666">
        <v>48822.314249406161</v>
      </c>
      <c r="S230" s="588"/>
    </row>
    <row r="231" spans="1:19" ht="15.75" hidden="1" customHeight="1">
      <c r="A231" s="589">
        <v>41125</v>
      </c>
      <c r="B231" s="582">
        <v>97907.611665978606</v>
      </c>
      <c r="C231" s="580">
        <v>35754.208645643441</v>
      </c>
      <c r="D231" s="580">
        <v>135650.61588188368</v>
      </c>
      <c r="E231" s="581">
        <v>77987.019456369351</v>
      </c>
      <c r="F231" s="580">
        <v>367616.12938914134</v>
      </c>
      <c r="G231" s="582">
        <v>617007.97337303776</v>
      </c>
      <c r="H231" s="663">
        <v>1955.866</v>
      </c>
      <c r="I231" s="663">
        <v>2357.4808087414003</v>
      </c>
      <c r="J231" s="667">
        <v>393.41489346000003</v>
      </c>
      <c r="K231" s="583">
        <v>4657.7173166195998</v>
      </c>
      <c r="L231" s="581">
        <v>114482.75394695339</v>
      </c>
      <c r="M231" s="664">
        <v>454.96120877411801</v>
      </c>
      <c r="N231" s="588">
        <v>60352.571566303937</v>
      </c>
      <c r="O231" s="668">
        <v>899570.35077986878</v>
      </c>
      <c r="P231" s="663">
        <v>1702.9001914878536</v>
      </c>
      <c r="Q231" s="664">
        <v>23146.837936082269</v>
      </c>
      <c r="R231" s="666">
        <v>49125.929034897556</v>
      </c>
      <c r="S231" s="588"/>
    </row>
    <row r="232" spans="1:19" ht="15.75" hidden="1" customHeight="1">
      <c r="A232" s="589">
        <v>41156</v>
      </c>
      <c r="B232" s="582">
        <v>96881.462614304997</v>
      </c>
      <c r="C232" s="580">
        <v>37030.468995217656</v>
      </c>
      <c r="D232" s="580">
        <v>136326.92188617151</v>
      </c>
      <c r="E232" s="581">
        <v>77467.350737829867</v>
      </c>
      <c r="F232" s="580">
        <v>385672.81742309337</v>
      </c>
      <c r="G232" s="582">
        <v>636497.55904231244</v>
      </c>
      <c r="H232" s="663">
        <v>2602.277</v>
      </c>
      <c r="I232" s="663">
        <v>5054.3314289325999</v>
      </c>
      <c r="J232" s="667">
        <v>733.80487335999999</v>
      </c>
      <c r="K232" s="583">
        <v>2917.7640274945998</v>
      </c>
      <c r="L232" s="581">
        <v>109620.85304694989</v>
      </c>
      <c r="M232" s="664">
        <v>521.980057976117</v>
      </c>
      <c r="N232" s="588">
        <v>60369.260861811767</v>
      </c>
      <c r="O232" s="668">
        <v>915199.29295314243</v>
      </c>
      <c r="P232" s="663">
        <v>1894.7533679080273</v>
      </c>
      <c r="Q232" s="664">
        <v>24988.138734956254</v>
      </c>
      <c r="R232" s="666">
        <v>48779.174670822809</v>
      </c>
      <c r="S232" s="588"/>
    </row>
    <row r="233" spans="1:19" ht="15.75" hidden="1" customHeight="1">
      <c r="A233" s="589">
        <v>41186</v>
      </c>
      <c r="B233" s="582">
        <v>97076.172045706786</v>
      </c>
      <c r="C233" s="580">
        <v>37064.39128620577</v>
      </c>
      <c r="D233" s="580">
        <v>136773.42095758097</v>
      </c>
      <c r="E233" s="581">
        <v>79028.251180180247</v>
      </c>
      <c r="F233" s="580">
        <v>407842.70777050621</v>
      </c>
      <c r="G233" s="582">
        <v>660708.77119447314</v>
      </c>
      <c r="H233" s="663">
        <v>2485.9369999999999</v>
      </c>
      <c r="I233" s="663">
        <v>5773.0419858782661</v>
      </c>
      <c r="J233" s="667">
        <v>1136.9511042399999</v>
      </c>
      <c r="K233" s="583">
        <v>2362.9800911197667</v>
      </c>
      <c r="L233" s="581">
        <v>107730.51994653618</v>
      </c>
      <c r="M233" s="664">
        <v>605.87070970520733</v>
      </c>
      <c r="N233" s="588">
        <v>61317.331878739889</v>
      </c>
      <c r="O233" s="668">
        <v>939197.5759563992</v>
      </c>
      <c r="P233" s="663">
        <v>2199.5915504234122</v>
      </c>
      <c r="Q233" s="664">
        <v>25512.491195062394</v>
      </c>
      <c r="R233" s="666">
        <v>54888.656902949697</v>
      </c>
      <c r="S233" s="588"/>
    </row>
    <row r="234" spans="1:19" ht="15.75" hidden="1" customHeight="1">
      <c r="A234" s="589">
        <v>41217</v>
      </c>
      <c r="B234" s="582">
        <v>97482.070865125366</v>
      </c>
      <c r="C234" s="580">
        <v>39064.807807585894</v>
      </c>
      <c r="D234" s="580">
        <v>138489.48924704039</v>
      </c>
      <c r="E234" s="581">
        <v>78044.768641169256</v>
      </c>
      <c r="F234" s="580">
        <v>410271.21637331153</v>
      </c>
      <c r="G234" s="582">
        <v>665870.28206910705</v>
      </c>
      <c r="H234" s="663">
        <v>2953.7240000000002</v>
      </c>
      <c r="I234" s="663">
        <v>6887.7218985971003</v>
      </c>
      <c r="J234" s="667">
        <v>1303.6555494700001</v>
      </c>
      <c r="K234" s="583">
        <v>3646.1320080641003</v>
      </c>
      <c r="L234" s="581">
        <v>117066.49395234675</v>
      </c>
      <c r="M234" s="664">
        <v>427.34712131923999</v>
      </c>
      <c r="N234" s="588">
        <v>60343.331037252436</v>
      </c>
      <c r="O234" s="668">
        <v>955980.75850128208</v>
      </c>
      <c r="P234" s="663">
        <v>1540.1135014479787</v>
      </c>
      <c r="Q234" s="664">
        <v>28097.316402587625</v>
      </c>
      <c r="R234" s="666">
        <v>54908.796404550099</v>
      </c>
      <c r="S234" s="588"/>
    </row>
    <row r="235" spans="1:19" ht="15.75" hidden="1" customHeight="1">
      <c r="A235" s="589">
        <v>41247</v>
      </c>
      <c r="B235" s="582">
        <v>101361.58656761546</v>
      </c>
      <c r="C235" s="580">
        <v>41808.676887730289</v>
      </c>
      <c r="D235" s="580">
        <v>143888.01180297983</v>
      </c>
      <c r="E235" s="581">
        <v>80502.059675700715</v>
      </c>
      <c r="F235" s="580">
        <v>425858.106576722</v>
      </c>
      <c r="G235" s="582">
        <v>692056.85494313273</v>
      </c>
      <c r="H235" s="663">
        <v>2645.3780000000002</v>
      </c>
      <c r="I235" s="663">
        <v>5655.3527691017334</v>
      </c>
      <c r="J235" s="667">
        <v>1683.54041646</v>
      </c>
      <c r="K235" s="583">
        <v>3240.2310300600002</v>
      </c>
      <c r="L235" s="581">
        <v>94514.342478617182</v>
      </c>
      <c r="M235" s="664">
        <v>387.41557493874535</v>
      </c>
      <c r="N235" s="588">
        <v>66575.490621872072</v>
      </c>
      <c r="O235" s="668">
        <v>968120.19240179798</v>
      </c>
      <c r="P235" s="663">
        <v>1208.2960913727682</v>
      </c>
      <c r="Q235" s="664">
        <v>31067.654204137452</v>
      </c>
      <c r="R235" s="666">
        <v>64923.748210942336</v>
      </c>
      <c r="S235" s="588"/>
    </row>
    <row r="236" spans="1:19" ht="15.75" hidden="1" customHeight="1">
      <c r="A236" s="589">
        <v>41278</v>
      </c>
      <c r="B236" s="582">
        <v>103641.42483111612</v>
      </c>
      <c r="C236" s="580">
        <v>38751.752792921485</v>
      </c>
      <c r="D236" s="580">
        <v>146025.27074579359</v>
      </c>
      <c r="E236" s="581">
        <v>77722.963236239171</v>
      </c>
      <c r="F236" s="580">
        <v>452468.23856931919</v>
      </c>
      <c r="G236" s="582">
        <v>714968.22534427349</v>
      </c>
      <c r="H236" s="663">
        <v>2554.8195999999998</v>
      </c>
      <c r="I236" s="663">
        <v>5743.2109549015995</v>
      </c>
      <c r="J236" s="667">
        <v>2005.1633440000001</v>
      </c>
      <c r="K236" s="583">
        <v>3375.5633542003002</v>
      </c>
      <c r="L236" s="581">
        <v>84045.245613034524</v>
      </c>
      <c r="M236" s="664">
        <v>754.16461722296003</v>
      </c>
      <c r="N236" s="588">
        <v>63197.498067439679</v>
      </c>
      <c r="O236" s="668">
        <v>980285.31572618883</v>
      </c>
      <c r="P236" s="663">
        <v>990.13897649769535</v>
      </c>
      <c r="Q236" s="664">
        <v>31565.876404111816</v>
      </c>
      <c r="R236" s="666">
        <v>64930.754908843934</v>
      </c>
      <c r="S236" s="588"/>
    </row>
    <row r="237" spans="1:19" ht="15.75" hidden="1" customHeight="1">
      <c r="A237" s="589">
        <v>41309</v>
      </c>
      <c r="B237" s="582">
        <v>106291.61916462411</v>
      </c>
      <c r="C237" s="580">
        <v>38916.4462463089</v>
      </c>
      <c r="D237" s="580">
        <v>147538.59328962941</v>
      </c>
      <c r="E237" s="581">
        <v>78434.000505821998</v>
      </c>
      <c r="F237" s="580">
        <v>385569.57175160054</v>
      </c>
      <c r="G237" s="582">
        <v>650458.61179336091</v>
      </c>
      <c r="H237" s="663">
        <v>2598.7691</v>
      </c>
      <c r="I237" s="663">
        <v>5309.8425065540005</v>
      </c>
      <c r="J237" s="667">
        <v>2087.05935615</v>
      </c>
      <c r="K237" s="583">
        <v>4666.6075818724994</v>
      </c>
      <c r="L237" s="581">
        <v>106916.12558513699</v>
      </c>
      <c r="M237" s="664">
        <v>807.00224155120009</v>
      </c>
      <c r="N237" s="588">
        <v>66439.043608616848</v>
      </c>
      <c r="O237" s="668">
        <v>945574.68093786656</v>
      </c>
      <c r="P237" s="663">
        <v>979.65441154156065</v>
      </c>
      <c r="Q237" s="664">
        <v>28510.423479334862</v>
      </c>
      <c r="R237" s="666">
        <v>54463.202254289885</v>
      </c>
      <c r="S237" s="588"/>
    </row>
    <row r="238" spans="1:19" ht="21" hidden="1" customHeight="1">
      <c r="A238" s="589">
        <v>41337</v>
      </c>
      <c r="B238" s="582">
        <v>107527.05209255208</v>
      </c>
      <c r="C238" s="580">
        <v>39164.301635152602</v>
      </c>
      <c r="D238" s="580">
        <v>149898.52133020444</v>
      </c>
      <c r="E238" s="581">
        <v>76186.218043362562</v>
      </c>
      <c r="F238" s="580">
        <v>419145.27462464356</v>
      </c>
      <c r="G238" s="582">
        <v>684394.31563336321</v>
      </c>
      <c r="H238" s="663">
        <v>2255.052584</v>
      </c>
      <c r="I238" s="663">
        <v>7383.2674957429999</v>
      </c>
      <c r="J238" s="667">
        <v>2074.5940845099999</v>
      </c>
      <c r="K238" s="583">
        <v>3777.6737054855994</v>
      </c>
      <c r="L238" s="581">
        <v>109820.4615187282</v>
      </c>
      <c r="M238" s="664">
        <v>466.03184701176593</v>
      </c>
      <c r="N238" s="588">
        <v>61967.026579957586</v>
      </c>
      <c r="O238" s="668">
        <v>979665.47554135148</v>
      </c>
      <c r="P238" s="663">
        <v>1047.8503617295296</v>
      </c>
      <c r="Q238" s="664">
        <v>31228.834401101027</v>
      </c>
      <c r="R238" s="666">
        <v>55486.063276284593</v>
      </c>
      <c r="S238" s="588"/>
    </row>
    <row r="239" spans="1:19" ht="21.6" hidden="1" customHeight="1">
      <c r="A239" s="589">
        <v>41368</v>
      </c>
      <c r="B239" s="669">
        <v>109069.37230200633</v>
      </c>
      <c r="C239" s="670">
        <v>37780.252607630988</v>
      </c>
      <c r="D239" s="670">
        <v>149015.76377286506</v>
      </c>
      <c r="E239" s="671">
        <v>75864.901121229472</v>
      </c>
      <c r="F239" s="670">
        <v>422102.52269197057</v>
      </c>
      <c r="G239" s="669">
        <v>684763.44019369606</v>
      </c>
      <c r="H239" s="672">
        <v>2378.9403200000002</v>
      </c>
      <c r="I239" s="672">
        <v>9905.0847239239647</v>
      </c>
      <c r="J239" s="673">
        <v>2252.31105316</v>
      </c>
      <c r="K239" s="674">
        <v>6177.3104167951415</v>
      </c>
      <c r="L239" s="671">
        <v>111499.81338063299</v>
      </c>
      <c r="M239" s="675">
        <v>414.760302605878</v>
      </c>
      <c r="N239" s="676">
        <v>65937.960919616671</v>
      </c>
      <c r="O239" s="677">
        <v>992398.99361243716</v>
      </c>
      <c r="P239" s="672">
        <v>1104.7091760099158</v>
      </c>
      <c r="Q239" s="675">
        <v>29123.561871476242</v>
      </c>
      <c r="R239" s="678">
        <v>52831.105038026442</v>
      </c>
      <c r="S239" s="588"/>
    </row>
    <row r="240" spans="1:19" ht="21.6" hidden="1" customHeight="1">
      <c r="A240" s="589">
        <v>41398</v>
      </c>
      <c r="B240" s="669">
        <v>106735.2740661859</v>
      </c>
      <c r="C240" s="670">
        <v>37540.20188631893</v>
      </c>
      <c r="D240" s="670">
        <v>150060.349384072</v>
      </c>
      <c r="E240" s="671">
        <v>75028.966918558406</v>
      </c>
      <c r="F240" s="670">
        <v>455763.45858387725</v>
      </c>
      <c r="G240" s="669">
        <v>718392.97677282663</v>
      </c>
      <c r="H240" s="672">
        <v>2453.9703140000001</v>
      </c>
      <c r="I240" s="672">
        <v>6335.933228955917</v>
      </c>
      <c r="J240" s="673">
        <v>1222.0581701100002</v>
      </c>
      <c r="K240" s="674">
        <v>4094.4430260318004</v>
      </c>
      <c r="L240" s="671">
        <v>116561.49309773525</v>
      </c>
      <c r="M240" s="675">
        <v>451.511737786548</v>
      </c>
      <c r="N240" s="676">
        <v>65592.476401083768</v>
      </c>
      <c r="O240" s="677">
        <v>1021840.1368147159</v>
      </c>
      <c r="P240" s="672">
        <v>1215.6319843220642</v>
      </c>
      <c r="Q240" s="675">
        <v>26541.251021432898</v>
      </c>
      <c r="R240" s="678">
        <v>51502.476273206819</v>
      </c>
      <c r="S240" s="588"/>
    </row>
    <row r="241" spans="1:76" ht="21.6" hidden="1" customHeight="1">
      <c r="A241" s="589">
        <v>41429</v>
      </c>
      <c r="B241" s="669">
        <v>108051.10349062947</v>
      </c>
      <c r="C241" s="670">
        <v>38547.35022861349</v>
      </c>
      <c r="D241" s="670">
        <v>152975.47512036291</v>
      </c>
      <c r="E241" s="671">
        <v>75141.590768111942</v>
      </c>
      <c r="F241" s="670">
        <v>421524.42024419096</v>
      </c>
      <c r="G241" s="669">
        <v>688188.83636127925</v>
      </c>
      <c r="H241" s="672">
        <v>2339.7638940000002</v>
      </c>
      <c r="I241" s="672">
        <v>4835.941547502629</v>
      </c>
      <c r="J241" s="673">
        <v>1484.4217406999999</v>
      </c>
      <c r="K241" s="674">
        <v>3451.6725393251668</v>
      </c>
      <c r="L241" s="671">
        <v>125085.50529765349</v>
      </c>
      <c r="M241" s="675">
        <v>450.34510120137918</v>
      </c>
      <c r="N241" s="676">
        <v>69467.391842437864</v>
      </c>
      <c r="O241" s="677">
        <v>1003354.9818147292</v>
      </c>
      <c r="P241" s="672">
        <v>1271.0925735450653</v>
      </c>
      <c r="Q241" s="675">
        <v>27986.487260750673</v>
      </c>
      <c r="R241" s="678">
        <v>53138.444642184601</v>
      </c>
      <c r="S241" s="588"/>
    </row>
    <row r="242" spans="1:76" ht="21.6" hidden="1" customHeight="1">
      <c r="A242" s="589">
        <v>41459</v>
      </c>
      <c r="B242" s="669">
        <v>112599.7371725314</v>
      </c>
      <c r="C242" s="670">
        <v>40300.552147983653</v>
      </c>
      <c r="D242" s="670">
        <v>151896.21656499436</v>
      </c>
      <c r="E242" s="671">
        <v>74905.380089453378</v>
      </c>
      <c r="F242" s="670">
        <v>444418.29373781296</v>
      </c>
      <c r="G242" s="669">
        <v>711520.44254024443</v>
      </c>
      <c r="H242" s="672">
        <v>5396.1125451522694</v>
      </c>
      <c r="I242" s="672">
        <v>4627.0329300490748</v>
      </c>
      <c r="J242" s="673">
        <v>1660.1278906499999</v>
      </c>
      <c r="K242" s="674">
        <v>6331.4959958721829</v>
      </c>
      <c r="L242" s="671">
        <v>132746.32796449782</v>
      </c>
      <c r="M242" s="675">
        <v>538.90703109214519</v>
      </c>
      <c r="N242" s="676">
        <v>65136.945052547846</v>
      </c>
      <c r="O242" s="677">
        <v>1040557.1291226372</v>
      </c>
      <c r="P242" s="672">
        <v>1298.379691753365</v>
      </c>
      <c r="Q242" s="675">
        <v>25041.828910930584</v>
      </c>
      <c r="R242" s="678">
        <v>50753.59722106847</v>
      </c>
      <c r="S242" s="588"/>
    </row>
    <row r="243" spans="1:76" ht="21.6" hidden="1" customHeight="1">
      <c r="A243" s="589">
        <v>41490</v>
      </c>
      <c r="B243" s="669">
        <v>115586.33043776441</v>
      </c>
      <c r="C243" s="670">
        <v>38794.744283445478</v>
      </c>
      <c r="D243" s="670">
        <v>150573.15641929119</v>
      </c>
      <c r="E243" s="671">
        <v>72791.545872789909</v>
      </c>
      <c r="F243" s="670">
        <v>419084.00354090222</v>
      </c>
      <c r="G243" s="669">
        <v>681243.45011642878</v>
      </c>
      <c r="H243" s="672">
        <v>5059.2149305739749</v>
      </c>
      <c r="I243" s="672">
        <v>7809.8617600638818</v>
      </c>
      <c r="J243" s="673">
        <v>1936.7734258500002</v>
      </c>
      <c r="K243" s="674">
        <v>6437.5084608477673</v>
      </c>
      <c r="L243" s="671">
        <v>133097.78856321087</v>
      </c>
      <c r="M243" s="675">
        <v>530.84155032017384</v>
      </c>
      <c r="N243" s="676">
        <v>73412.43819734361</v>
      </c>
      <c r="O243" s="677">
        <v>1025114.2074424034</v>
      </c>
      <c r="P243" s="672">
        <v>1046.5208881726687</v>
      </c>
      <c r="Q243" s="675">
        <v>25822.068969003067</v>
      </c>
      <c r="R243" s="678">
        <v>51069.929212938812</v>
      </c>
      <c r="S243" s="588"/>
    </row>
    <row r="244" spans="1:76" ht="21.6" hidden="1" customHeight="1">
      <c r="A244" s="589">
        <v>41521</v>
      </c>
      <c r="B244" s="669">
        <v>113687.13974312221</v>
      </c>
      <c r="C244" s="670">
        <v>39225.803488901831</v>
      </c>
      <c r="D244" s="670">
        <v>150521.61759732736</v>
      </c>
      <c r="E244" s="671">
        <v>72473.860855201885</v>
      </c>
      <c r="F244" s="670">
        <v>410420.38927739882</v>
      </c>
      <c r="G244" s="669">
        <v>672641.67121882993</v>
      </c>
      <c r="H244" s="672">
        <v>5045.2414780269055</v>
      </c>
      <c r="I244" s="672">
        <v>7438.9877084926966</v>
      </c>
      <c r="J244" s="673">
        <v>2950.5819387999995</v>
      </c>
      <c r="K244" s="674">
        <v>6319.1822747415017</v>
      </c>
      <c r="L244" s="671">
        <v>133027.07388840363</v>
      </c>
      <c r="M244" s="675">
        <v>444.60701396990106</v>
      </c>
      <c r="N244" s="676">
        <v>73791.622877979113</v>
      </c>
      <c r="O244" s="677">
        <v>1015346.1081423661</v>
      </c>
      <c r="P244" s="672">
        <v>1015.7431562634966</v>
      </c>
      <c r="Q244" s="675">
        <v>33783.006303363189</v>
      </c>
      <c r="R244" s="678">
        <v>49992.890370337722</v>
      </c>
      <c r="S244" s="588"/>
    </row>
    <row r="245" spans="1:76" ht="21.6" hidden="1" customHeight="1">
      <c r="A245" s="589">
        <v>41551</v>
      </c>
      <c r="B245" s="669">
        <v>113099.96486244278</v>
      </c>
      <c r="C245" s="670">
        <v>38545.475487481679</v>
      </c>
      <c r="D245" s="670">
        <v>149504.02347328491</v>
      </c>
      <c r="E245" s="671">
        <v>74962.916132986051</v>
      </c>
      <c r="F245" s="670">
        <v>405654.00701326714</v>
      </c>
      <c r="G245" s="669">
        <v>668666.42210701981</v>
      </c>
      <c r="H245" s="672">
        <v>6432.3440037689934</v>
      </c>
      <c r="I245" s="672">
        <v>4089.5677306657049</v>
      </c>
      <c r="J245" s="673">
        <v>2453.0548415999997</v>
      </c>
      <c r="K245" s="674">
        <v>3630.1557938526412</v>
      </c>
      <c r="L245" s="671">
        <v>126532.35375308557</v>
      </c>
      <c r="M245" s="675">
        <v>430.76485708793319</v>
      </c>
      <c r="N245" s="676">
        <v>67887.288360685983</v>
      </c>
      <c r="O245" s="677">
        <v>993221.91631020955</v>
      </c>
      <c r="P245" s="672">
        <v>1014.984180862668</v>
      </c>
      <c r="Q245" s="675">
        <v>32109.234760939253</v>
      </c>
      <c r="R245" s="678">
        <v>51388.079562108433</v>
      </c>
      <c r="S245" s="588"/>
    </row>
    <row r="246" spans="1:76" ht="21.6" hidden="1" customHeight="1">
      <c r="A246" s="589">
        <v>41582</v>
      </c>
      <c r="B246" s="607">
        <v>113232.81144966342</v>
      </c>
      <c r="C246" s="606">
        <v>39901.547065491162</v>
      </c>
      <c r="D246" s="606">
        <v>150649.98707840461</v>
      </c>
      <c r="E246" s="679">
        <v>75986.894353106502</v>
      </c>
      <c r="F246" s="606">
        <v>402393.98343250819</v>
      </c>
      <c r="G246" s="607">
        <v>668932.41192951053</v>
      </c>
      <c r="H246" s="680">
        <v>5260.0114080683406</v>
      </c>
      <c r="I246" s="680">
        <v>8119.7839221598706</v>
      </c>
      <c r="J246" s="681">
        <v>2589.4961869700001</v>
      </c>
      <c r="K246" s="682">
        <v>4169.8072827085662</v>
      </c>
      <c r="L246" s="679">
        <v>140836.62999045831</v>
      </c>
      <c r="M246" s="683">
        <v>410.28985471068802</v>
      </c>
      <c r="N246" s="684">
        <v>63793.425883773569</v>
      </c>
      <c r="O246" s="685">
        <v>1007344.6679080235</v>
      </c>
      <c r="P246" s="680">
        <v>995.21993414301949</v>
      </c>
      <c r="Q246" s="683">
        <v>30270.914961447212</v>
      </c>
      <c r="R246" s="686">
        <v>51163.189304879132</v>
      </c>
      <c r="S246" s="588"/>
    </row>
    <row r="247" spans="1:76" ht="21.6" hidden="1" customHeight="1">
      <c r="A247" s="589">
        <v>41612</v>
      </c>
      <c r="B247" s="687">
        <v>111987.33230480846</v>
      </c>
      <c r="C247" s="606">
        <v>43025.449592383011</v>
      </c>
      <c r="D247" s="606">
        <v>155968.48852920404</v>
      </c>
      <c r="E247" s="679">
        <v>78361.819123151203</v>
      </c>
      <c r="F247" s="606">
        <v>455857.93937059434</v>
      </c>
      <c r="G247" s="607">
        <v>733213.6966153325</v>
      </c>
      <c r="H247" s="680">
        <v>4747.5682827875153</v>
      </c>
      <c r="I247" s="680">
        <v>7566.0607467365517</v>
      </c>
      <c r="J247" s="681">
        <v>2584.04830135665</v>
      </c>
      <c r="K247" s="682">
        <v>3095.315864473851</v>
      </c>
      <c r="L247" s="679">
        <v>114655.72707817541</v>
      </c>
      <c r="M247" s="683">
        <v>249.98995268617247</v>
      </c>
      <c r="N247" s="688">
        <v>62718.034250787692</v>
      </c>
      <c r="O247" s="685">
        <v>1040817.7733971449</v>
      </c>
      <c r="P247" s="680">
        <v>844.41048086490343</v>
      </c>
      <c r="Q247" s="683">
        <v>31404.036490688482</v>
      </c>
      <c r="R247" s="686">
        <v>53863.173229129658</v>
      </c>
      <c r="S247" s="588"/>
    </row>
    <row r="248" spans="1:76" ht="21.6" hidden="1" customHeight="1">
      <c r="A248" s="589">
        <v>41643</v>
      </c>
      <c r="B248" s="687">
        <v>118480.56664864114</v>
      </c>
      <c r="C248" s="606">
        <v>44410.061704477172</v>
      </c>
      <c r="D248" s="606">
        <v>157641.37688271687</v>
      </c>
      <c r="E248" s="679">
        <v>77097.410718269894</v>
      </c>
      <c r="F248" s="606">
        <v>424814.10780279938</v>
      </c>
      <c r="G248" s="607">
        <v>703962.95710826339</v>
      </c>
      <c r="H248" s="680">
        <v>4066.0457253630088</v>
      </c>
      <c r="I248" s="680">
        <v>5736.6757128412646</v>
      </c>
      <c r="J248" s="681">
        <v>3420.4605920586005</v>
      </c>
      <c r="K248" s="682">
        <v>2310.1896738029586</v>
      </c>
      <c r="L248" s="679">
        <v>114919.58497640165</v>
      </c>
      <c r="M248" s="683">
        <v>397.34183199315038</v>
      </c>
      <c r="N248" s="688">
        <v>57473.078912417928</v>
      </c>
      <c r="O248" s="685">
        <v>1010766.9011817831</v>
      </c>
      <c r="P248" s="680">
        <v>706.49010410182882</v>
      </c>
      <c r="Q248" s="683">
        <v>29176.052153816985</v>
      </c>
      <c r="R248" s="686">
        <v>51638.022459504078</v>
      </c>
      <c r="S248" s="588"/>
    </row>
    <row r="249" spans="1:76" ht="21.6" hidden="1" customHeight="1">
      <c r="A249" s="589">
        <v>41674</v>
      </c>
      <c r="B249" s="687">
        <v>118447.54292112213</v>
      </c>
      <c r="C249" s="606">
        <v>44848.641749544477</v>
      </c>
      <c r="D249" s="606">
        <v>159679.69507840899</v>
      </c>
      <c r="E249" s="679">
        <v>78161.676702409357</v>
      </c>
      <c r="F249" s="606">
        <v>433928.23670445691</v>
      </c>
      <c r="G249" s="607">
        <v>716618.25023481972</v>
      </c>
      <c r="H249" s="680">
        <v>4029.9535965551731</v>
      </c>
      <c r="I249" s="680">
        <v>1920.4410696100001</v>
      </c>
      <c r="J249" s="681">
        <v>3445.1597006873999</v>
      </c>
      <c r="K249" s="682">
        <v>4370.7349970869664</v>
      </c>
      <c r="L249" s="679">
        <v>111916.96277263138</v>
      </c>
      <c r="M249" s="683">
        <v>392.19067560012547</v>
      </c>
      <c r="N249" s="688">
        <v>59529.371005643829</v>
      </c>
      <c r="O249" s="685">
        <v>1020670.6069737566</v>
      </c>
      <c r="P249" s="680">
        <v>682.02313052000932</v>
      </c>
      <c r="Q249" s="683">
        <v>28302.583839050392</v>
      </c>
      <c r="R249" s="686">
        <v>47481.208401964373</v>
      </c>
    </row>
    <row r="250" spans="1:76" ht="21.6" hidden="1" customHeight="1">
      <c r="A250" s="589">
        <v>41702</v>
      </c>
      <c r="B250" s="607">
        <v>121413.94690070157</v>
      </c>
      <c r="C250" s="606">
        <v>41735.616953872188</v>
      </c>
      <c r="D250" s="606">
        <v>161723.92385626151</v>
      </c>
      <c r="E250" s="679">
        <v>78531.482669358418</v>
      </c>
      <c r="F250" s="606">
        <v>431566.40972599003</v>
      </c>
      <c r="G250" s="607">
        <v>713557.43320548208</v>
      </c>
      <c r="H250" s="680">
        <v>4011.4209963128624</v>
      </c>
      <c r="I250" s="680">
        <v>1175.70814404</v>
      </c>
      <c r="J250" s="681">
        <v>3438.4005094575996</v>
      </c>
      <c r="K250" s="682">
        <v>4864.4023643285582</v>
      </c>
      <c r="L250" s="679">
        <v>125921.40903890411</v>
      </c>
      <c r="M250" s="683">
        <v>360.72362734867738</v>
      </c>
      <c r="N250" s="688">
        <v>61306.342646008663</v>
      </c>
      <c r="O250" s="685">
        <v>1036049.7874325841</v>
      </c>
      <c r="P250" s="680">
        <v>783.70421581504058</v>
      </c>
      <c r="Q250" s="683">
        <v>34822.947475463821</v>
      </c>
      <c r="R250" s="686">
        <v>48689.399259109763</v>
      </c>
    </row>
    <row r="251" spans="1:76" ht="21.6" hidden="1" customHeight="1">
      <c r="A251" s="589">
        <v>41733</v>
      </c>
      <c r="B251" s="607">
        <v>122935.07781688809</v>
      </c>
      <c r="C251" s="606">
        <v>43432.794493689646</v>
      </c>
      <c r="D251" s="606">
        <v>162039.0989455627</v>
      </c>
      <c r="E251" s="679">
        <v>78796.376785115383</v>
      </c>
      <c r="F251" s="606">
        <v>430821.02166674804</v>
      </c>
      <c r="G251" s="607">
        <v>715089.29189111572</v>
      </c>
      <c r="H251" s="680">
        <v>4000.8910778728455</v>
      </c>
      <c r="I251" s="680">
        <v>1850.93168928</v>
      </c>
      <c r="J251" s="681">
        <v>3438.9283617405999</v>
      </c>
      <c r="K251" s="682">
        <v>3507.4735714378585</v>
      </c>
      <c r="L251" s="679">
        <v>121379.33923348585</v>
      </c>
      <c r="M251" s="683">
        <v>416.26703203411495</v>
      </c>
      <c r="N251" s="688">
        <v>60515.359945103861</v>
      </c>
      <c r="O251" s="685">
        <v>1033133.560618959</v>
      </c>
      <c r="P251" s="680">
        <v>787.53073958730522</v>
      </c>
      <c r="Q251" s="683">
        <v>36759.223179091059</v>
      </c>
      <c r="R251" s="686">
        <v>50284.986346220619</v>
      </c>
    </row>
    <row r="252" spans="1:76" ht="19.5" hidden="1" customHeight="1">
      <c r="A252" s="589">
        <v>41763</v>
      </c>
      <c r="B252" s="607">
        <v>124445.38765014018</v>
      </c>
      <c r="C252" s="606">
        <v>44765.293268615766</v>
      </c>
      <c r="D252" s="606">
        <v>161430.90008732726</v>
      </c>
      <c r="E252" s="679">
        <v>79031.90681075133</v>
      </c>
      <c r="F252" s="606">
        <v>410610.59391592845</v>
      </c>
      <c r="G252" s="607">
        <v>695838.69408262288</v>
      </c>
      <c r="H252" s="680">
        <v>4197.665383317104</v>
      </c>
      <c r="I252" s="680">
        <v>3228.2920833634298</v>
      </c>
      <c r="J252" s="681">
        <v>2492.2911819476003</v>
      </c>
      <c r="K252" s="682">
        <v>1889.5263743674077</v>
      </c>
      <c r="L252" s="679">
        <v>123293.97464650682</v>
      </c>
      <c r="M252" s="683">
        <v>419.49295909894397</v>
      </c>
      <c r="N252" s="688">
        <v>62330.417514262546</v>
      </c>
      <c r="O252" s="685">
        <v>1018135.741875627</v>
      </c>
      <c r="P252" s="680">
        <v>841.33733795772548</v>
      </c>
      <c r="Q252" s="683">
        <v>39807.531562273361</v>
      </c>
      <c r="R252" s="686">
        <v>51664.676499670502</v>
      </c>
    </row>
    <row r="253" spans="1:76" s="689" customFormat="1" ht="19.5" customHeight="1" thickBot="1">
      <c r="A253" s="589">
        <v>41794</v>
      </c>
      <c r="B253" s="607">
        <v>122521.29964296731</v>
      </c>
      <c r="C253" s="606">
        <v>46169.829506132497</v>
      </c>
      <c r="D253" s="606">
        <v>165133.20285822736</v>
      </c>
      <c r="E253" s="679">
        <v>81196.743864511838</v>
      </c>
      <c r="F253" s="606">
        <v>408533.29928737279</v>
      </c>
      <c r="G253" s="607">
        <v>701033.0755162444</v>
      </c>
      <c r="H253" s="680">
        <v>4007.6379852973459</v>
      </c>
      <c r="I253" s="680">
        <v>2818.2626958324167</v>
      </c>
      <c r="J253" s="681">
        <v>2301.2816555845002</v>
      </c>
      <c r="K253" s="682">
        <v>2095.8984290898397</v>
      </c>
      <c r="L253" s="679">
        <v>116430.71790986256</v>
      </c>
      <c r="M253" s="683">
        <v>370.72691066679204</v>
      </c>
      <c r="N253" s="688">
        <v>62144.145314929527</v>
      </c>
      <c r="O253" s="685">
        <v>1013723.0460604747</v>
      </c>
      <c r="P253" s="680">
        <v>802.66300690905405</v>
      </c>
      <c r="Q253" s="683">
        <v>40953.584031657265</v>
      </c>
      <c r="R253" s="686">
        <v>56208.970414594027</v>
      </c>
      <c r="S253" s="541"/>
      <c r="T253" s="541"/>
      <c r="U253" s="541"/>
      <c r="V253" s="541"/>
      <c r="W253" s="541"/>
      <c r="X253" s="541"/>
      <c r="Y253" s="541"/>
      <c r="Z253" s="541"/>
      <c r="AA253" s="541"/>
      <c r="AB253" s="541"/>
      <c r="AC253" s="541"/>
      <c r="AD253" s="541"/>
      <c r="AE253" s="541"/>
      <c r="AF253" s="541"/>
      <c r="AG253" s="541"/>
      <c r="AH253" s="541"/>
      <c r="AI253" s="541"/>
      <c r="AJ253" s="541"/>
      <c r="AK253" s="541"/>
      <c r="AL253" s="541"/>
      <c r="AM253" s="541"/>
      <c r="AN253" s="541"/>
      <c r="AO253" s="541"/>
      <c r="AP253" s="541"/>
      <c r="AQ253" s="541"/>
      <c r="AR253" s="541"/>
      <c r="AS253" s="541"/>
      <c r="AT253" s="541"/>
      <c r="AU253" s="541"/>
      <c r="AV253" s="541"/>
      <c r="AW253" s="541"/>
      <c r="AX253" s="541"/>
      <c r="AY253" s="541"/>
      <c r="AZ253" s="541"/>
      <c r="BA253" s="541"/>
      <c r="BB253" s="541"/>
      <c r="BC253" s="541"/>
      <c r="BD253" s="541"/>
      <c r="BE253" s="541"/>
      <c r="BF253" s="541"/>
      <c r="BG253" s="541"/>
      <c r="BH253" s="541"/>
      <c r="BI253" s="541"/>
      <c r="BJ253" s="541"/>
      <c r="BK253" s="541"/>
      <c r="BL253" s="541"/>
      <c r="BM253" s="541"/>
      <c r="BN253" s="541"/>
      <c r="BO253" s="541"/>
      <c r="BP253" s="541"/>
      <c r="BQ253" s="541"/>
      <c r="BR253" s="541"/>
      <c r="BS253" s="541"/>
      <c r="BT253" s="541"/>
      <c r="BU253" s="541"/>
      <c r="BV253" s="541"/>
      <c r="BW253" s="541"/>
      <c r="BX253" s="541"/>
    </row>
    <row r="254" spans="1:76" s="689" customFormat="1" ht="19.5" customHeight="1" thickTop="1" thickBot="1">
      <c r="A254" s="589">
        <v>41824</v>
      </c>
      <c r="B254" s="607">
        <v>126356.74219838866</v>
      </c>
      <c r="C254" s="606">
        <v>44069.506521158684</v>
      </c>
      <c r="D254" s="606">
        <v>165725.09550373</v>
      </c>
      <c r="E254" s="679">
        <v>78910.313142986968</v>
      </c>
      <c r="F254" s="606">
        <v>418597.43427787663</v>
      </c>
      <c r="G254" s="607">
        <v>707302.34944575233</v>
      </c>
      <c r="H254" s="680">
        <v>5203.9852197831333</v>
      </c>
      <c r="I254" s="680">
        <v>4552.6641504499994</v>
      </c>
      <c r="J254" s="681">
        <v>1742.5884104661998</v>
      </c>
      <c r="K254" s="682">
        <v>2325.0609055329892</v>
      </c>
      <c r="L254" s="679">
        <v>121180.88852607994</v>
      </c>
      <c r="M254" s="683">
        <v>538.78336644563194</v>
      </c>
      <c r="N254" s="688">
        <v>61246.144952901494</v>
      </c>
      <c r="O254" s="685">
        <v>1030449.2071758005</v>
      </c>
      <c r="P254" s="680">
        <v>918.8567127133</v>
      </c>
      <c r="Q254" s="683">
        <v>32727.890502028531</v>
      </c>
      <c r="R254" s="686">
        <v>54080.112234869848</v>
      </c>
      <c r="S254" s="541"/>
      <c r="T254" s="541"/>
      <c r="U254" s="541"/>
      <c r="V254" s="541"/>
      <c r="W254" s="541"/>
      <c r="X254" s="541"/>
      <c r="Y254" s="541"/>
      <c r="Z254" s="541"/>
      <c r="AA254" s="541"/>
      <c r="AB254" s="541"/>
      <c r="AC254" s="541"/>
      <c r="AD254" s="541"/>
      <c r="AE254" s="541"/>
      <c r="AF254" s="541"/>
      <c r="AG254" s="541"/>
      <c r="AH254" s="541"/>
      <c r="AI254" s="541"/>
      <c r="AJ254" s="541"/>
      <c r="AK254" s="541"/>
      <c r="AL254" s="541"/>
      <c r="AM254" s="541"/>
      <c r="AN254" s="541"/>
      <c r="AO254" s="541"/>
      <c r="AP254" s="541"/>
      <c r="AQ254" s="541"/>
      <c r="AR254" s="541"/>
      <c r="AS254" s="541"/>
      <c r="AT254" s="541"/>
      <c r="AU254" s="541"/>
      <c r="AV254" s="541"/>
      <c r="AW254" s="541"/>
      <c r="AX254" s="541"/>
      <c r="AY254" s="541"/>
      <c r="AZ254" s="541"/>
      <c r="BA254" s="541"/>
      <c r="BB254" s="541"/>
      <c r="BC254" s="541"/>
      <c r="BD254" s="541"/>
      <c r="BE254" s="541"/>
      <c r="BF254" s="541"/>
      <c r="BG254" s="541"/>
      <c r="BH254" s="541"/>
      <c r="BI254" s="541"/>
      <c r="BJ254" s="541"/>
      <c r="BK254" s="541"/>
      <c r="BL254" s="541"/>
      <c r="BM254" s="541"/>
      <c r="BN254" s="541"/>
      <c r="BO254" s="541"/>
      <c r="BP254" s="541"/>
      <c r="BQ254" s="541"/>
      <c r="BR254" s="541"/>
      <c r="BS254" s="541"/>
      <c r="BT254" s="541"/>
      <c r="BU254" s="541"/>
      <c r="BV254" s="541"/>
      <c r="BW254" s="541"/>
      <c r="BX254" s="541"/>
    </row>
    <row r="255" spans="1:76" s="689" customFormat="1" ht="19.5" customHeight="1" thickTop="1" thickBot="1">
      <c r="A255" s="589">
        <v>41855</v>
      </c>
      <c r="B255" s="607">
        <v>125973.19106777311</v>
      </c>
      <c r="C255" s="606">
        <v>43694.487551878548</v>
      </c>
      <c r="D255" s="606">
        <v>166315.36831197748</v>
      </c>
      <c r="E255" s="679">
        <v>78323.259133017913</v>
      </c>
      <c r="F255" s="606">
        <v>432482.39595010609</v>
      </c>
      <c r="G255" s="607">
        <v>720815.51094697998</v>
      </c>
      <c r="H255" s="680">
        <v>5033.0153230030137</v>
      </c>
      <c r="I255" s="680">
        <v>6846.1841430370941</v>
      </c>
      <c r="J255" s="681">
        <v>2023.9180510872</v>
      </c>
      <c r="K255" s="682">
        <v>1520.3577330654043</v>
      </c>
      <c r="L255" s="679">
        <v>119037.48914133009</v>
      </c>
      <c r="M255" s="683">
        <v>470.1887310317943</v>
      </c>
      <c r="N255" s="688">
        <v>61480.136618798984</v>
      </c>
      <c r="O255" s="685">
        <v>1043199.9917561068</v>
      </c>
      <c r="P255" s="680">
        <v>935.42585177595731</v>
      </c>
      <c r="Q255" s="683">
        <v>35203.250671454327</v>
      </c>
      <c r="R255" s="686">
        <v>58052.416583196762</v>
      </c>
      <c r="S255" s="541"/>
      <c r="T255" s="541"/>
      <c r="U255" s="541"/>
      <c r="V255" s="541"/>
      <c r="W255" s="541"/>
      <c r="X255" s="541"/>
      <c r="Y255" s="541"/>
      <c r="Z255" s="541"/>
      <c r="AA255" s="541"/>
      <c r="AB255" s="541"/>
      <c r="AC255" s="541"/>
      <c r="AD255" s="541"/>
      <c r="AE255" s="541"/>
      <c r="AF255" s="541"/>
      <c r="AG255" s="541"/>
      <c r="AH255" s="541"/>
      <c r="AI255" s="541"/>
      <c r="AJ255" s="541"/>
      <c r="AK255" s="541"/>
      <c r="AL255" s="541"/>
      <c r="AM255" s="541"/>
      <c r="AN255" s="541"/>
      <c r="AO255" s="541"/>
      <c r="AP255" s="541"/>
      <c r="AQ255" s="541"/>
      <c r="AR255" s="541"/>
      <c r="AS255" s="541"/>
      <c r="AT255" s="541"/>
      <c r="AU255" s="541"/>
      <c r="AV255" s="541"/>
      <c r="AW255" s="541"/>
      <c r="AX255" s="541"/>
      <c r="AY255" s="541"/>
      <c r="AZ255" s="541"/>
      <c r="BA255" s="541"/>
      <c r="BB255" s="541"/>
      <c r="BC255" s="541"/>
      <c r="BD255" s="541"/>
      <c r="BE255" s="541"/>
      <c r="BF255" s="541"/>
      <c r="BG255" s="541"/>
      <c r="BH255" s="541"/>
      <c r="BI255" s="541"/>
      <c r="BJ255" s="541"/>
      <c r="BK255" s="541"/>
      <c r="BL255" s="541"/>
      <c r="BM255" s="541"/>
      <c r="BN255" s="541"/>
      <c r="BO255" s="541"/>
      <c r="BP255" s="541"/>
      <c r="BQ255" s="541"/>
      <c r="BR255" s="541"/>
      <c r="BS255" s="541"/>
      <c r="BT255" s="541"/>
      <c r="BU255" s="541"/>
      <c r="BV255" s="541"/>
      <c r="BW255" s="541"/>
      <c r="BX255" s="541"/>
    </row>
    <row r="256" spans="1:76" s="689" customFormat="1" ht="19.5" customHeight="1" thickTop="1" thickBot="1">
      <c r="A256" s="589">
        <v>41886</v>
      </c>
      <c r="B256" s="607">
        <v>124006.76981744383</v>
      </c>
      <c r="C256" s="606">
        <v>44252.675878986796</v>
      </c>
      <c r="D256" s="606">
        <v>167161.52039832535</v>
      </c>
      <c r="E256" s="679">
        <v>76841.702545329681</v>
      </c>
      <c r="F256" s="606">
        <v>473483.33798169048</v>
      </c>
      <c r="G256" s="607">
        <v>761739.23680433235</v>
      </c>
      <c r="H256" s="680">
        <v>4875.3775807001348</v>
      </c>
      <c r="I256" s="680">
        <v>3793.5812503899997</v>
      </c>
      <c r="J256" s="681">
        <v>2068.2393347353996</v>
      </c>
      <c r="K256" s="682">
        <v>1725.1239316166668</v>
      </c>
      <c r="L256" s="679">
        <v>136108.56259236942</v>
      </c>
      <c r="M256" s="683">
        <v>390.02797533373337</v>
      </c>
      <c r="N256" s="688">
        <v>66810.894317240891</v>
      </c>
      <c r="O256" s="685">
        <v>1101517.8136041623</v>
      </c>
      <c r="P256" s="680">
        <v>1085.0861873825806</v>
      </c>
      <c r="Q256" s="683">
        <v>33656.298858053931</v>
      </c>
      <c r="R256" s="686">
        <v>58363.909508030716</v>
      </c>
      <c r="S256" s="541"/>
      <c r="T256" s="541"/>
      <c r="U256" s="541"/>
      <c r="V256" s="541"/>
      <c r="W256" s="541"/>
      <c r="X256" s="541"/>
      <c r="Y256" s="541"/>
      <c r="Z256" s="541"/>
      <c r="AA256" s="541"/>
      <c r="AB256" s="541"/>
      <c r="AC256" s="541"/>
      <c r="AD256" s="541"/>
      <c r="AE256" s="541"/>
      <c r="AF256" s="541"/>
      <c r="AG256" s="541"/>
      <c r="AH256" s="541"/>
      <c r="AI256" s="541"/>
      <c r="AJ256" s="541"/>
      <c r="AK256" s="541"/>
      <c r="AL256" s="541"/>
      <c r="AM256" s="541"/>
      <c r="AN256" s="541"/>
      <c r="AO256" s="541"/>
      <c r="AP256" s="541"/>
      <c r="AQ256" s="541"/>
      <c r="AR256" s="541"/>
      <c r="AS256" s="541"/>
      <c r="AT256" s="541"/>
      <c r="AU256" s="541"/>
      <c r="AV256" s="541"/>
      <c r="AW256" s="541"/>
      <c r="AX256" s="541"/>
      <c r="AY256" s="541"/>
      <c r="AZ256" s="541"/>
      <c r="BA256" s="541"/>
      <c r="BB256" s="541"/>
      <c r="BC256" s="541"/>
      <c r="BD256" s="541"/>
      <c r="BE256" s="541"/>
      <c r="BF256" s="541"/>
      <c r="BG256" s="541"/>
      <c r="BH256" s="541"/>
      <c r="BI256" s="541"/>
      <c r="BJ256" s="541"/>
      <c r="BK256" s="541"/>
      <c r="BL256" s="541"/>
      <c r="BM256" s="541"/>
      <c r="BN256" s="541"/>
      <c r="BO256" s="541"/>
      <c r="BP256" s="541"/>
      <c r="BQ256" s="541"/>
      <c r="BR256" s="541"/>
      <c r="BS256" s="541"/>
      <c r="BT256" s="541"/>
      <c r="BU256" s="541"/>
      <c r="BV256" s="541"/>
      <c r="BW256" s="541"/>
      <c r="BX256" s="541"/>
    </row>
    <row r="257" spans="1:76" s="689" customFormat="1" ht="19.5" customHeight="1" thickTop="1" thickBot="1">
      <c r="A257" s="589">
        <v>41916</v>
      </c>
      <c r="B257" s="607">
        <v>119865.64189283135</v>
      </c>
      <c r="C257" s="606">
        <v>44688.787402702517</v>
      </c>
      <c r="D257" s="606">
        <v>170384.03465454609</v>
      </c>
      <c r="E257" s="679">
        <v>77920.832542246062</v>
      </c>
      <c r="F257" s="606">
        <v>524838.4856483055</v>
      </c>
      <c r="G257" s="607">
        <v>817832.14024780015</v>
      </c>
      <c r="H257" s="680">
        <v>4490.705302925855</v>
      </c>
      <c r="I257" s="680">
        <v>3805.5650502933336</v>
      </c>
      <c r="J257" s="681">
        <v>2059.5688212927002</v>
      </c>
      <c r="K257" s="682">
        <v>1845.7207547057333</v>
      </c>
      <c r="L257" s="679">
        <v>133113.67377626587</v>
      </c>
      <c r="M257" s="683">
        <v>427.89776887069968</v>
      </c>
      <c r="N257" s="688">
        <v>66332.76179522129</v>
      </c>
      <c r="O257" s="685">
        <v>1149773.6754102069</v>
      </c>
      <c r="P257" s="680">
        <v>1283.9203117969007</v>
      </c>
      <c r="Q257" s="683">
        <v>29992.220526029338</v>
      </c>
      <c r="R257" s="686">
        <v>57508.733660657825</v>
      </c>
      <c r="S257" s="541"/>
      <c r="T257" s="541"/>
      <c r="U257" s="541"/>
      <c r="V257" s="541"/>
      <c r="W257" s="541"/>
      <c r="X257" s="541"/>
      <c r="Y257" s="541"/>
      <c r="Z257" s="541"/>
      <c r="AA257" s="541"/>
      <c r="AB257" s="541"/>
      <c r="AC257" s="541"/>
      <c r="AD257" s="541"/>
      <c r="AE257" s="541"/>
      <c r="AF257" s="541"/>
      <c r="AG257" s="541"/>
      <c r="AH257" s="541"/>
      <c r="AI257" s="541"/>
      <c r="AJ257" s="541"/>
      <c r="AK257" s="541"/>
      <c r="AL257" s="541"/>
      <c r="AM257" s="541"/>
      <c r="AN257" s="541"/>
      <c r="AO257" s="541"/>
      <c r="AP257" s="541"/>
      <c r="AQ257" s="541"/>
      <c r="AR257" s="541"/>
      <c r="AS257" s="541"/>
      <c r="AT257" s="541"/>
      <c r="AU257" s="541"/>
      <c r="AV257" s="541"/>
      <c r="AW257" s="541"/>
      <c r="AX257" s="541"/>
      <c r="AY257" s="541"/>
      <c r="AZ257" s="541"/>
      <c r="BA257" s="541"/>
      <c r="BB257" s="541"/>
      <c r="BC257" s="541"/>
      <c r="BD257" s="541"/>
      <c r="BE257" s="541"/>
      <c r="BF257" s="541"/>
      <c r="BG257" s="541"/>
      <c r="BH257" s="541"/>
      <c r="BI257" s="541"/>
      <c r="BJ257" s="541"/>
      <c r="BK257" s="541"/>
      <c r="BL257" s="541"/>
      <c r="BM257" s="541"/>
      <c r="BN257" s="541"/>
      <c r="BO257" s="541"/>
      <c r="BP257" s="541"/>
      <c r="BQ257" s="541"/>
      <c r="BR257" s="541"/>
      <c r="BS257" s="541"/>
      <c r="BT257" s="541"/>
      <c r="BU257" s="541"/>
      <c r="BV257" s="541"/>
      <c r="BW257" s="541"/>
      <c r="BX257" s="541"/>
    </row>
    <row r="258" spans="1:76" s="689" customFormat="1" ht="19.5" customHeight="1" thickTop="1" thickBot="1">
      <c r="A258" s="589">
        <v>41947</v>
      </c>
      <c r="B258" s="607">
        <v>120337.92626928547</v>
      </c>
      <c r="C258" s="606">
        <v>46600.179670554382</v>
      </c>
      <c r="D258" s="606">
        <v>168978.12408885983</v>
      </c>
      <c r="E258" s="679">
        <v>80592.153789483389</v>
      </c>
      <c r="F258" s="606">
        <v>491202.54253642564</v>
      </c>
      <c r="G258" s="607">
        <v>787373.00008532323</v>
      </c>
      <c r="H258" s="680">
        <v>4454.6292153061067</v>
      </c>
      <c r="I258" s="680">
        <v>2900.1534507418819</v>
      </c>
      <c r="J258" s="681">
        <v>2225.3911847059003</v>
      </c>
      <c r="K258" s="682">
        <v>571.39760440419298</v>
      </c>
      <c r="L258" s="679">
        <v>149466.81411690323</v>
      </c>
      <c r="M258" s="683">
        <v>478.29615108222475</v>
      </c>
      <c r="N258" s="688">
        <v>68206.762596893706</v>
      </c>
      <c r="O258" s="685">
        <v>1136014.3706746462</v>
      </c>
      <c r="P258" s="680">
        <v>1330.1628258087035</v>
      </c>
      <c r="Q258" s="683">
        <v>35924.541075235509</v>
      </c>
      <c r="R258" s="686">
        <v>56005.924780706817</v>
      </c>
      <c r="S258" s="541"/>
      <c r="T258" s="541"/>
      <c r="U258" s="541"/>
      <c r="V258" s="541"/>
      <c r="W258" s="541"/>
      <c r="X258" s="541"/>
      <c r="Y258" s="541"/>
      <c r="Z258" s="541"/>
      <c r="AA258" s="541"/>
      <c r="AB258" s="541"/>
      <c r="AC258" s="541"/>
      <c r="AD258" s="541"/>
      <c r="AE258" s="541"/>
      <c r="AF258" s="541"/>
      <c r="AG258" s="541"/>
      <c r="AH258" s="541"/>
      <c r="AI258" s="541"/>
      <c r="AJ258" s="541"/>
      <c r="AK258" s="541"/>
      <c r="AL258" s="541"/>
      <c r="AM258" s="541"/>
      <c r="AN258" s="541"/>
      <c r="AO258" s="541"/>
      <c r="AP258" s="541"/>
      <c r="AQ258" s="541"/>
      <c r="AR258" s="541"/>
      <c r="AS258" s="541"/>
      <c r="AT258" s="541"/>
      <c r="AU258" s="541"/>
      <c r="AV258" s="541"/>
      <c r="AW258" s="541"/>
      <c r="AX258" s="541"/>
      <c r="AY258" s="541"/>
      <c r="AZ258" s="541"/>
      <c r="BA258" s="541"/>
      <c r="BB258" s="541"/>
      <c r="BC258" s="541"/>
      <c r="BD258" s="541"/>
      <c r="BE258" s="541"/>
      <c r="BF258" s="541"/>
      <c r="BG258" s="541"/>
      <c r="BH258" s="541"/>
      <c r="BI258" s="541"/>
      <c r="BJ258" s="541"/>
      <c r="BK258" s="541"/>
      <c r="BL258" s="541"/>
      <c r="BM258" s="541"/>
      <c r="BN258" s="541"/>
      <c r="BO258" s="541"/>
      <c r="BP258" s="541"/>
      <c r="BQ258" s="541"/>
      <c r="BR258" s="541"/>
      <c r="BS258" s="541"/>
      <c r="BT258" s="541"/>
      <c r="BU258" s="541"/>
      <c r="BV258" s="541"/>
      <c r="BW258" s="541"/>
      <c r="BX258" s="541"/>
    </row>
    <row r="259" spans="1:76" s="689" customFormat="1" ht="19.5" customHeight="1" thickTop="1" thickBot="1">
      <c r="A259" s="589">
        <v>41977</v>
      </c>
      <c r="B259" s="607">
        <v>123631.35373759393</v>
      </c>
      <c r="C259" s="606">
        <v>47956.046395652615</v>
      </c>
      <c r="D259" s="606">
        <v>172428.36987003908</v>
      </c>
      <c r="E259" s="679">
        <v>80197.933251654336</v>
      </c>
      <c r="F259" s="606">
        <v>521188.37875424413</v>
      </c>
      <c r="G259" s="607">
        <v>821770.72827159008</v>
      </c>
      <c r="H259" s="680">
        <v>4008.5614136931026</v>
      </c>
      <c r="I259" s="680">
        <v>2097.4783605517846</v>
      </c>
      <c r="J259" s="681">
        <v>2198.4614223797348</v>
      </c>
      <c r="K259" s="682">
        <v>839.11638278988653</v>
      </c>
      <c r="L259" s="679">
        <v>134546.34802927752</v>
      </c>
      <c r="M259" s="683">
        <v>509.55352957750631</v>
      </c>
      <c r="N259" s="688">
        <v>63969.292683195061</v>
      </c>
      <c r="O259" s="685">
        <v>1153570.8938306486</v>
      </c>
      <c r="P259" s="680">
        <v>1490.1574935820843</v>
      </c>
      <c r="Q259" s="683">
        <v>33812.122052272622</v>
      </c>
      <c r="R259" s="686">
        <v>56213.095258551977</v>
      </c>
      <c r="S259" s="541"/>
      <c r="T259" s="541"/>
      <c r="U259" s="541"/>
      <c r="V259" s="541"/>
      <c r="W259" s="541"/>
      <c r="X259" s="541"/>
      <c r="Y259" s="541"/>
      <c r="Z259" s="541"/>
      <c r="AA259" s="541"/>
      <c r="AB259" s="541"/>
      <c r="AC259" s="541"/>
      <c r="AD259" s="541"/>
      <c r="AE259" s="541"/>
      <c r="AF259" s="541"/>
      <c r="AG259" s="541"/>
      <c r="AH259" s="541"/>
      <c r="AI259" s="541"/>
      <c r="AJ259" s="541"/>
      <c r="AK259" s="541"/>
      <c r="AL259" s="541"/>
      <c r="AM259" s="541"/>
      <c r="AN259" s="541"/>
      <c r="AO259" s="541"/>
      <c r="AP259" s="541"/>
      <c r="AQ259" s="541"/>
      <c r="AR259" s="541"/>
      <c r="AS259" s="541"/>
      <c r="AT259" s="541"/>
      <c r="AU259" s="541"/>
      <c r="AV259" s="541"/>
      <c r="AW259" s="541"/>
      <c r="AX259" s="541"/>
      <c r="AY259" s="541"/>
      <c r="AZ259" s="541"/>
      <c r="BA259" s="541"/>
      <c r="BB259" s="541"/>
      <c r="BC259" s="541"/>
      <c r="BD259" s="541"/>
      <c r="BE259" s="541"/>
      <c r="BF259" s="541"/>
      <c r="BG259" s="541"/>
      <c r="BH259" s="541"/>
      <c r="BI259" s="541"/>
      <c r="BJ259" s="541"/>
      <c r="BK259" s="541"/>
      <c r="BL259" s="541"/>
      <c r="BM259" s="541"/>
      <c r="BN259" s="541"/>
      <c r="BO259" s="541"/>
      <c r="BP259" s="541"/>
      <c r="BQ259" s="541"/>
      <c r="BR259" s="541"/>
      <c r="BS259" s="541"/>
      <c r="BT259" s="541"/>
      <c r="BU259" s="541"/>
      <c r="BV259" s="541"/>
      <c r="BW259" s="541"/>
      <c r="BX259" s="541"/>
    </row>
    <row r="260" spans="1:76" s="689" customFormat="1" ht="19.5" customHeight="1" thickTop="1" thickBot="1">
      <c r="A260" s="589">
        <v>42008</v>
      </c>
      <c r="B260" s="607">
        <v>127645.30734060165</v>
      </c>
      <c r="C260" s="606">
        <v>47351.126405177274</v>
      </c>
      <c r="D260" s="606">
        <v>176239.56368070908</v>
      </c>
      <c r="E260" s="679">
        <v>78266.821259785764</v>
      </c>
      <c r="F260" s="606">
        <v>540646.8871559723</v>
      </c>
      <c r="G260" s="607">
        <v>842504.39850164438</v>
      </c>
      <c r="H260" s="680">
        <v>4009.9413983153931</v>
      </c>
      <c r="I260" s="680">
        <v>4641.9907244015658</v>
      </c>
      <c r="J260" s="681">
        <v>2182.86228849079</v>
      </c>
      <c r="K260" s="682">
        <v>580.27377691215861</v>
      </c>
      <c r="L260" s="679">
        <v>131004.90432044526</v>
      </c>
      <c r="M260" s="683">
        <v>425.61430551716904</v>
      </c>
      <c r="N260" s="688">
        <v>62677.126495255528</v>
      </c>
      <c r="O260" s="685">
        <v>1175672.4191515839</v>
      </c>
      <c r="P260" s="680">
        <v>1158.1628287425617</v>
      </c>
      <c r="Q260" s="683">
        <v>29649.144511661907</v>
      </c>
      <c r="R260" s="686">
        <v>55318.342335891095</v>
      </c>
      <c r="S260" s="541"/>
      <c r="T260" s="541"/>
      <c r="U260" s="541"/>
      <c r="V260" s="541"/>
      <c r="W260" s="541"/>
      <c r="X260" s="541"/>
      <c r="Y260" s="541"/>
      <c r="Z260" s="541"/>
      <c r="AA260" s="541"/>
      <c r="AB260" s="541"/>
      <c r="AC260" s="541"/>
      <c r="AD260" s="541"/>
      <c r="AE260" s="541"/>
      <c r="AF260" s="541"/>
      <c r="AG260" s="541"/>
      <c r="AH260" s="541"/>
      <c r="AI260" s="541"/>
      <c r="AJ260" s="541"/>
      <c r="AK260" s="541"/>
      <c r="AL260" s="541"/>
      <c r="AM260" s="541"/>
      <c r="AN260" s="541"/>
      <c r="AO260" s="541"/>
      <c r="AP260" s="541"/>
      <c r="AQ260" s="541"/>
      <c r="AR260" s="541"/>
      <c r="AS260" s="541"/>
      <c r="AT260" s="541"/>
      <c r="AU260" s="541"/>
      <c r="AV260" s="541"/>
      <c r="AW260" s="541"/>
      <c r="AX260" s="541"/>
      <c r="AY260" s="541"/>
      <c r="AZ260" s="541"/>
      <c r="BA260" s="541"/>
      <c r="BB260" s="541"/>
      <c r="BC260" s="541"/>
      <c r="BD260" s="541"/>
      <c r="BE260" s="541"/>
      <c r="BF260" s="541"/>
      <c r="BG260" s="541"/>
      <c r="BH260" s="541"/>
      <c r="BI260" s="541"/>
      <c r="BJ260" s="541"/>
      <c r="BK260" s="541"/>
      <c r="BL260" s="541"/>
      <c r="BM260" s="541"/>
      <c r="BN260" s="541"/>
      <c r="BO260" s="541"/>
      <c r="BP260" s="541"/>
      <c r="BQ260" s="541"/>
      <c r="BR260" s="541"/>
      <c r="BS260" s="541"/>
      <c r="BT260" s="541"/>
      <c r="BU260" s="541"/>
      <c r="BV260" s="541"/>
      <c r="BW260" s="541"/>
      <c r="BX260" s="541"/>
    </row>
    <row r="261" spans="1:76" s="689" customFormat="1" ht="19.5" customHeight="1" thickTop="1" thickBot="1">
      <c r="A261" s="589">
        <v>42039</v>
      </c>
      <c r="B261" s="607">
        <v>128847.54300218134</v>
      </c>
      <c r="C261" s="606">
        <v>47819.751632037376</v>
      </c>
      <c r="D261" s="606">
        <v>177648.00877157555</v>
      </c>
      <c r="E261" s="679">
        <v>77928.788077418809</v>
      </c>
      <c r="F261" s="606">
        <v>534825.80294430908</v>
      </c>
      <c r="G261" s="607">
        <v>838222.35142534086</v>
      </c>
      <c r="H261" s="680">
        <v>3729.9816100043026</v>
      </c>
      <c r="I261" s="680">
        <v>7922.6073400570212</v>
      </c>
      <c r="J261" s="681">
        <v>2345.0226799353754</v>
      </c>
      <c r="K261" s="682">
        <v>872.9724093623073</v>
      </c>
      <c r="L261" s="679">
        <v>129025.61962921117</v>
      </c>
      <c r="M261" s="683">
        <v>413.54102705480506</v>
      </c>
      <c r="N261" s="688">
        <v>65074.532384964274</v>
      </c>
      <c r="O261" s="685">
        <v>1176454.1715081115</v>
      </c>
      <c r="P261" s="680">
        <v>1026.3078439730621</v>
      </c>
      <c r="Q261" s="683">
        <v>30256.803068649446</v>
      </c>
      <c r="R261" s="686">
        <v>53415.912386446296</v>
      </c>
      <c r="S261" s="541"/>
      <c r="T261" s="541"/>
      <c r="U261" s="541"/>
      <c r="V261" s="541"/>
      <c r="W261" s="541"/>
      <c r="X261" s="541"/>
      <c r="Y261" s="541"/>
      <c r="Z261" s="541"/>
      <c r="AA261" s="541"/>
      <c r="AB261" s="541"/>
      <c r="AC261" s="541"/>
      <c r="AD261" s="541"/>
      <c r="AE261" s="541"/>
      <c r="AF261" s="541"/>
      <c r="AG261" s="541"/>
      <c r="AH261" s="541"/>
      <c r="AI261" s="541"/>
      <c r="AJ261" s="541"/>
      <c r="AK261" s="541"/>
      <c r="AL261" s="541"/>
      <c r="AM261" s="541"/>
      <c r="AN261" s="541"/>
      <c r="AO261" s="541"/>
      <c r="AP261" s="541"/>
      <c r="AQ261" s="541"/>
      <c r="AR261" s="541"/>
      <c r="AS261" s="541"/>
      <c r="AT261" s="541"/>
      <c r="AU261" s="541"/>
      <c r="AV261" s="541"/>
      <c r="AW261" s="541"/>
      <c r="AX261" s="541"/>
      <c r="AY261" s="541"/>
      <c r="AZ261" s="541"/>
      <c r="BA261" s="541"/>
      <c r="BB261" s="541"/>
      <c r="BC261" s="541"/>
      <c r="BD261" s="541"/>
      <c r="BE261" s="541"/>
      <c r="BF261" s="541"/>
      <c r="BG261" s="541"/>
      <c r="BH261" s="541"/>
      <c r="BI261" s="541"/>
      <c r="BJ261" s="541"/>
      <c r="BK261" s="541"/>
      <c r="BL261" s="541"/>
      <c r="BM261" s="541"/>
      <c r="BN261" s="541"/>
      <c r="BO261" s="541"/>
      <c r="BP261" s="541"/>
      <c r="BQ261" s="541"/>
      <c r="BR261" s="541"/>
      <c r="BS261" s="541"/>
      <c r="BT261" s="541"/>
      <c r="BU261" s="541"/>
      <c r="BV261" s="541"/>
      <c r="BW261" s="541"/>
      <c r="BX261" s="541"/>
    </row>
    <row r="262" spans="1:76" s="689" customFormat="1" ht="19.5" customHeight="1" thickTop="1" thickBot="1">
      <c r="A262" s="589">
        <v>42067</v>
      </c>
      <c r="B262" s="607">
        <v>135499.22961837839</v>
      </c>
      <c r="C262" s="606">
        <v>48590.668011745292</v>
      </c>
      <c r="D262" s="606">
        <v>178301.20124942632</v>
      </c>
      <c r="E262" s="679">
        <v>78749.222097682126</v>
      </c>
      <c r="F262" s="606">
        <v>604159.09526293341</v>
      </c>
      <c r="G262" s="607">
        <v>909800.18662178703</v>
      </c>
      <c r="H262" s="680">
        <v>3613.8399310886516</v>
      </c>
      <c r="I262" s="680">
        <v>5962.1934425479458</v>
      </c>
      <c r="J262" s="681">
        <v>2357.74045874888</v>
      </c>
      <c r="K262" s="682">
        <v>446.31664053955757</v>
      </c>
      <c r="L262" s="679">
        <v>132389.42111058149</v>
      </c>
      <c r="M262" s="683">
        <v>382.33718645558133</v>
      </c>
      <c r="N262" s="688">
        <v>71769.939116864043</v>
      </c>
      <c r="O262" s="685">
        <v>1262221.2041269916</v>
      </c>
      <c r="P262" s="680">
        <v>969.75368747737707</v>
      </c>
      <c r="Q262" s="683">
        <v>30651.529776198426</v>
      </c>
      <c r="R262" s="686">
        <v>56978.622954127211</v>
      </c>
      <c r="S262" s="541"/>
      <c r="T262" s="541"/>
      <c r="U262" s="541"/>
      <c r="V262" s="541"/>
      <c r="W262" s="541"/>
      <c r="X262" s="541"/>
      <c r="Y262" s="541"/>
      <c r="Z262" s="541"/>
      <c r="AA262" s="541"/>
      <c r="AB262" s="541"/>
      <c r="AC262" s="541"/>
      <c r="AD262" s="541"/>
      <c r="AE262" s="541"/>
      <c r="AF262" s="541"/>
      <c r="AG262" s="541"/>
      <c r="AH262" s="541"/>
      <c r="AI262" s="541"/>
      <c r="AJ262" s="541"/>
      <c r="AK262" s="541"/>
      <c r="AL262" s="541"/>
      <c r="AM262" s="541"/>
      <c r="AN262" s="541"/>
      <c r="AO262" s="541"/>
      <c r="AP262" s="541"/>
      <c r="AQ262" s="541"/>
      <c r="AR262" s="541"/>
      <c r="AS262" s="541"/>
      <c r="AT262" s="541"/>
      <c r="AU262" s="541"/>
      <c r="AV262" s="541"/>
      <c r="AW262" s="541"/>
      <c r="AX262" s="541"/>
      <c r="AY262" s="541"/>
      <c r="AZ262" s="541"/>
      <c r="BA262" s="541"/>
      <c r="BB262" s="541"/>
      <c r="BC262" s="541"/>
      <c r="BD262" s="541"/>
      <c r="BE262" s="541"/>
      <c r="BF262" s="541"/>
      <c r="BG262" s="541"/>
      <c r="BH262" s="541"/>
      <c r="BI262" s="541"/>
      <c r="BJ262" s="541"/>
      <c r="BK262" s="541"/>
      <c r="BL262" s="541"/>
      <c r="BM262" s="541"/>
      <c r="BN262" s="541"/>
      <c r="BO262" s="541"/>
      <c r="BP262" s="541"/>
      <c r="BQ262" s="541"/>
      <c r="BR262" s="541"/>
      <c r="BS262" s="541"/>
      <c r="BT262" s="541"/>
      <c r="BU262" s="541"/>
      <c r="BV262" s="541"/>
      <c r="BW262" s="541"/>
      <c r="BX262" s="541"/>
    </row>
    <row r="263" spans="1:76" s="689" customFormat="1" ht="19.5" customHeight="1" thickTop="1" thickBot="1">
      <c r="A263" s="589">
        <v>42098</v>
      </c>
      <c r="B263" s="607">
        <v>134214.43327859195</v>
      </c>
      <c r="C263" s="606">
        <v>50646.634264298162</v>
      </c>
      <c r="D263" s="606">
        <v>179162.32469851492</v>
      </c>
      <c r="E263" s="679">
        <v>77273.041668010614</v>
      </c>
      <c r="F263" s="606">
        <v>600224.7147875767</v>
      </c>
      <c r="G263" s="607">
        <v>907306.71541840048</v>
      </c>
      <c r="H263" s="680">
        <v>3297.0824717770688</v>
      </c>
      <c r="I263" s="680">
        <v>5408.0750024263225</v>
      </c>
      <c r="J263" s="681">
        <v>2545.8024764985962</v>
      </c>
      <c r="K263" s="682">
        <v>461.25765213619729</v>
      </c>
      <c r="L263" s="679">
        <v>123931.73349580404</v>
      </c>
      <c r="M263" s="683">
        <v>350.81629298799999</v>
      </c>
      <c r="N263" s="688">
        <v>72741.528599209516</v>
      </c>
      <c r="O263" s="685">
        <v>1250257.4446878321</v>
      </c>
      <c r="P263" s="680">
        <v>2039.1611026795129</v>
      </c>
      <c r="Q263" s="683">
        <v>26699.265396062201</v>
      </c>
      <c r="R263" s="686">
        <v>53411.685859906793</v>
      </c>
      <c r="S263" s="541"/>
      <c r="T263" s="541"/>
      <c r="U263" s="541"/>
      <c r="V263" s="541"/>
      <c r="W263" s="541"/>
      <c r="X263" s="541"/>
      <c r="Y263" s="541"/>
      <c r="Z263" s="541"/>
      <c r="AA263" s="541"/>
      <c r="AB263" s="541"/>
      <c r="AC263" s="541"/>
      <c r="AD263" s="541"/>
      <c r="AE263" s="541"/>
      <c r="AF263" s="541"/>
      <c r="AG263" s="541"/>
      <c r="AH263" s="541"/>
      <c r="AI263" s="541"/>
      <c r="AJ263" s="541"/>
      <c r="AK263" s="541"/>
      <c r="AL263" s="541"/>
      <c r="AM263" s="541"/>
      <c r="AN263" s="541"/>
      <c r="AO263" s="541"/>
      <c r="AP263" s="541"/>
      <c r="AQ263" s="541"/>
      <c r="AR263" s="541"/>
      <c r="AS263" s="541"/>
      <c r="AT263" s="541"/>
      <c r="AU263" s="541"/>
      <c r="AV263" s="541"/>
      <c r="AW263" s="541"/>
      <c r="AX263" s="541"/>
      <c r="AY263" s="541"/>
      <c r="AZ263" s="541"/>
      <c r="BA263" s="541"/>
      <c r="BB263" s="541"/>
      <c r="BC263" s="541"/>
      <c r="BD263" s="541"/>
      <c r="BE263" s="541"/>
      <c r="BF263" s="541"/>
      <c r="BG263" s="541"/>
      <c r="BH263" s="541"/>
      <c r="BI263" s="541"/>
      <c r="BJ263" s="541"/>
      <c r="BK263" s="541"/>
      <c r="BL263" s="541"/>
      <c r="BM263" s="541"/>
      <c r="BN263" s="541"/>
      <c r="BO263" s="541"/>
      <c r="BP263" s="541"/>
      <c r="BQ263" s="541"/>
      <c r="BR263" s="541"/>
      <c r="BS263" s="541"/>
      <c r="BT263" s="541"/>
      <c r="BU263" s="541"/>
      <c r="BV263" s="541"/>
      <c r="BW263" s="541"/>
      <c r="BX263" s="541"/>
    </row>
    <row r="264" spans="1:76" s="689" customFormat="1" ht="19.5" customHeight="1" thickTop="1" thickBot="1">
      <c r="A264" s="589">
        <v>42128</v>
      </c>
      <c r="B264" s="607">
        <v>134205.50630445633</v>
      </c>
      <c r="C264" s="606">
        <v>52090.897021283032</v>
      </c>
      <c r="D264" s="606">
        <v>180555.40700264319</v>
      </c>
      <c r="E264" s="679">
        <v>76659.454139142981</v>
      </c>
      <c r="F264" s="606">
        <v>562099.09125052555</v>
      </c>
      <c r="G264" s="607">
        <v>871404.84941359481</v>
      </c>
      <c r="H264" s="680">
        <v>4162.000721648199</v>
      </c>
      <c r="I264" s="680">
        <v>4209.9374445678195</v>
      </c>
      <c r="J264" s="681">
        <v>1971.1782738236409</v>
      </c>
      <c r="K264" s="682">
        <v>676.00819860629986</v>
      </c>
      <c r="L264" s="679">
        <v>113888.00560996226</v>
      </c>
      <c r="M264" s="683">
        <v>357.890523996502</v>
      </c>
      <c r="N264" s="688">
        <v>65481.11278442786</v>
      </c>
      <c r="O264" s="685">
        <v>1196356.4892750836</v>
      </c>
      <c r="P264" s="680">
        <v>2138.6981776577295</v>
      </c>
      <c r="Q264" s="683">
        <v>28447.797962139291</v>
      </c>
      <c r="R264" s="686">
        <v>51540.384329088498</v>
      </c>
      <c r="S264" s="541"/>
      <c r="T264" s="541"/>
      <c r="U264" s="541"/>
      <c r="V264" s="541"/>
      <c r="W264" s="541"/>
      <c r="X264" s="541"/>
      <c r="Y264" s="541"/>
      <c r="Z264" s="541"/>
      <c r="AA264" s="541"/>
      <c r="AB264" s="541"/>
      <c r="AC264" s="541"/>
      <c r="AD264" s="541"/>
      <c r="AE264" s="541"/>
      <c r="AF264" s="541"/>
      <c r="AG264" s="541"/>
      <c r="AH264" s="541"/>
      <c r="AI264" s="541"/>
      <c r="AJ264" s="541"/>
      <c r="AK264" s="541"/>
      <c r="AL264" s="541"/>
      <c r="AM264" s="541"/>
      <c r="AN264" s="541"/>
      <c r="AO264" s="541"/>
      <c r="AP264" s="541"/>
      <c r="AQ264" s="541"/>
      <c r="AR264" s="541"/>
      <c r="AS264" s="541"/>
      <c r="AT264" s="541"/>
      <c r="AU264" s="541"/>
      <c r="AV264" s="541"/>
      <c r="AW264" s="541"/>
      <c r="AX264" s="541"/>
      <c r="AY264" s="541"/>
      <c r="AZ264" s="541"/>
      <c r="BA264" s="541"/>
      <c r="BB264" s="541"/>
      <c r="BC264" s="541"/>
      <c r="BD264" s="541"/>
      <c r="BE264" s="541"/>
      <c r="BF264" s="541"/>
      <c r="BG264" s="541"/>
      <c r="BH264" s="541"/>
      <c r="BI264" s="541"/>
      <c r="BJ264" s="541"/>
      <c r="BK264" s="541"/>
      <c r="BL264" s="541"/>
      <c r="BM264" s="541"/>
      <c r="BN264" s="541"/>
      <c r="BO264" s="541"/>
      <c r="BP264" s="541"/>
      <c r="BQ264" s="541"/>
      <c r="BR264" s="541"/>
      <c r="BS264" s="541"/>
      <c r="BT264" s="541"/>
      <c r="BU264" s="541"/>
      <c r="BV264" s="541"/>
      <c r="BW264" s="541"/>
      <c r="BX264" s="541"/>
    </row>
    <row r="265" spans="1:76" s="689" customFormat="1" ht="19.5" customHeight="1" thickTop="1" thickBot="1">
      <c r="A265" s="589">
        <v>42159</v>
      </c>
      <c r="B265" s="607">
        <v>132983.80177525079</v>
      </c>
      <c r="C265" s="606">
        <v>50716.988179733671</v>
      </c>
      <c r="D265" s="606">
        <v>184362.47661944898</v>
      </c>
      <c r="E265" s="679">
        <v>79457.19749384906</v>
      </c>
      <c r="F265" s="606">
        <v>549965.20504952502</v>
      </c>
      <c r="G265" s="607">
        <v>864501.86734255683</v>
      </c>
      <c r="H265" s="680">
        <v>4959.2708700171343</v>
      </c>
      <c r="I265" s="680">
        <v>3624.6262777726456</v>
      </c>
      <c r="J265" s="681">
        <v>1858.6836049278797</v>
      </c>
      <c r="K265" s="682">
        <v>830.14805602788317</v>
      </c>
      <c r="L265" s="679">
        <v>108317.99585388719</v>
      </c>
      <c r="M265" s="683">
        <v>298.92897366307699</v>
      </c>
      <c r="N265" s="688">
        <v>65947.511880855047</v>
      </c>
      <c r="O265" s="685">
        <v>1183322.8346349585</v>
      </c>
      <c r="P265" s="680">
        <v>2456.9220942787738</v>
      </c>
      <c r="Q265" s="683">
        <v>27628.432260976897</v>
      </c>
      <c r="R265" s="686">
        <v>49250.028783547561</v>
      </c>
      <c r="S265" s="541"/>
      <c r="T265" s="541"/>
      <c r="U265" s="541"/>
      <c r="V265" s="541"/>
      <c r="W265" s="541"/>
      <c r="X265" s="541"/>
      <c r="Y265" s="541"/>
      <c r="Z265" s="541"/>
      <c r="AA265" s="541"/>
      <c r="AB265" s="541"/>
      <c r="AC265" s="541"/>
      <c r="AD265" s="541"/>
      <c r="AE265" s="541"/>
      <c r="AF265" s="541"/>
      <c r="AG265" s="541"/>
      <c r="AH265" s="541"/>
      <c r="AI265" s="541"/>
      <c r="AJ265" s="541"/>
      <c r="AK265" s="541"/>
      <c r="AL265" s="541"/>
      <c r="AM265" s="541"/>
      <c r="AN265" s="541"/>
      <c r="AO265" s="541"/>
      <c r="AP265" s="541"/>
      <c r="AQ265" s="541"/>
      <c r="AR265" s="541"/>
      <c r="AS265" s="541"/>
      <c r="AT265" s="541"/>
      <c r="AU265" s="541"/>
      <c r="AV265" s="541"/>
      <c r="AW265" s="541"/>
      <c r="AX265" s="541"/>
      <c r="AY265" s="541"/>
      <c r="AZ265" s="541"/>
      <c r="BA265" s="541"/>
      <c r="BB265" s="541"/>
      <c r="BC265" s="541"/>
      <c r="BD265" s="541"/>
      <c r="BE265" s="541"/>
      <c r="BF265" s="541"/>
      <c r="BG265" s="541"/>
      <c r="BH265" s="541"/>
      <c r="BI265" s="541"/>
      <c r="BJ265" s="541"/>
      <c r="BK265" s="541"/>
      <c r="BL265" s="541"/>
      <c r="BM265" s="541"/>
      <c r="BN265" s="541"/>
      <c r="BO265" s="541"/>
      <c r="BP265" s="541"/>
      <c r="BQ265" s="541"/>
      <c r="BR265" s="541"/>
      <c r="BS265" s="541"/>
      <c r="BT265" s="541"/>
      <c r="BU265" s="541"/>
      <c r="BV265" s="541"/>
      <c r="BW265" s="541"/>
      <c r="BX265" s="541"/>
    </row>
    <row r="266" spans="1:76" s="689" customFormat="1" ht="6" customHeight="1" thickTop="1" thickBot="1">
      <c r="A266" s="690"/>
      <c r="B266" s="691"/>
      <c r="C266" s="692"/>
      <c r="D266" s="692"/>
      <c r="E266" s="693"/>
      <c r="F266" s="692"/>
      <c r="G266" s="691"/>
      <c r="H266" s="694"/>
      <c r="I266" s="694"/>
      <c r="J266" s="695"/>
      <c r="K266" s="696"/>
      <c r="L266" s="693"/>
      <c r="M266" s="697"/>
      <c r="N266" s="698"/>
      <c r="O266" s="699"/>
      <c r="P266" s="694"/>
      <c r="Q266" s="697"/>
      <c r="R266" s="700"/>
      <c r="S266" s="541"/>
      <c r="T266" s="541"/>
      <c r="U266" s="541"/>
      <c r="V266" s="541"/>
      <c r="W266" s="541"/>
      <c r="X266" s="541"/>
      <c r="Y266" s="541"/>
      <c r="Z266" s="541"/>
      <c r="AA266" s="541"/>
      <c r="AB266" s="541"/>
      <c r="AC266" s="541"/>
      <c r="AD266" s="541"/>
      <c r="AE266" s="541"/>
      <c r="AF266" s="541"/>
      <c r="AG266" s="541"/>
      <c r="AH266" s="541"/>
      <c r="AI266" s="541"/>
      <c r="AJ266" s="541"/>
      <c r="AK266" s="541"/>
      <c r="AL266" s="541"/>
      <c r="AM266" s="541"/>
      <c r="AN266" s="541"/>
      <c r="AO266" s="541"/>
      <c r="AP266" s="541"/>
      <c r="AQ266" s="541"/>
      <c r="AR266" s="541"/>
      <c r="AS266" s="541"/>
      <c r="AT266" s="541"/>
      <c r="AU266" s="541"/>
      <c r="AV266" s="541"/>
      <c r="AW266" s="541"/>
      <c r="AX266" s="541"/>
      <c r="AY266" s="541"/>
      <c r="AZ266" s="541"/>
      <c r="BA266" s="541"/>
      <c r="BB266" s="541"/>
      <c r="BC266" s="541"/>
      <c r="BD266" s="541"/>
      <c r="BE266" s="541"/>
      <c r="BF266" s="541"/>
      <c r="BG266" s="541"/>
      <c r="BH266" s="541"/>
      <c r="BI266" s="541"/>
      <c r="BJ266" s="541"/>
      <c r="BK266" s="541"/>
      <c r="BL266" s="541"/>
      <c r="BM266" s="541"/>
      <c r="BN266" s="541"/>
      <c r="BO266" s="541"/>
      <c r="BP266" s="541"/>
      <c r="BQ266" s="541"/>
      <c r="BR266" s="541"/>
      <c r="BS266" s="541"/>
      <c r="BT266" s="541"/>
      <c r="BU266" s="541"/>
      <c r="BV266" s="541"/>
      <c r="BW266" s="541"/>
      <c r="BX266" s="541"/>
    </row>
    <row r="267" spans="1:76" ht="18.75" thickTop="1">
      <c r="A267" s="624" t="s">
        <v>2364</v>
      </c>
      <c r="B267" s="629"/>
      <c r="C267" s="629"/>
      <c r="D267" s="629"/>
      <c r="E267" s="629"/>
      <c r="F267" s="629"/>
      <c r="G267" s="588"/>
      <c r="K267" s="629" t="s">
        <v>2346</v>
      </c>
      <c r="Q267" s="588"/>
      <c r="R267" s="630"/>
    </row>
    <row r="268" spans="1:76" ht="18">
      <c r="A268" s="624" t="s">
        <v>2365</v>
      </c>
      <c r="B268" s="629"/>
      <c r="C268" s="629"/>
      <c r="D268" s="629"/>
      <c r="E268" s="629"/>
      <c r="F268" s="629"/>
      <c r="G268" s="630"/>
      <c r="H268" s="629"/>
      <c r="K268" s="701" t="s">
        <v>2366</v>
      </c>
      <c r="L268" s="629"/>
      <c r="M268" s="629"/>
      <c r="N268" s="702"/>
      <c r="O268" s="630"/>
      <c r="P268" s="629"/>
      <c r="Q268" s="630"/>
      <c r="R268" s="630"/>
    </row>
    <row r="269" spans="1:76" ht="18">
      <c r="A269" s="624" t="s">
        <v>2345</v>
      </c>
      <c r="B269" s="629"/>
      <c r="C269" s="629"/>
      <c r="D269" s="629"/>
      <c r="E269" s="630"/>
      <c r="F269" s="629"/>
      <c r="G269" s="630"/>
      <c r="H269" s="588"/>
      <c r="I269" s="629"/>
      <c r="J269" s="629"/>
      <c r="K269" s="629"/>
      <c r="L269" s="629"/>
      <c r="M269" s="629"/>
      <c r="N269" s="703"/>
      <c r="O269" s="704"/>
      <c r="P269" s="630"/>
      <c r="Q269" s="629"/>
      <c r="R269" s="629"/>
    </row>
    <row r="270" spans="1:76">
      <c r="A270" s="629" t="s">
        <v>2053</v>
      </c>
      <c r="B270" s="629"/>
      <c r="C270" s="629"/>
      <c r="D270" s="629"/>
      <c r="E270" s="629"/>
      <c r="F270" s="629"/>
      <c r="G270" s="630"/>
      <c r="H270" s="629"/>
      <c r="I270" s="629"/>
      <c r="J270" s="705"/>
      <c r="K270" s="629"/>
      <c r="L270" s="629"/>
      <c r="M270" s="706"/>
      <c r="N270" s="630"/>
      <c r="O270" s="629"/>
      <c r="P270" s="629"/>
      <c r="Q270" s="629"/>
      <c r="R270" s="629"/>
    </row>
  </sheetData>
  <mergeCells count="3">
    <mergeCell ref="A1:Y1"/>
    <mergeCell ref="A137:R137"/>
    <mergeCell ref="K139:L139"/>
  </mergeCells>
  <printOptions horizontalCentered="1" verticalCentered="1"/>
  <pageMargins left="0" right="0" top="0.23622047244094491" bottom="0" header="0" footer="0"/>
  <pageSetup paperSize="9" scale="48"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6"/>
  <sheetViews>
    <sheetView zoomScaleNormal="100" workbookViewId="0">
      <selection activeCell="L49" sqref="L49"/>
    </sheetView>
  </sheetViews>
  <sheetFormatPr defaultRowHeight="15"/>
  <cols>
    <col min="1" max="1" width="9.140625" style="215"/>
    <col min="2" max="2" width="14.140625" style="215" customWidth="1"/>
    <col min="3" max="3" width="14.85546875" style="215" customWidth="1"/>
    <col min="4" max="4" width="16" style="215" customWidth="1"/>
    <col min="5" max="5" width="13.5703125" style="215" customWidth="1"/>
    <col min="6" max="6" width="18.7109375" style="215" customWidth="1"/>
    <col min="7" max="7" width="9.140625" style="215"/>
    <col min="8" max="257" width="9.140625" style="216"/>
    <col min="258" max="258" width="14.140625" style="216" customWidth="1"/>
    <col min="259" max="259" width="14.85546875" style="216" customWidth="1"/>
    <col min="260" max="260" width="16" style="216" customWidth="1"/>
    <col min="261" max="261" width="13.5703125" style="216" customWidth="1"/>
    <col min="262" max="262" width="18.7109375" style="216" customWidth="1"/>
    <col min="263" max="513" width="9.140625" style="216"/>
    <col min="514" max="514" width="14.140625" style="216" customWidth="1"/>
    <col min="515" max="515" width="14.85546875" style="216" customWidth="1"/>
    <col min="516" max="516" width="16" style="216" customWidth="1"/>
    <col min="517" max="517" width="13.5703125" style="216" customWidth="1"/>
    <col min="518" max="518" width="18.7109375" style="216" customWidth="1"/>
    <col min="519" max="769" width="9.140625" style="216"/>
    <col min="770" max="770" width="14.140625" style="216" customWidth="1"/>
    <col min="771" max="771" width="14.85546875" style="216" customWidth="1"/>
    <col min="772" max="772" width="16" style="216" customWidth="1"/>
    <col min="773" max="773" width="13.5703125" style="216" customWidth="1"/>
    <col min="774" max="774" width="18.7109375" style="216" customWidth="1"/>
    <col min="775" max="1025" width="9.140625" style="216"/>
    <col min="1026" max="1026" width="14.140625" style="216" customWidth="1"/>
    <col min="1027" max="1027" width="14.85546875" style="216" customWidth="1"/>
    <col min="1028" max="1028" width="16" style="216" customWidth="1"/>
    <col min="1029" max="1029" width="13.5703125" style="216" customWidth="1"/>
    <col min="1030" max="1030" width="18.7109375" style="216" customWidth="1"/>
    <col min="1031" max="1281" width="9.140625" style="216"/>
    <col min="1282" max="1282" width="14.140625" style="216" customWidth="1"/>
    <col min="1283" max="1283" width="14.85546875" style="216" customWidth="1"/>
    <col min="1284" max="1284" width="16" style="216" customWidth="1"/>
    <col min="1285" max="1285" width="13.5703125" style="216" customWidth="1"/>
    <col min="1286" max="1286" width="18.7109375" style="216" customWidth="1"/>
    <col min="1287" max="1537" width="9.140625" style="216"/>
    <col min="1538" max="1538" width="14.140625" style="216" customWidth="1"/>
    <col min="1539" max="1539" width="14.85546875" style="216" customWidth="1"/>
    <col min="1540" max="1540" width="16" style="216" customWidth="1"/>
    <col min="1541" max="1541" width="13.5703125" style="216" customWidth="1"/>
    <col min="1542" max="1542" width="18.7109375" style="216" customWidth="1"/>
    <col min="1543" max="1793" width="9.140625" style="216"/>
    <col min="1794" max="1794" width="14.140625" style="216" customWidth="1"/>
    <col min="1795" max="1795" width="14.85546875" style="216" customWidth="1"/>
    <col min="1796" max="1796" width="16" style="216" customWidth="1"/>
    <col min="1797" max="1797" width="13.5703125" style="216" customWidth="1"/>
    <col min="1798" max="1798" width="18.7109375" style="216" customWidth="1"/>
    <col min="1799" max="2049" width="9.140625" style="216"/>
    <col min="2050" max="2050" width="14.140625" style="216" customWidth="1"/>
    <col min="2051" max="2051" width="14.85546875" style="216" customWidth="1"/>
    <col min="2052" max="2052" width="16" style="216" customWidth="1"/>
    <col min="2053" max="2053" width="13.5703125" style="216" customWidth="1"/>
    <col min="2054" max="2054" width="18.7109375" style="216" customWidth="1"/>
    <col min="2055" max="2305" width="9.140625" style="216"/>
    <col min="2306" max="2306" width="14.140625" style="216" customWidth="1"/>
    <col min="2307" max="2307" width="14.85546875" style="216" customWidth="1"/>
    <col min="2308" max="2308" width="16" style="216" customWidth="1"/>
    <col min="2309" max="2309" width="13.5703125" style="216" customWidth="1"/>
    <col min="2310" max="2310" width="18.7109375" style="216" customWidth="1"/>
    <col min="2311" max="2561" width="9.140625" style="216"/>
    <col min="2562" max="2562" width="14.140625" style="216" customWidth="1"/>
    <col min="2563" max="2563" width="14.85546875" style="216" customWidth="1"/>
    <col min="2564" max="2564" width="16" style="216" customWidth="1"/>
    <col min="2565" max="2565" width="13.5703125" style="216" customWidth="1"/>
    <col min="2566" max="2566" width="18.7109375" style="216" customWidth="1"/>
    <col min="2567" max="2817" width="9.140625" style="216"/>
    <col min="2818" max="2818" width="14.140625" style="216" customWidth="1"/>
    <col min="2819" max="2819" width="14.85546875" style="216" customWidth="1"/>
    <col min="2820" max="2820" width="16" style="216" customWidth="1"/>
    <col min="2821" max="2821" width="13.5703125" style="216" customWidth="1"/>
    <col min="2822" max="2822" width="18.7109375" style="216" customWidth="1"/>
    <col min="2823" max="3073" width="9.140625" style="216"/>
    <col min="3074" max="3074" width="14.140625" style="216" customWidth="1"/>
    <col min="3075" max="3075" width="14.85546875" style="216" customWidth="1"/>
    <col min="3076" max="3076" width="16" style="216" customWidth="1"/>
    <col min="3077" max="3077" width="13.5703125" style="216" customWidth="1"/>
    <col min="3078" max="3078" width="18.7109375" style="216" customWidth="1"/>
    <col min="3079" max="3329" width="9.140625" style="216"/>
    <col min="3330" max="3330" width="14.140625" style="216" customWidth="1"/>
    <col min="3331" max="3331" width="14.85546875" style="216" customWidth="1"/>
    <col min="3332" max="3332" width="16" style="216" customWidth="1"/>
    <col min="3333" max="3333" width="13.5703125" style="216" customWidth="1"/>
    <col min="3334" max="3334" width="18.7109375" style="216" customWidth="1"/>
    <col min="3335" max="3585" width="9.140625" style="216"/>
    <col min="3586" max="3586" width="14.140625" style="216" customWidth="1"/>
    <col min="3587" max="3587" width="14.85546875" style="216" customWidth="1"/>
    <col min="3588" max="3588" width="16" style="216" customWidth="1"/>
    <col min="3589" max="3589" width="13.5703125" style="216" customWidth="1"/>
    <col min="3590" max="3590" width="18.7109375" style="216" customWidth="1"/>
    <col min="3591" max="3841" width="9.140625" style="216"/>
    <col min="3842" max="3842" width="14.140625" style="216" customWidth="1"/>
    <col min="3843" max="3843" width="14.85546875" style="216" customWidth="1"/>
    <col min="3844" max="3844" width="16" style="216" customWidth="1"/>
    <col min="3845" max="3845" width="13.5703125" style="216" customWidth="1"/>
    <col min="3846" max="3846" width="18.7109375" style="216" customWidth="1"/>
    <col min="3847" max="4097" width="9.140625" style="216"/>
    <col min="4098" max="4098" width="14.140625" style="216" customWidth="1"/>
    <col min="4099" max="4099" width="14.85546875" style="216" customWidth="1"/>
    <col min="4100" max="4100" width="16" style="216" customWidth="1"/>
    <col min="4101" max="4101" width="13.5703125" style="216" customWidth="1"/>
    <col min="4102" max="4102" width="18.7109375" style="216" customWidth="1"/>
    <col min="4103" max="4353" width="9.140625" style="216"/>
    <col min="4354" max="4354" width="14.140625" style="216" customWidth="1"/>
    <col min="4355" max="4355" width="14.85546875" style="216" customWidth="1"/>
    <col min="4356" max="4356" width="16" style="216" customWidth="1"/>
    <col min="4357" max="4357" width="13.5703125" style="216" customWidth="1"/>
    <col min="4358" max="4358" width="18.7109375" style="216" customWidth="1"/>
    <col min="4359" max="4609" width="9.140625" style="216"/>
    <col min="4610" max="4610" width="14.140625" style="216" customWidth="1"/>
    <col min="4611" max="4611" width="14.85546875" style="216" customWidth="1"/>
    <col min="4612" max="4612" width="16" style="216" customWidth="1"/>
    <col min="4613" max="4613" width="13.5703125" style="216" customWidth="1"/>
    <col min="4614" max="4614" width="18.7109375" style="216" customWidth="1"/>
    <col min="4615" max="4865" width="9.140625" style="216"/>
    <col min="4866" max="4866" width="14.140625" style="216" customWidth="1"/>
    <col min="4867" max="4867" width="14.85546875" style="216" customWidth="1"/>
    <col min="4868" max="4868" width="16" style="216" customWidth="1"/>
    <col min="4869" max="4869" width="13.5703125" style="216" customWidth="1"/>
    <col min="4870" max="4870" width="18.7109375" style="216" customWidth="1"/>
    <col min="4871" max="5121" width="9.140625" style="216"/>
    <col min="5122" max="5122" width="14.140625" style="216" customWidth="1"/>
    <col min="5123" max="5123" width="14.85546875" style="216" customWidth="1"/>
    <col min="5124" max="5124" width="16" style="216" customWidth="1"/>
    <col min="5125" max="5125" width="13.5703125" style="216" customWidth="1"/>
    <col min="5126" max="5126" width="18.7109375" style="216" customWidth="1"/>
    <col min="5127" max="5377" width="9.140625" style="216"/>
    <col min="5378" max="5378" width="14.140625" style="216" customWidth="1"/>
    <col min="5379" max="5379" width="14.85546875" style="216" customWidth="1"/>
    <col min="5380" max="5380" width="16" style="216" customWidth="1"/>
    <col min="5381" max="5381" width="13.5703125" style="216" customWidth="1"/>
    <col min="5382" max="5382" width="18.7109375" style="216" customWidth="1"/>
    <col min="5383" max="5633" width="9.140625" style="216"/>
    <col min="5634" max="5634" width="14.140625" style="216" customWidth="1"/>
    <col min="5635" max="5635" width="14.85546875" style="216" customWidth="1"/>
    <col min="5636" max="5636" width="16" style="216" customWidth="1"/>
    <col min="5637" max="5637" width="13.5703125" style="216" customWidth="1"/>
    <col min="5638" max="5638" width="18.7109375" style="216" customWidth="1"/>
    <col min="5639" max="5889" width="9.140625" style="216"/>
    <col min="5890" max="5890" width="14.140625" style="216" customWidth="1"/>
    <col min="5891" max="5891" width="14.85546875" style="216" customWidth="1"/>
    <col min="5892" max="5892" width="16" style="216" customWidth="1"/>
    <col min="5893" max="5893" width="13.5703125" style="216" customWidth="1"/>
    <col min="5894" max="5894" width="18.7109375" style="216" customWidth="1"/>
    <col min="5895" max="6145" width="9.140625" style="216"/>
    <col min="6146" max="6146" width="14.140625" style="216" customWidth="1"/>
    <col min="6147" max="6147" width="14.85546875" style="216" customWidth="1"/>
    <col min="6148" max="6148" width="16" style="216" customWidth="1"/>
    <col min="6149" max="6149" width="13.5703125" style="216" customWidth="1"/>
    <col min="6150" max="6150" width="18.7109375" style="216" customWidth="1"/>
    <col min="6151" max="6401" width="9.140625" style="216"/>
    <col min="6402" max="6402" width="14.140625" style="216" customWidth="1"/>
    <col min="6403" max="6403" width="14.85546875" style="216" customWidth="1"/>
    <col min="6404" max="6404" width="16" style="216" customWidth="1"/>
    <col min="6405" max="6405" width="13.5703125" style="216" customWidth="1"/>
    <col min="6406" max="6406" width="18.7109375" style="216" customWidth="1"/>
    <col min="6407" max="6657" width="9.140625" style="216"/>
    <col min="6658" max="6658" width="14.140625" style="216" customWidth="1"/>
    <col min="6659" max="6659" width="14.85546875" style="216" customWidth="1"/>
    <col min="6660" max="6660" width="16" style="216" customWidth="1"/>
    <col min="6661" max="6661" width="13.5703125" style="216" customWidth="1"/>
    <col min="6662" max="6662" width="18.7109375" style="216" customWidth="1"/>
    <col min="6663" max="6913" width="9.140625" style="216"/>
    <col min="6914" max="6914" width="14.140625" style="216" customWidth="1"/>
    <col min="6915" max="6915" width="14.85546875" style="216" customWidth="1"/>
    <col min="6916" max="6916" width="16" style="216" customWidth="1"/>
    <col min="6917" max="6917" width="13.5703125" style="216" customWidth="1"/>
    <col min="6918" max="6918" width="18.7109375" style="216" customWidth="1"/>
    <col min="6919" max="7169" width="9.140625" style="216"/>
    <col min="7170" max="7170" width="14.140625" style="216" customWidth="1"/>
    <col min="7171" max="7171" width="14.85546875" style="216" customWidth="1"/>
    <col min="7172" max="7172" width="16" style="216" customWidth="1"/>
    <col min="7173" max="7173" width="13.5703125" style="216" customWidth="1"/>
    <col min="7174" max="7174" width="18.7109375" style="216" customWidth="1"/>
    <col min="7175" max="7425" width="9.140625" style="216"/>
    <col min="7426" max="7426" width="14.140625" style="216" customWidth="1"/>
    <col min="7427" max="7427" width="14.85546875" style="216" customWidth="1"/>
    <col min="7428" max="7428" width="16" style="216" customWidth="1"/>
    <col min="7429" max="7429" width="13.5703125" style="216" customWidth="1"/>
    <col min="7430" max="7430" width="18.7109375" style="216" customWidth="1"/>
    <col min="7431" max="7681" width="9.140625" style="216"/>
    <col min="7682" max="7682" width="14.140625" style="216" customWidth="1"/>
    <col min="7683" max="7683" width="14.85546875" style="216" customWidth="1"/>
    <col min="7684" max="7684" width="16" style="216" customWidth="1"/>
    <col min="7685" max="7685" width="13.5703125" style="216" customWidth="1"/>
    <col min="7686" max="7686" width="18.7109375" style="216" customWidth="1"/>
    <col min="7687" max="7937" width="9.140625" style="216"/>
    <col min="7938" max="7938" width="14.140625" style="216" customWidth="1"/>
    <col min="7939" max="7939" width="14.85546875" style="216" customWidth="1"/>
    <col min="7940" max="7940" width="16" style="216" customWidth="1"/>
    <col min="7941" max="7941" width="13.5703125" style="216" customWidth="1"/>
    <col min="7942" max="7942" width="18.7109375" style="216" customWidth="1"/>
    <col min="7943" max="8193" width="9.140625" style="216"/>
    <col min="8194" max="8194" width="14.140625" style="216" customWidth="1"/>
    <col min="8195" max="8195" width="14.85546875" style="216" customWidth="1"/>
    <col min="8196" max="8196" width="16" style="216" customWidth="1"/>
    <col min="8197" max="8197" width="13.5703125" style="216" customWidth="1"/>
    <col min="8198" max="8198" width="18.7109375" style="216" customWidth="1"/>
    <col min="8199" max="8449" width="9.140625" style="216"/>
    <col min="8450" max="8450" width="14.140625" style="216" customWidth="1"/>
    <col min="8451" max="8451" width="14.85546875" style="216" customWidth="1"/>
    <col min="8452" max="8452" width="16" style="216" customWidth="1"/>
    <col min="8453" max="8453" width="13.5703125" style="216" customWidth="1"/>
    <col min="8454" max="8454" width="18.7109375" style="216" customWidth="1"/>
    <col min="8455" max="8705" width="9.140625" style="216"/>
    <col min="8706" max="8706" width="14.140625" style="216" customWidth="1"/>
    <col min="8707" max="8707" width="14.85546875" style="216" customWidth="1"/>
    <col min="8708" max="8708" width="16" style="216" customWidth="1"/>
    <col min="8709" max="8709" width="13.5703125" style="216" customWidth="1"/>
    <col min="8710" max="8710" width="18.7109375" style="216" customWidth="1"/>
    <col min="8711" max="8961" width="9.140625" style="216"/>
    <col min="8962" max="8962" width="14.140625" style="216" customWidth="1"/>
    <col min="8963" max="8963" width="14.85546875" style="216" customWidth="1"/>
    <col min="8964" max="8964" width="16" style="216" customWidth="1"/>
    <col min="8965" max="8965" width="13.5703125" style="216" customWidth="1"/>
    <col min="8966" max="8966" width="18.7109375" style="216" customWidth="1"/>
    <col min="8967" max="9217" width="9.140625" style="216"/>
    <col min="9218" max="9218" width="14.140625" style="216" customWidth="1"/>
    <col min="9219" max="9219" width="14.85546875" style="216" customWidth="1"/>
    <col min="9220" max="9220" width="16" style="216" customWidth="1"/>
    <col min="9221" max="9221" width="13.5703125" style="216" customWidth="1"/>
    <col min="9222" max="9222" width="18.7109375" style="216" customWidth="1"/>
    <col min="9223" max="9473" width="9.140625" style="216"/>
    <col min="9474" max="9474" width="14.140625" style="216" customWidth="1"/>
    <col min="9475" max="9475" width="14.85546875" style="216" customWidth="1"/>
    <col min="9476" max="9476" width="16" style="216" customWidth="1"/>
    <col min="9477" max="9477" width="13.5703125" style="216" customWidth="1"/>
    <col min="9478" max="9478" width="18.7109375" style="216" customWidth="1"/>
    <col min="9479" max="9729" width="9.140625" style="216"/>
    <col min="9730" max="9730" width="14.140625" style="216" customWidth="1"/>
    <col min="9731" max="9731" width="14.85546875" style="216" customWidth="1"/>
    <col min="9732" max="9732" width="16" style="216" customWidth="1"/>
    <col min="9733" max="9733" width="13.5703125" style="216" customWidth="1"/>
    <col min="9734" max="9734" width="18.7109375" style="216" customWidth="1"/>
    <col min="9735" max="9985" width="9.140625" style="216"/>
    <col min="9986" max="9986" width="14.140625" style="216" customWidth="1"/>
    <col min="9987" max="9987" width="14.85546875" style="216" customWidth="1"/>
    <col min="9988" max="9988" width="16" style="216" customWidth="1"/>
    <col min="9989" max="9989" width="13.5703125" style="216" customWidth="1"/>
    <col min="9990" max="9990" width="18.7109375" style="216" customWidth="1"/>
    <col min="9991" max="10241" width="9.140625" style="216"/>
    <col min="10242" max="10242" width="14.140625" style="216" customWidth="1"/>
    <col min="10243" max="10243" width="14.85546875" style="216" customWidth="1"/>
    <col min="10244" max="10244" width="16" style="216" customWidth="1"/>
    <col min="10245" max="10245" width="13.5703125" style="216" customWidth="1"/>
    <col min="10246" max="10246" width="18.7109375" style="216" customWidth="1"/>
    <col min="10247" max="10497" width="9.140625" style="216"/>
    <col min="10498" max="10498" width="14.140625" style="216" customWidth="1"/>
    <col min="10499" max="10499" width="14.85546875" style="216" customWidth="1"/>
    <col min="10500" max="10500" width="16" style="216" customWidth="1"/>
    <col min="10501" max="10501" width="13.5703125" style="216" customWidth="1"/>
    <col min="10502" max="10502" width="18.7109375" style="216" customWidth="1"/>
    <col min="10503" max="10753" width="9.140625" style="216"/>
    <col min="10754" max="10754" width="14.140625" style="216" customWidth="1"/>
    <col min="10755" max="10755" width="14.85546875" style="216" customWidth="1"/>
    <col min="10756" max="10756" width="16" style="216" customWidth="1"/>
    <col min="10757" max="10757" width="13.5703125" style="216" customWidth="1"/>
    <col min="10758" max="10758" width="18.7109375" style="216" customWidth="1"/>
    <col min="10759" max="11009" width="9.140625" style="216"/>
    <col min="11010" max="11010" width="14.140625" style="216" customWidth="1"/>
    <col min="11011" max="11011" width="14.85546875" style="216" customWidth="1"/>
    <col min="11012" max="11012" width="16" style="216" customWidth="1"/>
    <col min="11013" max="11013" width="13.5703125" style="216" customWidth="1"/>
    <col min="11014" max="11014" width="18.7109375" style="216" customWidth="1"/>
    <col min="11015" max="11265" width="9.140625" style="216"/>
    <col min="11266" max="11266" width="14.140625" style="216" customWidth="1"/>
    <col min="11267" max="11267" width="14.85546875" style="216" customWidth="1"/>
    <col min="11268" max="11268" width="16" style="216" customWidth="1"/>
    <col min="11269" max="11269" width="13.5703125" style="216" customWidth="1"/>
    <col min="11270" max="11270" width="18.7109375" style="216" customWidth="1"/>
    <col min="11271" max="11521" width="9.140625" style="216"/>
    <col min="11522" max="11522" width="14.140625" style="216" customWidth="1"/>
    <col min="11523" max="11523" width="14.85546875" style="216" customWidth="1"/>
    <col min="11524" max="11524" width="16" style="216" customWidth="1"/>
    <col min="11525" max="11525" width="13.5703125" style="216" customWidth="1"/>
    <col min="11526" max="11526" width="18.7109375" style="216" customWidth="1"/>
    <col min="11527" max="11777" width="9.140625" style="216"/>
    <col min="11778" max="11778" width="14.140625" style="216" customWidth="1"/>
    <col min="11779" max="11779" width="14.85546875" style="216" customWidth="1"/>
    <col min="11780" max="11780" width="16" style="216" customWidth="1"/>
    <col min="11781" max="11781" width="13.5703125" style="216" customWidth="1"/>
    <col min="11782" max="11782" width="18.7109375" style="216" customWidth="1"/>
    <col min="11783" max="12033" width="9.140625" style="216"/>
    <col min="12034" max="12034" width="14.140625" style="216" customWidth="1"/>
    <col min="12035" max="12035" width="14.85546875" style="216" customWidth="1"/>
    <col min="12036" max="12036" width="16" style="216" customWidth="1"/>
    <col min="12037" max="12037" width="13.5703125" style="216" customWidth="1"/>
    <col min="12038" max="12038" width="18.7109375" style="216" customWidth="1"/>
    <col min="12039" max="12289" width="9.140625" style="216"/>
    <col min="12290" max="12290" width="14.140625" style="216" customWidth="1"/>
    <col min="12291" max="12291" width="14.85546875" style="216" customWidth="1"/>
    <col min="12292" max="12292" width="16" style="216" customWidth="1"/>
    <col min="12293" max="12293" width="13.5703125" style="216" customWidth="1"/>
    <col min="12294" max="12294" width="18.7109375" style="216" customWidth="1"/>
    <col min="12295" max="12545" width="9.140625" style="216"/>
    <col min="12546" max="12546" width="14.140625" style="216" customWidth="1"/>
    <col min="12547" max="12547" width="14.85546875" style="216" customWidth="1"/>
    <col min="12548" max="12548" width="16" style="216" customWidth="1"/>
    <col min="12549" max="12549" width="13.5703125" style="216" customWidth="1"/>
    <col min="12550" max="12550" width="18.7109375" style="216" customWidth="1"/>
    <col min="12551" max="12801" width="9.140625" style="216"/>
    <col min="12802" max="12802" width="14.140625" style="216" customWidth="1"/>
    <col min="12803" max="12803" width="14.85546875" style="216" customWidth="1"/>
    <col min="12804" max="12804" width="16" style="216" customWidth="1"/>
    <col min="12805" max="12805" width="13.5703125" style="216" customWidth="1"/>
    <col min="12806" max="12806" width="18.7109375" style="216" customWidth="1"/>
    <col min="12807" max="13057" width="9.140625" style="216"/>
    <col min="13058" max="13058" width="14.140625" style="216" customWidth="1"/>
    <col min="13059" max="13059" width="14.85546875" style="216" customWidth="1"/>
    <col min="13060" max="13060" width="16" style="216" customWidth="1"/>
    <col min="13061" max="13061" width="13.5703125" style="216" customWidth="1"/>
    <col min="13062" max="13062" width="18.7109375" style="216" customWidth="1"/>
    <col min="13063" max="13313" width="9.140625" style="216"/>
    <col min="13314" max="13314" width="14.140625" style="216" customWidth="1"/>
    <col min="13315" max="13315" width="14.85546875" style="216" customWidth="1"/>
    <col min="13316" max="13316" width="16" style="216" customWidth="1"/>
    <col min="13317" max="13317" width="13.5703125" style="216" customWidth="1"/>
    <col min="13318" max="13318" width="18.7109375" style="216" customWidth="1"/>
    <col min="13319" max="13569" width="9.140625" style="216"/>
    <col min="13570" max="13570" width="14.140625" style="216" customWidth="1"/>
    <col min="13571" max="13571" width="14.85546875" style="216" customWidth="1"/>
    <col min="13572" max="13572" width="16" style="216" customWidth="1"/>
    <col min="13573" max="13573" width="13.5703125" style="216" customWidth="1"/>
    <col min="13574" max="13574" width="18.7109375" style="216" customWidth="1"/>
    <col min="13575" max="13825" width="9.140625" style="216"/>
    <col min="13826" max="13826" width="14.140625" style="216" customWidth="1"/>
    <col min="13827" max="13827" width="14.85546875" style="216" customWidth="1"/>
    <col min="13828" max="13828" width="16" style="216" customWidth="1"/>
    <col min="13829" max="13829" width="13.5703125" style="216" customWidth="1"/>
    <col min="13830" max="13830" width="18.7109375" style="216" customWidth="1"/>
    <col min="13831" max="14081" width="9.140625" style="216"/>
    <col min="14082" max="14082" width="14.140625" style="216" customWidth="1"/>
    <col min="14083" max="14083" width="14.85546875" style="216" customWidth="1"/>
    <col min="14084" max="14084" width="16" style="216" customWidth="1"/>
    <col min="14085" max="14085" width="13.5703125" style="216" customWidth="1"/>
    <col min="14086" max="14086" width="18.7109375" style="216" customWidth="1"/>
    <col min="14087" max="14337" width="9.140625" style="216"/>
    <col min="14338" max="14338" width="14.140625" style="216" customWidth="1"/>
    <col min="14339" max="14339" width="14.85546875" style="216" customWidth="1"/>
    <col min="14340" max="14340" width="16" style="216" customWidth="1"/>
    <col min="14341" max="14341" width="13.5703125" style="216" customWidth="1"/>
    <col min="14342" max="14342" width="18.7109375" style="216" customWidth="1"/>
    <col min="14343" max="14593" width="9.140625" style="216"/>
    <col min="14594" max="14594" width="14.140625" style="216" customWidth="1"/>
    <col min="14595" max="14595" width="14.85546875" style="216" customWidth="1"/>
    <col min="14596" max="14596" width="16" style="216" customWidth="1"/>
    <col min="14597" max="14597" width="13.5703125" style="216" customWidth="1"/>
    <col min="14598" max="14598" width="18.7109375" style="216" customWidth="1"/>
    <col min="14599" max="14849" width="9.140625" style="216"/>
    <col min="14850" max="14850" width="14.140625" style="216" customWidth="1"/>
    <col min="14851" max="14851" width="14.85546875" style="216" customWidth="1"/>
    <col min="14852" max="14852" width="16" style="216" customWidth="1"/>
    <col min="14853" max="14853" width="13.5703125" style="216" customWidth="1"/>
    <col min="14854" max="14854" width="18.7109375" style="216" customWidth="1"/>
    <col min="14855" max="15105" width="9.140625" style="216"/>
    <col min="15106" max="15106" width="14.140625" style="216" customWidth="1"/>
    <col min="15107" max="15107" width="14.85546875" style="216" customWidth="1"/>
    <col min="15108" max="15108" width="16" style="216" customWidth="1"/>
    <col min="15109" max="15109" width="13.5703125" style="216" customWidth="1"/>
    <col min="15110" max="15110" width="18.7109375" style="216" customWidth="1"/>
    <col min="15111" max="15361" width="9.140625" style="216"/>
    <col min="15362" max="15362" width="14.140625" style="216" customWidth="1"/>
    <col min="15363" max="15363" width="14.85546875" style="216" customWidth="1"/>
    <col min="15364" max="15364" width="16" style="216" customWidth="1"/>
    <col min="15365" max="15365" width="13.5703125" style="216" customWidth="1"/>
    <col min="15366" max="15366" width="18.7109375" style="216" customWidth="1"/>
    <col min="15367" max="15617" width="9.140625" style="216"/>
    <col min="15618" max="15618" width="14.140625" style="216" customWidth="1"/>
    <col min="15619" max="15619" width="14.85546875" style="216" customWidth="1"/>
    <col min="15620" max="15620" width="16" style="216" customWidth="1"/>
    <col min="15621" max="15621" width="13.5703125" style="216" customWidth="1"/>
    <col min="15622" max="15622" width="18.7109375" style="216" customWidth="1"/>
    <col min="15623" max="15873" width="9.140625" style="216"/>
    <col min="15874" max="15874" width="14.140625" style="216" customWidth="1"/>
    <col min="15875" max="15875" width="14.85546875" style="216" customWidth="1"/>
    <col min="15876" max="15876" width="16" style="216" customWidth="1"/>
    <col min="15877" max="15877" width="13.5703125" style="216" customWidth="1"/>
    <col min="15878" max="15878" width="18.7109375" style="216" customWidth="1"/>
    <col min="15879" max="16129" width="9.140625" style="216"/>
    <col min="16130" max="16130" width="14.140625" style="216" customWidth="1"/>
    <col min="16131" max="16131" width="14.85546875" style="216" customWidth="1"/>
    <col min="16132" max="16132" width="16" style="216" customWidth="1"/>
    <col min="16133" max="16133" width="13.5703125" style="216" customWidth="1"/>
    <col min="16134" max="16134" width="18.7109375" style="216" customWidth="1"/>
    <col min="16135" max="16384" width="9.140625" style="216"/>
  </cols>
  <sheetData>
    <row r="1" spans="1:7" ht="18.75">
      <c r="A1" s="213" t="s">
        <v>132</v>
      </c>
      <c r="B1" s="214"/>
      <c r="C1" s="214"/>
      <c r="D1" s="214"/>
      <c r="E1" s="214"/>
      <c r="F1" s="214"/>
    </row>
    <row r="2" spans="1:7" ht="18.75">
      <c r="A2" s="213" t="s">
        <v>133</v>
      </c>
      <c r="B2" s="214"/>
      <c r="C2" s="214"/>
      <c r="D2" s="214"/>
      <c r="E2" s="214"/>
      <c r="F2" s="214"/>
    </row>
    <row r="3" spans="1:7" ht="15.75" thickBot="1">
      <c r="D3" s="217"/>
      <c r="F3" s="217" t="s">
        <v>134</v>
      </c>
    </row>
    <row r="4" spans="1:7" s="222" customFormat="1" ht="29.25" customHeight="1" thickTop="1">
      <c r="A4" s="218"/>
      <c r="B4" s="219" t="s">
        <v>135</v>
      </c>
      <c r="C4" s="219" t="s">
        <v>136</v>
      </c>
      <c r="D4" s="219" t="s">
        <v>137</v>
      </c>
      <c r="E4" s="219" t="s">
        <v>138</v>
      </c>
      <c r="F4" s="220" t="s">
        <v>139</v>
      </c>
      <c r="G4" s="221"/>
    </row>
    <row r="5" spans="1:7" s="222" customFormat="1" ht="15" hidden="1" customHeight="1">
      <c r="A5" s="223">
        <v>40179</v>
      </c>
      <c r="B5" s="224">
        <v>5914</v>
      </c>
      <c r="C5" s="224" t="s">
        <v>60</v>
      </c>
      <c r="D5" s="225">
        <v>1734</v>
      </c>
      <c r="E5" s="224" t="s">
        <v>60</v>
      </c>
      <c r="F5" s="226" t="s">
        <v>60</v>
      </c>
      <c r="G5" s="221"/>
    </row>
    <row r="6" spans="1:7" ht="15" hidden="1" customHeight="1">
      <c r="A6" s="227">
        <v>40210</v>
      </c>
      <c r="B6" s="228">
        <v>36283</v>
      </c>
      <c r="C6" s="228" t="s">
        <v>60</v>
      </c>
      <c r="D6" s="229" t="s">
        <v>60</v>
      </c>
      <c r="E6" s="228" t="s">
        <v>60</v>
      </c>
      <c r="F6" s="230" t="s">
        <v>60</v>
      </c>
      <c r="G6" s="221"/>
    </row>
    <row r="7" spans="1:7" ht="15" hidden="1" customHeight="1">
      <c r="A7" s="227">
        <v>40238</v>
      </c>
      <c r="B7" s="228">
        <v>5631262</v>
      </c>
      <c r="C7" s="228">
        <v>2527</v>
      </c>
      <c r="D7" s="229">
        <v>25135</v>
      </c>
      <c r="E7" s="228" t="s">
        <v>60</v>
      </c>
      <c r="F7" s="230" t="s">
        <v>60</v>
      </c>
      <c r="G7" s="221"/>
    </row>
    <row r="8" spans="1:7" ht="15" hidden="1" customHeight="1">
      <c r="A8" s="227">
        <v>40269</v>
      </c>
      <c r="B8" s="228">
        <v>261209</v>
      </c>
      <c r="C8" s="228">
        <v>141027</v>
      </c>
      <c r="D8" s="229">
        <v>285999</v>
      </c>
      <c r="E8" s="228" t="s">
        <v>60</v>
      </c>
      <c r="F8" s="230" t="s">
        <v>60</v>
      </c>
      <c r="G8" s="221"/>
    </row>
    <row r="9" spans="1:7" ht="15" hidden="1" customHeight="1">
      <c r="A9" s="227">
        <v>40299</v>
      </c>
      <c r="B9" s="228">
        <v>317114</v>
      </c>
      <c r="C9" s="228">
        <v>1834</v>
      </c>
      <c r="D9" s="229">
        <v>680</v>
      </c>
      <c r="E9" s="228" t="s">
        <v>60</v>
      </c>
      <c r="F9" s="230" t="s">
        <v>60</v>
      </c>
      <c r="G9" s="221"/>
    </row>
    <row r="10" spans="1:7" ht="15" hidden="1" customHeight="1">
      <c r="A10" s="227">
        <v>40330</v>
      </c>
      <c r="B10" s="228">
        <v>17493394</v>
      </c>
      <c r="C10" s="228">
        <v>109726</v>
      </c>
      <c r="D10" s="229">
        <v>737439</v>
      </c>
      <c r="E10" s="228" t="s">
        <v>60</v>
      </c>
      <c r="F10" s="230" t="s">
        <v>60</v>
      </c>
      <c r="G10" s="221"/>
    </row>
    <row r="11" spans="1:7" ht="15" hidden="1" customHeight="1">
      <c r="A11" s="227">
        <v>40360</v>
      </c>
      <c r="B11" s="228">
        <v>2123979</v>
      </c>
      <c r="C11" s="228">
        <v>866</v>
      </c>
      <c r="D11" s="229">
        <v>953488</v>
      </c>
      <c r="E11" s="228" t="s">
        <v>60</v>
      </c>
      <c r="F11" s="230" t="s">
        <v>60</v>
      </c>
      <c r="G11" s="221"/>
    </row>
    <row r="12" spans="1:7" ht="15" hidden="1" customHeight="1">
      <c r="A12" s="227">
        <v>40391</v>
      </c>
      <c r="B12" s="228">
        <v>595552</v>
      </c>
      <c r="C12" s="228" t="s">
        <v>60</v>
      </c>
      <c r="D12" s="229">
        <v>9358</v>
      </c>
      <c r="E12" s="228" t="s">
        <v>60</v>
      </c>
      <c r="F12" s="230" t="s">
        <v>60</v>
      </c>
      <c r="G12" s="221"/>
    </row>
    <row r="13" spans="1:7" ht="15" hidden="1" customHeight="1">
      <c r="A13" s="227">
        <v>40422</v>
      </c>
      <c r="B13" s="228">
        <v>11209868</v>
      </c>
      <c r="C13" s="228">
        <v>132114</v>
      </c>
      <c r="D13" s="229">
        <v>402628</v>
      </c>
      <c r="E13" s="228" t="s">
        <v>60</v>
      </c>
      <c r="F13" s="230" t="s">
        <v>60</v>
      </c>
      <c r="G13" s="221"/>
    </row>
    <row r="14" spans="1:7" ht="15" hidden="1" customHeight="1">
      <c r="A14" s="227">
        <v>40452</v>
      </c>
      <c r="B14" s="228">
        <v>1114121</v>
      </c>
      <c r="C14" s="228">
        <v>159410</v>
      </c>
      <c r="D14" s="229">
        <v>4540</v>
      </c>
      <c r="E14" s="228" t="s">
        <v>60</v>
      </c>
      <c r="F14" s="230" t="s">
        <v>60</v>
      </c>
      <c r="G14" s="221"/>
    </row>
    <row r="15" spans="1:7" ht="15" hidden="1" customHeight="1">
      <c r="A15" s="227">
        <v>40483</v>
      </c>
      <c r="B15" s="228">
        <v>798847</v>
      </c>
      <c r="C15" s="228">
        <v>105</v>
      </c>
      <c r="D15" s="229">
        <v>43355</v>
      </c>
      <c r="E15" s="228" t="s">
        <v>60</v>
      </c>
      <c r="F15" s="230" t="s">
        <v>60</v>
      </c>
      <c r="G15" s="221"/>
    </row>
    <row r="16" spans="1:7" ht="15" hidden="1" customHeight="1">
      <c r="A16" s="227">
        <v>40522</v>
      </c>
      <c r="B16" s="228">
        <v>12250666</v>
      </c>
      <c r="C16" s="228">
        <v>228749</v>
      </c>
      <c r="D16" s="229">
        <v>442063</v>
      </c>
      <c r="E16" s="228" t="s">
        <v>60</v>
      </c>
      <c r="F16" s="230" t="s">
        <v>60</v>
      </c>
      <c r="G16" s="221"/>
    </row>
    <row r="17" spans="1:7" ht="15" hidden="1" customHeight="1">
      <c r="A17" s="227" t="s">
        <v>140</v>
      </c>
      <c r="B17" s="228">
        <v>42710761.229999997</v>
      </c>
      <c r="C17" s="228">
        <v>20051764.09</v>
      </c>
      <c r="D17" s="229">
        <v>85130197.120000005</v>
      </c>
      <c r="E17" s="228" t="s">
        <v>60</v>
      </c>
      <c r="F17" s="230" t="s">
        <v>60</v>
      </c>
      <c r="G17" s="221"/>
    </row>
    <row r="18" spans="1:7" ht="15" hidden="1" customHeight="1">
      <c r="A18" s="227">
        <v>40575</v>
      </c>
      <c r="B18" s="228">
        <v>123920650</v>
      </c>
      <c r="C18" s="228">
        <v>32240708</v>
      </c>
      <c r="D18" s="229">
        <v>123847523</v>
      </c>
      <c r="E18" s="228" t="s">
        <v>60</v>
      </c>
      <c r="F18" s="230" t="s">
        <v>60</v>
      </c>
      <c r="G18" s="221"/>
    </row>
    <row r="19" spans="1:7" ht="15" hidden="1" customHeight="1">
      <c r="A19" s="227">
        <v>40603</v>
      </c>
      <c r="B19" s="228">
        <v>99294349</v>
      </c>
      <c r="C19" s="228">
        <v>25082461</v>
      </c>
      <c r="D19" s="229">
        <v>222570228</v>
      </c>
      <c r="E19" s="228" t="s">
        <v>60</v>
      </c>
      <c r="F19" s="230" t="s">
        <v>60</v>
      </c>
      <c r="G19" s="221"/>
    </row>
    <row r="20" spans="1:7" ht="15" hidden="1" customHeight="1">
      <c r="A20" s="231">
        <v>40634</v>
      </c>
      <c r="B20" s="232">
        <v>29858403</v>
      </c>
      <c r="C20" s="232">
        <v>3530757</v>
      </c>
      <c r="D20" s="233">
        <v>88100029</v>
      </c>
      <c r="E20" s="228" t="s">
        <v>60</v>
      </c>
      <c r="F20" s="230" t="s">
        <v>60</v>
      </c>
      <c r="G20" s="221"/>
    </row>
    <row r="21" spans="1:7" ht="15" hidden="1" customHeight="1">
      <c r="A21" s="227">
        <v>40664</v>
      </c>
      <c r="B21" s="228">
        <v>97627671</v>
      </c>
      <c r="C21" s="228">
        <v>7238224</v>
      </c>
      <c r="D21" s="229">
        <v>63187907</v>
      </c>
      <c r="E21" s="228" t="s">
        <v>60</v>
      </c>
      <c r="F21" s="230" t="s">
        <v>60</v>
      </c>
      <c r="G21" s="221"/>
    </row>
    <row r="22" spans="1:7" ht="15" hidden="1" customHeight="1">
      <c r="A22" s="234">
        <v>40695</v>
      </c>
      <c r="B22" s="232">
        <v>243294149</v>
      </c>
      <c r="C22" s="232">
        <v>6541718</v>
      </c>
      <c r="D22" s="233">
        <v>175521436</v>
      </c>
      <c r="E22" s="228" t="s">
        <v>60</v>
      </c>
      <c r="F22" s="230" t="s">
        <v>60</v>
      </c>
      <c r="G22" s="221"/>
    </row>
    <row r="23" spans="1:7" ht="15" hidden="1" customHeight="1">
      <c r="A23" s="234">
        <v>40725</v>
      </c>
      <c r="B23" s="235">
        <v>95678196</v>
      </c>
      <c r="C23" s="235">
        <v>41123886</v>
      </c>
      <c r="D23" s="236">
        <v>87007348</v>
      </c>
      <c r="E23" s="228" t="s">
        <v>60</v>
      </c>
      <c r="F23" s="230" t="s">
        <v>60</v>
      </c>
      <c r="G23" s="221"/>
    </row>
    <row r="24" spans="1:7" ht="15" hidden="1" customHeight="1">
      <c r="A24" s="234">
        <v>40756</v>
      </c>
      <c r="B24" s="228">
        <v>56293259</v>
      </c>
      <c r="C24" s="228">
        <v>10259906</v>
      </c>
      <c r="D24" s="229">
        <v>5818117</v>
      </c>
      <c r="E24" s="228" t="s">
        <v>60</v>
      </c>
      <c r="F24" s="230" t="s">
        <v>60</v>
      </c>
      <c r="G24" s="221"/>
    </row>
    <row r="25" spans="1:7" ht="15" hidden="1" customHeight="1">
      <c r="A25" s="227">
        <v>40787</v>
      </c>
      <c r="B25" s="228">
        <v>154997328</v>
      </c>
      <c r="C25" s="228">
        <v>49993959</v>
      </c>
      <c r="D25" s="229">
        <v>65697275</v>
      </c>
      <c r="E25" s="228" t="s">
        <v>60</v>
      </c>
      <c r="F25" s="230" t="s">
        <v>60</v>
      </c>
      <c r="G25" s="221"/>
    </row>
    <row r="26" spans="1:7" ht="15" hidden="1" customHeight="1">
      <c r="A26" s="231">
        <v>40817</v>
      </c>
      <c r="B26" s="232">
        <v>118639609</v>
      </c>
      <c r="C26" s="232">
        <v>147606114</v>
      </c>
      <c r="D26" s="233">
        <v>12133244</v>
      </c>
      <c r="E26" s="228" t="s">
        <v>60</v>
      </c>
      <c r="F26" s="230" t="s">
        <v>60</v>
      </c>
      <c r="G26" s="221"/>
    </row>
    <row r="27" spans="1:7" ht="15" hidden="1" customHeight="1">
      <c r="A27" s="234">
        <v>40848</v>
      </c>
      <c r="B27" s="235">
        <v>110148458</v>
      </c>
      <c r="C27" s="235">
        <v>118824093</v>
      </c>
      <c r="D27" s="236">
        <v>54402021</v>
      </c>
      <c r="E27" s="228" t="s">
        <v>60</v>
      </c>
      <c r="F27" s="230" t="s">
        <v>60</v>
      </c>
      <c r="G27" s="221"/>
    </row>
    <row r="28" spans="1:7" ht="15" hidden="1" customHeight="1">
      <c r="A28" s="234">
        <v>40878</v>
      </c>
      <c r="B28" s="235">
        <v>218896482.87</v>
      </c>
      <c r="C28" s="235">
        <v>109118764.59</v>
      </c>
      <c r="D28" s="236">
        <v>101581718.31</v>
      </c>
      <c r="E28" s="228" t="s">
        <v>60</v>
      </c>
      <c r="F28" s="230" t="s">
        <v>60</v>
      </c>
      <c r="G28" s="221"/>
    </row>
    <row r="29" spans="1:7" ht="18.600000000000001" customHeight="1">
      <c r="A29" s="202">
        <v>40909</v>
      </c>
      <c r="B29" s="200">
        <v>67205197</v>
      </c>
      <c r="C29" s="198">
        <v>86124266</v>
      </c>
      <c r="D29" s="198">
        <v>130921956</v>
      </c>
      <c r="E29" s="198" t="s">
        <v>60</v>
      </c>
      <c r="F29" s="199" t="s">
        <v>60</v>
      </c>
      <c r="G29" s="221"/>
    </row>
    <row r="30" spans="1:7" ht="18.600000000000001" customHeight="1">
      <c r="A30" s="202">
        <v>40940</v>
      </c>
      <c r="B30" s="200">
        <v>63186761</v>
      </c>
      <c r="C30" s="198">
        <v>18290075</v>
      </c>
      <c r="D30" s="198">
        <v>156104652</v>
      </c>
      <c r="E30" s="198" t="s">
        <v>60</v>
      </c>
      <c r="F30" s="199" t="s">
        <v>60</v>
      </c>
      <c r="G30" s="221"/>
    </row>
    <row r="31" spans="1:7" ht="18.600000000000001" customHeight="1">
      <c r="A31" s="202" t="s">
        <v>141</v>
      </c>
      <c r="B31" s="200">
        <v>77590526</v>
      </c>
      <c r="C31" s="198">
        <v>4777455</v>
      </c>
      <c r="D31" s="198">
        <v>193807221</v>
      </c>
      <c r="E31" s="198">
        <v>202000</v>
      </c>
      <c r="F31" s="199">
        <v>102000</v>
      </c>
      <c r="G31" s="221"/>
    </row>
    <row r="32" spans="1:7" ht="18.600000000000001" customHeight="1">
      <c r="A32" s="202">
        <v>41000</v>
      </c>
      <c r="B32" s="200">
        <v>89966108</v>
      </c>
      <c r="C32" s="198">
        <v>4694300</v>
      </c>
      <c r="D32" s="198">
        <v>22166126</v>
      </c>
      <c r="E32" s="198" t="s">
        <v>60</v>
      </c>
      <c r="F32" s="199">
        <v>20000</v>
      </c>
      <c r="G32" s="221"/>
    </row>
    <row r="33" spans="1:11" ht="18.600000000000001" customHeight="1">
      <c r="A33" s="202">
        <v>41030</v>
      </c>
      <c r="B33" s="200">
        <v>57865612</v>
      </c>
      <c r="C33" s="198">
        <v>4537372</v>
      </c>
      <c r="D33" s="198">
        <v>32092133</v>
      </c>
      <c r="E33" s="198" t="s">
        <v>60</v>
      </c>
      <c r="F33" s="199" t="s">
        <v>60</v>
      </c>
      <c r="G33" s="221"/>
      <c r="I33" s="237"/>
    </row>
    <row r="34" spans="1:11" ht="18.600000000000001" customHeight="1">
      <c r="A34" s="202">
        <v>41061</v>
      </c>
      <c r="B34" s="200">
        <v>229005570</v>
      </c>
      <c r="C34" s="198">
        <v>98201094</v>
      </c>
      <c r="D34" s="198">
        <v>95352323</v>
      </c>
      <c r="E34" s="198">
        <v>20000</v>
      </c>
      <c r="F34" s="199">
        <v>200000</v>
      </c>
      <c r="G34" s="221"/>
    </row>
    <row r="35" spans="1:11" ht="18.600000000000001" customHeight="1">
      <c r="A35" s="202">
        <v>41091</v>
      </c>
      <c r="B35" s="200">
        <v>179729112</v>
      </c>
      <c r="C35" s="198">
        <v>130501823</v>
      </c>
      <c r="D35" s="198">
        <v>136179553</v>
      </c>
      <c r="E35" s="198">
        <v>10000</v>
      </c>
      <c r="F35" s="199">
        <v>50000</v>
      </c>
      <c r="G35" s="221"/>
      <c r="K35" s="237"/>
    </row>
    <row r="36" spans="1:11" ht="18.600000000000001" customHeight="1">
      <c r="A36" s="202">
        <v>41122</v>
      </c>
      <c r="B36" s="197">
        <v>56293259</v>
      </c>
      <c r="C36" s="198">
        <v>10259906</v>
      </c>
      <c r="D36" s="198">
        <v>5818117</v>
      </c>
      <c r="E36" s="198"/>
      <c r="F36" s="201"/>
      <c r="G36" s="221"/>
    </row>
    <row r="37" spans="1:11" ht="18.600000000000001" customHeight="1">
      <c r="A37" s="202">
        <v>41153</v>
      </c>
      <c r="B37" s="203">
        <v>86502356</v>
      </c>
      <c r="C37" s="198">
        <v>9571051</v>
      </c>
      <c r="D37" s="198">
        <v>165668582</v>
      </c>
      <c r="E37" s="198">
        <v>637161</v>
      </c>
      <c r="F37" s="201">
        <v>18571203</v>
      </c>
      <c r="G37" s="221"/>
    </row>
    <row r="38" spans="1:11" ht="18.600000000000001" customHeight="1">
      <c r="A38" s="202">
        <v>41183</v>
      </c>
      <c r="B38" s="203">
        <v>159774119</v>
      </c>
      <c r="C38" s="198">
        <v>18762159</v>
      </c>
      <c r="D38" s="198">
        <v>9251408</v>
      </c>
      <c r="E38" s="198">
        <v>2809135</v>
      </c>
      <c r="F38" s="201">
        <v>15861760</v>
      </c>
      <c r="G38" s="221"/>
    </row>
    <row r="39" spans="1:11" ht="18.600000000000001" customHeight="1">
      <c r="A39" s="202">
        <v>41214</v>
      </c>
      <c r="B39" s="203">
        <v>177652454</v>
      </c>
      <c r="C39" s="198">
        <v>5602096</v>
      </c>
      <c r="D39" s="198">
        <v>139653634</v>
      </c>
      <c r="E39" s="198">
        <v>416711</v>
      </c>
      <c r="F39" s="201">
        <v>7245472</v>
      </c>
      <c r="G39" s="221"/>
    </row>
    <row r="40" spans="1:11" ht="18.600000000000001" customHeight="1">
      <c r="A40" s="202">
        <v>41244</v>
      </c>
      <c r="B40" s="203">
        <v>208473917</v>
      </c>
      <c r="C40" s="198">
        <v>10945983</v>
      </c>
      <c r="D40" s="198">
        <v>308800446</v>
      </c>
      <c r="E40" s="198">
        <v>424096</v>
      </c>
      <c r="F40" s="201">
        <v>53286689</v>
      </c>
      <c r="G40" s="221"/>
    </row>
    <row r="41" spans="1:11" ht="18.600000000000001" customHeight="1">
      <c r="A41" s="202">
        <v>41275</v>
      </c>
      <c r="B41" s="203">
        <v>187320502</v>
      </c>
      <c r="C41" s="198">
        <v>14894644</v>
      </c>
      <c r="D41" s="198">
        <v>181670798</v>
      </c>
      <c r="E41" s="198">
        <v>402209</v>
      </c>
      <c r="F41" s="201">
        <v>26155257</v>
      </c>
      <c r="G41" s="221"/>
    </row>
    <row r="42" spans="1:11" ht="18.600000000000001" customHeight="1">
      <c r="A42" s="202">
        <v>41306</v>
      </c>
      <c r="B42" s="203">
        <v>89250999</v>
      </c>
      <c r="C42" s="198">
        <v>4249208</v>
      </c>
      <c r="D42" s="198">
        <v>317103778</v>
      </c>
      <c r="E42" s="198">
        <v>2400000</v>
      </c>
      <c r="F42" s="201">
        <v>2865133</v>
      </c>
      <c r="G42" s="221"/>
    </row>
    <row r="43" spans="1:11" ht="18.600000000000001" customHeight="1">
      <c r="A43" s="202">
        <v>41334</v>
      </c>
      <c r="B43" s="198">
        <v>79364775</v>
      </c>
      <c r="C43" s="198">
        <v>6184299</v>
      </c>
      <c r="D43" s="198">
        <v>88541706</v>
      </c>
      <c r="E43" s="198">
        <v>402000</v>
      </c>
      <c r="F43" s="201">
        <v>11595668</v>
      </c>
      <c r="G43" s="221"/>
    </row>
    <row r="44" spans="1:11" ht="18.600000000000001" customHeight="1">
      <c r="A44" s="202">
        <v>41365</v>
      </c>
      <c r="B44" s="200">
        <v>213829538</v>
      </c>
      <c r="C44" s="198">
        <v>5313120</v>
      </c>
      <c r="D44" s="198">
        <v>107384937</v>
      </c>
      <c r="E44" s="198">
        <v>421732</v>
      </c>
      <c r="F44" s="201">
        <v>4660575</v>
      </c>
      <c r="G44" s="221"/>
    </row>
    <row r="45" spans="1:11" ht="18.600000000000001" customHeight="1">
      <c r="A45" s="202">
        <v>41395</v>
      </c>
      <c r="B45" s="200">
        <v>467253081</v>
      </c>
      <c r="C45" s="198">
        <v>7400948</v>
      </c>
      <c r="D45" s="198">
        <v>246091204</v>
      </c>
      <c r="E45" s="198">
        <v>405142</v>
      </c>
      <c r="F45" s="201">
        <v>6057182</v>
      </c>
      <c r="G45" s="221"/>
    </row>
    <row r="46" spans="1:11" ht="18.600000000000001" customHeight="1">
      <c r="A46" s="202">
        <v>41426</v>
      </c>
      <c r="B46" s="200">
        <v>209094945</v>
      </c>
      <c r="C46" s="198">
        <v>7284420</v>
      </c>
      <c r="D46" s="198">
        <v>138307816</v>
      </c>
      <c r="E46" s="198">
        <v>2610095</v>
      </c>
      <c r="F46" s="201">
        <v>18286302</v>
      </c>
      <c r="G46" s="221"/>
    </row>
    <row r="47" spans="1:11" ht="18.600000000000001" customHeight="1">
      <c r="A47" s="202">
        <v>41456</v>
      </c>
      <c r="B47" s="200">
        <v>773600367</v>
      </c>
      <c r="C47" s="198">
        <v>49776804</v>
      </c>
      <c r="D47" s="198">
        <v>340361721</v>
      </c>
      <c r="E47" s="198">
        <v>3189927</v>
      </c>
      <c r="F47" s="201">
        <v>10727872</v>
      </c>
      <c r="G47" s="221"/>
    </row>
    <row r="48" spans="1:11" ht="18.600000000000001" customHeight="1">
      <c r="A48" s="202">
        <v>41487</v>
      </c>
      <c r="B48" s="200">
        <v>92768349</v>
      </c>
      <c r="C48" s="198">
        <v>14132965</v>
      </c>
      <c r="D48" s="198">
        <v>34393677</v>
      </c>
      <c r="E48" s="198">
        <v>4640560</v>
      </c>
      <c r="F48" s="201">
        <v>8783081</v>
      </c>
      <c r="G48" s="221"/>
    </row>
    <row r="49" spans="1:7" ht="18.600000000000001" customHeight="1">
      <c r="A49" s="202">
        <v>41518</v>
      </c>
      <c r="B49" s="200">
        <v>163124527</v>
      </c>
      <c r="C49" s="198">
        <v>10164981</v>
      </c>
      <c r="D49" s="198">
        <v>86374122</v>
      </c>
      <c r="E49" s="198">
        <v>4369129</v>
      </c>
      <c r="F49" s="201">
        <v>10320463</v>
      </c>
      <c r="G49" s="221"/>
    </row>
    <row r="50" spans="1:7" ht="18.600000000000001" customHeight="1">
      <c r="A50" s="204">
        <v>41548</v>
      </c>
      <c r="B50" s="197">
        <v>96938430</v>
      </c>
      <c r="C50" s="198">
        <v>4773380</v>
      </c>
      <c r="D50" s="203">
        <v>9620516</v>
      </c>
      <c r="E50" s="198">
        <v>205099</v>
      </c>
      <c r="F50" s="199">
        <v>1976160</v>
      </c>
      <c r="G50" s="221"/>
    </row>
    <row r="51" spans="1:7" ht="18.600000000000001" customHeight="1">
      <c r="A51" s="202">
        <v>41579</v>
      </c>
      <c r="B51" s="200">
        <v>122406723</v>
      </c>
      <c r="C51" s="198">
        <v>20344755</v>
      </c>
      <c r="D51" s="198">
        <v>71856798</v>
      </c>
      <c r="E51" s="198">
        <v>301274</v>
      </c>
      <c r="F51" s="201">
        <v>2735985</v>
      </c>
      <c r="G51" s="221"/>
    </row>
    <row r="52" spans="1:7" ht="18.600000000000001" customHeight="1">
      <c r="A52" s="202">
        <v>41609</v>
      </c>
      <c r="B52" s="200">
        <v>197454964</v>
      </c>
      <c r="C52" s="198">
        <v>19022130</v>
      </c>
      <c r="D52" s="198">
        <v>117843309</v>
      </c>
      <c r="E52" s="198">
        <v>766965</v>
      </c>
      <c r="F52" s="201">
        <v>13104246</v>
      </c>
      <c r="G52" s="221"/>
    </row>
    <row r="53" spans="1:7" ht="18.600000000000001" customHeight="1">
      <c r="A53" s="202">
        <v>41640</v>
      </c>
      <c r="B53" s="200">
        <v>42429002</v>
      </c>
      <c r="C53" s="198">
        <v>359113</v>
      </c>
      <c r="D53" s="198">
        <v>63003683</v>
      </c>
      <c r="E53" s="198">
        <v>18319</v>
      </c>
      <c r="F53" s="201">
        <v>455997</v>
      </c>
      <c r="G53" s="221"/>
    </row>
    <row r="54" spans="1:7" ht="18.600000000000001" customHeight="1">
      <c r="A54" s="202">
        <v>41671</v>
      </c>
      <c r="B54" s="200">
        <v>212162066</v>
      </c>
      <c r="C54" s="198">
        <v>655537</v>
      </c>
      <c r="D54" s="198">
        <v>33810009</v>
      </c>
      <c r="E54" s="198" t="s">
        <v>60</v>
      </c>
      <c r="F54" s="201">
        <v>1776907</v>
      </c>
      <c r="G54" s="221"/>
    </row>
    <row r="55" spans="1:7" ht="18.600000000000001" customHeight="1">
      <c r="A55" s="202">
        <v>41699</v>
      </c>
      <c r="B55" s="200">
        <v>89557336</v>
      </c>
      <c r="C55" s="198">
        <v>48922059</v>
      </c>
      <c r="D55" s="198">
        <v>25720678</v>
      </c>
      <c r="E55" s="198">
        <v>19485</v>
      </c>
      <c r="F55" s="201">
        <v>4669867</v>
      </c>
      <c r="G55" s="221"/>
    </row>
    <row r="56" spans="1:7" ht="18.600000000000001" customHeight="1">
      <c r="A56" s="202">
        <v>41730</v>
      </c>
      <c r="B56" s="200">
        <v>143133760</v>
      </c>
      <c r="C56" s="198">
        <v>16686333</v>
      </c>
      <c r="D56" s="198">
        <v>50286992</v>
      </c>
      <c r="E56" s="198">
        <v>2214911</v>
      </c>
      <c r="F56" s="201">
        <v>5903540</v>
      </c>
      <c r="G56" s="221"/>
    </row>
    <row r="57" spans="1:7" ht="18.600000000000001" customHeight="1">
      <c r="A57" s="202">
        <v>41760</v>
      </c>
      <c r="B57" s="200">
        <v>29430452</v>
      </c>
      <c r="C57" s="198">
        <v>2158982</v>
      </c>
      <c r="D57" s="198">
        <v>7260734</v>
      </c>
      <c r="E57" s="198" t="s">
        <v>60</v>
      </c>
      <c r="F57" s="201">
        <v>1630073</v>
      </c>
      <c r="G57" s="221"/>
    </row>
    <row r="58" spans="1:7" ht="18.600000000000001" customHeight="1">
      <c r="A58" s="202">
        <v>41791</v>
      </c>
      <c r="B58" s="200">
        <v>164953999</v>
      </c>
      <c r="C58" s="198">
        <v>10080334</v>
      </c>
      <c r="D58" s="198">
        <v>34713653</v>
      </c>
      <c r="E58" s="198">
        <v>4146</v>
      </c>
      <c r="F58" s="201">
        <v>12204585</v>
      </c>
      <c r="G58" s="221"/>
    </row>
    <row r="59" spans="1:7" ht="18.600000000000001" customHeight="1">
      <c r="A59" s="202">
        <v>41821</v>
      </c>
      <c r="B59" s="200">
        <v>112953390</v>
      </c>
      <c r="C59" s="198">
        <v>3273468</v>
      </c>
      <c r="D59" s="198">
        <v>26500771</v>
      </c>
      <c r="E59" s="198">
        <v>15033</v>
      </c>
      <c r="F59" s="201">
        <v>20267800</v>
      </c>
      <c r="G59" s="221"/>
    </row>
    <row r="60" spans="1:7" ht="18.600000000000001" customHeight="1">
      <c r="A60" s="202">
        <v>41852</v>
      </c>
      <c r="B60" s="200">
        <v>80015746</v>
      </c>
      <c r="C60" s="198">
        <v>5443375</v>
      </c>
      <c r="D60" s="198">
        <v>46418277</v>
      </c>
      <c r="E60" s="198">
        <v>599268</v>
      </c>
      <c r="F60" s="201">
        <v>2785137</v>
      </c>
      <c r="G60" s="221"/>
    </row>
    <row r="61" spans="1:7" ht="18.600000000000001" customHeight="1">
      <c r="A61" s="202">
        <v>41883</v>
      </c>
      <c r="B61" s="200">
        <v>246405564</v>
      </c>
      <c r="C61" s="198">
        <v>11457692</v>
      </c>
      <c r="D61" s="198">
        <v>19283464</v>
      </c>
      <c r="E61" s="198">
        <v>335131</v>
      </c>
      <c r="F61" s="201">
        <v>41571231</v>
      </c>
      <c r="G61" s="221"/>
    </row>
    <row r="62" spans="1:7" ht="18.600000000000001" customHeight="1">
      <c r="A62" s="202">
        <v>41913</v>
      </c>
      <c r="B62" s="200">
        <v>102047802</v>
      </c>
      <c r="C62" s="198">
        <v>1757577</v>
      </c>
      <c r="D62" s="198">
        <v>67003839</v>
      </c>
      <c r="E62" s="198">
        <v>212891</v>
      </c>
      <c r="F62" s="201">
        <v>2307064</v>
      </c>
      <c r="G62" s="221"/>
    </row>
    <row r="63" spans="1:7" ht="18.600000000000001" customHeight="1">
      <c r="A63" s="202">
        <v>41944</v>
      </c>
      <c r="B63" s="200">
        <v>98164090</v>
      </c>
      <c r="C63" s="198">
        <v>2960701</v>
      </c>
      <c r="D63" s="198">
        <v>16744927</v>
      </c>
      <c r="E63" s="198">
        <v>302359</v>
      </c>
      <c r="F63" s="201">
        <v>4165577</v>
      </c>
      <c r="G63" s="221"/>
    </row>
    <row r="64" spans="1:7" ht="18.600000000000001" customHeight="1">
      <c r="A64" s="202">
        <v>41974</v>
      </c>
      <c r="B64" s="200">
        <v>164781840</v>
      </c>
      <c r="C64" s="198">
        <v>10189772</v>
      </c>
      <c r="D64" s="198">
        <v>105170761</v>
      </c>
      <c r="E64" s="198">
        <v>503993</v>
      </c>
      <c r="F64" s="201">
        <v>10065276</v>
      </c>
      <c r="G64" s="221"/>
    </row>
    <row r="65" spans="1:7" ht="18.600000000000001" customHeight="1">
      <c r="A65" s="202">
        <v>42005</v>
      </c>
      <c r="B65" s="200">
        <v>43965291</v>
      </c>
      <c r="C65" s="198">
        <v>9259452</v>
      </c>
      <c r="D65" s="198">
        <v>10908494</v>
      </c>
      <c r="E65" s="198">
        <v>1718</v>
      </c>
      <c r="F65" s="201">
        <v>5009398</v>
      </c>
      <c r="G65" s="221"/>
    </row>
    <row r="66" spans="1:7" ht="18.600000000000001" customHeight="1">
      <c r="A66" s="202">
        <v>42036</v>
      </c>
      <c r="B66" s="200">
        <v>55482645</v>
      </c>
      <c r="C66" s="198">
        <v>6516572</v>
      </c>
      <c r="D66" s="198">
        <v>69702212</v>
      </c>
      <c r="E66" s="198">
        <v>2000</v>
      </c>
      <c r="F66" s="201">
        <v>891782</v>
      </c>
      <c r="G66" s="221"/>
    </row>
    <row r="67" spans="1:7" ht="18.600000000000001" customHeight="1">
      <c r="A67" s="202">
        <v>42064</v>
      </c>
      <c r="B67" s="200">
        <v>681783884</v>
      </c>
      <c r="C67" s="198">
        <v>52389677</v>
      </c>
      <c r="D67" s="198">
        <v>86235761</v>
      </c>
      <c r="E67" s="198">
        <v>2630567</v>
      </c>
      <c r="F67" s="201">
        <v>27887906</v>
      </c>
      <c r="G67" s="221"/>
    </row>
    <row r="68" spans="1:7" ht="18.600000000000001" customHeight="1">
      <c r="A68" s="202">
        <v>42095</v>
      </c>
      <c r="B68" s="200">
        <v>56695403</v>
      </c>
      <c r="C68" s="198">
        <v>24361080</v>
      </c>
      <c r="D68" s="198">
        <v>27538571</v>
      </c>
      <c r="E68" s="198">
        <v>404764</v>
      </c>
      <c r="F68" s="201">
        <v>710782</v>
      </c>
      <c r="G68" s="221"/>
    </row>
    <row r="69" spans="1:7" ht="18.600000000000001" customHeight="1">
      <c r="A69" s="202">
        <v>42125</v>
      </c>
      <c r="B69" s="200">
        <v>59362533</v>
      </c>
      <c r="C69" s="198">
        <v>21463277</v>
      </c>
      <c r="D69" s="198">
        <v>13871059</v>
      </c>
      <c r="E69" s="198">
        <v>415489</v>
      </c>
      <c r="F69" s="201">
        <v>6133321</v>
      </c>
      <c r="G69" s="221"/>
    </row>
    <row r="70" spans="1:7" ht="18.600000000000001" customHeight="1">
      <c r="A70" s="202">
        <v>42156</v>
      </c>
      <c r="B70" s="200">
        <v>340915995</v>
      </c>
      <c r="C70" s="198">
        <v>9458134</v>
      </c>
      <c r="D70" s="198">
        <v>78990387</v>
      </c>
      <c r="E70" s="198">
        <v>404484</v>
      </c>
      <c r="F70" s="201">
        <v>19210750</v>
      </c>
      <c r="G70" s="221"/>
    </row>
    <row r="71" spans="1:7" ht="18.600000000000001" customHeight="1" thickBot="1">
      <c r="A71" s="205">
        <v>42186</v>
      </c>
      <c r="B71" s="206">
        <v>609776072</v>
      </c>
      <c r="C71" s="207">
        <v>2801482</v>
      </c>
      <c r="D71" s="207">
        <v>81747801</v>
      </c>
      <c r="E71" s="207">
        <v>404769</v>
      </c>
      <c r="F71" s="208">
        <v>2579895</v>
      </c>
      <c r="G71" s="221"/>
    </row>
    <row r="72" spans="1:7" ht="17.25" customHeight="1" thickTop="1">
      <c r="A72" s="238" t="s">
        <v>124</v>
      </c>
      <c r="B72" s="216"/>
      <c r="C72" s="216"/>
      <c r="D72" s="216"/>
      <c r="E72" s="216"/>
      <c r="F72" s="216"/>
      <c r="G72" s="216"/>
    </row>
    <row r="73" spans="1:7" ht="15.95" customHeight="1">
      <c r="A73" s="239" t="s">
        <v>142</v>
      </c>
    </row>
    <row r="74" spans="1:7" ht="15.95" customHeight="1">
      <c r="A74" s="239"/>
    </row>
    <row r="76" spans="1:7">
      <c r="G76" s="240"/>
    </row>
  </sheetData>
  <printOptions horizontalCentered="1"/>
  <pageMargins left="0.7" right="0.7" top="0.75" bottom="0.75" header="0.3" footer="0.3"/>
  <pageSetup paperSize="9" scale="8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96"/>
  <sheetViews>
    <sheetView zoomScale="130" zoomScaleNormal="130" zoomScaleSheetLayoutView="90" workbookViewId="0">
      <selection activeCell="N135" sqref="N135"/>
    </sheetView>
  </sheetViews>
  <sheetFormatPr defaultRowHeight="12.75"/>
  <cols>
    <col min="1" max="1" width="42.140625" style="710" customWidth="1"/>
    <col min="2" max="2" width="13.85546875" style="710" bestFit="1" customWidth="1"/>
    <col min="3" max="3" width="11.140625" style="710" bestFit="1" customWidth="1"/>
    <col min="4" max="4" width="14.85546875" style="710" customWidth="1"/>
    <col min="5" max="5" width="12.7109375" style="710" customWidth="1"/>
    <col min="6" max="6" width="10.42578125" style="710" customWidth="1"/>
    <col min="7" max="7" width="14.5703125" style="710" customWidth="1"/>
    <col min="8" max="8" width="10.5703125" style="710" customWidth="1"/>
    <col min="9" max="9" width="17" style="710" hidden="1" customWidth="1"/>
    <col min="10" max="10" width="0" style="710" hidden="1" customWidth="1"/>
    <col min="11" max="16384" width="9.140625" style="710"/>
  </cols>
  <sheetData>
    <row r="1" spans="1:13" ht="18.75">
      <c r="A1" s="707" t="s">
        <v>2367</v>
      </c>
      <c r="B1" s="708"/>
      <c r="C1" s="708"/>
      <c r="D1" s="708"/>
      <c r="E1" s="708"/>
      <c r="F1" s="709"/>
      <c r="G1" s="709"/>
      <c r="H1" s="709"/>
    </row>
    <row r="2" spans="1:13" ht="13.5" thickBot="1">
      <c r="A2" s="709"/>
      <c r="B2" s="711"/>
      <c r="C2" s="711"/>
      <c r="D2" s="711"/>
      <c r="E2" s="711"/>
      <c r="F2" s="711"/>
      <c r="G2" s="711"/>
      <c r="H2" s="712" t="s">
        <v>49</v>
      </c>
    </row>
    <row r="3" spans="1:13" ht="13.5" customHeight="1" thickTop="1">
      <c r="A3" s="713" t="s">
        <v>2368</v>
      </c>
      <c r="B3" s="713" t="s">
        <v>2369</v>
      </c>
      <c r="C3" s="713" t="s">
        <v>28</v>
      </c>
      <c r="D3" s="713" t="s">
        <v>2370</v>
      </c>
      <c r="E3" s="713" t="s">
        <v>2370</v>
      </c>
      <c r="F3" s="713" t="s">
        <v>2371</v>
      </c>
      <c r="G3" s="713" t="s">
        <v>2372</v>
      </c>
      <c r="H3" s="713" t="s">
        <v>54</v>
      </c>
    </row>
    <row r="4" spans="1:13">
      <c r="A4" s="714"/>
      <c r="B4" s="714"/>
      <c r="C4" s="714"/>
      <c r="D4" s="714" t="s">
        <v>2373</v>
      </c>
      <c r="E4" s="714" t="s">
        <v>2374</v>
      </c>
      <c r="F4" s="714" t="s">
        <v>2375</v>
      </c>
      <c r="G4" s="714" t="s">
        <v>2376</v>
      </c>
      <c r="H4" s="714"/>
    </row>
    <row r="5" spans="1:13" ht="13.5" thickBot="1">
      <c r="A5" s="715"/>
      <c r="B5" s="715"/>
      <c r="C5" s="715"/>
      <c r="D5" s="715" t="s">
        <v>2377</v>
      </c>
      <c r="E5" s="715"/>
      <c r="F5" s="715" t="s">
        <v>28</v>
      </c>
      <c r="G5" s="715" t="s">
        <v>2378</v>
      </c>
      <c r="H5" s="715"/>
    </row>
    <row r="6" spans="1:13" ht="13.5" thickTop="1">
      <c r="A6" s="716"/>
      <c r="B6" s="717"/>
      <c r="C6" s="718"/>
      <c r="D6" s="718"/>
      <c r="E6" s="718"/>
      <c r="F6" s="718"/>
      <c r="G6" s="718"/>
      <c r="H6" s="719"/>
    </row>
    <row r="7" spans="1:13">
      <c r="A7" s="720" t="s">
        <v>2379</v>
      </c>
      <c r="B7" s="721">
        <v>3766.4749465082787</v>
      </c>
      <c r="C7" s="722">
        <v>10846.788478099077</v>
      </c>
      <c r="D7" s="722">
        <v>207.33754737999999</v>
      </c>
      <c r="E7" s="722">
        <v>51.787011999999997</v>
      </c>
      <c r="F7" s="722">
        <v>2299.4953607609227</v>
      </c>
      <c r="G7" s="722">
        <v>495.50043549999998</v>
      </c>
      <c r="H7" s="723">
        <v>17667.383780248278</v>
      </c>
      <c r="I7" s="724">
        <v>0</v>
      </c>
      <c r="J7" s="724">
        <v>-806.13680955738164</v>
      </c>
      <c r="K7" s="724"/>
      <c r="L7" s="724"/>
    </row>
    <row r="8" spans="1:13">
      <c r="A8" s="725" t="s">
        <v>2380</v>
      </c>
      <c r="B8" s="721"/>
      <c r="C8" s="722"/>
      <c r="D8" s="722"/>
      <c r="E8" s="722"/>
      <c r="F8" s="722"/>
      <c r="G8" s="722"/>
      <c r="H8" s="726"/>
      <c r="I8" s="724"/>
      <c r="J8" s="724"/>
      <c r="K8" s="724"/>
      <c r="L8" s="724"/>
    </row>
    <row r="9" spans="1:13">
      <c r="A9" s="727" t="s">
        <v>2381</v>
      </c>
      <c r="B9" s="728">
        <v>1057.6362042000001</v>
      </c>
      <c r="C9" s="729">
        <v>5665.7517546900008</v>
      </c>
      <c r="D9" s="729">
        <v>0</v>
      </c>
      <c r="E9" s="729">
        <v>0</v>
      </c>
      <c r="F9" s="729">
        <v>121.675735</v>
      </c>
      <c r="G9" s="729">
        <v>267.61567650000001</v>
      </c>
      <c r="H9" s="730">
        <v>7112.6793703900003</v>
      </c>
      <c r="I9" s="724">
        <v>0</v>
      </c>
      <c r="J9" s="724">
        <v>0</v>
      </c>
      <c r="K9" s="724"/>
      <c r="L9" s="724"/>
    </row>
    <row r="10" spans="1:13">
      <c r="A10" s="727" t="s">
        <v>2382</v>
      </c>
      <c r="B10" s="728">
        <v>1012.5261697500001</v>
      </c>
      <c r="C10" s="729">
        <v>1656.97214594</v>
      </c>
      <c r="D10" s="729">
        <v>0</v>
      </c>
      <c r="E10" s="729">
        <v>0</v>
      </c>
      <c r="F10" s="729">
        <v>561.65715003999992</v>
      </c>
      <c r="G10" s="729">
        <v>200</v>
      </c>
      <c r="H10" s="730">
        <v>3431.1554657300003</v>
      </c>
      <c r="I10" s="724">
        <v>0</v>
      </c>
      <c r="J10" s="724">
        <v>0</v>
      </c>
      <c r="K10" s="724"/>
      <c r="L10" s="724"/>
      <c r="M10" s="724"/>
    </row>
    <row r="11" spans="1:13">
      <c r="A11" s="727" t="s">
        <v>2383</v>
      </c>
      <c r="B11" s="728">
        <v>8.4614077999999999</v>
      </c>
      <c r="C11" s="729">
        <v>1.5968169999999999</v>
      </c>
      <c r="D11" s="729">
        <v>0</v>
      </c>
      <c r="E11" s="729">
        <v>2.0376460000000001</v>
      </c>
      <c r="F11" s="729">
        <v>1.3457999999999999E-2</v>
      </c>
      <c r="G11" s="729">
        <v>0</v>
      </c>
      <c r="H11" s="730">
        <v>12.1093288</v>
      </c>
      <c r="I11" s="724">
        <v>0</v>
      </c>
      <c r="J11" s="724">
        <v>0</v>
      </c>
      <c r="K11" s="724"/>
      <c r="L11" s="724"/>
      <c r="M11" s="724"/>
    </row>
    <row r="12" spans="1:13">
      <c r="A12" s="727" t="s">
        <v>2384</v>
      </c>
      <c r="B12" s="728">
        <v>0</v>
      </c>
      <c r="C12" s="729">
        <v>0.15554988</v>
      </c>
      <c r="D12" s="729">
        <v>0</v>
      </c>
      <c r="E12" s="729">
        <v>0</v>
      </c>
      <c r="F12" s="729">
        <v>0</v>
      </c>
      <c r="G12" s="729">
        <v>0</v>
      </c>
      <c r="H12" s="730">
        <v>0.15554988</v>
      </c>
      <c r="I12" s="724">
        <v>0</v>
      </c>
      <c r="J12" s="724">
        <v>0</v>
      </c>
      <c r="K12" s="724"/>
      <c r="L12" s="724"/>
      <c r="M12" s="724"/>
    </row>
    <row r="13" spans="1:13">
      <c r="A13" s="727" t="s">
        <v>2385</v>
      </c>
      <c r="B13" s="728">
        <v>950.20670104533576</v>
      </c>
      <c r="C13" s="729">
        <v>1795.5234353386993</v>
      </c>
      <c r="D13" s="729">
        <v>0</v>
      </c>
      <c r="E13" s="729">
        <v>0</v>
      </c>
      <c r="F13" s="729">
        <v>2.07E-2</v>
      </c>
      <c r="G13" s="729">
        <v>27.884758999999999</v>
      </c>
      <c r="H13" s="730">
        <v>2773.6355953840352</v>
      </c>
      <c r="I13" s="724">
        <v>0</v>
      </c>
      <c r="J13" s="724">
        <v>0</v>
      </c>
      <c r="K13" s="724"/>
      <c r="L13" s="724"/>
      <c r="M13" s="724"/>
    </row>
    <row r="14" spans="1:13">
      <c r="A14" s="727" t="s">
        <v>2386</v>
      </c>
      <c r="B14" s="728">
        <v>42.174773682706999</v>
      </c>
      <c r="C14" s="729">
        <v>78.353033162973006</v>
      </c>
      <c r="D14" s="729">
        <v>0</v>
      </c>
      <c r="E14" s="729">
        <v>6.0920860000000001</v>
      </c>
      <c r="F14" s="729">
        <v>1.0120000000000001E-2</v>
      </c>
      <c r="G14" s="729">
        <v>0</v>
      </c>
      <c r="H14" s="730">
        <v>126.63001284568</v>
      </c>
      <c r="I14" s="724">
        <v>0</v>
      </c>
      <c r="J14" s="724">
        <v>0</v>
      </c>
      <c r="K14" s="724"/>
      <c r="L14" s="724"/>
      <c r="M14" s="724"/>
    </row>
    <row r="15" spans="1:13">
      <c r="A15" s="727" t="s">
        <v>2387</v>
      </c>
      <c r="B15" s="728">
        <v>235.10293360000003</v>
      </c>
      <c r="C15" s="729">
        <v>540.39789025490995</v>
      </c>
      <c r="D15" s="729">
        <v>7.3104000000000002E-2</v>
      </c>
      <c r="E15" s="729">
        <v>40.228073999999999</v>
      </c>
      <c r="F15" s="729">
        <v>47.326500100000004</v>
      </c>
      <c r="G15" s="729">
        <v>0</v>
      </c>
      <c r="H15" s="730">
        <v>863.12850195490989</v>
      </c>
      <c r="I15" s="724">
        <v>0</v>
      </c>
      <c r="J15" s="724">
        <v>0</v>
      </c>
      <c r="K15" s="724"/>
      <c r="L15" s="724"/>
      <c r="M15" s="724"/>
    </row>
    <row r="16" spans="1:13">
      <c r="A16" s="727" t="s">
        <v>2388</v>
      </c>
      <c r="B16" s="728">
        <v>62.269188889583496</v>
      </c>
      <c r="C16" s="729">
        <v>97.034928800000003</v>
      </c>
      <c r="D16" s="729">
        <v>0</v>
      </c>
      <c r="E16" s="729">
        <v>2.0110990000000002</v>
      </c>
      <c r="F16" s="729">
        <v>72.709486189999993</v>
      </c>
      <c r="G16" s="729">
        <v>0</v>
      </c>
      <c r="H16" s="730">
        <v>234.02470287958351</v>
      </c>
      <c r="I16" s="724">
        <v>0</v>
      </c>
      <c r="J16" s="724">
        <v>0</v>
      </c>
      <c r="K16" s="724"/>
      <c r="L16" s="724"/>
      <c r="M16" s="724"/>
    </row>
    <row r="17" spans="1:13">
      <c r="A17" s="727" t="s">
        <v>2389</v>
      </c>
      <c r="B17" s="728">
        <v>398.09756754065262</v>
      </c>
      <c r="C17" s="729">
        <v>1011.0029230324941</v>
      </c>
      <c r="D17" s="729">
        <v>207.26444337999999</v>
      </c>
      <c r="E17" s="729">
        <v>1.418107</v>
      </c>
      <c r="F17" s="729">
        <v>1496.0822114309231</v>
      </c>
      <c r="G17" s="729">
        <v>0</v>
      </c>
      <c r="H17" s="730">
        <v>3113.8652523840697</v>
      </c>
      <c r="I17" s="724">
        <v>0</v>
      </c>
      <c r="J17" s="724">
        <v>0</v>
      </c>
      <c r="K17" s="724"/>
      <c r="L17" s="724"/>
      <c r="M17" s="724"/>
    </row>
    <row r="18" spans="1:13">
      <c r="A18" s="720"/>
      <c r="B18" s="721"/>
      <c r="C18" s="722"/>
      <c r="D18" s="722"/>
      <c r="E18" s="722"/>
      <c r="F18" s="722"/>
      <c r="G18" s="722"/>
      <c r="H18" s="723"/>
      <c r="I18" s="724"/>
      <c r="J18" s="724"/>
      <c r="K18" s="724"/>
      <c r="L18" s="724"/>
      <c r="M18" s="724"/>
    </row>
    <row r="19" spans="1:13">
      <c r="A19" s="720" t="s">
        <v>2390</v>
      </c>
      <c r="B19" s="721">
        <v>4615.4260031142485</v>
      </c>
      <c r="C19" s="722">
        <v>5657.8878731167288</v>
      </c>
      <c r="D19" s="722">
        <v>265.03280168999999</v>
      </c>
      <c r="E19" s="722">
        <v>1902.49439846</v>
      </c>
      <c r="F19" s="722">
        <v>7274.5719543369869</v>
      </c>
      <c r="G19" s="722">
        <v>237.07500099999999</v>
      </c>
      <c r="H19" s="723">
        <v>19952.488031717967</v>
      </c>
      <c r="I19" s="724">
        <v>0</v>
      </c>
      <c r="J19" s="724">
        <v>-427.14512719435885</v>
      </c>
      <c r="K19" s="724"/>
      <c r="L19" s="724"/>
      <c r="M19" s="724"/>
    </row>
    <row r="20" spans="1:13">
      <c r="A20" s="725" t="s">
        <v>2380</v>
      </c>
      <c r="B20" s="721"/>
      <c r="C20" s="722"/>
      <c r="D20" s="722"/>
      <c r="E20" s="722"/>
      <c r="F20" s="722"/>
      <c r="G20" s="722"/>
      <c r="H20" s="726"/>
      <c r="I20" s="724"/>
      <c r="J20" s="724"/>
      <c r="K20" s="724"/>
      <c r="L20" s="724"/>
      <c r="M20" s="724"/>
    </row>
    <row r="21" spans="1:13">
      <c r="A21" s="727" t="s">
        <v>2391</v>
      </c>
      <c r="B21" s="731">
        <v>1244.5404022185762</v>
      </c>
      <c r="C21" s="729">
        <v>720.52604508000002</v>
      </c>
      <c r="D21" s="729">
        <v>222.75002429</v>
      </c>
      <c r="E21" s="729">
        <v>425.35555399999998</v>
      </c>
      <c r="F21" s="729">
        <v>2946.2685979133539</v>
      </c>
      <c r="G21" s="729">
        <v>0.5</v>
      </c>
      <c r="H21" s="730">
        <v>5559.9406235019305</v>
      </c>
      <c r="I21" s="724">
        <v>0</v>
      </c>
      <c r="J21" s="724">
        <v>0</v>
      </c>
      <c r="K21" s="724"/>
      <c r="L21" s="724"/>
      <c r="M21" s="724"/>
    </row>
    <row r="22" spans="1:13">
      <c r="A22" s="727" t="s">
        <v>2392</v>
      </c>
      <c r="B22" s="731">
        <v>46.650972040020051</v>
      </c>
      <c r="C22" s="729">
        <v>152.32982393</v>
      </c>
      <c r="D22" s="729">
        <v>0</v>
      </c>
      <c r="E22" s="729">
        <v>14.802831769999999</v>
      </c>
      <c r="F22" s="729">
        <v>45.626335030324505</v>
      </c>
      <c r="G22" s="729">
        <v>0</v>
      </c>
      <c r="H22" s="730">
        <v>259.40996277034458</v>
      </c>
      <c r="I22" s="724">
        <v>0</v>
      </c>
      <c r="J22" s="724">
        <v>0</v>
      </c>
      <c r="K22" s="724"/>
      <c r="L22" s="724"/>
      <c r="M22" s="724"/>
    </row>
    <row r="23" spans="1:13">
      <c r="A23" s="727" t="s">
        <v>2393</v>
      </c>
      <c r="B23" s="731">
        <v>20.266807280000002</v>
      </c>
      <c r="C23" s="729">
        <v>12.465372179999999</v>
      </c>
      <c r="D23" s="729">
        <v>0</v>
      </c>
      <c r="E23" s="729">
        <v>4.9863179999999998</v>
      </c>
      <c r="F23" s="729">
        <v>5.7688000000000003E-2</v>
      </c>
      <c r="G23" s="729">
        <v>0</v>
      </c>
      <c r="H23" s="730">
        <v>37.776185459999994</v>
      </c>
      <c r="I23" s="724">
        <v>0</v>
      </c>
      <c r="J23" s="724">
        <v>0</v>
      </c>
      <c r="K23" s="724"/>
      <c r="L23" s="724"/>
      <c r="M23" s="724"/>
    </row>
    <row r="24" spans="1:13">
      <c r="A24" s="727" t="s">
        <v>2394</v>
      </c>
      <c r="B24" s="731">
        <v>51.338373410000003</v>
      </c>
      <c r="C24" s="729">
        <v>78.639635810000001</v>
      </c>
      <c r="D24" s="729">
        <v>0</v>
      </c>
      <c r="E24" s="729">
        <v>13.738586</v>
      </c>
      <c r="F24" s="729">
        <v>165.71626240999998</v>
      </c>
      <c r="G24" s="729">
        <v>0</v>
      </c>
      <c r="H24" s="730">
        <v>309.43285762999994</v>
      </c>
      <c r="I24" s="724">
        <v>0</v>
      </c>
      <c r="J24" s="724">
        <v>0</v>
      </c>
      <c r="K24" s="724"/>
      <c r="L24" s="724"/>
      <c r="M24" s="724"/>
    </row>
    <row r="25" spans="1:13">
      <c r="A25" s="727" t="s">
        <v>2395</v>
      </c>
      <c r="B25" s="731">
        <v>1.9009999999999999E-3</v>
      </c>
      <c r="C25" s="729">
        <v>0</v>
      </c>
      <c r="D25" s="729">
        <v>0</v>
      </c>
      <c r="E25" s="729">
        <v>0</v>
      </c>
      <c r="F25" s="729">
        <v>0</v>
      </c>
      <c r="G25" s="729">
        <v>0</v>
      </c>
      <c r="H25" s="730">
        <v>1.9009999999999999E-3</v>
      </c>
      <c r="I25" s="724">
        <v>0</v>
      </c>
      <c r="J25" s="724">
        <v>0</v>
      </c>
      <c r="K25" s="724"/>
      <c r="L25" s="724"/>
      <c r="M25" s="724"/>
    </row>
    <row r="26" spans="1:13">
      <c r="A26" s="727" t="s">
        <v>2396</v>
      </c>
      <c r="B26" s="731">
        <v>159.51767944605254</v>
      </c>
      <c r="C26" s="729">
        <v>105.82810200288323</v>
      </c>
      <c r="D26" s="729">
        <v>0</v>
      </c>
      <c r="E26" s="729">
        <v>20.566368000000001</v>
      </c>
      <c r="F26" s="729">
        <v>0.23889079000000002</v>
      </c>
      <c r="G26" s="729">
        <v>0</v>
      </c>
      <c r="H26" s="730">
        <v>286.15104023893582</v>
      </c>
      <c r="I26" s="724">
        <v>0</v>
      </c>
      <c r="J26" s="724">
        <v>0</v>
      </c>
      <c r="K26" s="724"/>
      <c r="L26" s="724"/>
      <c r="M26" s="724"/>
    </row>
    <row r="27" spans="1:13">
      <c r="A27" s="727" t="s">
        <v>2397</v>
      </c>
      <c r="B27" s="731">
        <v>307.95192302999999</v>
      </c>
      <c r="C27" s="729">
        <v>378.59204277000003</v>
      </c>
      <c r="D27" s="729">
        <v>0</v>
      </c>
      <c r="E27" s="729">
        <v>82.140423999999996</v>
      </c>
      <c r="F27" s="729">
        <v>163.10178431999998</v>
      </c>
      <c r="G27" s="729">
        <v>0</v>
      </c>
      <c r="H27" s="730">
        <v>931.78617411999994</v>
      </c>
      <c r="I27" s="724">
        <v>0</v>
      </c>
      <c r="J27" s="724">
        <v>0</v>
      </c>
      <c r="K27" s="724"/>
      <c r="L27" s="724"/>
      <c r="M27" s="724"/>
    </row>
    <row r="28" spans="1:13">
      <c r="A28" s="727" t="s">
        <v>2398</v>
      </c>
      <c r="B28" s="731">
        <v>392.256260514291</v>
      </c>
      <c r="C28" s="729">
        <v>721.85994136277839</v>
      </c>
      <c r="D28" s="729">
        <v>2</v>
      </c>
      <c r="E28" s="729">
        <v>333.86156099999999</v>
      </c>
      <c r="F28" s="729">
        <v>127.58752344520001</v>
      </c>
      <c r="G28" s="729">
        <v>0</v>
      </c>
      <c r="H28" s="730">
        <v>1577.5652863222695</v>
      </c>
      <c r="I28" s="724">
        <v>0</v>
      </c>
      <c r="J28" s="724">
        <v>0</v>
      </c>
      <c r="K28" s="724"/>
      <c r="L28" s="724"/>
      <c r="M28" s="724"/>
    </row>
    <row r="29" spans="1:13">
      <c r="A29" s="727" t="s">
        <v>2399</v>
      </c>
      <c r="B29" s="731">
        <v>962.41440049280618</v>
      </c>
      <c r="C29" s="729">
        <v>920.70403568652114</v>
      </c>
      <c r="D29" s="729">
        <v>0</v>
      </c>
      <c r="E29" s="729">
        <v>434.00017207999997</v>
      </c>
      <c r="F29" s="729">
        <v>2449.2609893333379</v>
      </c>
      <c r="G29" s="729">
        <v>39.274999999999999</v>
      </c>
      <c r="H29" s="730">
        <v>4805.6545975926647</v>
      </c>
      <c r="I29" s="724">
        <v>0</v>
      </c>
      <c r="J29" s="724">
        <v>0</v>
      </c>
      <c r="K29" s="724"/>
      <c r="L29" s="724"/>
      <c r="M29" s="724"/>
    </row>
    <row r="30" spans="1:13">
      <c r="A30" s="727" t="s">
        <v>2400</v>
      </c>
      <c r="B30" s="731">
        <v>113.98044849137298</v>
      </c>
      <c r="C30" s="729">
        <v>124.88880741696187</v>
      </c>
      <c r="D30" s="729">
        <v>0</v>
      </c>
      <c r="E30" s="729">
        <v>21.500656399999997</v>
      </c>
      <c r="F30" s="729">
        <v>58.093750322275</v>
      </c>
      <c r="G30" s="729">
        <v>0</v>
      </c>
      <c r="H30" s="730">
        <v>318.46366263060986</v>
      </c>
      <c r="I30" s="724">
        <v>0</v>
      </c>
      <c r="J30" s="724">
        <v>0</v>
      </c>
      <c r="K30" s="724"/>
      <c r="L30" s="724"/>
      <c r="M30" s="724"/>
    </row>
    <row r="31" spans="1:13">
      <c r="A31" s="727" t="s">
        <v>2401</v>
      </c>
      <c r="B31" s="731">
        <v>41.437022179999992</v>
      </c>
      <c r="C31" s="729">
        <v>163.98564277132851</v>
      </c>
      <c r="D31" s="729">
        <v>0</v>
      </c>
      <c r="E31" s="729">
        <v>8.7970999999999994E-2</v>
      </c>
      <c r="F31" s="729">
        <v>6.4924114900000003</v>
      </c>
      <c r="G31" s="729">
        <v>0</v>
      </c>
      <c r="H31" s="730">
        <v>212.0030474413285</v>
      </c>
      <c r="I31" s="724">
        <v>0</v>
      </c>
      <c r="J31" s="724">
        <v>0</v>
      </c>
      <c r="K31" s="724"/>
      <c r="L31" s="724"/>
      <c r="M31" s="724"/>
    </row>
    <row r="32" spans="1:13">
      <c r="A32" s="727" t="s">
        <v>2402</v>
      </c>
      <c r="B32" s="731">
        <v>40.537381265850094</v>
      </c>
      <c r="C32" s="729">
        <v>56.954025879999996</v>
      </c>
      <c r="D32" s="729">
        <v>0</v>
      </c>
      <c r="E32" s="729">
        <v>16.277957000000001</v>
      </c>
      <c r="F32" s="729">
        <v>34.695165500000002</v>
      </c>
      <c r="G32" s="729">
        <v>0</v>
      </c>
      <c r="H32" s="730">
        <v>148.46452964585009</v>
      </c>
      <c r="I32" s="724">
        <v>0</v>
      </c>
      <c r="J32" s="724">
        <v>0</v>
      </c>
      <c r="K32" s="724"/>
      <c r="L32" s="724"/>
      <c r="M32" s="724"/>
    </row>
    <row r="33" spans="1:13">
      <c r="A33" s="727" t="s">
        <v>2403</v>
      </c>
      <c r="B33" s="731">
        <v>23.951817522797551</v>
      </c>
      <c r="C33" s="729">
        <v>46.095289190000003</v>
      </c>
      <c r="D33" s="729">
        <v>0</v>
      </c>
      <c r="E33" s="729">
        <v>1.940482</v>
      </c>
      <c r="F33" s="729">
        <v>0.82742341000000008</v>
      </c>
      <c r="G33" s="729">
        <v>0</v>
      </c>
      <c r="H33" s="730">
        <v>72.815012122797555</v>
      </c>
      <c r="I33" s="724">
        <v>0</v>
      </c>
      <c r="J33" s="724">
        <v>0</v>
      </c>
      <c r="K33" s="724"/>
      <c r="L33" s="724"/>
      <c r="M33" s="724"/>
    </row>
    <row r="34" spans="1:13">
      <c r="A34" s="727" t="s">
        <v>2404</v>
      </c>
      <c r="B34" s="731">
        <v>26.282387490000001</v>
      </c>
      <c r="C34" s="729">
        <v>32.152709780000002</v>
      </c>
      <c r="D34" s="729">
        <v>0</v>
      </c>
      <c r="E34" s="729">
        <v>23.867321</v>
      </c>
      <c r="F34" s="729">
        <v>8.0228447415200002</v>
      </c>
      <c r="G34" s="729">
        <v>0</v>
      </c>
      <c r="H34" s="730">
        <v>90.325263011520008</v>
      </c>
      <c r="I34" s="724">
        <v>0</v>
      </c>
      <c r="J34" s="724">
        <v>0</v>
      </c>
      <c r="K34" s="724"/>
      <c r="L34" s="724"/>
      <c r="M34" s="724"/>
    </row>
    <row r="35" spans="1:13">
      <c r="A35" s="727" t="s">
        <v>2405</v>
      </c>
      <c r="B35" s="731">
        <v>28.883628680000001</v>
      </c>
      <c r="C35" s="729">
        <v>82.651108340000008</v>
      </c>
      <c r="D35" s="729">
        <v>0</v>
      </c>
      <c r="E35" s="729">
        <v>1.0341290000000001</v>
      </c>
      <c r="F35" s="729">
        <v>2.9220000000000001E-3</v>
      </c>
      <c r="G35" s="729">
        <v>0</v>
      </c>
      <c r="H35" s="730">
        <v>112.57178802</v>
      </c>
      <c r="I35" s="724">
        <v>0</v>
      </c>
      <c r="J35" s="724">
        <v>0</v>
      </c>
      <c r="K35" s="724"/>
      <c r="L35" s="724"/>
      <c r="M35" s="724"/>
    </row>
    <row r="36" spans="1:13">
      <c r="A36" s="727" t="s">
        <v>2406</v>
      </c>
      <c r="B36" s="731">
        <v>35.461346829999997</v>
      </c>
      <c r="C36" s="729">
        <v>29.852391149999999</v>
      </c>
      <c r="D36" s="729">
        <v>0</v>
      </c>
      <c r="E36" s="729">
        <v>0</v>
      </c>
      <c r="F36" s="729">
        <v>0</v>
      </c>
      <c r="G36" s="729">
        <v>0</v>
      </c>
      <c r="H36" s="730">
        <v>65.313737979999999</v>
      </c>
      <c r="I36" s="724">
        <v>0</v>
      </c>
      <c r="J36" s="724">
        <v>0</v>
      </c>
      <c r="K36" s="724"/>
      <c r="L36" s="724"/>
      <c r="M36" s="724"/>
    </row>
    <row r="37" spans="1:13">
      <c r="A37" s="727" t="s">
        <v>2389</v>
      </c>
      <c r="B37" s="731">
        <v>1119.9532512224828</v>
      </c>
      <c r="C37" s="729">
        <v>2030.3628997662556</v>
      </c>
      <c r="D37" s="729">
        <v>40.282777400000001</v>
      </c>
      <c r="E37" s="729">
        <v>508.33406721</v>
      </c>
      <c r="F37" s="729">
        <v>1268.5793656309759</v>
      </c>
      <c r="G37" s="729">
        <v>197.30000100000001</v>
      </c>
      <c r="H37" s="730">
        <v>5164.8123622297144</v>
      </c>
      <c r="I37" s="724">
        <v>0</v>
      </c>
      <c r="J37" s="724">
        <v>0</v>
      </c>
      <c r="K37" s="724"/>
      <c r="L37" s="724"/>
      <c r="M37" s="724"/>
    </row>
    <row r="38" spans="1:13">
      <c r="A38" s="720"/>
      <c r="B38" s="721"/>
      <c r="C38" s="722"/>
      <c r="D38" s="722"/>
      <c r="E38" s="722"/>
      <c r="F38" s="722"/>
      <c r="G38" s="722"/>
      <c r="H38" s="723"/>
      <c r="I38" s="724"/>
      <c r="J38" s="724"/>
      <c r="K38" s="724"/>
      <c r="L38" s="724"/>
      <c r="M38" s="724"/>
    </row>
    <row r="39" spans="1:13">
      <c r="A39" s="720" t="s">
        <v>2407</v>
      </c>
      <c r="B39" s="721">
        <v>3702.7119490054811</v>
      </c>
      <c r="C39" s="722">
        <v>21629.895125600298</v>
      </c>
      <c r="D39" s="722">
        <v>49.185372189999995</v>
      </c>
      <c r="E39" s="722">
        <v>0.26798</v>
      </c>
      <c r="F39" s="722">
        <v>21201.977661366825</v>
      </c>
      <c r="G39" s="722">
        <v>952.34719261999999</v>
      </c>
      <c r="H39" s="723">
        <v>47536.385280782604</v>
      </c>
      <c r="I39" s="724">
        <v>0</v>
      </c>
      <c r="J39" s="724">
        <v>1992.7052875792313</v>
      </c>
      <c r="K39" s="724"/>
      <c r="L39" s="724"/>
      <c r="M39" s="724"/>
    </row>
    <row r="40" spans="1:13">
      <c r="A40" s="725" t="s">
        <v>2380</v>
      </c>
      <c r="B40" s="721"/>
      <c r="C40" s="722"/>
      <c r="D40" s="722"/>
      <c r="E40" s="722"/>
      <c r="F40" s="722"/>
      <c r="G40" s="722"/>
      <c r="H40" s="726"/>
      <c r="I40" s="724"/>
      <c r="J40" s="724"/>
      <c r="K40" s="724"/>
      <c r="L40" s="724"/>
      <c r="M40" s="724"/>
    </row>
    <row r="41" spans="1:13">
      <c r="A41" s="727" t="s">
        <v>2408</v>
      </c>
      <c r="B41" s="731">
        <v>1901.1036762105314</v>
      </c>
      <c r="C41" s="729">
        <v>10803.612653024767</v>
      </c>
      <c r="D41" s="729">
        <v>49.185372189999995</v>
      </c>
      <c r="E41" s="729">
        <v>0</v>
      </c>
      <c r="F41" s="729">
        <v>14840.076229171311</v>
      </c>
      <c r="G41" s="729">
        <v>283.10534999999999</v>
      </c>
      <c r="H41" s="730">
        <v>27877.083280596613</v>
      </c>
      <c r="I41" s="724">
        <v>0</v>
      </c>
      <c r="J41" s="724">
        <v>0</v>
      </c>
      <c r="K41" s="724"/>
      <c r="L41" s="724"/>
      <c r="M41" s="724"/>
    </row>
    <row r="42" spans="1:13">
      <c r="A42" s="727" t="s">
        <v>2409</v>
      </c>
      <c r="B42" s="731">
        <v>224.68217388697889</v>
      </c>
      <c r="C42" s="729">
        <v>226.46524648541737</v>
      </c>
      <c r="D42" s="729">
        <v>0</v>
      </c>
      <c r="E42" s="729">
        <v>0.26798</v>
      </c>
      <c r="F42" s="729">
        <v>54.421877789999996</v>
      </c>
      <c r="G42" s="729">
        <v>0</v>
      </c>
      <c r="H42" s="730">
        <v>505.83727816239627</v>
      </c>
      <c r="I42" s="724">
        <v>0</v>
      </c>
      <c r="J42" s="724">
        <v>0</v>
      </c>
      <c r="K42" s="724"/>
      <c r="L42" s="724"/>
      <c r="M42" s="724"/>
    </row>
    <row r="43" spans="1:13">
      <c r="A43" s="727" t="s">
        <v>2410</v>
      </c>
      <c r="B43" s="731">
        <v>123.91091884000001</v>
      </c>
      <c r="C43" s="729">
        <v>571.82283199999995</v>
      </c>
      <c r="D43" s="729">
        <v>0</v>
      </c>
      <c r="E43" s="729">
        <v>0</v>
      </c>
      <c r="F43" s="729">
        <v>391.33875588999996</v>
      </c>
      <c r="G43" s="729">
        <v>0</v>
      </c>
      <c r="H43" s="730">
        <v>1087.07250673</v>
      </c>
      <c r="I43" s="724">
        <v>0</v>
      </c>
      <c r="J43" s="724">
        <v>0</v>
      </c>
      <c r="K43" s="724"/>
      <c r="L43" s="724"/>
      <c r="M43" s="724"/>
    </row>
    <row r="44" spans="1:13">
      <c r="A44" s="727" t="s">
        <v>2411</v>
      </c>
      <c r="B44" s="731">
        <v>1256.39016732</v>
      </c>
      <c r="C44" s="729">
        <v>8929.8226536599996</v>
      </c>
      <c r="D44" s="729">
        <v>0</v>
      </c>
      <c r="E44" s="729">
        <v>0</v>
      </c>
      <c r="F44" s="729">
        <v>4428.8826980348194</v>
      </c>
      <c r="G44" s="729">
        <v>669.24184262000006</v>
      </c>
      <c r="H44" s="730">
        <v>15284.33736163482</v>
      </c>
      <c r="I44" s="724">
        <v>0</v>
      </c>
      <c r="J44" s="724">
        <v>0</v>
      </c>
      <c r="K44" s="724"/>
      <c r="L44" s="724"/>
      <c r="M44" s="724"/>
    </row>
    <row r="45" spans="1:13">
      <c r="A45" s="727" t="s">
        <v>2412</v>
      </c>
      <c r="B45" s="731">
        <v>75.516981956529349</v>
      </c>
      <c r="C45" s="729">
        <v>303.860289580835</v>
      </c>
      <c r="D45" s="729">
        <v>0</v>
      </c>
      <c r="E45" s="729">
        <v>0</v>
      </c>
      <c r="F45" s="729">
        <v>671.41905454999994</v>
      </c>
      <c r="G45" s="729">
        <v>0</v>
      </c>
      <c r="H45" s="730">
        <v>1050.7963260873644</v>
      </c>
      <c r="I45" s="724">
        <v>0</v>
      </c>
      <c r="J45" s="724">
        <v>0</v>
      </c>
      <c r="K45" s="724"/>
      <c r="L45" s="724"/>
      <c r="M45" s="724"/>
    </row>
    <row r="46" spans="1:13">
      <c r="A46" s="727" t="s">
        <v>2413</v>
      </c>
      <c r="B46" s="731">
        <v>3.4666557500000001</v>
      </c>
      <c r="C46" s="729">
        <v>19.568195109999998</v>
      </c>
      <c r="D46" s="729">
        <v>0</v>
      </c>
      <c r="E46" s="729">
        <v>0</v>
      </c>
      <c r="F46" s="729">
        <v>1.4385E-2</v>
      </c>
      <c r="G46" s="729">
        <v>0</v>
      </c>
      <c r="H46" s="730">
        <v>23.04923586</v>
      </c>
      <c r="I46" s="724">
        <v>0</v>
      </c>
      <c r="J46" s="724">
        <v>0</v>
      </c>
      <c r="K46" s="724"/>
      <c r="L46" s="724"/>
      <c r="M46" s="724"/>
    </row>
    <row r="47" spans="1:13">
      <c r="A47" s="727" t="s">
        <v>2389</v>
      </c>
      <c r="B47" s="731">
        <v>117.64137504144193</v>
      </c>
      <c r="C47" s="729">
        <v>774.74325573928002</v>
      </c>
      <c r="D47" s="729">
        <v>0</v>
      </c>
      <c r="E47" s="729">
        <v>0</v>
      </c>
      <c r="F47" s="729">
        <v>815.82466093069604</v>
      </c>
      <c r="G47" s="729">
        <v>0</v>
      </c>
      <c r="H47" s="730">
        <v>1708.209291711418</v>
      </c>
      <c r="I47" s="724">
        <v>0</v>
      </c>
      <c r="J47" s="724">
        <v>0</v>
      </c>
      <c r="K47" s="724"/>
      <c r="L47" s="724"/>
      <c r="M47" s="724"/>
    </row>
    <row r="48" spans="1:13">
      <c r="A48" s="720"/>
      <c r="B48" s="721"/>
      <c r="C48" s="722"/>
      <c r="D48" s="722"/>
      <c r="E48" s="722"/>
      <c r="F48" s="722"/>
      <c r="G48" s="722"/>
      <c r="H48" s="723"/>
      <c r="I48" s="724"/>
      <c r="J48" s="724"/>
      <c r="K48" s="724"/>
      <c r="L48" s="724"/>
      <c r="M48" s="724"/>
    </row>
    <row r="49" spans="1:13">
      <c r="A49" s="720" t="s">
        <v>2414</v>
      </c>
      <c r="B49" s="721">
        <v>577.91087710716045</v>
      </c>
      <c r="C49" s="722">
        <v>2506.5322038020463</v>
      </c>
      <c r="D49" s="722">
        <v>0</v>
      </c>
      <c r="E49" s="722">
        <v>6.8215009999999996</v>
      </c>
      <c r="F49" s="722">
        <v>1833.6567958802193</v>
      </c>
      <c r="G49" s="722">
        <v>1.0000000000000001E-5</v>
      </c>
      <c r="H49" s="723">
        <v>4924.9213877894254</v>
      </c>
      <c r="I49" s="724"/>
      <c r="J49" s="724">
        <v>149011537.79713893</v>
      </c>
      <c r="K49" s="724"/>
      <c r="L49" s="724"/>
      <c r="M49" s="724"/>
    </row>
    <row r="50" spans="1:13">
      <c r="A50" s="725" t="s">
        <v>2380</v>
      </c>
      <c r="B50" s="721"/>
      <c r="C50" s="722"/>
      <c r="D50" s="722"/>
      <c r="E50" s="722"/>
      <c r="F50" s="722"/>
      <c r="G50" s="722"/>
      <c r="H50" s="726"/>
      <c r="I50" s="724"/>
      <c r="J50" s="724"/>
      <c r="K50" s="724"/>
      <c r="L50" s="724"/>
      <c r="M50" s="724"/>
    </row>
    <row r="51" spans="1:13">
      <c r="A51" s="727" t="s">
        <v>2415</v>
      </c>
      <c r="B51" s="731">
        <v>8.9506430000000012E-2</v>
      </c>
      <c r="C51" s="729">
        <v>32.611883659999997</v>
      </c>
      <c r="D51" s="729">
        <v>0</v>
      </c>
      <c r="E51" s="729">
        <v>0</v>
      </c>
      <c r="F51" s="729">
        <v>15.307650000000001</v>
      </c>
      <c r="G51" s="729">
        <v>0</v>
      </c>
      <c r="H51" s="730">
        <v>48.009040089999999</v>
      </c>
      <c r="I51" s="724"/>
      <c r="J51" s="724"/>
      <c r="K51" s="724"/>
      <c r="L51" s="724"/>
      <c r="M51" s="724"/>
    </row>
    <row r="52" spans="1:13">
      <c r="A52" s="727" t="s">
        <v>2416</v>
      </c>
      <c r="B52" s="731">
        <v>171.27611712211009</v>
      </c>
      <c r="C52" s="729">
        <v>1273.3543932597115</v>
      </c>
      <c r="D52" s="729">
        <v>0</v>
      </c>
      <c r="E52" s="729">
        <v>0</v>
      </c>
      <c r="F52" s="729">
        <v>0.47134635517900009</v>
      </c>
      <c r="G52" s="729">
        <v>0</v>
      </c>
      <c r="H52" s="730">
        <v>1445.1018567370006</v>
      </c>
      <c r="I52" s="724"/>
      <c r="J52" s="724"/>
      <c r="K52" s="724"/>
      <c r="L52" s="724"/>
      <c r="M52" s="724"/>
    </row>
    <row r="53" spans="1:13">
      <c r="A53" s="727" t="s">
        <v>2417</v>
      </c>
      <c r="B53" s="731">
        <v>337.22033235999993</v>
      </c>
      <c r="C53" s="729">
        <v>920.030661139872</v>
      </c>
      <c r="D53" s="729">
        <v>0</v>
      </c>
      <c r="E53" s="729">
        <v>2.6392419999999999</v>
      </c>
      <c r="F53" s="729">
        <v>1815.24630781325</v>
      </c>
      <c r="G53" s="729">
        <v>1.0000000000000001E-5</v>
      </c>
      <c r="H53" s="730">
        <v>3075.1365533131225</v>
      </c>
      <c r="I53" s="724"/>
      <c r="J53" s="724"/>
      <c r="K53" s="724"/>
      <c r="L53" s="724"/>
      <c r="M53" s="724"/>
    </row>
    <row r="54" spans="1:13">
      <c r="A54" s="727" t="s">
        <v>2389</v>
      </c>
      <c r="B54" s="731">
        <v>69.324921195050365</v>
      </c>
      <c r="C54" s="729">
        <v>280.53526574246268</v>
      </c>
      <c r="D54" s="729">
        <v>0</v>
      </c>
      <c r="E54" s="729">
        <v>4.1822590000000002</v>
      </c>
      <c r="F54" s="729">
        <v>2.6314917117899994</v>
      </c>
      <c r="G54" s="729">
        <v>0</v>
      </c>
      <c r="H54" s="730">
        <v>356.67393764930301</v>
      </c>
      <c r="I54" s="724"/>
      <c r="J54" s="724"/>
      <c r="K54" s="724"/>
      <c r="L54" s="724"/>
      <c r="M54" s="724"/>
    </row>
    <row r="55" spans="1:13">
      <c r="A55" s="720"/>
      <c r="B55" s="721"/>
      <c r="C55" s="722"/>
      <c r="D55" s="722"/>
      <c r="E55" s="722"/>
      <c r="F55" s="722"/>
      <c r="G55" s="722"/>
      <c r="H55" s="723"/>
      <c r="I55" s="724"/>
      <c r="J55" s="724"/>
      <c r="K55" s="724"/>
      <c r="L55" s="724"/>
      <c r="M55" s="724"/>
    </row>
    <row r="56" spans="1:13">
      <c r="A56" s="720" t="s">
        <v>2418</v>
      </c>
      <c r="B56" s="721">
        <v>6086.8266405564455</v>
      </c>
      <c r="C56" s="722">
        <v>72574.9307712671</v>
      </c>
      <c r="D56" s="722">
        <v>417.06693568000003</v>
      </c>
      <c r="E56" s="722">
        <v>115.59932164</v>
      </c>
      <c r="F56" s="722">
        <v>3613.5502455821625</v>
      </c>
      <c r="G56" s="722">
        <v>382.53265989305459</v>
      </c>
      <c r="H56" s="723">
        <v>83190.506574618761</v>
      </c>
      <c r="I56" s="724">
        <v>0</v>
      </c>
      <c r="J56" s="724">
        <v>3997.6323430190123</v>
      </c>
      <c r="K56" s="724"/>
      <c r="L56" s="724"/>
      <c r="M56" s="724"/>
    </row>
    <row r="57" spans="1:13">
      <c r="A57" s="725" t="s">
        <v>2380</v>
      </c>
      <c r="B57" s="721"/>
      <c r="C57" s="722"/>
      <c r="D57" s="722"/>
      <c r="E57" s="722"/>
      <c r="F57" s="722"/>
      <c r="G57" s="722"/>
      <c r="H57" s="726"/>
      <c r="I57" s="724"/>
      <c r="J57" s="724"/>
      <c r="K57" s="724"/>
      <c r="L57" s="724"/>
      <c r="M57" s="724"/>
    </row>
    <row r="58" spans="1:13">
      <c r="A58" s="727" t="s">
        <v>2419</v>
      </c>
      <c r="B58" s="731">
        <v>1109.359852297335</v>
      </c>
      <c r="C58" s="729">
        <v>1460.8575575892548</v>
      </c>
      <c r="D58" s="729">
        <v>415.50083324000002</v>
      </c>
      <c r="E58" s="729">
        <v>6.7078410000000002</v>
      </c>
      <c r="F58" s="729">
        <v>73.644585280000001</v>
      </c>
      <c r="G58" s="729">
        <v>0</v>
      </c>
      <c r="H58" s="730">
        <v>3066.0706694065902</v>
      </c>
      <c r="I58" s="724">
        <v>0</v>
      </c>
      <c r="J58" s="724">
        <v>20.744312029999971</v>
      </c>
      <c r="K58" s="724"/>
      <c r="L58" s="724"/>
      <c r="M58" s="724"/>
    </row>
    <row r="59" spans="1:13">
      <c r="A59" s="727" t="s">
        <v>2420</v>
      </c>
      <c r="B59" s="731">
        <v>1260.5571029599998</v>
      </c>
      <c r="C59" s="729">
        <v>12124.00490545</v>
      </c>
      <c r="D59" s="729">
        <v>1.5661024399999999</v>
      </c>
      <c r="E59" s="729">
        <v>0</v>
      </c>
      <c r="F59" s="729">
        <v>438.41196830177597</v>
      </c>
      <c r="G59" s="729">
        <v>143.10000034755461</v>
      </c>
      <c r="H59" s="730">
        <v>13967.64007949933</v>
      </c>
      <c r="I59" s="724">
        <v>0</v>
      </c>
      <c r="J59" s="724">
        <v>711.46544827000002</v>
      </c>
      <c r="K59" s="724"/>
      <c r="L59" s="724"/>
      <c r="M59" s="724"/>
    </row>
    <row r="60" spans="1:13">
      <c r="A60" s="727" t="s">
        <v>2421</v>
      </c>
      <c r="B60" s="731">
        <v>1889.5468591018787</v>
      </c>
      <c r="C60" s="729">
        <v>3717.3904038163946</v>
      </c>
      <c r="D60" s="729">
        <v>0</v>
      </c>
      <c r="E60" s="729">
        <v>0</v>
      </c>
      <c r="F60" s="729">
        <v>2064.79746441622</v>
      </c>
      <c r="G60" s="729">
        <v>173.1081595455</v>
      </c>
      <c r="H60" s="730">
        <v>7844.8428868799929</v>
      </c>
      <c r="I60" s="724">
        <v>0</v>
      </c>
      <c r="J60" s="724">
        <v>803.78904303000002</v>
      </c>
      <c r="K60" s="724"/>
      <c r="L60" s="724"/>
      <c r="M60" s="724"/>
    </row>
    <row r="61" spans="1:13">
      <c r="A61" s="727" t="s">
        <v>2422</v>
      </c>
      <c r="B61" s="731">
        <v>544.74659744000007</v>
      </c>
      <c r="C61" s="729">
        <v>1285.8675738490022</v>
      </c>
      <c r="D61" s="729">
        <v>0</v>
      </c>
      <c r="E61" s="729">
        <v>0</v>
      </c>
      <c r="F61" s="729">
        <v>142.21462097999998</v>
      </c>
      <c r="G61" s="729">
        <v>0</v>
      </c>
      <c r="H61" s="730">
        <v>1972.8287922690022</v>
      </c>
      <c r="I61" s="724">
        <v>0</v>
      </c>
      <c r="J61" s="724">
        <v>7.1072843000000123</v>
      </c>
      <c r="K61" s="724"/>
      <c r="L61" s="724"/>
      <c r="M61" s="724"/>
    </row>
    <row r="62" spans="1:13">
      <c r="A62" s="727" t="s">
        <v>2423</v>
      </c>
      <c r="B62" s="731">
        <v>21.004001693488497</v>
      </c>
      <c r="C62" s="729">
        <v>46903.063820418596</v>
      </c>
      <c r="D62" s="729">
        <v>0</v>
      </c>
      <c r="E62" s="729">
        <v>0</v>
      </c>
      <c r="F62" s="729">
        <v>843.24909823956989</v>
      </c>
      <c r="G62" s="729">
        <v>0</v>
      </c>
      <c r="H62" s="730">
        <v>47767.316920351652</v>
      </c>
      <c r="I62" s="724">
        <v>0</v>
      </c>
      <c r="J62" s="724">
        <v>1809.2352186483802</v>
      </c>
      <c r="K62" s="724"/>
      <c r="L62" s="724"/>
      <c r="M62" s="724"/>
    </row>
    <row r="63" spans="1:13">
      <c r="A63" s="727" t="s">
        <v>2424</v>
      </c>
      <c r="B63" s="731">
        <v>0</v>
      </c>
      <c r="C63" s="729">
        <v>4010.447521586113</v>
      </c>
      <c r="D63" s="729">
        <v>0</v>
      </c>
      <c r="E63" s="729">
        <v>0</v>
      </c>
      <c r="F63" s="729">
        <v>0</v>
      </c>
      <c r="G63" s="729">
        <v>0</v>
      </c>
      <c r="H63" s="730">
        <v>4010.447521586113</v>
      </c>
      <c r="I63" s="724">
        <v>0</v>
      </c>
      <c r="J63" s="724">
        <v>144.45805041142904</v>
      </c>
      <c r="K63" s="724"/>
      <c r="L63" s="724"/>
      <c r="M63" s="724"/>
    </row>
    <row r="64" spans="1:13">
      <c r="A64" s="727" t="s">
        <v>2425</v>
      </c>
      <c r="B64" s="731">
        <v>-2E-8</v>
      </c>
      <c r="C64" s="729">
        <v>0</v>
      </c>
      <c r="D64" s="729">
        <v>0</v>
      </c>
      <c r="E64" s="729">
        <v>0</v>
      </c>
      <c r="F64" s="729">
        <v>23.148707779999999</v>
      </c>
      <c r="G64" s="729">
        <v>0</v>
      </c>
      <c r="H64" s="730">
        <v>23.148707759999997</v>
      </c>
      <c r="I64" s="724">
        <v>0</v>
      </c>
      <c r="J64" s="724">
        <v>3.0505472500000002</v>
      </c>
      <c r="K64" s="724"/>
      <c r="L64" s="724"/>
      <c r="M64" s="724"/>
    </row>
    <row r="65" spans="1:13">
      <c r="A65" s="727" t="s">
        <v>2426</v>
      </c>
      <c r="B65" s="731">
        <v>99.453529000000003</v>
      </c>
      <c r="C65" s="729">
        <v>972.71114799999998</v>
      </c>
      <c r="D65" s="729">
        <v>0</v>
      </c>
      <c r="E65" s="729">
        <v>0</v>
      </c>
      <c r="F65" s="729">
        <v>6.6080000000000002E-3</v>
      </c>
      <c r="G65" s="729">
        <v>0</v>
      </c>
      <c r="H65" s="730">
        <v>1072.1712849999999</v>
      </c>
      <c r="I65" s="724">
        <v>0</v>
      </c>
      <c r="J65" s="724">
        <v>8.05821772999996</v>
      </c>
      <c r="K65" s="724"/>
      <c r="L65" s="724"/>
      <c r="M65" s="724"/>
    </row>
    <row r="66" spans="1:13">
      <c r="A66" s="727" t="s">
        <v>2427</v>
      </c>
      <c r="B66" s="731">
        <v>238.39868852000001</v>
      </c>
      <c r="C66" s="729">
        <v>794.01557078999997</v>
      </c>
      <c r="D66" s="729">
        <v>0</v>
      </c>
      <c r="E66" s="729">
        <v>61.145381</v>
      </c>
      <c r="F66" s="729">
        <v>17.276316359999999</v>
      </c>
      <c r="G66" s="729">
        <v>0</v>
      </c>
      <c r="H66" s="730">
        <v>1110.8359566700001</v>
      </c>
      <c r="I66" s="724">
        <v>0</v>
      </c>
      <c r="J66" s="724">
        <v>67.095245579203336</v>
      </c>
      <c r="K66" s="724"/>
      <c r="L66" s="724"/>
      <c r="M66" s="724"/>
    </row>
    <row r="67" spans="1:13">
      <c r="A67" s="727" t="s">
        <v>2428</v>
      </c>
      <c r="B67" s="731">
        <v>255.90271272000001</v>
      </c>
      <c r="C67" s="729">
        <v>281.65363572999996</v>
      </c>
      <c r="D67" s="729">
        <v>0</v>
      </c>
      <c r="E67" s="729">
        <v>32.751942999999997</v>
      </c>
      <c r="F67" s="729">
        <v>1.3671000000000001E-2</v>
      </c>
      <c r="G67" s="729">
        <v>66.3245</v>
      </c>
      <c r="H67" s="730">
        <v>636.64646244999994</v>
      </c>
      <c r="I67" s="724">
        <v>0</v>
      </c>
      <c r="J67" s="724">
        <v>243.98757749999999</v>
      </c>
      <c r="K67" s="724"/>
      <c r="L67" s="724"/>
      <c r="M67" s="724"/>
    </row>
    <row r="68" spans="1:13" ht="13.5" thickBot="1">
      <c r="A68" s="732" t="s">
        <v>2389</v>
      </c>
      <c r="B68" s="733">
        <v>667.85729684374337</v>
      </c>
      <c r="C68" s="734">
        <v>1024.9186340377639</v>
      </c>
      <c r="D68" s="734">
        <v>0</v>
      </c>
      <c r="E68" s="734">
        <v>14.99415664</v>
      </c>
      <c r="F68" s="734">
        <v>10.7872052245955</v>
      </c>
      <c r="G68" s="734">
        <v>0</v>
      </c>
      <c r="H68" s="735">
        <v>1718.5572927461028</v>
      </c>
      <c r="I68" s="724">
        <v>0</v>
      </c>
      <c r="J68" s="724">
        <v>178.64139826999997</v>
      </c>
      <c r="K68" s="724"/>
      <c r="L68" s="724"/>
      <c r="M68" s="724"/>
    </row>
    <row r="69" spans="1:13" s="739" customFormat="1" ht="13.5" thickTop="1">
      <c r="A69" s="736" t="s">
        <v>2429</v>
      </c>
      <c r="B69" s="737"/>
      <c r="C69" s="737"/>
      <c r="D69" s="737"/>
      <c r="E69" s="737"/>
      <c r="F69" s="737"/>
      <c r="G69" s="738"/>
      <c r="H69" s="737"/>
      <c r="I69" s="724"/>
      <c r="J69" s="724"/>
      <c r="K69" s="724"/>
      <c r="L69" s="724"/>
      <c r="M69" s="724"/>
    </row>
    <row r="70" spans="1:13" ht="13.5" thickBot="1">
      <c r="A70" s="740"/>
      <c r="B70" s="741"/>
      <c r="C70" s="741"/>
      <c r="D70" s="741"/>
      <c r="E70" s="741"/>
      <c r="F70" s="741"/>
      <c r="H70" s="742" t="s">
        <v>49</v>
      </c>
      <c r="I70" s="724"/>
      <c r="J70" s="724"/>
      <c r="K70" s="724"/>
      <c r="L70" s="724"/>
      <c r="M70" s="724"/>
    </row>
    <row r="71" spans="1:13" ht="13.5" thickTop="1">
      <c r="A71" s="743" t="s">
        <v>2368</v>
      </c>
      <c r="B71" s="744" t="s">
        <v>2369</v>
      </c>
      <c r="C71" s="745" t="s">
        <v>28</v>
      </c>
      <c r="D71" s="745" t="s">
        <v>2370</v>
      </c>
      <c r="E71" s="745" t="s">
        <v>2370</v>
      </c>
      <c r="F71" s="745" t="s">
        <v>2371</v>
      </c>
      <c r="G71" s="745" t="s">
        <v>2372</v>
      </c>
      <c r="H71" s="746" t="s">
        <v>54</v>
      </c>
      <c r="I71" s="724"/>
      <c r="J71" s="724"/>
      <c r="K71" s="724"/>
      <c r="L71" s="724"/>
      <c r="M71" s="724"/>
    </row>
    <row r="72" spans="1:13">
      <c r="A72" s="747"/>
      <c r="B72" s="748"/>
      <c r="C72" s="749"/>
      <c r="D72" s="749" t="s">
        <v>2373</v>
      </c>
      <c r="E72" s="749" t="s">
        <v>2374</v>
      </c>
      <c r="F72" s="749" t="s">
        <v>2375</v>
      </c>
      <c r="G72" s="749" t="s">
        <v>2376</v>
      </c>
      <c r="H72" s="750"/>
      <c r="I72" s="724"/>
      <c r="J72" s="724"/>
      <c r="K72" s="724"/>
      <c r="L72" s="724"/>
      <c r="M72" s="724"/>
    </row>
    <row r="73" spans="1:13" ht="13.5" thickBot="1">
      <c r="A73" s="751"/>
      <c r="B73" s="752"/>
      <c r="C73" s="753"/>
      <c r="D73" s="753" t="s">
        <v>2377</v>
      </c>
      <c r="E73" s="753"/>
      <c r="F73" s="753" t="s">
        <v>28</v>
      </c>
      <c r="G73" s="753" t="s">
        <v>2378</v>
      </c>
      <c r="H73" s="754"/>
      <c r="I73" s="724"/>
      <c r="J73" s="724"/>
      <c r="K73" s="724"/>
      <c r="L73" s="724"/>
      <c r="M73" s="724"/>
    </row>
    <row r="74" spans="1:13" ht="13.5" thickTop="1">
      <c r="A74" s="720"/>
      <c r="B74" s="755"/>
      <c r="C74" s="756"/>
      <c r="D74" s="756"/>
      <c r="E74" s="756"/>
      <c r="F74" s="756"/>
      <c r="G74" s="756"/>
      <c r="H74" s="757"/>
      <c r="I74" s="724"/>
      <c r="J74" s="724"/>
      <c r="K74" s="724"/>
      <c r="L74" s="724"/>
      <c r="M74" s="724"/>
    </row>
    <row r="75" spans="1:13">
      <c r="A75" s="720" t="s">
        <v>2430</v>
      </c>
      <c r="B75" s="758">
        <v>10055.039313262148</v>
      </c>
      <c r="C75" s="722">
        <v>15298.912675748932</v>
      </c>
      <c r="D75" s="722">
        <v>1.7527502800000001</v>
      </c>
      <c r="E75" s="722">
        <v>1689.0222618099999</v>
      </c>
      <c r="F75" s="722">
        <v>2923.9956622062214</v>
      </c>
      <c r="G75" s="722">
        <v>65.561499999999995</v>
      </c>
      <c r="H75" s="723">
        <v>30034.284163307304</v>
      </c>
      <c r="I75" s="724"/>
      <c r="J75" s="724">
        <v>-17712488401.414356</v>
      </c>
      <c r="K75" s="724"/>
      <c r="L75" s="724"/>
      <c r="M75" s="724"/>
    </row>
    <row r="76" spans="1:13">
      <c r="A76" s="725" t="s">
        <v>2380</v>
      </c>
      <c r="B76" s="758"/>
      <c r="C76" s="722"/>
      <c r="D76" s="722"/>
      <c r="E76" s="722"/>
      <c r="F76" s="722"/>
      <c r="G76" s="722"/>
      <c r="H76" s="726"/>
      <c r="I76" s="724"/>
      <c r="J76" s="724"/>
      <c r="K76" s="724"/>
      <c r="L76" s="724"/>
      <c r="M76" s="724"/>
    </row>
    <row r="77" spans="1:13">
      <c r="A77" s="727" t="s">
        <v>2431</v>
      </c>
      <c r="B77" s="759">
        <v>25.865014479999999</v>
      </c>
      <c r="C77" s="729">
        <v>41.441034710000004</v>
      </c>
      <c r="D77" s="729">
        <v>0</v>
      </c>
      <c r="E77" s="729">
        <v>4.459295</v>
      </c>
      <c r="F77" s="729">
        <v>0.171676</v>
      </c>
      <c r="G77" s="729">
        <v>0</v>
      </c>
      <c r="H77" s="730">
        <v>71.937020190000013</v>
      </c>
      <c r="I77" s="724"/>
      <c r="J77" s="724"/>
      <c r="K77" s="724"/>
      <c r="L77" s="724"/>
      <c r="M77" s="724"/>
    </row>
    <row r="78" spans="1:13">
      <c r="A78" s="727" t="s">
        <v>2432</v>
      </c>
      <c r="B78" s="759">
        <v>2947.7295048091351</v>
      </c>
      <c r="C78" s="729">
        <v>5041.4138481265609</v>
      </c>
      <c r="D78" s="729">
        <v>0</v>
      </c>
      <c r="E78" s="729">
        <v>523.83346804000007</v>
      </c>
      <c r="F78" s="729">
        <v>751.96953558434359</v>
      </c>
      <c r="G78" s="729">
        <v>0</v>
      </c>
      <c r="H78" s="730">
        <v>9264.9463565600399</v>
      </c>
      <c r="I78" s="724"/>
      <c r="J78" s="724"/>
      <c r="K78" s="724"/>
      <c r="L78" s="724"/>
      <c r="M78" s="724"/>
    </row>
    <row r="79" spans="1:13">
      <c r="A79" s="727" t="s">
        <v>2433</v>
      </c>
      <c r="B79" s="759">
        <v>8.37054103</v>
      </c>
      <c r="C79" s="729">
        <v>119.26487127</v>
      </c>
      <c r="D79" s="729">
        <v>0</v>
      </c>
      <c r="E79" s="729">
        <v>0</v>
      </c>
      <c r="F79" s="729">
        <v>0</v>
      </c>
      <c r="G79" s="729">
        <v>0</v>
      </c>
      <c r="H79" s="730">
        <v>127.6354123</v>
      </c>
      <c r="I79" s="724"/>
      <c r="J79" s="724"/>
      <c r="K79" s="724"/>
      <c r="L79" s="724"/>
      <c r="M79" s="724"/>
    </row>
    <row r="80" spans="1:13">
      <c r="A80" s="727" t="s">
        <v>2434</v>
      </c>
      <c r="B80" s="759">
        <v>146.59141960999997</v>
      </c>
      <c r="C80" s="729">
        <v>487.30853651999996</v>
      </c>
      <c r="D80" s="729">
        <v>0</v>
      </c>
      <c r="E80" s="729">
        <v>10.396009279999999</v>
      </c>
      <c r="F80" s="729">
        <v>2.0422363999999997</v>
      </c>
      <c r="G80" s="729">
        <v>0</v>
      </c>
      <c r="H80" s="730">
        <v>646.33820180999999</v>
      </c>
      <c r="I80" s="724"/>
      <c r="J80" s="724"/>
      <c r="K80" s="724"/>
      <c r="L80" s="724"/>
      <c r="M80" s="724"/>
    </row>
    <row r="81" spans="1:13">
      <c r="A81" s="727" t="s">
        <v>2435</v>
      </c>
      <c r="B81" s="759">
        <v>217.67403530999999</v>
      </c>
      <c r="C81" s="729">
        <v>393.1290869</v>
      </c>
      <c r="D81" s="729">
        <v>0</v>
      </c>
      <c r="E81" s="729">
        <v>45.307108820000003</v>
      </c>
      <c r="F81" s="729">
        <v>0.21585017000000001</v>
      </c>
      <c r="G81" s="729">
        <v>0</v>
      </c>
      <c r="H81" s="730">
        <v>656.32608119999998</v>
      </c>
      <c r="I81" s="724"/>
      <c r="J81" s="724"/>
      <c r="K81" s="724"/>
      <c r="L81" s="724"/>
      <c r="M81" s="724"/>
    </row>
    <row r="82" spans="1:13">
      <c r="A82" s="727" t="s">
        <v>2436</v>
      </c>
      <c r="B82" s="759">
        <v>78.497311479999993</v>
      </c>
      <c r="C82" s="729">
        <v>113.96972608222842</v>
      </c>
      <c r="D82" s="729">
        <v>0</v>
      </c>
      <c r="E82" s="729">
        <v>24.49113848</v>
      </c>
      <c r="F82" s="729">
        <v>3.1600209999999997E-2</v>
      </c>
      <c r="G82" s="729">
        <v>0</v>
      </c>
      <c r="H82" s="730">
        <v>216.98977625222841</v>
      </c>
      <c r="I82" s="724"/>
      <c r="J82" s="724"/>
      <c r="K82" s="724"/>
      <c r="L82" s="724"/>
      <c r="M82" s="724"/>
    </row>
    <row r="83" spans="1:13">
      <c r="A83" s="727" t="s">
        <v>2437</v>
      </c>
      <c r="B83" s="759">
        <v>2010.9129377076495</v>
      </c>
      <c r="C83" s="729">
        <v>1671.4027528737406</v>
      </c>
      <c r="D83" s="729">
        <v>0</v>
      </c>
      <c r="E83" s="729">
        <v>160.27438588999999</v>
      </c>
      <c r="F83" s="729">
        <v>313.99309179322398</v>
      </c>
      <c r="G83" s="729">
        <v>65.561499999999995</v>
      </c>
      <c r="H83" s="730">
        <v>4222.1446682646138</v>
      </c>
      <c r="I83" s="724"/>
      <c r="J83" s="724"/>
      <c r="K83" s="724"/>
      <c r="L83" s="724"/>
      <c r="M83" s="724"/>
    </row>
    <row r="84" spans="1:13">
      <c r="A84" s="727" t="s">
        <v>2438</v>
      </c>
      <c r="B84" s="759">
        <v>878.69473641255672</v>
      </c>
      <c r="C84" s="729">
        <v>2024.6489632173232</v>
      </c>
      <c r="D84" s="729">
        <v>0</v>
      </c>
      <c r="E84" s="729">
        <v>404.73037527999998</v>
      </c>
      <c r="F84" s="729">
        <v>156.61986171683651</v>
      </c>
      <c r="G84" s="729">
        <v>0</v>
      </c>
      <c r="H84" s="730">
        <v>3464.6939366267161</v>
      </c>
      <c r="I84" s="724"/>
      <c r="J84" s="724"/>
      <c r="K84" s="724"/>
      <c r="L84" s="724"/>
      <c r="M84" s="724"/>
    </row>
    <row r="85" spans="1:13">
      <c r="A85" s="727" t="s">
        <v>2439</v>
      </c>
      <c r="B85" s="759">
        <v>549.98071548000007</v>
      </c>
      <c r="C85" s="729">
        <v>268.93408112999998</v>
      </c>
      <c r="D85" s="729">
        <v>0</v>
      </c>
      <c r="E85" s="729">
        <v>46.474597000000003</v>
      </c>
      <c r="F85" s="729">
        <v>330.57118857999995</v>
      </c>
      <c r="G85" s="729">
        <v>0</v>
      </c>
      <c r="H85" s="730">
        <v>1195.96058219</v>
      </c>
      <c r="I85" s="724"/>
      <c r="J85" s="724"/>
      <c r="K85" s="724"/>
      <c r="L85" s="724"/>
      <c r="M85" s="724"/>
    </row>
    <row r="86" spans="1:13">
      <c r="A86" s="727" t="s">
        <v>2440</v>
      </c>
      <c r="B86" s="759">
        <v>25.652836789999999</v>
      </c>
      <c r="C86" s="729">
        <v>24.800138889999999</v>
      </c>
      <c r="D86" s="729">
        <v>0</v>
      </c>
      <c r="E86" s="729">
        <v>3.0310779999999999</v>
      </c>
      <c r="F86" s="729">
        <v>0</v>
      </c>
      <c r="G86" s="729">
        <v>0</v>
      </c>
      <c r="H86" s="730">
        <v>53.484053679999995</v>
      </c>
      <c r="I86" s="724"/>
      <c r="J86" s="724"/>
      <c r="K86" s="724"/>
      <c r="L86" s="724"/>
      <c r="M86" s="724"/>
    </row>
    <row r="87" spans="1:13">
      <c r="A87" s="727" t="s">
        <v>2389</v>
      </c>
      <c r="B87" s="759">
        <v>3165.0702601528069</v>
      </c>
      <c r="C87" s="729">
        <v>5112.5996360290792</v>
      </c>
      <c r="D87" s="729">
        <v>1.7527502800000001</v>
      </c>
      <c r="E87" s="729">
        <v>466.02480601999997</v>
      </c>
      <c r="F87" s="729">
        <v>1368.3806217518177</v>
      </c>
      <c r="G87" s="729">
        <v>0</v>
      </c>
      <c r="H87" s="730">
        <v>10113.828074233703</v>
      </c>
      <c r="I87" s="724"/>
      <c r="J87" s="724"/>
      <c r="K87" s="724"/>
      <c r="L87" s="724"/>
      <c r="M87" s="724"/>
    </row>
    <row r="88" spans="1:13">
      <c r="A88" s="727"/>
      <c r="B88" s="759"/>
      <c r="C88" s="729"/>
      <c r="D88" s="729"/>
      <c r="E88" s="729"/>
      <c r="F88" s="729"/>
      <c r="G88" s="729"/>
      <c r="H88" s="726"/>
      <c r="I88" s="724"/>
      <c r="J88" s="724"/>
      <c r="K88" s="724"/>
      <c r="L88" s="724"/>
      <c r="M88" s="724"/>
    </row>
    <row r="89" spans="1:13">
      <c r="A89" s="720" t="s">
        <v>2441</v>
      </c>
      <c r="B89" s="758">
        <v>303.01729289464561</v>
      </c>
      <c r="C89" s="722">
        <v>1005.4461951161409</v>
      </c>
      <c r="D89" s="722">
        <v>0</v>
      </c>
      <c r="E89" s="722">
        <v>7.9786000000000001</v>
      </c>
      <c r="F89" s="722">
        <v>175.56134037000001</v>
      </c>
      <c r="G89" s="722">
        <v>0</v>
      </c>
      <c r="H89" s="723">
        <v>1492.0034283807863</v>
      </c>
      <c r="I89" s="724"/>
      <c r="J89" s="724">
        <v>-492187925.9783653</v>
      </c>
      <c r="K89" s="724"/>
      <c r="L89" s="724"/>
      <c r="M89" s="724"/>
    </row>
    <row r="90" spans="1:13">
      <c r="A90" s="725" t="s">
        <v>2380</v>
      </c>
      <c r="B90" s="758"/>
      <c r="C90" s="722"/>
      <c r="D90" s="722"/>
      <c r="E90" s="722"/>
      <c r="F90" s="722"/>
      <c r="G90" s="722"/>
      <c r="H90" s="730"/>
      <c r="I90" s="724"/>
      <c r="J90" s="724"/>
      <c r="K90" s="724"/>
      <c r="L90" s="724"/>
      <c r="M90" s="724"/>
    </row>
    <row r="91" spans="1:13">
      <c r="A91" s="727" t="s">
        <v>2442</v>
      </c>
      <c r="B91" s="759">
        <v>67.374415161897574</v>
      </c>
      <c r="C91" s="729">
        <v>750.24249556605594</v>
      </c>
      <c r="D91" s="729">
        <v>0</v>
      </c>
      <c r="E91" s="729">
        <v>0</v>
      </c>
      <c r="F91" s="729">
        <v>79.971680769999992</v>
      </c>
      <c r="G91" s="729">
        <v>0</v>
      </c>
      <c r="H91" s="730">
        <v>897.58859149795353</v>
      </c>
      <c r="I91" s="724"/>
      <c r="J91" s="724"/>
      <c r="K91" s="724"/>
      <c r="L91" s="724"/>
      <c r="M91" s="724"/>
    </row>
    <row r="92" spans="1:13">
      <c r="A92" s="727" t="s">
        <v>2443</v>
      </c>
      <c r="B92" s="759">
        <v>0.45179649</v>
      </c>
      <c r="C92" s="729">
        <v>1.1816218699999999</v>
      </c>
      <c r="D92" s="729">
        <v>0</v>
      </c>
      <c r="E92" s="729">
        <v>0</v>
      </c>
      <c r="F92" s="729">
        <v>1.2826799999999998E-3</v>
      </c>
      <c r="G92" s="729">
        <v>0</v>
      </c>
      <c r="H92" s="730">
        <v>1.6347010399999999</v>
      </c>
      <c r="I92" s="724"/>
      <c r="J92" s="724"/>
      <c r="K92" s="724"/>
      <c r="L92" s="724"/>
      <c r="M92" s="724"/>
    </row>
    <row r="93" spans="1:13">
      <c r="A93" s="727" t="s">
        <v>2444</v>
      </c>
      <c r="B93" s="759">
        <v>0.13218525</v>
      </c>
      <c r="C93" s="729">
        <v>86.888796999999997</v>
      </c>
      <c r="D93" s="729">
        <v>0</v>
      </c>
      <c r="E93" s="729">
        <v>0</v>
      </c>
      <c r="F93" s="729">
        <v>5.1971000000000003E-2</v>
      </c>
      <c r="G93" s="729">
        <v>0</v>
      </c>
      <c r="H93" s="730">
        <v>87.072953249999998</v>
      </c>
      <c r="I93" s="724"/>
      <c r="J93" s="724"/>
      <c r="K93" s="724"/>
      <c r="L93" s="724"/>
      <c r="M93" s="724"/>
    </row>
    <row r="94" spans="1:13">
      <c r="A94" s="727" t="s">
        <v>2445</v>
      </c>
      <c r="B94" s="759">
        <v>43.326505599999997</v>
      </c>
      <c r="C94" s="729">
        <v>20.092047670000003</v>
      </c>
      <c r="D94" s="729">
        <v>0</v>
      </c>
      <c r="E94" s="729">
        <v>2.5773709999999999</v>
      </c>
      <c r="F94" s="729">
        <v>0.53937620000000008</v>
      </c>
      <c r="G94" s="729">
        <v>0</v>
      </c>
      <c r="H94" s="730">
        <v>66.53530047000001</v>
      </c>
      <c r="I94" s="724"/>
      <c r="J94" s="724"/>
      <c r="K94" s="724"/>
      <c r="L94" s="724"/>
      <c r="M94" s="724"/>
    </row>
    <row r="95" spans="1:13">
      <c r="A95" s="727" t="s">
        <v>2446</v>
      </c>
      <c r="B95" s="759">
        <v>31.274280572748047</v>
      </c>
      <c r="C95" s="729">
        <v>30.545918090000004</v>
      </c>
      <c r="D95" s="729">
        <v>0</v>
      </c>
      <c r="E95" s="729">
        <v>2.5322610000000001</v>
      </c>
      <c r="F95" s="729">
        <v>70.410656239999994</v>
      </c>
      <c r="G95" s="729">
        <v>0</v>
      </c>
      <c r="H95" s="730">
        <v>134.76311590274804</v>
      </c>
      <c r="I95" s="724"/>
      <c r="J95" s="724"/>
      <c r="K95" s="724"/>
      <c r="L95" s="724"/>
      <c r="M95" s="724"/>
    </row>
    <row r="96" spans="1:13">
      <c r="A96" s="727" t="s">
        <v>2447</v>
      </c>
      <c r="B96" s="759">
        <v>32.990389809999996</v>
      </c>
      <c r="C96" s="729">
        <v>2.5928613700000001</v>
      </c>
      <c r="D96" s="729">
        <v>0</v>
      </c>
      <c r="E96" s="729">
        <v>2.027514</v>
      </c>
      <c r="F96" s="729">
        <v>8.6900905900000005</v>
      </c>
      <c r="G96" s="729">
        <v>0</v>
      </c>
      <c r="H96" s="730">
        <v>46.300855769999998</v>
      </c>
      <c r="I96" s="724"/>
      <c r="J96" s="724"/>
      <c r="K96" s="724"/>
      <c r="L96" s="724"/>
      <c r="M96" s="724"/>
    </row>
    <row r="97" spans="1:13">
      <c r="A97" s="727" t="s">
        <v>2389</v>
      </c>
      <c r="B97" s="759">
        <v>127.46772001000001</v>
      </c>
      <c r="C97" s="729">
        <v>113.90245355008499</v>
      </c>
      <c r="D97" s="729">
        <v>0</v>
      </c>
      <c r="E97" s="729">
        <v>0.84145400000000004</v>
      </c>
      <c r="F97" s="729">
        <v>15.89628289</v>
      </c>
      <c r="G97" s="729">
        <v>0</v>
      </c>
      <c r="H97" s="730">
        <v>258.107910450085</v>
      </c>
      <c r="I97" s="724"/>
      <c r="J97" s="724"/>
      <c r="K97" s="724"/>
      <c r="L97" s="724"/>
      <c r="M97" s="724"/>
    </row>
    <row r="98" spans="1:13">
      <c r="A98" s="727"/>
      <c r="B98" s="759"/>
      <c r="C98" s="729"/>
      <c r="D98" s="729"/>
      <c r="E98" s="729"/>
      <c r="F98" s="729"/>
      <c r="G98" s="729"/>
      <c r="H98" s="730"/>
      <c r="I98" s="724"/>
      <c r="J98" s="724"/>
      <c r="K98" s="724"/>
      <c r="L98" s="724"/>
      <c r="M98" s="724"/>
    </row>
    <row r="99" spans="1:13">
      <c r="A99" s="720" t="s">
        <v>2448</v>
      </c>
      <c r="B99" s="758">
        <v>4165.9705891342956</v>
      </c>
      <c r="C99" s="722">
        <v>17106.307827007913</v>
      </c>
      <c r="D99" s="722">
        <v>18.727363660000002</v>
      </c>
      <c r="E99" s="722">
        <v>24.489076000000001</v>
      </c>
      <c r="F99" s="722">
        <v>2755.7527577221754</v>
      </c>
      <c r="G99" s="722">
        <v>940.9307675</v>
      </c>
      <c r="H99" s="723">
        <v>25012.178381024387</v>
      </c>
      <c r="I99" s="724"/>
      <c r="J99" s="724">
        <v>-13343666313.261974</v>
      </c>
      <c r="K99" s="724"/>
      <c r="L99" s="724"/>
      <c r="M99" s="724"/>
    </row>
    <row r="100" spans="1:13">
      <c r="A100" s="725" t="s">
        <v>2380</v>
      </c>
      <c r="B100" s="758"/>
      <c r="C100" s="722"/>
      <c r="D100" s="722"/>
      <c r="E100" s="722"/>
      <c r="F100" s="722"/>
      <c r="G100" s="722"/>
      <c r="H100" s="730"/>
      <c r="I100" s="724"/>
      <c r="J100" s="724"/>
      <c r="K100" s="724"/>
      <c r="L100" s="724"/>
      <c r="M100" s="724"/>
    </row>
    <row r="101" spans="1:13">
      <c r="A101" s="727" t="s">
        <v>2449</v>
      </c>
      <c r="B101" s="759">
        <v>4.0291287499999999</v>
      </c>
      <c r="C101" s="729">
        <v>4.9362899999999996</v>
      </c>
      <c r="D101" s="729">
        <v>0</v>
      </c>
      <c r="E101" s="729">
        <v>0</v>
      </c>
      <c r="F101" s="729">
        <v>12.292653</v>
      </c>
      <c r="G101" s="729">
        <v>24.652000000000001</v>
      </c>
      <c r="H101" s="730">
        <v>45.91007175</v>
      </c>
      <c r="I101" s="724"/>
      <c r="J101" s="724"/>
      <c r="K101" s="724"/>
      <c r="L101" s="724"/>
      <c r="M101" s="724"/>
    </row>
    <row r="102" spans="1:13">
      <c r="A102" s="727" t="s">
        <v>2450</v>
      </c>
      <c r="B102" s="759">
        <v>19.825440630000003</v>
      </c>
      <c r="C102" s="729">
        <v>518.91603178000003</v>
      </c>
      <c r="D102" s="729">
        <v>0</v>
      </c>
      <c r="E102" s="729">
        <v>0</v>
      </c>
      <c r="F102" s="729">
        <v>0.81598694999999999</v>
      </c>
      <c r="G102" s="729">
        <v>126.98958399999999</v>
      </c>
      <c r="H102" s="730">
        <v>666.54704336000009</v>
      </c>
      <c r="I102" s="724"/>
      <c r="J102" s="724"/>
      <c r="K102" s="724"/>
      <c r="L102" s="724"/>
      <c r="M102" s="724"/>
    </row>
    <row r="103" spans="1:13">
      <c r="A103" s="727" t="s">
        <v>2451</v>
      </c>
      <c r="B103" s="759">
        <v>235.24539093852803</v>
      </c>
      <c r="C103" s="729">
        <v>2534.3259927362046</v>
      </c>
      <c r="D103" s="729">
        <v>0</v>
      </c>
      <c r="E103" s="729">
        <v>0</v>
      </c>
      <c r="F103" s="729">
        <v>128.296831</v>
      </c>
      <c r="G103" s="729">
        <v>0</v>
      </c>
      <c r="H103" s="730">
        <v>2897.8682146747328</v>
      </c>
      <c r="I103" s="724"/>
      <c r="J103" s="724"/>
      <c r="K103" s="724"/>
      <c r="L103" s="724"/>
      <c r="M103" s="724"/>
    </row>
    <row r="104" spans="1:13">
      <c r="A104" s="727" t="s">
        <v>2452</v>
      </c>
      <c r="B104" s="759">
        <v>5.6525249999999999E-2</v>
      </c>
      <c r="C104" s="729">
        <v>0.34282299999999999</v>
      </c>
      <c r="D104" s="729">
        <v>0</v>
      </c>
      <c r="E104" s="729">
        <v>0</v>
      </c>
      <c r="F104" s="729">
        <v>9.2169999999999995E-3</v>
      </c>
      <c r="G104" s="729">
        <v>0</v>
      </c>
      <c r="H104" s="730">
        <v>0.40856524999999994</v>
      </c>
      <c r="I104" s="724"/>
      <c r="J104" s="724"/>
      <c r="K104" s="724"/>
      <c r="L104" s="724"/>
      <c r="M104" s="724"/>
    </row>
    <row r="105" spans="1:13">
      <c r="A105" s="727" t="s">
        <v>2453</v>
      </c>
      <c r="B105" s="759">
        <v>255.34928128999999</v>
      </c>
      <c r="C105" s="729">
        <v>612.27321922658257</v>
      </c>
      <c r="D105" s="729">
        <v>0</v>
      </c>
      <c r="E105" s="729">
        <v>0</v>
      </c>
      <c r="F105" s="729">
        <v>584.83271551900009</v>
      </c>
      <c r="G105" s="729">
        <v>0</v>
      </c>
      <c r="H105" s="730">
        <v>1452.4552160355827</v>
      </c>
      <c r="I105" s="724"/>
      <c r="J105" s="724"/>
      <c r="K105" s="724"/>
      <c r="L105" s="724"/>
      <c r="M105" s="724"/>
    </row>
    <row r="106" spans="1:13">
      <c r="A106" s="727" t="s">
        <v>2454</v>
      </c>
      <c r="B106" s="759">
        <v>1195.4986404900001</v>
      </c>
      <c r="C106" s="729">
        <v>6072.98779913</v>
      </c>
      <c r="D106" s="729">
        <v>0</v>
      </c>
      <c r="E106" s="729">
        <v>0</v>
      </c>
      <c r="F106" s="729">
        <v>977.56908880993763</v>
      </c>
      <c r="G106" s="729">
        <v>351.06635999999997</v>
      </c>
      <c r="H106" s="730">
        <v>8597.1218884299378</v>
      </c>
      <c r="I106" s="724"/>
      <c r="J106" s="724"/>
      <c r="K106" s="724"/>
      <c r="L106" s="724"/>
      <c r="M106" s="724"/>
    </row>
    <row r="107" spans="1:13">
      <c r="A107" s="727" t="s">
        <v>2455</v>
      </c>
      <c r="B107" s="759">
        <v>7.7050960000000002E-2</v>
      </c>
      <c r="C107" s="729">
        <v>96.073446540000006</v>
      </c>
      <c r="D107" s="729">
        <v>0</v>
      </c>
      <c r="E107" s="729">
        <v>0</v>
      </c>
      <c r="F107" s="729">
        <v>1.267046E-2</v>
      </c>
      <c r="G107" s="729">
        <v>82.198712999999998</v>
      </c>
      <c r="H107" s="730">
        <v>178.36188096000001</v>
      </c>
      <c r="I107" s="724"/>
      <c r="J107" s="724"/>
      <c r="K107" s="724"/>
      <c r="L107" s="724"/>
      <c r="M107" s="724"/>
    </row>
    <row r="108" spans="1:13">
      <c r="A108" s="727" t="s">
        <v>2389</v>
      </c>
      <c r="B108" s="759">
        <v>2455.8891308257676</v>
      </c>
      <c r="C108" s="729">
        <v>7266.4522245951221</v>
      </c>
      <c r="D108" s="729">
        <v>18.727363660000002</v>
      </c>
      <c r="E108" s="729">
        <v>24.489076000000001</v>
      </c>
      <c r="F108" s="729">
        <v>1051.9235949832375</v>
      </c>
      <c r="G108" s="729">
        <v>356.02411050000001</v>
      </c>
      <c r="H108" s="730">
        <v>11173.505500564128</v>
      </c>
      <c r="I108" s="724"/>
      <c r="J108" s="724"/>
      <c r="K108" s="724"/>
      <c r="L108" s="724"/>
      <c r="M108" s="724"/>
    </row>
    <row r="109" spans="1:13">
      <c r="A109" s="720"/>
      <c r="B109" s="759"/>
      <c r="C109" s="729"/>
      <c r="D109" s="729"/>
      <c r="E109" s="729"/>
      <c r="F109" s="729"/>
      <c r="G109" s="729"/>
      <c r="H109" s="730"/>
      <c r="I109" s="724"/>
      <c r="J109" s="724"/>
      <c r="K109" s="724"/>
      <c r="L109" s="724"/>
      <c r="M109" s="724"/>
    </row>
    <row r="110" spans="1:13">
      <c r="A110" s="720" t="s">
        <v>2456</v>
      </c>
      <c r="B110" s="758">
        <v>161.82037729578499</v>
      </c>
      <c r="C110" s="722">
        <v>3960.9557774167752</v>
      </c>
      <c r="D110" s="722">
        <v>0</v>
      </c>
      <c r="E110" s="722">
        <v>71.893051999999997</v>
      </c>
      <c r="F110" s="722">
        <v>57.039817677950005</v>
      </c>
      <c r="G110" s="722">
        <v>0</v>
      </c>
      <c r="H110" s="723">
        <v>4251.7090243905104</v>
      </c>
      <c r="I110" s="724"/>
      <c r="J110" s="724">
        <v>-2832790214.7834396</v>
      </c>
      <c r="K110" s="724"/>
      <c r="L110" s="724"/>
      <c r="M110" s="724"/>
    </row>
    <row r="111" spans="1:13">
      <c r="A111" s="725" t="s">
        <v>2380</v>
      </c>
      <c r="B111" s="759"/>
      <c r="C111" s="729"/>
      <c r="D111" s="729"/>
      <c r="E111" s="729"/>
      <c r="F111" s="729"/>
      <c r="G111" s="729"/>
      <c r="H111" s="730"/>
      <c r="I111" s="724"/>
      <c r="J111" s="724"/>
      <c r="K111" s="724"/>
      <c r="L111" s="724"/>
      <c r="M111" s="724"/>
    </row>
    <row r="112" spans="1:13">
      <c r="A112" s="727" t="s">
        <v>2457</v>
      </c>
      <c r="B112" s="759">
        <v>0.43510100000000002</v>
      </c>
      <c r="C112" s="729">
        <v>297.5</v>
      </c>
      <c r="D112" s="729">
        <v>0</v>
      </c>
      <c r="E112" s="729">
        <v>0</v>
      </c>
      <c r="F112" s="729">
        <v>0</v>
      </c>
      <c r="G112" s="729">
        <v>0</v>
      </c>
      <c r="H112" s="730">
        <v>297.93510099999997</v>
      </c>
      <c r="I112" s="724"/>
      <c r="J112" s="724"/>
      <c r="K112" s="724"/>
      <c r="L112" s="724"/>
      <c r="M112" s="724"/>
    </row>
    <row r="113" spans="1:13">
      <c r="A113" s="727" t="s">
        <v>2458</v>
      </c>
      <c r="B113" s="759">
        <v>2.8045E-2</v>
      </c>
      <c r="C113" s="729">
        <v>0</v>
      </c>
      <c r="D113" s="729">
        <v>0</v>
      </c>
      <c r="E113" s="729">
        <v>0</v>
      </c>
      <c r="F113" s="729">
        <v>0</v>
      </c>
      <c r="G113" s="729">
        <v>0</v>
      </c>
      <c r="H113" s="730">
        <v>2.8045E-2</v>
      </c>
      <c r="I113" s="724"/>
      <c r="J113" s="724"/>
      <c r="K113" s="724"/>
      <c r="L113" s="724"/>
      <c r="M113" s="724"/>
    </row>
    <row r="114" spans="1:13">
      <c r="A114" s="727" t="s">
        <v>2459</v>
      </c>
      <c r="B114" s="759">
        <v>5.0583196699999995</v>
      </c>
      <c r="C114" s="729">
        <v>3401.9745699547652</v>
      </c>
      <c r="D114" s="729">
        <v>0</v>
      </c>
      <c r="E114" s="729">
        <v>0</v>
      </c>
      <c r="F114" s="729">
        <v>47.632319677950001</v>
      </c>
      <c r="G114" s="729">
        <v>0</v>
      </c>
      <c r="H114" s="730">
        <v>3454.6652093027151</v>
      </c>
      <c r="I114" s="724"/>
      <c r="J114" s="724"/>
      <c r="K114" s="724"/>
      <c r="L114" s="724"/>
      <c r="M114" s="724"/>
    </row>
    <row r="115" spans="1:13">
      <c r="A115" s="727" t="s">
        <v>2460</v>
      </c>
      <c r="B115" s="759">
        <v>50.823502679999997</v>
      </c>
      <c r="C115" s="729">
        <v>16.436532339999999</v>
      </c>
      <c r="D115" s="729">
        <v>0</v>
      </c>
      <c r="E115" s="729">
        <v>28.692036000000002</v>
      </c>
      <c r="F115" s="729">
        <v>2.9673000000000001E-2</v>
      </c>
      <c r="G115" s="729">
        <v>0</v>
      </c>
      <c r="H115" s="730">
        <v>95.981744020000008</v>
      </c>
      <c r="I115" s="724"/>
      <c r="J115" s="724"/>
      <c r="K115" s="724"/>
      <c r="L115" s="724"/>
      <c r="M115" s="724"/>
    </row>
    <row r="116" spans="1:13">
      <c r="A116" s="727" t="s">
        <v>2461</v>
      </c>
      <c r="B116" s="759">
        <v>3.3449346800000002</v>
      </c>
      <c r="C116" s="729">
        <v>1.7054138400000001</v>
      </c>
      <c r="D116" s="729">
        <v>0</v>
      </c>
      <c r="E116" s="729">
        <v>0</v>
      </c>
      <c r="F116" s="729">
        <v>0</v>
      </c>
      <c r="G116" s="729">
        <v>0</v>
      </c>
      <c r="H116" s="730">
        <v>5.05034852</v>
      </c>
      <c r="I116" s="724"/>
      <c r="J116" s="724"/>
      <c r="K116" s="724"/>
      <c r="L116" s="724"/>
      <c r="M116" s="724"/>
    </row>
    <row r="117" spans="1:13">
      <c r="A117" s="727" t="s">
        <v>2389</v>
      </c>
      <c r="B117" s="759">
        <v>102.13047426578498</v>
      </c>
      <c r="C117" s="729">
        <v>243.33926128200952</v>
      </c>
      <c r="D117" s="729">
        <v>0</v>
      </c>
      <c r="E117" s="729">
        <v>43.201016000000003</v>
      </c>
      <c r="F117" s="729">
        <v>9.3778249999999996</v>
      </c>
      <c r="G117" s="729">
        <v>0</v>
      </c>
      <c r="H117" s="730">
        <v>398.04857654779443</v>
      </c>
      <c r="I117" s="724"/>
      <c r="J117" s="724"/>
      <c r="K117" s="724"/>
      <c r="L117" s="724"/>
      <c r="M117" s="724"/>
    </row>
    <row r="118" spans="1:13">
      <c r="A118" s="727"/>
      <c r="B118" s="758"/>
      <c r="C118" s="722"/>
      <c r="D118" s="722"/>
      <c r="E118" s="722"/>
      <c r="F118" s="722"/>
      <c r="G118" s="722"/>
      <c r="H118" s="726"/>
      <c r="I118" s="724"/>
      <c r="J118" s="724"/>
      <c r="K118" s="724"/>
      <c r="L118" s="724"/>
      <c r="M118" s="724"/>
    </row>
    <row r="119" spans="1:13">
      <c r="A119" s="720" t="s">
        <v>2462</v>
      </c>
      <c r="B119" s="758">
        <v>199.523304</v>
      </c>
      <c r="C119" s="722">
        <v>0</v>
      </c>
      <c r="D119" s="722">
        <v>0</v>
      </c>
      <c r="E119" s="722">
        <v>0</v>
      </c>
      <c r="F119" s="722">
        <v>0</v>
      </c>
      <c r="G119" s="722">
        <v>0</v>
      </c>
      <c r="H119" s="723">
        <v>199.523304</v>
      </c>
      <c r="I119" s="724"/>
      <c r="J119" s="724">
        <v>-27532664.370000005</v>
      </c>
      <c r="K119" s="724"/>
      <c r="L119" s="724"/>
      <c r="M119" s="724"/>
    </row>
    <row r="120" spans="1:13">
      <c r="A120" s="720"/>
      <c r="B120" s="758"/>
      <c r="C120" s="722"/>
      <c r="D120" s="722"/>
      <c r="E120" s="722"/>
      <c r="F120" s="722"/>
      <c r="G120" s="722"/>
      <c r="H120" s="730"/>
      <c r="I120" s="724"/>
      <c r="J120" s="724"/>
      <c r="K120" s="724"/>
      <c r="L120" s="724"/>
      <c r="M120" s="724"/>
    </row>
    <row r="121" spans="1:13">
      <c r="A121" s="720" t="s">
        <v>2463</v>
      </c>
      <c r="B121" s="758">
        <v>59.828082960000003</v>
      </c>
      <c r="C121" s="722">
        <v>1521.5898293312734</v>
      </c>
      <c r="D121" s="722">
        <v>0</v>
      </c>
      <c r="E121" s="722">
        <v>0</v>
      </c>
      <c r="F121" s="722">
        <v>1536.8138279652223</v>
      </c>
      <c r="G121" s="722">
        <v>2.5248693450074198</v>
      </c>
      <c r="H121" s="723">
        <v>3120.7566096015034</v>
      </c>
      <c r="I121" s="724"/>
      <c r="J121" s="724">
        <v>-2166092296.5259762</v>
      </c>
      <c r="K121" s="724"/>
      <c r="L121" s="724"/>
      <c r="M121" s="724"/>
    </row>
    <row r="122" spans="1:13">
      <c r="A122" s="720"/>
      <c r="B122" s="758"/>
      <c r="C122" s="722"/>
      <c r="D122" s="722"/>
      <c r="E122" s="722"/>
      <c r="F122" s="722"/>
      <c r="G122" s="722"/>
      <c r="H122" s="723"/>
      <c r="I122" s="724"/>
      <c r="J122" s="724"/>
      <c r="K122" s="724"/>
      <c r="L122" s="724"/>
      <c r="M122" s="724"/>
    </row>
    <row r="123" spans="1:13">
      <c r="A123" s="720" t="s">
        <v>2464</v>
      </c>
      <c r="B123" s="758">
        <v>0.20116624</v>
      </c>
      <c r="C123" s="722">
        <v>0</v>
      </c>
      <c r="D123" s="722">
        <v>0</v>
      </c>
      <c r="E123" s="722">
        <v>0</v>
      </c>
      <c r="F123" s="722">
        <v>0</v>
      </c>
      <c r="G123" s="722">
        <v>0</v>
      </c>
      <c r="H123" s="723">
        <v>0.20116624</v>
      </c>
      <c r="I123" s="724">
        <f>SUM(B123:G123)</f>
        <v>0.20116624</v>
      </c>
      <c r="J123" s="724">
        <f>H123-I123</f>
        <v>0</v>
      </c>
      <c r="K123" s="724"/>
      <c r="L123" s="724"/>
      <c r="M123" s="724"/>
    </row>
    <row r="124" spans="1:13">
      <c r="A124" s="720"/>
      <c r="B124" s="758"/>
      <c r="C124" s="722"/>
      <c r="D124" s="722"/>
      <c r="E124" s="722"/>
      <c r="F124" s="722"/>
      <c r="G124" s="722"/>
      <c r="H124" s="723"/>
      <c r="I124" s="724"/>
      <c r="J124" s="724"/>
      <c r="K124" s="724"/>
      <c r="L124" s="724"/>
      <c r="M124" s="724"/>
    </row>
    <row r="125" spans="1:13" ht="13.5">
      <c r="A125" s="720" t="s">
        <v>2465</v>
      </c>
      <c r="B125" s="758">
        <v>1.3663E-4</v>
      </c>
      <c r="C125" s="722">
        <v>0</v>
      </c>
      <c r="D125" s="722">
        <v>0</v>
      </c>
      <c r="E125" s="722">
        <v>0</v>
      </c>
      <c r="F125" s="722">
        <v>0</v>
      </c>
      <c r="G125" s="722">
        <v>0</v>
      </c>
      <c r="H125" s="760">
        <v>1.3663E-4</v>
      </c>
      <c r="I125" s="724"/>
      <c r="J125" s="724">
        <v>0.50212699999999999</v>
      </c>
      <c r="K125" s="724"/>
      <c r="L125" s="724"/>
      <c r="M125" s="724"/>
    </row>
    <row r="126" spans="1:13">
      <c r="A126" s="720"/>
      <c r="B126" s="758"/>
      <c r="C126" s="722"/>
      <c r="D126" s="722"/>
      <c r="E126" s="722"/>
      <c r="F126" s="722"/>
      <c r="G126" s="722"/>
      <c r="H126" s="723"/>
      <c r="I126" s="724"/>
      <c r="J126" s="724"/>
      <c r="K126" s="724"/>
      <c r="L126" s="724"/>
      <c r="M126" s="724"/>
    </row>
    <row r="127" spans="1:13">
      <c r="A127" s="720" t="s">
        <v>2466</v>
      </c>
      <c r="B127" s="758">
        <v>71.58110963999998</v>
      </c>
      <c r="C127" s="722">
        <v>65.730708079999999</v>
      </c>
      <c r="D127" s="722">
        <v>0</v>
      </c>
      <c r="E127" s="722">
        <v>24.176611000000001</v>
      </c>
      <c r="F127" s="722">
        <v>273.7197475644</v>
      </c>
      <c r="G127" s="722">
        <v>0</v>
      </c>
      <c r="H127" s="723">
        <v>435.2081762844</v>
      </c>
      <c r="I127" s="724"/>
      <c r="J127" s="724">
        <v>-34246626.120000064</v>
      </c>
      <c r="K127" s="724"/>
      <c r="L127" s="724"/>
      <c r="M127" s="724"/>
    </row>
    <row r="128" spans="1:13">
      <c r="A128" s="720"/>
      <c r="B128" s="758"/>
      <c r="C128" s="722"/>
      <c r="D128" s="722"/>
      <c r="E128" s="722"/>
      <c r="F128" s="722"/>
      <c r="G128" s="722"/>
      <c r="H128" s="723"/>
      <c r="I128" s="724"/>
      <c r="J128" s="724"/>
      <c r="K128" s="724"/>
      <c r="L128" s="724"/>
      <c r="M128" s="724"/>
    </row>
    <row r="129" spans="1:13">
      <c r="A129" s="720" t="s">
        <v>2467</v>
      </c>
      <c r="B129" s="758">
        <v>28.642161880000003</v>
      </c>
      <c r="C129" s="722">
        <v>297.47279349000002</v>
      </c>
      <c r="D129" s="722">
        <v>0</v>
      </c>
      <c r="E129" s="722">
        <v>0</v>
      </c>
      <c r="F129" s="722">
        <v>45.132885791680003</v>
      </c>
      <c r="G129" s="722">
        <v>0</v>
      </c>
      <c r="H129" s="723">
        <v>371.24784116168001</v>
      </c>
      <c r="I129" s="724"/>
      <c r="J129" s="724">
        <v>-27685929.775841292</v>
      </c>
      <c r="K129" s="724"/>
      <c r="L129" s="724"/>
      <c r="M129" s="724"/>
    </row>
    <row r="130" spans="1:13">
      <c r="A130" s="720"/>
      <c r="B130" s="758"/>
      <c r="C130" s="722"/>
      <c r="D130" s="722"/>
      <c r="E130" s="722"/>
      <c r="F130" s="722"/>
      <c r="G130" s="722"/>
      <c r="H130" s="723"/>
      <c r="I130" s="724"/>
      <c r="J130" s="724"/>
      <c r="K130" s="724"/>
      <c r="L130" s="724"/>
      <c r="M130" s="724"/>
    </row>
    <row r="131" spans="1:13">
      <c r="A131" s="720" t="s">
        <v>2468</v>
      </c>
      <c r="B131" s="758">
        <v>0.25982075999999998</v>
      </c>
      <c r="C131" s="722">
        <v>0</v>
      </c>
      <c r="D131" s="722">
        <v>0</v>
      </c>
      <c r="E131" s="722">
        <v>0</v>
      </c>
      <c r="F131" s="722">
        <v>0</v>
      </c>
      <c r="G131" s="722">
        <v>0</v>
      </c>
      <c r="H131" s="723">
        <v>0.25982075999999998</v>
      </c>
      <c r="I131" s="724"/>
      <c r="J131" s="724">
        <v>-33465.022893820002</v>
      </c>
      <c r="K131" s="724"/>
      <c r="L131" s="724"/>
      <c r="M131" s="724"/>
    </row>
    <row r="132" spans="1:13">
      <c r="A132" s="720"/>
      <c r="B132" s="758"/>
      <c r="C132" s="722"/>
      <c r="D132" s="722"/>
      <c r="E132" s="722"/>
      <c r="F132" s="722"/>
      <c r="G132" s="722"/>
      <c r="H132" s="730"/>
      <c r="I132" s="724"/>
      <c r="J132" s="724"/>
      <c r="K132" s="724"/>
      <c r="L132" s="724"/>
      <c r="M132" s="724"/>
    </row>
    <row r="133" spans="1:13" ht="15.75">
      <c r="A133" s="720" t="s">
        <v>2469</v>
      </c>
      <c r="B133" s="758">
        <v>4586.6972316019492</v>
      </c>
      <c r="C133" s="722">
        <v>22144.927488115209</v>
      </c>
      <c r="D133" s="722">
        <v>14.441554410000085</v>
      </c>
      <c r="E133" s="722">
        <v>13.54388</v>
      </c>
      <c r="F133" s="722">
        <v>2544.5138586109169</v>
      </c>
      <c r="G133" s="722">
        <v>0</v>
      </c>
      <c r="H133" s="723">
        <v>29304.124012738077</v>
      </c>
      <c r="I133" s="724"/>
      <c r="J133" s="724">
        <v>-11342360686.827675</v>
      </c>
      <c r="K133" s="724"/>
      <c r="L133" s="724"/>
      <c r="M133" s="724"/>
    </row>
    <row r="134" spans="1:13">
      <c r="A134" s="720"/>
      <c r="B134" s="758"/>
      <c r="C134" s="722"/>
      <c r="D134" s="722"/>
      <c r="E134" s="722"/>
      <c r="F134" s="722"/>
      <c r="G134" s="722"/>
      <c r="H134" s="730"/>
      <c r="I134" s="724">
        <f>SUM(B134:G134)</f>
        <v>0</v>
      </c>
      <c r="J134" s="724">
        <f>H134-I134</f>
        <v>0</v>
      </c>
      <c r="K134" s="724"/>
      <c r="L134" s="724"/>
      <c r="M134" s="724"/>
    </row>
    <row r="135" spans="1:13" ht="15.75">
      <c r="A135" s="720" t="s">
        <v>2470</v>
      </c>
      <c r="B135" s="758">
        <v>372.70247840159681</v>
      </c>
      <c r="C135" s="722">
        <v>794.04053349406774</v>
      </c>
      <c r="D135" s="722">
        <v>0.35434528000000004</v>
      </c>
      <c r="E135" s="722">
        <v>11.454478</v>
      </c>
      <c r="F135" s="722">
        <v>82.097642196492004</v>
      </c>
      <c r="G135" s="722">
        <v>0</v>
      </c>
      <c r="H135" s="723">
        <v>1260.6494773721565</v>
      </c>
      <c r="I135" s="724"/>
      <c r="J135" s="724">
        <v>32726518.659430504</v>
      </c>
      <c r="K135" s="724"/>
      <c r="L135" s="724"/>
      <c r="M135" s="724"/>
    </row>
    <row r="136" spans="1:13">
      <c r="A136" s="720"/>
      <c r="B136" s="758"/>
      <c r="C136" s="722"/>
      <c r="D136" s="722"/>
      <c r="E136" s="722"/>
      <c r="F136" s="722"/>
      <c r="G136" s="722"/>
      <c r="H136" s="723"/>
      <c r="I136" s="724">
        <f>SUM(B136:G136)</f>
        <v>0</v>
      </c>
      <c r="J136" s="724">
        <f>H136-I136</f>
        <v>0</v>
      </c>
      <c r="K136" s="724"/>
      <c r="L136" s="724"/>
      <c r="M136" s="724"/>
    </row>
    <row r="137" spans="1:13">
      <c r="A137" s="720" t="s">
        <v>2471</v>
      </c>
      <c r="B137" s="758">
        <v>74.000890330000004</v>
      </c>
      <c r="C137" s="722">
        <v>1298.8172971495783</v>
      </c>
      <c r="D137" s="722">
        <v>0</v>
      </c>
      <c r="E137" s="722">
        <v>0</v>
      </c>
      <c r="F137" s="722">
        <v>24.997395817400001</v>
      </c>
      <c r="G137" s="722">
        <v>24.172939966692557</v>
      </c>
      <c r="H137" s="723">
        <v>1421.9885232636709</v>
      </c>
      <c r="I137" s="724">
        <f>SUM(B137:G137)</f>
        <v>1421.9885232636709</v>
      </c>
      <c r="J137" s="724">
        <f>H137-I137</f>
        <v>0</v>
      </c>
      <c r="K137" s="724"/>
      <c r="L137" s="724"/>
      <c r="M137" s="724"/>
    </row>
    <row r="138" spans="1:13">
      <c r="A138" s="720"/>
      <c r="B138" s="758"/>
      <c r="C138" s="722"/>
      <c r="D138" s="722"/>
      <c r="E138" s="722"/>
      <c r="F138" s="722"/>
      <c r="G138" s="722"/>
      <c r="H138" s="723"/>
      <c r="I138" s="724"/>
      <c r="J138" s="724"/>
      <c r="K138" s="724"/>
      <c r="L138" s="724"/>
      <c r="M138" s="724"/>
    </row>
    <row r="139" spans="1:13">
      <c r="A139" s="720" t="s">
        <v>2472</v>
      </c>
      <c r="B139" s="758">
        <v>2.4714399999999999</v>
      </c>
      <c r="C139" s="722">
        <v>0</v>
      </c>
      <c r="D139" s="722">
        <v>0</v>
      </c>
      <c r="E139" s="722">
        <v>0</v>
      </c>
      <c r="F139" s="722">
        <v>0</v>
      </c>
      <c r="G139" s="722">
        <v>0</v>
      </c>
      <c r="H139" s="723">
        <v>2.4714399999999999</v>
      </c>
      <c r="I139" s="724">
        <f>SUM(B139:G139)</f>
        <v>2.4714399999999999</v>
      </c>
      <c r="J139" s="724">
        <f>H139-I139</f>
        <v>0</v>
      </c>
      <c r="K139" s="724"/>
      <c r="L139" s="724"/>
      <c r="M139" s="724"/>
    </row>
    <row r="140" spans="1:13">
      <c r="A140" s="720"/>
      <c r="B140" s="758"/>
      <c r="C140" s="722"/>
      <c r="D140" s="722"/>
      <c r="E140" s="722"/>
      <c r="F140" s="722"/>
      <c r="G140" s="722"/>
      <c r="H140" s="723"/>
      <c r="I140" s="724"/>
      <c r="J140" s="724"/>
      <c r="K140" s="724"/>
      <c r="L140" s="724"/>
      <c r="M140" s="724"/>
    </row>
    <row r="141" spans="1:13">
      <c r="A141" s="720" t="s">
        <v>2473</v>
      </c>
      <c r="B141" s="758">
        <v>162.52810460559999</v>
      </c>
      <c r="C141" s="722">
        <v>738.10352419020012</v>
      </c>
      <c r="D141" s="722">
        <v>0</v>
      </c>
      <c r="E141" s="722">
        <v>4.412064</v>
      </c>
      <c r="F141" s="722">
        <v>0.87802320675000001</v>
      </c>
      <c r="G141" s="722">
        <v>0</v>
      </c>
      <c r="H141" s="761">
        <v>905.92171600255006</v>
      </c>
      <c r="I141" s="724">
        <f>SUM(B141:G141)</f>
        <v>905.92171600255006</v>
      </c>
      <c r="J141" s="724">
        <f>H141-I141</f>
        <v>0</v>
      </c>
      <c r="K141" s="724"/>
      <c r="L141" s="724"/>
      <c r="M141" s="724"/>
    </row>
    <row r="142" spans="1:13">
      <c r="A142" s="720"/>
      <c r="B142" s="758"/>
      <c r="C142" s="722"/>
      <c r="D142" s="722"/>
      <c r="E142" s="722"/>
      <c r="F142" s="722"/>
      <c r="G142" s="722"/>
      <c r="H142" s="723"/>
      <c r="I142" s="724"/>
      <c r="J142" s="724"/>
      <c r="K142" s="724"/>
      <c r="L142" s="724"/>
      <c r="M142" s="724"/>
    </row>
    <row r="143" spans="1:13">
      <c r="A143" s="720" t="s">
        <v>2168</v>
      </c>
      <c r="B143" s="758">
        <v>669.17007564990774</v>
      </c>
      <c r="C143" s="722">
        <v>3032.7213159724774</v>
      </c>
      <c r="D143" s="722">
        <v>1.9786686400000002</v>
      </c>
      <c r="E143" s="722">
        <v>60.420786460000002</v>
      </c>
      <c r="F143" s="722">
        <v>413.66716182811439</v>
      </c>
      <c r="G143" s="722">
        <v>3.89201058</v>
      </c>
      <c r="H143" s="723">
        <v>4181.8500191304993</v>
      </c>
      <c r="I143" s="724">
        <f>SUM(B143:G143)</f>
        <v>4181.8500191304993</v>
      </c>
      <c r="J143" s="724">
        <f>H143-I143</f>
        <v>0</v>
      </c>
      <c r="K143" s="724"/>
      <c r="L143" s="724"/>
      <c r="M143" s="724"/>
    </row>
    <row r="144" spans="1:13">
      <c r="A144" s="762"/>
      <c r="B144" s="758"/>
      <c r="C144" s="722"/>
      <c r="D144" s="722"/>
      <c r="E144" s="722"/>
      <c r="F144" s="722"/>
      <c r="G144" s="722"/>
      <c r="H144" s="723"/>
      <c r="I144" s="724"/>
      <c r="J144" s="724"/>
      <c r="K144" s="724"/>
      <c r="L144" s="724"/>
      <c r="M144" s="724"/>
    </row>
    <row r="145" spans="1:15">
      <c r="A145" s="720" t="s">
        <v>54</v>
      </c>
      <c r="B145" s="758">
        <v>39662.803991577544</v>
      </c>
      <c r="C145" s="722">
        <v>180481.06041699776</v>
      </c>
      <c r="D145" s="722">
        <v>975.87733921000006</v>
      </c>
      <c r="E145" s="722">
        <v>3984.3610223699998</v>
      </c>
      <c r="F145" s="722">
        <v>47057.422138884445</v>
      </c>
      <c r="G145" s="722">
        <v>3104.5373864047542</v>
      </c>
      <c r="H145" s="761">
        <v>275266.06229544448</v>
      </c>
      <c r="I145" s="724"/>
      <c r="J145" s="724"/>
      <c r="K145" s="724"/>
      <c r="L145" s="724"/>
      <c r="M145" s="724"/>
    </row>
    <row r="146" spans="1:15" ht="13.5" thickBot="1">
      <c r="A146" s="763"/>
      <c r="B146" s="764"/>
      <c r="C146" s="765"/>
      <c r="D146" s="765"/>
      <c r="E146" s="765"/>
      <c r="F146" s="765"/>
      <c r="G146" s="765"/>
      <c r="H146" s="766"/>
      <c r="I146" s="724"/>
      <c r="J146" s="724"/>
      <c r="K146" s="724"/>
      <c r="L146" s="724"/>
    </row>
    <row r="147" spans="1:15" ht="18.75" thickTop="1">
      <c r="A147" s="767" t="s">
        <v>2474</v>
      </c>
      <c r="B147" s="768"/>
      <c r="C147" s="768"/>
      <c r="D147" s="769" t="s">
        <v>2346</v>
      </c>
      <c r="E147" s="768"/>
      <c r="F147" s="768"/>
      <c r="G147" s="768"/>
      <c r="H147" s="768"/>
      <c r="I147" s="724"/>
      <c r="J147" s="724"/>
      <c r="K147" s="724"/>
      <c r="L147" s="724"/>
    </row>
    <row r="148" spans="1:15">
      <c r="A148" s="767" t="s">
        <v>2475</v>
      </c>
      <c r="B148" s="739"/>
      <c r="C148" s="739"/>
      <c r="D148" s="739"/>
      <c r="E148" s="739"/>
      <c r="F148" s="739"/>
      <c r="G148" s="739"/>
      <c r="H148" s="737"/>
      <c r="I148" s="724"/>
      <c r="J148" s="724"/>
      <c r="K148" s="724"/>
      <c r="L148" s="724"/>
    </row>
    <row r="149" spans="1:15">
      <c r="A149" s="770" t="s">
        <v>2476</v>
      </c>
      <c r="B149" s="739"/>
      <c r="C149" s="739"/>
      <c r="D149" s="739"/>
      <c r="E149" s="739"/>
      <c r="F149" s="739"/>
      <c r="G149" s="739"/>
      <c r="H149" s="737"/>
      <c r="I149" s="724"/>
      <c r="J149" s="724"/>
      <c r="K149" s="724"/>
      <c r="L149" s="724"/>
    </row>
    <row r="150" spans="1:15">
      <c r="A150" s="771" t="s">
        <v>2477</v>
      </c>
      <c r="H150" s="724"/>
      <c r="I150" s="724"/>
      <c r="J150" s="724"/>
      <c r="K150" s="724"/>
      <c r="L150" s="724"/>
    </row>
    <row r="151" spans="1:15">
      <c r="B151" s="724"/>
      <c r="C151" s="724"/>
      <c r="D151" s="724"/>
      <c r="E151" s="724"/>
      <c r="F151" s="724"/>
      <c r="G151" s="724"/>
      <c r="H151" s="724"/>
      <c r="I151" s="724"/>
      <c r="J151" s="724"/>
      <c r="K151" s="724"/>
      <c r="L151" s="724"/>
      <c r="M151" s="724"/>
      <c r="N151" s="724"/>
      <c r="O151" s="724"/>
    </row>
    <row r="152" spans="1:15">
      <c r="B152" s="724"/>
      <c r="C152" s="724"/>
      <c r="D152" s="724"/>
      <c r="E152" s="724"/>
      <c r="F152" s="724"/>
      <c r="G152" s="724"/>
      <c r="I152" s="724"/>
      <c r="J152" s="724"/>
      <c r="K152" s="724"/>
      <c r="L152" s="724"/>
    </row>
    <row r="153" spans="1:15">
      <c r="B153" s="724"/>
      <c r="C153" s="724"/>
      <c r="D153" s="724"/>
      <c r="E153" s="724"/>
      <c r="F153" s="724"/>
      <c r="G153" s="724"/>
      <c r="H153" s="724"/>
      <c r="I153" s="724"/>
      <c r="J153" s="724"/>
      <c r="K153" s="724"/>
      <c r="L153" s="724"/>
    </row>
    <row r="154" spans="1:15">
      <c r="B154" s="724"/>
      <c r="H154" s="724"/>
      <c r="I154" s="724"/>
      <c r="J154" s="724"/>
      <c r="K154" s="724"/>
      <c r="L154" s="724"/>
    </row>
    <row r="155" spans="1:15">
      <c r="I155" s="724"/>
      <c r="J155" s="724"/>
      <c r="K155" s="724"/>
      <c r="L155" s="724"/>
    </row>
    <row r="156" spans="1:15">
      <c r="I156" s="724"/>
      <c r="J156" s="724"/>
      <c r="K156" s="724"/>
      <c r="L156" s="724"/>
    </row>
    <row r="157" spans="1:15">
      <c r="I157" s="724"/>
      <c r="J157" s="724"/>
      <c r="K157" s="724"/>
      <c r="L157" s="724"/>
    </row>
    <row r="158" spans="1:15">
      <c r="I158" s="724"/>
      <c r="J158" s="724"/>
      <c r="K158" s="724"/>
      <c r="L158" s="724"/>
    </row>
    <row r="159" spans="1:15">
      <c r="I159" s="724"/>
      <c r="J159" s="724"/>
      <c r="K159" s="724"/>
      <c r="L159" s="724"/>
    </row>
    <row r="160" spans="1:15">
      <c r="I160" s="724"/>
      <c r="J160" s="724"/>
      <c r="K160" s="724"/>
      <c r="L160" s="724"/>
    </row>
    <row r="161" spans="9:12">
      <c r="I161" s="724"/>
      <c r="J161" s="724"/>
      <c r="K161" s="724"/>
      <c r="L161" s="724"/>
    </row>
    <row r="162" spans="9:12">
      <c r="I162" s="724"/>
      <c r="J162" s="724"/>
      <c r="K162" s="724"/>
      <c r="L162" s="724"/>
    </row>
    <row r="163" spans="9:12">
      <c r="I163" s="724"/>
      <c r="J163" s="724"/>
      <c r="K163" s="724"/>
      <c r="L163" s="724"/>
    </row>
    <row r="164" spans="9:12">
      <c r="I164" s="724"/>
      <c r="J164" s="724"/>
      <c r="K164" s="724"/>
      <c r="L164" s="724"/>
    </row>
    <row r="165" spans="9:12">
      <c r="I165" s="724"/>
      <c r="J165" s="724"/>
      <c r="K165" s="724"/>
      <c r="L165" s="724"/>
    </row>
    <row r="166" spans="9:12">
      <c r="I166" s="724"/>
      <c r="J166" s="724"/>
      <c r="K166" s="724"/>
      <c r="L166" s="724"/>
    </row>
    <row r="167" spans="9:12">
      <c r="I167" s="724"/>
      <c r="J167" s="724"/>
      <c r="K167" s="724"/>
    </row>
    <row r="168" spans="9:12">
      <c r="I168" s="724"/>
      <c r="J168" s="724"/>
      <c r="K168" s="724"/>
    </row>
    <row r="169" spans="9:12">
      <c r="I169" s="724"/>
      <c r="J169" s="724"/>
      <c r="K169" s="724"/>
    </row>
    <row r="170" spans="9:12">
      <c r="I170" s="724"/>
      <c r="J170" s="724"/>
      <c r="K170" s="724"/>
    </row>
    <row r="171" spans="9:12">
      <c r="I171" s="724"/>
      <c r="J171" s="724"/>
      <c r="K171" s="724"/>
    </row>
    <row r="172" spans="9:12">
      <c r="I172" s="724"/>
      <c r="J172" s="724"/>
      <c r="K172" s="724"/>
    </row>
    <row r="173" spans="9:12">
      <c r="I173" s="724"/>
      <c r="J173" s="724"/>
      <c r="K173" s="724"/>
    </row>
    <row r="174" spans="9:12">
      <c r="I174" s="724"/>
      <c r="J174" s="724"/>
      <c r="K174" s="724"/>
    </row>
    <row r="175" spans="9:12">
      <c r="I175" s="724"/>
      <c r="J175" s="724"/>
      <c r="K175" s="724"/>
    </row>
    <row r="176" spans="9:12">
      <c r="I176" s="724"/>
      <c r="J176" s="724"/>
      <c r="K176" s="724"/>
    </row>
    <row r="177" spans="9:11">
      <c r="I177" s="724"/>
      <c r="J177" s="724"/>
      <c r="K177" s="724"/>
    </row>
    <row r="178" spans="9:11">
      <c r="I178" s="724"/>
      <c r="J178" s="724"/>
      <c r="K178" s="724"/>
    </row>
    <row r="179" spans="9:11">
      <c r="I179" s="724"/>
      <c r="J179" s="724"/>
      <c r="K179" s="724"/>
    </row>
    <row r="180" spans="9:11">
      <c r="I180" s="724"/>
      <c r="J180" s="724"/>
      <c r="K180" s="724"/>
    </row>
    <row r="181" spans="9:11">
      <c r="I181" s="724"/>
      <c r="J181" s="724"/>
      <c r="K181" s="724"/>
    </row>
    <row r="182" spans="9:11">
      <c r="I182" s="724"/>
      <c r="J182" s="724"/>
      <c r="K182" s="724"/>
    </row>
    <row r="183" spans="9:11">
      <c r="I183" s="724"/>
      <c r="J183" s="724"/>
      <c r="K183" s="724"/>
    </row>
    <row r="184" spans="9:11">
      <c r="I184" s="724"/>
      <c r="J184" s="724"/>
      <c r="K184" s="724"/>
    </row>
    <row r="185" spans="9:11">
      <c r="I185" s="724"/>
      <c r="J185" s="724"/>
      <c r="K185" s="724"/>
    </row>
    <row r="186" spans="9:11">
      <c r="I186" s="724"/>
      <c r="J186" s="724"/>
      <c r="K186" s="724"/>
    </row>
    <row r="187" spans="9:11">
      <c r="I187" s="724"/>
      <c r="J187" s="724"/>
      <c r="K187" s="724"/>
    </row>
    <row r="188" spans="9:11">
      <c r="I188" s="724"/>
      <c r="J188" s="724"/>
      <c r="K188" s="724"/>
    </row>
    <row r="189" spans="9:11">
      <c r="I189" s="724"/>
      <c r="J189" s="724"/>
      <c r="K189" s="724"/>
    </row>
    <row r="190" spans="9:11">
      <c r="I190" s="724"/>
      <c r="J190" s="724"/>
      <c r="K190" s="724"/>
    </row>
    <row r="191" spans="9:11">
      <c r="I191" s="724"/>
      <c r="J191" s="724"/>
      <c r="K191" s="724"/>
    </row>
    <row r="192" spans="9:11">
      <c r="I192" s="724"/>
      <c r="J192" s="724"/>
      <c r="K192" s="724"/>
    </row>
    <row r="193" spans="9:11">
      <c r="I193" s="724"/>
      <c r="J193" s="724"/>
      <c r="K193" s="724"/>
    </row>
    <row r="194" spans="9:11">
      <c r="I194" s="724"/>
      <c r="J194" s="724"/>
      <c r="K194" s="724"/>
    </row>
    <row r="195" spans="9:11">
      <c r="I195" s="724"/>
      <c r="J195" s="724"/>
      <c r="K195" s="724"/>
    </row>
    <row r="196" spans="9:11">
      <c r="I196" s="724"/>
      <c r="J196" s="724"/>
      <c r="K196" s="724"/>
    </row>
    <row r="197" spans="9:11">
      <c r="I197" s="724"/>
      <c r="J197" s="724"/>
      <c r="K197" s="724"/>
    </row>
    <row r="198" spans="9:11">
      <c r="I198" s="724"/>
      <c r="J198" s="724"/>
      <c r="K198" s="724"/>
    </row>
    <row r="199" spans="9:11">
      <c r="I199" s="724"/>
      <c r="J199" s="724"/>
      <c r="K199" s="724"/>
    </row>
    <row r="200" spans="9:11">
      <c r="I200" s="724"/>
      <c r="J200" s="724"/>
      <c r="K200" s="724"/>
    </row>
    <row r="201" spans="9:11">
      <c r="I201" s="724"/>
      <c r="J201" s="724"/>
      <c r="K201" s="724"/>
    </row>
    <row r="202" spans="9:11">
      <c r="I202" s="724"/>
      <c r="J202" s="724"/>
      <c r="K202" s="724"/>
    </row>
    <row r="203" spans="9:11">
      <c r="I203" s="724"/>
      <c r="J203" s="724"/>
      <c r="K203" s="724"/>
    </row>
    <row r="204" spans="9:11">
      <c r="I204" s="724"/>
      <c r="J204" s="724"/>
      <c r="K204" s="724"/>
    </row>
    <row r="205" spans="9:11">
      <c r="I205" s="724"/>
      <c r="J205" s="724"/>
      <c r="K205" s="724"/>
    </row>
    <row r="206" spans="9:11">
      <c r="I206" s="724"/>
      <c r="J206" s="724"/>
      <c r="K206" s="724"/>
    </row>
    <row r="207" spans="9:11">
      <c r="I207" s="724"/>
      <c r="J207" s="724"/>
      <c r="K207" s="724"/>
    </row>
    <row r="208" spans="9:11">
      <c r="I208" s="724"/>
      <c r="J208" s="724"/>
      <c r="K208" s="724"/>
    </row>
    <row r="209" spans="9:11">
      <c r="I209" s="724"/>
      <c r="J209" s="724"/>
      <c r="K209" s="724"/>
    </row>
    <row r="210" spans="9:11">
      <c r="I210" s="724"/>
      <c r="J210" s="724"/>
      <c r="K210" s="724"/>
    </row>
    <row r="211" spans="9:11">
      <c r="I211" s="724"/>
      <c r="J211" s="724"/>
      <c r="K211" s="724"/>
    </row>
    <row r="212" spans="9:11">
      <c r="I212" s="724"/>
      <c r="J212" s="724"/>
      <c r="K212" s="724"/>
    </row>
    <row r="213" spans="9:11">
      <c r="I213" s="724"/>
      <c r="J213" s="724"/>
      <c r="K213" s="724"/>
    </row>
    <row r="214" spans="9:11">
      <c r="I214" s="724"/>
      <c r="J214" s="724"/>
      <c r="K214" s="724"/>
    </row>
    <row r="215" spans="9:11">
      <c r="I215" s="724"/>
      <c r="J215" s="724"/>
      <c r="K215" s="724"/>
    </row>
    <row r="216" spans="9:11">
      <c r="I216" s="724"/>
      <c r="J216" s="724"/>
      <c r="K216" s="724"/>
    </row>
    <row r="217" spans="9:11">
      <c r="I217" s="724"/>
      <c r="J217" s="724"/>
      <c r="K217" s="724"/>
    </row>
    <row r="218" spans="9:11">
      <c r="I218" s="724"/>
      <c r="J218" s="724"/>
      <c r="K218" s="724"/>
    </row>
    <row r="219" spans="9:11">
      <c r="I219" s="724"/>
      <c r="J219" s="724"/>
      <c r="K219" s="724"/>
    </row>
    <row r="220" spans="9:11">
      <c r="I220" s="724"/>
      <c r="J220" s="724"/>
      <c r="K220" s="724"/>
    </row>
    <row r="221" spans="9:11">
      <c r="I221" s="724"/>
      <c r="J221" s="724"/>
      <c r="K221" s="724"/>
    </row>
    <row r="222" spans="9:11">
      <c r="I222" s="724"/>
      <c r="J222" s="724"/>
      <c r="K222" s="724"/>
    </row>
    <row r="223" spans="9:11">
      <c r="I223" s="724"/>
      <c r="J223" s="724"/>
      <c r="K223" s="724"/>
    </row>
    <row r="224" spans="9:11">
      <c r="I224" s="724"/>
      <c r="J224" s="724"/>
      <c r="K224" s="724"/>
    </row>
    <row r="225" spans="9:11">
      <c r="I225" s="724"/>
      <c r="J225" s="724"/>
      <c r="K225" s="724"/>
    </row>
    <row r="226" spans="9:11">
      <c r="I226" s="724"/>
      <c r="J226" s="724"/>
      <c r="K226" s="724"/>
    </row>
    <row r="227" spans="9:11">
      <c r="I227" s="724"/>
      <c r="J227" s="724"/>
      <c r="K227" s="724"/>
    </row>
    <row r="228" spans="9:11">
      <c r="I228" s="724"/>
      <c r="J228" s="724"/>
      <c r="K228" s="724"/>
    </row>
    <row r="229" spans="9:11">
      <c r="I229" s="724"/>
      <c r="J229" s="724"/>
      <c r="K229" s="724"/>
    </row>
    <row r="230" spans="9:11">
      <c r="I230" s="724"/>
      <c r="J230" s="724"/>
      <c r="K230" s="724"/>
    </row>
    <row r="231" spans="9:11">
      <c r="I231" s="724"/>
      <c r="J231" s="724"/>
      <c r="K231" s="724"/>
    </row>
    <row r="232" spans="9:11">
      <c r="I232" s="724"/>
      <c r="J232" s="724"/>
      <c r="K232" s="724"/>
    </row>
    <row r="233" spans="9:11">
      <c r="I233" s="724"/>
      <c r="J233" s="724"/>
      <c r="K233" s="724"/>
    </row>
    <row r="234" spans="9:11">
      <c r="I234" s="724"/>
      <c r="J234" s="724"/>
      <c r="K234" s="724"/>
    </row>
    <row r="235" spans="9:11">
      <c r="I235" s="724"/>
      <c r="J235" s="724"/>
      <c r="K235" s="724"/>
    </row>
    <row r="236" spans="9:11">
      <c r="I236" s="724"/>
      <c r="J236" s="724"/>
      <c r="K236" s="724"/>
    </row>
    <row r="237" spans="9:11">
      <c r="I237" s="724"/>
      <c r="J237" s="724"/>
    </row>
    <row r="238" spans="9:11">
      <c r="I238" s="724"/>
      <c r="J238" s="724"/>
    </row>
    <row r="239" spans="9:11">
      <c r="I239" s="724"/>
      <c r="J239" s="724"/>
    </row>
    <row r="240" spans="9:11">
      <c r="I240" s="724"/>
      <c r="J240" s="724"/>
    </row>
    <row r="241" spans="9:10">
      <c r="I241" s="724"/>
      <c r="J241" s="724"/>
    </row>
    <row r="242" spans="9:10">
      <c r="I242" s="724"/>
      <c r="J242" s="724"/>
    </row>
    <row r="243" spans="9:10">
      <c r="I243" s="724"/>
      <c r="J243" s="724"/>
    </row>
    <row r="244" spans="9:10">
      <c r="I244" s="724"/>
      <c r="J244" s="724"/>
    </row>
    <row r="245" spans="9:10">
      <c r="I245" s="724"/>
      <c r="J245" s="724"/>
    </row>
    <row r="246" spans="9:10">
      <c r="I246" s="724"/>
      <c r="J246" s="724"/>
    </row>
    <row r="247" spans="9:10">
      <c r="I247" s="724"/>
      <c r="J247" s="724"/>
    </row>
    <row r="248" spans="9:10">
      <c r="I248" s="724"/>
      <c r="J248" s="724"/>
    </row>
    <row r="249" spans="9:10">
      <c r="I249" s="724"/>
      <c r="J249" s="724"/>
    </row>
    <row r="250" spans="9:10">
      <c r="I250" s="724"/>
      <c r="J250" s="724"/>
    </row>
    <row r="251" spans="9:10">
      <c r="I251" s="724"/>
      <c r="J251" s="724"/>
    </row>
    <row r="252" spans="9:10">
      <c r="I252" s="724"/>
      <c r="J252" s="724"/>
    </row>
    <row r="253" spans="9:10">
      <c r="I253" s="724"/>
      <c r="J253" s="724"/>
    </row>
    <row r="254" spans="9:10">
      <c r="I254" s="724"/>
      <c r="J254" s="724"/>
    </row>
    <row r="255" spans="9:10">
      <c r="I255" s="724"/>
      <c r="J255" s="724"/>
    </row>
    <row r="256" spans="9:10">
      <c r="I256" s="724"/>
      <c r="J256" s="724"/>
    </row>
    <row r="257" spans="9:10">
      <c r="I257" s="724"/>
      <c r="J257" s="724"/>
    </row>
    <row r="258" spans="9:10">
      <c r="I258" s="724"/>
      <c r="J258" s="724"/>
    </row>
    <row r="259" spans="9:10">
      <c r="I259" s="724"/>
      <c r="J259" s="724"/>
    </row>
    <row r="260" spans="9:10">
      <c r="I260" s="724"/>
      <c r="J260" s="724"/>
    </row>
    <row r="261" spans="9:10">
      <c r="I261" s="724"/>
      <c r="J261" s="724"/>
    </row>
    <row r="262" spans="9:10">
      <c r="I262" s="724"/>
      <c r="J262" s="724"/>
    </row>
    <row r="263" spans="9:10">
      <c r="I263" s="724"/>
      <c r="J263" s="724"/>
    </row>
    <row r="264" spans="9:10">
      <c r="I264" s="724"/>
      <c r="J264" s="724"/>
    </row>
    <row r="265" spans="9:10">
      <c r="I265" s="724"/>
      <c r="J265" s="724"/>
    </row>
    <row r="266" spans="9:10">
      <c r="I266" s="724"/>
      <c r="J266" s="724"/>
    </row>
    <row r="267" spans="9:10">
      <c r="I267" s="724"/>
      <c r="J267" s="724"/>
    </row>
    <row r="268" spans="9:10">
      <c r="I268" s="724"/>
      <c r="J268" s="724"/>
    </row>
    <row r="269" spans="9:10">
      <c r="I269" s="724"/>
      <c r="J269" s="724"/>
    </row>
    <row r="270" spans="9:10">
      <c r="I270" s="724"/>
      <c r="J270" s="724"/>
    </row>
    <row r="271" spans="9:10">
      <c r="I271" s="724"/>
      <c r="J271" s="724"/>
    </row>
    <row r="272" spans="9:10">
      <c r="I272" s="724"/>
      <c r="J272" s="724"/>
    </row>
    <row r="273" spans="9:10">
      <c r="I273" s="724"/>
      <c r="J273" s="724"/>
    </row>
    <row r="274" spans="9:10">
      <c r="I274" s="724"/>
      <c r="J274" s="724"/>
    </row>
    <row r="275" spans="9:10">
      <c r="I275" s="724"/>
      <c r="J275" s="724"/>
    </row>
    <row r="276" spans="9:10">
      <c r="I276" s="724"/>
      <c r="J276" s="724"/>
    </row>
    <row r="277" spans="9:10">
      <c r="I277" s="724"/>
      <c r="J277" s="724"/>
    </row>
    <row r="278" spans="9:10">
      <c r="I278" s="724"/>
      <c r="J278" s="724"/>
    </row>
    <row r="279" spans="9:10">
      <c r="I279" s="724"/>
      <c r="J279" s="724"/>
    </row>
    <row r="280" spans="9:10">
      <c r="I280" s="724"/>
      <c r="J280" s="724"/>
    </row>
    <row r="281" spans="9:10">
      <c r="I281" s="724"/>
      <c r="J281" s="724"/>
    </row>
    <row r="282" spans="9:10">
      <c r="I282" s="724"/>
      <c r="J282" s="724"/>
    </row>
    <row r="283" spans="9:10">
      <c r="I283" s="724"/>
      <c r="J283" s="724"/>
    </row>
    <row r="284" spans="9:10">
      <c r="I284" s="724"/>
      <c r="J284" s="724"/>
    </row>
    <row r="285" spans="9:10">
      <c r="I285" s="724"/>
      <c r="J285" s="724"/>
    </row>
    <row r="286" spans="9:10">
      <c r="I286" s="724"/>
      <c r="J286" s="724"/>
    </row>
    <row r="287" spans="9:10">
      <c r="I287" s="724"/>
      <c r="J287" s="724"/>
    </row>
    <row r="288" spans="9:10">
      <c r="I288" s="724"/>
      <c r="J288" s="724"/>
    </row>
    <row r="289" spans="9:10">
      <c r="I289" s="724"/>
      <c r="J289" s="724"/>
    </row>
    <row r="290" spans="9:10">
      <c r="I290" s="724"/>
      <c r="J290" s="724"/>
    </row>
    <row r="291" spans="9:10">
      <c r="I291" s="724"/>
      <c r="J291" s="724"/>
    </row>
    <row r="292" spans="9:10">
      <c r="I292" s="724"/>
      <c r="J292" s="724"/>
    </row>
    <row r="293" spans="9:10">
      <c r="I293" s="724"/>
      <c r="J293" s="724"/>
    </row>
    <row r="294" spans="9:10">
      <c r="I294" s="724"/>
      <c r="J294" s="724"/>
    </row>
    <row r="295" spans="9:10">
      <c r="I295" s="724"/>
      <c r="J295" s="724"/>
    </row>
    <row r="296" spans="9:10">
      <c r="I296" s="724"/>
      <c r="J296" s="724"/>
    </row>
    <row r="297" spans="9:10">
      <c r="I297" s="724"/>
      <c r="J297" s="724"/>
    </row>
    <row r="298" spans="9:10">
      <c r="I298" s="724"/>
      <c r="J298" s="724"/>
    </row>
    <row r="299" spans="9:10">
      <c r="I299" s="724"/>
      <c r="J299" s="724"/>
    </row>
    <row r="300" spans="9:10">
      <c r="I300" s="724"/>
      <c r="J300" s="724"/>
    </row>
    <row r="301" spans="9:10">
      <c r="I301" s="724"/>
      <c r="J301" s="724"/>
    </row>
    <row r="302" spans="9:10">
      <c r="I302" s="724"/>
      <c r="J302" s="724"/>
    </row>
    <row r="303" spans="9:10">
      <c r="I303" s="724"/>
      <c r="J303" s="724"/>
    </row>
    <row r="304" spans="9:10">
      <c r="I304" s="724"/>
      <c r="J304" s="724"/>
    </row>
    <row r="305" spans="9:10">
      <c r="I305" s="724"/>
      <c r="J305" s="724"/>
    </row>
    <row r="306" spans="9:10">
      <c r="I306" s="724"/>
      <c r="J306" s="724"/>
    </row>
    <row r="307" spans="9:10">
      <c r="I307" s="724"/>
      <c r="J307" s="724"/>
    </row>
    <row r="308" spans="9:10">
      <c r="I308" s="724"/>
      <c r="J308" s="724"/>
    </row>
    <row r="309" spans="9:10">
      <c r="I309" s="724"/>
      <c r="J309" s="724"/>
    </row>
    <row r="310" spans="9:10">
      <c r="I310" s="724"/>
      <c r="J310" s="724"/>
    </row>
    <row r="311" spans="9:10">
      <c r="I311" s="724"/>
      <c r="J311" s="724"/>
    </row>
    <row r="312" spans="9:10">
      <c r="I312" s="724"/>
      <c r="J312" s="724"/>
    </row>
    <row r="313" spans="9:10">
      <c r="I313" s="724"/>
      <c r="J313" s="724"/>
    </row>
    <row r="314" spans="9:10">
      <c r="I314" s="724"/>
      <c r="J314" s="724"/>
    </row>
    <row r="315" spans="9:10">
      <c r="I315" s="724"/>
      <c r="J315" s="724"/>
    </row>
    <row r="316" spans="9:10">
      <c r="I316" s="724"/>
      <c r="J316" s="724"/>
    </row>
    <row r="317" spans="9:10">
      <c r="I317" s="724"/>
      <c r="J317" s="724"/>
    </row>
    <row r="318" spans="9:10">
      <c r="I318" s="724"/>
      <c r="J318" s="724"/>
    </row>
    <row r="319" spans="9:10">
      <c r="I319" s="724"/>
      <c r="J319" s="724"/>
    </row>
    <row r="320" spans="9:10">
      <c r="I320" s="724"/>
      <c r="J320" s="724"/>
    </row>
    <row r="321" spans="9:10">
      <c r="I321" s="724"/>
      <c r="J321" s="724"/>
    </row>
    <row r="322" spans="9:10">
      <c r="I322" s="724"/>
      <c r="J322" s="724"/>
    </row>
    <row r="323" spans="9:10">
      <c r="I323" s="724"/>
      <c r="J323" s="724"/>
    </row>
    <row r="324" spans="9:10">
      <c r="I324" s="724"/>
      <c r="J324" s="724"/>
    </row>
    <row r="325" spans="9:10">
      <c r="I325" s="724"/>
      <c r="J325" s="724"/>
    </row>
    <row r="326" spans="9:10">
      <c r="I326" s="724"/>
      <c r="J326" s="724"/>
    </row>
    <row r="327" spans="9:10">
      <c r="I327" s="724"/>
      <c r="J327" s="724"/>
    </row>
    <row r="328" spans="9:10">
      <c r="I328" s="724"/>
      <c r="J328" s="724"/>
    </row>
    <row r="329" spans="9:10">
      <c r="I329" s="724"/>
      <c r="J329" s="724"/>
    </row>
    <row r="330" spans="9:10">
      <c r="I330" s="724"/>
      <c r="J330" s="724"/>
    </row>
    <row r="331" spans="9:10">
      <c r="I331" s="724"/>
      <c r="J331" s="724"/>
    </row>
    <row r="332" spans="9:10">
      <c r="I332" s="724"/>
      <c r="J332" s="724"/>
    </row>
    <row r="333" spans="9:10">
      <c r="I333" s="724"/>
      <c r="J333" s="724"/>
    </row>
    <row r="334" spans="9:10">
      <c r="I334" s="724"/>
      <c r="J334" s="724"/>
    </row>
    <row r="335" spans="9:10">
      <c r="I335" s="724"/>
      <c r="J335" s="724"/>
    </row>
    <row r="336" spans="9:10">
      <c r="I336" s="724"/>
      <c r="J336" s="724"/>
    </row>
    <row r="337" spans="9:10">
      <c r="I337" s="724"/>
      <c r="J337" s="724"/>
    </row>
    <row r="338" spans="9:10">
      <c r="I338" s="724"/>
      <c r="J338" s="724"/>
    </row>
    <row r="339" spans="9:10">
      <c r="I339" s="724"/>
      <c r="J339" s="724"/>
    </row>
    <row r="340" spans="9:10">
      <c r="I340" s="724"/>
      <c r="J340" s="724"/>
    </row>
    <row r="341" spans="9:10">
      <c r="I341" s="724"/>
      <c r="J341" s="724"/>
    </row>
    <row r="342" spans="9:10">
      <c r="I342" s="724"/>
      <c r="J342" s="724"/>
    </row>
    <row r="343" spans="9:10">
      <c r="I343" s="724"/>
      <c r="J343" s="724"/>
    </row>
    <row r="344" spans="9:10">
      <c r="I344" s="724"/>
      <c r="J344" s="724"/>
    </row>
    <row r="345" spans="9:10">
      <c r="I345" s="724"/>
      <c r="J345" s="724"/>
    </row>
    <row r="346" spans="9:10">
      <c r="I346" s="724"/>
      <c r="J346" s="724"/>
    </row>
    <row r="347" spans="9:10">
      <c r="I347" s="724"/>
      <c r="J347" s="724"/>
    </row>
    <row r="348" spans="9:10">
      <c r="I348" s="724"/>
      <c r="J348" s="724"/>
    </row>
    <row r="349" spans="9:10">
      <c r="I349" s="724"/>
      <c r="J349" s="724"/>
    </row>
    <row r="350" spans="9:10">
      <c r="I350" s="724"/>
      <c r="J350" s="724"/>
    </row>
    <row r="351" spans="9:10">
      <c r="I351" s="724"/>
      <c r="J351" s="724"/>
    </row>
    <row r="352" spans="9:10">
      <c r="I352" s="724"/>
      <c r="J352" s="724"/>
    </row>
    <row r="353" spans="9:10">
      <c r="I353" s="724"/>
      <c r="J353" s="724"/>
    </row>
    <row r="354" spans="9:10">
      <c r="I354" s="724"/>
      <c r="J354" s="724"/>
    </row>
    <row r="355" spans="9:10">
      <c r="I355" s="724"/>
      <c r="J355" s="724"/>
    </row>
    <row r="356" spans="9:10">
      <c r="I356" s="724"/>
      <c r="J356" s="724"/>
    </row>
    <row r="357" spans="9:10">
      <c r="I357" s="724"/>
      <c r="J357" s="724"/>
    </row>
    <row r="358" spans="9:10">
      <c r="I358" s="724"/>
      <c r="J358" s="724"/>
    </row>
    <row r="359" spans="9:10">
      <c r="I359" s="724"/>
      <c r="J359" s="724"/>
    </row>
    <row r="360" spans="9:10">
      <c r="I360" s="724"/>
      <c r="J360" s="724"/>
    </row>
    <row r="361" spans="9:10">
      <c r="I361" s="724"/>
      <c r="J361" s="724"/>
    </row>
    <row r="362" spans="9:10">
      <c r="I362" s="724"/>
      <c r="J362" s="724"/>
    </row>
    <row r="363" spans="9:10">
      <c r="I363" s="724"/>
      <c r="J363" s="724"/>
    </row>
    <row r="364" spans="9:10">
      <c r="I364" s="724"/>
      <c r="J364" s="724"/>
    </row>
    <row r="365" spans="9:10">
      <c r="I365" s="724"/>
      <c r="J365" s="724"/>
    </row>
    <row r="366" spans="9:10">
      <c r="I366" s="724"/>
      <c r="J366" s="724"/>
    </row>
    <row r="367" spans="9:10">
      <c r="I367" s="724"/>
      <c r="J367" s="724"/>
    </row>
    <row r="368" spans="9:10">
      <c r="I368" s="724"/>
      <c r="J368" s="724"/>
    </row>
    <row r="369" spans="9:10">
      <c r="I369" s="724"/>
      <c r="J369" s="724"/>
    </row>
    <row r="370" spans="9:10">
      <c r="I370" s="724"/>
      <c r="J370" s="724"/>
    </row>
    <row r="371" spans="9:10">
      <c r="I371" s="724"/>
      <c r="J371" s="724"/>
    </row>
    <row r="372" spans="9:10">
      <c r="I372" s="724"/>
      <c r="J372" s="724"/>
    </row>
    <row r="373" spans="9:10">
      <c r="I373" s="724"/>
      <c r="J373" s="724"/>
    </row>
    <row r="374" spans="9:10">
      <c r="I374" s="724"/>
      <c r="J374" s="724"/>
    </row>
    <row r="375" spans="9:10">
      <c r="I375" s="724"/>
      <c r="J375" s="724"/>
    </row>
    <row r="376" spans="9:10">
      <c r="I376" s="724"/>
      <c r="J376" s="724"/>
    </row>
    <row r="377" spans="9:10">
      <c r="I377" s="724"/>
      <c r="J377" s="724"/>
    </row>
    <row r="378" spans="9:10">
      <c r="I378" s="724"/>
      <c r="J378" s="724"/>
    </row>
    <row r="379" spans="9:10">
      <c r="I379" s="724"/>
      <c r="J379" s="724"/>
    </row>
    <row r="380" spans="9:10">
      <c r="I380" s="724"/>
      <c r="J380" s="724"/>
    </row>
    <row r="381" spans="9:10">
      <c r="I381" s="724"/>
      <c r="J381" s="724"/>
    </row>
    <row r="382" spans="9:10">
      <c r="I382" s="724"/>
      <c r="J382" s="724"/>
    </row>
    <row r="383" spans="9:10">
      <c r="I383" s="724"/>
      <c r="J383" s="724"/>
    </row>
    <row r="384" spans="9:10">
      <c r="I384" s="724"/>
      <c r="J384" s="724"/>
    </row>
    <row r="385" spans="9:10">
      <c r="I385" s="724"/>
      <c r="J385" s="724"/>
    </row>
    <row r="386" spans="9:10">
      <c r="I386" s="724"/>
      <c r="J386" s="724"/>
    </row>
    <row r="387" spans="9:10">
      <c r="I387" s="724"/>
      <c r="J387" s="724"/>
    </row>
    <row r="388" spans="9:10">
      <c r="I388" s="724"/>
      <c r="J388" s="724"/>
    </row>
    <row r="389" spans="9:10">
      <c r="I389" s="724"/>
      <c r="J389" s="724"/>
    </row>
    <row r="390" spans="9:10">
      <c r="I390" s="724"/>
      <c r="J390" s="724"/>
    </row>
    <row r="391" spans="9:10">
      <c r="I391" s="724"/>
      <c r="J391" s="724"/>
    </row>
    <row r="392" spans="9:10">
      <c r="I392" s="724"/>
      <c r="J392" s="724"/>
    </row>
    <row r="393" spans="9:10">
      <c r="I393" s="724"/>
      <c r="J393" s="724"/>
    </row>
    <row r="394" spans="9:10">
      <c r="I394" s="724"/>
      <c r="J394" s="724"/>
    </row>
    <row r="395" spans="9:10">
      <c r="I395" s="724"/>
      <c r="J395" s="724"/>
    </row>
    <row r="396" spans="9:10">
      <c r="I396" s="724"/>
      <c r="J396" s="724"/>
    </row>
    <row r="397" spans="9:10">
      <c r="I397" s="724"/>
      <c r="J397" s="724"/>
    </row>
    <row r="398" spans="9:10">
      <c r="I398" s="724"/>
      <c r="J398" s="724"/>
    </row>
    <row r="399" spans="9:10">
      <c r="I399" s="724"/>
      <c r="J399" s="724"/>
    </row>
    <row r="400" spans="9:10">
      <c r="I400" s="724"/>
      <c r="J400" s="724"/>
    </row>
    <row r="401" spans="9:10">
      <c r="I401" s="724"/>
      <c r="J401" s="724"/>
    </row>
    <row r="402" spans="9:10">
      <c r="I402" s="724"/>
      <c r="J402" s="724"/>
    </row>
    <row r="403" spans="9:10">
      <c r="I403" s="724"/>
      <c r="J403" s="724"/>
    </row>
    <row r="404" spans="9:10">
      <c r="I404" s="724"/>
      <c r="J404" s="724"/>
    </row>
    <row r="405" spans="9:10">
      <c r="I405" s="724"/>
      <c r="J405" s="724"/>
    </row>
    <row r="406" spans="9:10">
      <c r="I406" s="724"/>
      <c r="J406" s="724"/>
    </row>
    <row r="407" spans="9:10">
      <c r="I407" s="724"/>
      <c r="J407" s="724"/>
    </row>
    <row r="408" spans="9:10">
      <c r="I408" s="724"/>
      <c r="J408" s="724"/>
    </row>
    <row r="409" spans="9:10">
      <c r="I409" s="724"/>
      <c r="J409" s="724"/>
    </row>
    <row r="410" spans="9:10">
      <c r="I410" s="724"/>
      <c r="J410" s="724"/>
    </row>
    <row r="411" spans="9:10">
      <c r="I411" s="724"/>
      <c r="J411" s="724"/>
    </row>
    <row r="412" spans="9:10">
      <c r="I412" s="724"/>
      <c r="J412" s="724"/>
    </row>
    <row r="413" spans="9:10">
      <c r="I413" s="724"/>
      <c r="J413" s="724"/>
    </row>
    <row r="414" spans="9:10">
      <c r="I414" s="724"/>
      <c r="J414" s="724"/>
    </row>
    <row r="415" spans="9:10">
      <c r="I415" s="724"/>
      <c r="J415" s="724"/>
    </row>
    <row r="416" spans="9:10">
      <c r="I416" s="724"/>
      <c r="J416" s="724"/>
    </row>
    <row r="417" spans="9:10">
      <c r="I417" s="724"/>
      <c r="J417" s="724"/>
    </row>
    <row r="418" spans="9:10">
      <c r="I418" s="724"/>
      <c r="J418" s="724"/>
    </row>
    <row r="419" spans="9:10">
      <c r="I419" s="724"/>
      <c r="J419" s="724"/>
    </row>
    <row r="420" spans="9:10">
      <c r="I420" s="724"/>
      <c r="J420" s="724"/>
    </row>
    <row r="421" spans="9:10">
      <c r="I421" s="724"/>
      <c r="J421" s="724"/>
    </row>
    <row r="422" spans="9:10">
      <c r="I422" s="724"/>
      <c r="J422" s="724"/>
    </row>
    <row r="423" spans="9:10">
      <c r="I423" s="724"/>
      <c r="J423" s="724"/>
    </row>
    <row r="424" spans="9:10">
      <c r="I424" s="724"/>
      <c r="J424" s="724"/>
    </row>
    <row r="425" spans="9:10">
      <c r="I425" s="724"/>
      <c r="J425" s="724"/>
    </row>
    <row r="426" spans="9:10">
      <c r="I426" s="724"/>
      <c r="J426" s="724"/>
    </row>
    <row r="427" spans="9:10">
      <c r="I427" s="724"/>
      <c r="J427" s="724"/>
    </row>
    <row r="428" spans="9:10">
      <c r="I428" s="724"/>
      <c r="J428" s="724"/>
    </row>
    <row r="429" spans="9:10">
      <c r="I429" s="724"/>
      <c r="J429" s="724"/>
    </row>
    <row r="430" spans="9:10">
      <c r="I430" s="724"/>
      <c r="J430" s="724"/>
    </row>
    <row r="431" spans="9:10">
      <c r="I431" s="724"/>
      <c r="J431" s="724"/>
    </row>
    <row r="432" spans="9:10">
      <c r="I432" s="724"/>
      <c r="J432" s="724"/>
    </row>
    <row r="433" spans="9:10">
      <c r="I433" s="724"/>
      <c r="J433" s="724"/>
    </row>
    <row r="434" spans="9:10">
      <c r="I434" s="724"/>
      <c r="J434" s="724"/>
    </row>
    <row r="435" spans="9:10">
      <c r="I435" s="724"/>
      <c r="J435" s="724"/>
    </row>
    <row r="436" spans="9:10">
      <c r="I436" s="724"/>
      <c r="J436" s="724"/>
    </row>
    <row r="437" spans="9:10">
      <c r="I437" s="724"/>
      <c r="J437" s="724"/>
    </row>
    <row r="438" spans="9:10">
      <c r="I438" s="724"/>
      <c r="J438" s="724"/>
    </row>
    <row r="439" spans="9:10">
      <c r="I439" s="724"/>
      <c r="J439" s="724"/>
    </row>
    <row r="440" spans="9:10">
      <c r="I440" s="724"/>
      <c r="J440" s="724"/>
    </row>
    <row r="441" spans="9:10">
      <c r="I441" s="724"/>
      <c r="J441" s="724"/>
    </row>
    <row r="442" spans="9:10">
      <c r="I442" s="724"/>
      <c r="J442" s="724"/>
    </row>
    <row r="443" spans="9:10">
      <c r="I443" s="724"/>
      <c r="J443" s="724"/>
    </row>
    <row r="444" spans="9:10">
      <c r="I444" s="724"/>
      <c r="J444" s="724"/>
    </row>
    <row r="445" spans="9:10">
      <c r="I445" s="724"/>
      <c r="J445" s="724"/>
    </row>
    <row r="446" spans="9:10">
      <c r="I446" s="724"/>
      <c r="J446" s="724"/>
    </row>
    <row r="447" spans="9:10">
      <c r="I447" s="724"/>
      <c r="J447" s="724"/>
    </row>
    <row r="448" spans="9:10">
      <c r="I448" s="724"/>
      <c r="J448" s="724"/>
    </row>
    <row r="449" spans="9:10">
      <c r="I449" s="724"/>
      <c r="J449" s="724"/>
    </row>
    <row r="450" spans="9:10">
      <c r="I450" s="724"/>
      <c r="J450" s="724"/>
    </row>
    <row r="451" spans="9:10">
      <c r="I451" s="724"/>
      <c r="J451" s="724"/>
    </row>
    <row r="452" spans="9:10">
      <c r="I452" s="724"/>
      <c r="J452" s="724"/>
    </row>
    <row r="453" spans="9:10">
      <c r="I453" s="724"/>
      <c r="J453" s="724"/>
    </row>
    <row r="454" spans="9:10">
      <c r="I454" s="724"/>
      <c r="J454" s="724"/>
    </row>
    <row r="455" spans="9:10">
      <c r="I455" s="724"/>
      <c r="J455" s="724"/>
    </row>
    <row r="456" spans="9:10">
      <c r="I456" s="724"/>
      <c r="J456" s="724"/>
    </row>
    <row r="457" spans="9:10">
      <c r="I457" s="724"/>
      <c r="J457" s="724"/>
    </row>
    <row r="458" spans="9:10">
      <c r="I458" s="724"/>
      <c r="J458" s="724"/>
    </row>
    <row r="459" spans="9:10">
      <c r="I459" s="724"/>
      <c r="J459" s="724"/>
    </row>
    <row r="460" spans="9:10">
      <c r="I460" s="724"/>
      <c r="J460" s="724"/>
    </row>
    <row r="461" spans="9:10">
      <c r="I461" s="724"/>
      <c r="J461" s="724"/>
    </row>
    <row r="462" spans="9:10">
      <c r="I462" s="724"/>
      <c r="J462" s="724"/>
    </row>
    <row r="463" spans="9:10">
      <c r="I463" s="724"/>
      <c r="J463" s="724"/>
    </row>
    <row r="464" spans="9:10">
      <c r="I464" s="724"/>
      <c r="J464" s="724"/>
    </row>
    <row r="465" spans="9:10">
      <c r="I465" s="724"/>
      <c r="J465" s="724"/>
    </row>
    <row r="466" spans="9:10">
      <c r="I466" s="724"/>
      <c r="J466" s="724"/>
    </row>
    <row r="467" spans="9:10">
      <c r="I467" s="724"/>
      <c r="J467" s="724"/>
    </row>
    <row r="468" spans="9:10">
      <c r="I468" s="724"/>
      <c r="J468" s="724"/>
    </row>
    <row r="469" spans="9:10">
      <c r="I469" s="724"/>
      <c r="J469" s="724"/>
    </row>
    <row r="470" spans="9:10">
      <c r="I470" s="724"/>
      <c r="J470" s="724"/>
    </row>
    <row r="471" spans="9:10">
      <c r="I471" s="724"/>
      <c r="J471" s="724"/>
    </row>
    <row r="472" spans="9:10">
      <c r="I472" s="724"/>
      <c r="J472" s="724"/>
    </row>
    <row r="473" spans="9:10">
      <c r="I473" s="724"/>
      <c r="J473" s="724"/>
    </row>
    <row r="474" spans="9:10">
      <c r="I474" s="724"/>
      <c r="J474" s="724"/>
    </row>
    <row r="475" spans="9:10">
      <c r="I475" s="724"/>
      <c r="J475" s="724"/>
    </row>
    <row r="476" spans="9:10">
      <c r="I476" s="724"/>
      <c r="J476" s="724"/>
    </row>
    <row r="477" spans="9:10">
      <c r="I477" s="724"/>
      <c r="J477" s="724"/>
    </row>
    <row r="478" spans="9:10">
      <c r="I478" s="724"/>
      <c r="J478" s="724"/>
    </row>
    <row r="479" spans="9:10">
      <c r="I479" s="724"/>
      <c r="J479" s="724"/>
    </row>
    <row r="480" spans="9:10">
      <c r="I480" s="724"/>
      <c r="J480" s="724"/>
    </row>
    <row r="481" spans="9:10">
      <c r="I481" s="724"/>
      <c r="J481" s="724"/>
    </row>
    <row r="482" spans="9:10">
      <c r="I482" s="724"/>
      <c r="J482" s="724"/>
    </row>
    <row r="483" spans="9:10">
      <c r="I483" s="724"/>
      <c r="J483" s="724"/>
    </row>
    <row r="484" spans="9:10">
      <c r="I484" s="724"/>
      <c r="J484" s="724"/>
    </row>
    <row r="485" spans="9:10">
      <c r="I485" s="724"/>
      <c r="J485" s="724"/>
    </row>
    <row r="486" spans="9:10">
      <c r="I486" s="724"/>
      <c r="J486" s="724"/>
    </row>
    <row r="487" spans="9:10">
      <c r="I487" s="724"/>
      <c r="J487" s="724"/>
    </row>
    <row r="488" spans="9:10">
      <c r="I488" s="724"/>
      <c r="J488" s="724"/>
    </row>
    <row r="489" spans="9:10">
      <c r="I489" s="724"/>
      <c r="J489" s="724"/>
    </row>
    <row r="490" spans="9:10">
      <c r="I490" s="724"/>
      <c r="J490" s="724"/>
    </row>
    <row r="491" spans="9:10">
      <c r="I491" s="724"/>
      <c r="J491" s="724"/>
    </row>
    <row r="492" spans="9:10">
      <c r="I492" s="724"/>
      <c r="J492" s="724"/>
    </row>
    <row r="493" spans="9:10">
      <c r="I493" s="724"/>
      <c r="J493" s="724"/>
    </row>
    <row r="494" spans="9:10">
      <c r="I494" s="724"/>
      <c r="J494" s="724"/>
    </row>
    <row r="495" spans="9:10">
      <c r="I495" s="724"/>
      <c r="J495" s="724"/>
    </row>
    <row r="496" spans="9:10">
      <c r="I496" s="724"/>
      <c r="J496" s="724"/>
    </row>
    <row r="497" spans="9:10">
      <c r="I497" s="724"/>
      <c r="J497" s="724"/>
    </row>
    <row r="498" spans="9:10">
      <c r="I498" s="724"/>
      <c r="J498" s="724"/>
    </row>
    <row r="499" spans="9:10">
      <c r="I499" s="724"/>
      <c r="J499" s="724"/>
    </row>
    <row r="500" spans="9:10">
      <c r="I500" s="724"/>
      <c r="J500" s="724"/>
    </row>
    <row r="501" spans="9:10">
      <c r="I501" s="724"/>
      <c r="J501" s="724"/>
    </row>
    <row r="502" spans="9:10">
      <c r="I502" s="724"/>
      <c r="J502" s="724"/>
    </row>
    <row r="503" spans="9:10">
      <c r="I503" s="724"/>
      <c r="J503" s="724"/>
    </row>
    <row r="504" spans="9:10">
      <c r="I504" s="724"/>
      <c r="J504" s="724"/>
    </row>
    <row r="505" spans="9:10">
      <c r="I505" s="724"/>
      <c r="J505" s="724"/>
    </row>
    <row r="506" spans="9:10">
      <c r="I506" s="724"/>
      <c r="J506" s="724"/>
    </row>
    <row r="507" spans="9:10">
      <c r="I507" s="724"/>
      <c r="J507" s="724"/>
    </row>
    <row r="508" spans="9:10">
      <c r="I508" s="724"/>
      <c r="J508" s="724"/>
    </row>
    <row r="509" spans="9:10">
      <c r="I509" s="724"/>
      <c r="J509" s="724"/>
    </row>
    <row r="510" spans="9:10">
      <c r="I510" s="724"/>
      <c r="J510" s="724"/>
    </row>
    <row r="511" spans="9:10">
      <c r="I511" s="724"/>
      <c r="J511" s="724"/>
    </row>
    <row r="512" spans="9:10">
      <c r="I512" s="724"/>
      <c r="J512" s="724"/>
    </row>
    <row r="513" spans="9:10">
      <c r="I513" s="724"/>
      <c r="J513" s="724"/>
    </row>
    <row r="514" spans="9:10">
      <c r="I514" s="724"/>
      <c r="J514" s="724"/>
    </row>
    <row r="515" spans="9:10">
      <c r="I515" s="724"/>
      <c r="J515" s="724"/>
    </row>
    <row r="516" spans="9:10">
      <c r="I516" s="724"/>
      <c r="J516" s="724"/>
    </row>
    <row r="517" spans="9:10">
      <c r="I517" s="724"/>
      <c r="J517" s="724"/>
    </row>
    <row r="518" spans="9:10">
      <c r="I518" s="724"/>
      <c r="J518" s="724"/>
    </row>
    <row r="519" spans="9:10">
      <c r="I519" s="724"/>
      <c r="J519" s="724"/>
    </row>
    <row r="520" spans="9:10">
      <c r="I520" s="724"/>
      <c r="J520" s="724"/>
    </row>
    <row r="521" spans="9:10">
      <c r="I521" s="724"/>
      <c r="J521" s="724"/>
    </row>
    <row r="522" spans="9:10">
      <c r="I522" s="724"/>
      <c r="J522" s="724"/>
    </row>
    <row r="523" spans="9:10">
      <c r="I523" s="724"/>
      <c r="J523" s="724"/>
    </row>
    <row r="524" spans="9:10">
      <c r="I524" s="724"/>
      <c r="J524" s="724"/>
    </row>
    <row r="525" spans="9:10">
      <c r="I525" s="724"/>
      <c r="J525" s="724"/>
    </row>
    <row r="526" spans="9:10">
      <c r="I526" s="724"/>
      <c r="J526" s="724"/>
    </row>
    <row r="527" spans="9:10">
      <c r="I527" s="724"/>
      <c r="J527" s="724"/>
    </row>
    <row r="528" spans="9:10">
      <c r="I528" s="724"/>
      <c r="J528" s="724"/>
    </row>
    <row r="529" spans="9:10">
      <c r="I529" s="724"/>
      <c r="J529" s="724"/>
    </row>
    <row r="530" spans="9:10">
      <c r="I530" s="724"/>
      <c r="J530" s="724"/>
    </row>
    <row r="531" spans="9:10">
      <c r="I531" s="724"/>
      <c r="J531" s="724"/>
    </row>
    <row r="532" spans="9:10">
      <c r="I532" s="724"/>
      <c r="J532" s="724"/>
    </row>
    <row r="533" spans="9:10">
      <c r="I533" s="724"/>
      <c r="J533" s="724"/>
    </row>
    <row r="534" spans="9:10">
      <c r="I534" s="724"/>
      <c r="J534" s="724"/>
    </row>
    <row r="535" spans="9:10">
      <c r="I535" s="724"/>
      <c r="J535" s="724"/>
    </row>
    <row r="536" spans="9:10">
      <c r="I536" s="724"/>
      <c r="J536" s="724"/>
    </row>
    <row r="537" spans="9:10">
      <c r="I537" s="724"/>
      <c r="J537" s="724"/>
    </row>
    <row r="538" spans="9:10">
      <c r="I538" s="724"/>
      <c r="J538" s="724"/>
    </row>
    <row r="539" spans="9:10">
      <c r="I539" s="724"/>
      <c r="J539" s="724"/>
    </row>
    <row r="540" spans="9:10">
      <c r="I540" s="724"/>
      <c r="J540" s="724"/>
    </row>
    <row r="541" spans="9:10">
      <c r="I541" s="724"/>
      <c r="J541" s="724"/>
    </row>
    <row r="542" spans="9:10">
      <c r="I542" s="724"/>
      <c r="J542" s="724"/>
    </row>
    <row r="543" spans="9:10">
      <c r="I543" s="724"/>
      <c r="J543" s="724"/>
    </row>
    <row r="544" spans="9:10">
      <c r="I544" s="724"/>
      <c r="J544" s="724"/>
    </row>
    <row r="545" spans="9:10">
      <c r="I545" s="724"/>
      <c r="J545" s="724"/>
    </row>
    <row r="546" spans="9:10">
      <c r="I546" s="724"/>
      <c r="J546" s="724"/>
    </row>
    <row r="547" spans="9:10">
      <c r="I547" s="724"/>
      <c r="J547" s="724"/>
    </row>
    <row r="548" spans="9:10">
      <c r="I548" s="724"/>
      <c r="J548" s="724"/>
    </row>
    <row r="549" spans="9:10">
      <c r="I549" s="724"/>
      <c r="J549" s="724"/>
    </row>
    <row r="550" spans="9:10">
      <c r="I550" s="724"/>
      <c r="J550" s="724"/>
    </row>
    <row r="551" spans="9:10">
      <c r="I551" s="724"/>
      <c r="J551" s="724"/>
    </row>
    <row r="552" spans="9:10">
      <c r="I552" s="724"/>
      <c r="J552" s="724"/>
    </row>
    <row r="553" spans="9:10">
      <c r="I553" s="724"/>
      <c r="J553" s="724"/>
    </row>
    <row r="554" spans="9:10">
      <c r="I554" s="724"/>
      <c r="J554" s="724"/>
    </row>
    <row r="555" spans="9:10">
      <c r="I555" s="724"/>
      <c r="J555" s="724"/>
    </row>
    <row r="556" spans="9:10">
      <c r="I556" s="724"/>
      <c r="J556" s="724"/>
    </row>
    <row r="557" spans="9:10">
      <c r="I557" s="724"/>
      <c r="J557" s="724"/>
    </row>
    <row r="558" spans="9:10">
      <c r="I558" s="724"/>
      <c r="J558" s="724"/>
    </row>
    <row r="559" spans="9:10">
      <c r="I559" s="724"/>
      <c r="J559" s="724"/>
    </row>
    <row r="560" spans="9:10">
      <c r="I560" s="724"/>
      <c r="J560" s="724"/>
    </row>
    <row r="561" spans="9:10">
      <c r="I561" s="724"/>
      <c r="J561" s="724"/>
    </row>
    <row r="562" spans="9:10">
      <c r="I562" s="724"/>
      <c r="J562" s="724"/>
    </row>
    <row r="563" spans="9:10">
      <c r="I563" s="724"/>
      <c r="J563" s="724"/>
    </row>
    <row r="564" spans="9:10">
      <c r="I564" s="724"/>
      <c r="J564" s="724"/>
    </row>
    <row r="565" spans="9:10">
      <c r="I565" s="724"/>
      <c r="J565" s="724"/>
    </row>
    <row r="566" spans="9:10">
      <c r="I566" s="724"/>
      <c r="J566" s="724"/>
    </row>
    <row r="567" spans="9:10">
      <c r="I567" s="724"/>
      <c r="J567" s="724"/>
    </row>
    <row r="568" spans="9:10">
      <c r="I568" s="724"/>
      <c r="J568" s="724"/>
    </row>
    <row r="569" spans="9:10">
      <c r="I569" s="724"/>
      <c r="J569" s="724"/>
    </row>
    <row r="570" spans="9:10">
      <c r="I570" s="724"/>
      <c r="J570" s="724"/>
    </row>
    <row r="571" spans="9:10">
      <c r="I571" s="724"/>
      <c r="J571" s="724"/>
    </row>
    <row r="572" spans="9:10">
      <c r="I572" s="724"/>
      <c r="J572" s="724"/>
    </row>
    <row r="573" spans="9:10">
      <c r="I573" s="724"/>
      <c r="J573" s="724"/>
    </row>
    <row r="574" spans="9:10">
      <c r="I574" s="724"/>
      <c r="J574" s="724"/>
    </row>
    <row r="575" spans="9:10">
      <c r="I575" s="724"/>
      <c r="J575" s="724"/>
    </row>
    <row r="576" spans="9:10">
      <c r="I576" s="724"/>
      <c r="J576" s="724"/>
    </row>
    <row r="577" spans="9:10">
      <c r="I577" s="724"/>
      <c r="J577" s="724"/>
    </row>
    <row r="578" spans="9:10">
      <c r="I578" s="724"/>
      <c r="J578" s="724"/>
    </row>
    <row r="579" spans="9:10">
      <c r="I579" s="724"/>
      <c r="J579" s="724"/>
    </row>
    <row r="580" spans="9:10">
      <c r="I580" s="724"/>
      <c r="J580" s="724"/>
    </row>
    <row r="581" spans="9:10">
      <c r="I581" s="724"/>
      <c r="J581" s="724"/>
    </row>
    <row r="582" spans="9:10">
      <c r="I582" s="724"/>
      <c r="J582" s="724"/>
    </row>
    <row r="583" spans="9:10">
      <c r="I583" s="724"/>
      <c r="J583" s="724"/>
    </row>
    <row r="584" spans="9:10">
      <c r="I584" s="724"/>
      <c r="J584" s="724"/>
    </row>
    <row r="585" spans="9:10">
      <c r="I585" s="724"/>
      <c r="J585" s="724"/>
    </row>
    <row r="586" spans="9:10">
      <c r="I586" s="724"/>
      <c r="J586" s="724"/>
    </row>
    <row r="587" spans="9:10">
      <c r="I587" s="724"/>
      <c r="J587" s="724"/>
    </row>
    <row r="588" spans="9:10">
      <c r="I588" s="724"/>
      <c r="J588" s="724"/>
    </row>
    <row r="589" spans="9:10">
      <c r="I589" s="724"/>
      <c r="J589" s="724"/>
    </row>
    <row r="590" spans="9:10">
      <c r="I590" s="724"/>
      <c r="J590" s="724"/>
    </row>
    <row r="591" spans="9:10">
      <c r="I591" s="724"/>
      <c r="J591" s="724"/>
    </row>
    <row r="592" spans="9:10">
      <c r="I592" s="724"/>
      <c r="J592" s="724"/>
    </row>
    <row r="593" spans="9:10">
      <c r="I593" s="724"/>
      <c r="J593" s="724"/>
    </row>
    <row r="594" spans="9:10">
      <c r="I594" s="724"/>
      <c r="J594" s="724"/>
    </row>
    <row r="595" spans="9:10">
      <c r="I595" s="724"/>
      <c r="J595" s="724"/>
    </row>
    <row r="596" spans="9:10">
      <c r="I596" s="724"/>
      <c r="J596" s="724"/>
    </row>
    <row r="597" spans="9:10">
      <c r="I597" s="724"/>
      <c r="J597" s="724"/>
    </row>
    <row r="598" spans="9:10">
      <c r="I598" s="724"/>
      <c r="J598" s="724"/>
    </row>
    <row r="599" spans="9:10">
      <c r="I599" s="724"/>
      <c r="J599" s="724"/>
    </row>
    <row r="600" spans="9:10">
      <c r="I600" s="724"/>
      <c r="J600" s="724"/>
    </row>
    <row r="601" spans="9:10">
      <c r="I601" s="724"/>
      <c r="J601" s="724"/>
    </row>
    <row r="602" spans="9:10">
      <c r="I602" s="724"/>
      <c r="J602" s="724"/>
    </row>
    <row r="603" spans="9:10">
      <c r="I603" s="724"/>
      <c r="J603" s="724"/>
    </row>
    <row r="604" spans="9:10">
      <c r="I604" s="724"/>
      <c r="J604" s="724"/>
    </row>
    <row r="605" spans="9:10">
      <c r="I605" s="724"/>
      <c r="J605" s="724"/>
    </row>
    <row r="606" spans="9:10">
      <c r="I606" s="724"/>
      <c r="J606" s="724"/>
    </row>
    <row r="607" spans="9:10">
      <c r="I607" s="724"/>
      <c r="J607" s="724"/>
    </row>
    <row r="608" spans="9:10">
      <c r="I608" s="724"/>
      <c r="J608" s="724"/>
    </row>
    <row r="609" spans="9:10">
      <c r="I609" s="724"/>
      <c r="J609" s="724"/>
    </row>
    <row r="610" spans="9:10">
      <c r="I610" s="724"/>
      <c r="J610" s="724"/>
    </row>
    <row r="611" spans="9:10">
      <c r="I611" s="724"/>
      <c r="J611" s="724"/>
    </row>
    <row r="612" spans="9:10">
      <c r="I612" s="724"/>
      <c r="J612" s="724"/>
    </row>
    <row r="613" spans="9:10">
      <c r="I613" s="724"/>
      <c r="J613" s="724"/>
    </row>
    <row r="614" spans="9:10">
      <c r="I614" s="724"/>
      <c r="J614" s="724"/>
    </row>
    <row r="615" spans="9:10">
      <c r="I615" s="724"/>
      <c r="J615" s="724"/>
    </row>
    <row r="616" spans="9:10">
      <c r="I616" s="724"/>
      <c r="J616" s="724"/>
    </row>
    <row r="617" spans="9:10">
      <c r="I617" s="724"/>
      <c r="J617" s="724"/>
    </row>
    <row r="618" spans="9:10">
      <c r="I618" s="724"/>
      <c r="J618" s="724"/>
    </row>
    <row r="619" spans="9:10">
      <c r="I619" s="724"/>
      <c r="J619" s="724"/>
    </row>
    <row r="620" spans="9:10">
      <c r="I620" s="724"/>
      <c r="J620" s="724"/>
    </row>
    <row r="621" spans="9:10">
      <c r="I621" s="724"/>
      <c r="J621" s="724"/>
    </row>
    <row r="622" spans="9:10">
      <c r="I622" s="724"/>
      <c r="J622" s="724"/>
    </row>
    <row r="623" spans="9:10">
      <c r="I623" s="724"/>
      <c r="J623" s="724"/>
    </row>
    <row r="624" spans="9:10">
      <c r="I624" s="724"/>
      <c r="J624" s="724"/>
    </row>
    <row r="625" spans="9:10">
      <c r="I625" s="724"/>
      <c r="J625" s="724"/>
    </row>
    <row r="626" spans="9:10">
      <c r="I626" s="724"/>
      <c r="J626" s="724"/>
    </row>
    <row r="627" spans="9:10">
      <c r="I627" s="724"/>
      <c r="J627" s="724"/>
    </row>
    <row r="628" spans="9:10">
      <c r="I628" s="724"/>
      <c r="J628" s="724"/>
    </row>
    <row r="629" spans="9:10">
      <c r="I629" s="724"/>
      <c r="J629" s="724"/>
    </row>
    <row r="630" spans="9:10">
      <c r="I630" s="724"/>
      <c r="J630" s="724"/>
    </row>
    <row r="631" spans="9:10">
      <c r="I631" s="724"/>
      <c r="J631" s="724"/>
    </row>
    <row r="632" spans="9:10">
      <c r="I632" s="724"/>
      <c r="J632" s="724"/>
    </row>
    <row r="633" spans="9:10">
      <c r="I633" s="724"/>
      <c r="J633" s="724"/>
    </row>
    <row r="634" spans="9:10">
      <c r="I634" s="724"/>
      <c r="J634" s="724"/>
    </row>
    <row r="635" spans="9:10">
      <c r="I635" s="724"/>
      <c r="J635" s="724"/>
    </row>
    <row r="636" spans="9:10">
      <c r="I636" s="724"/>
      <c r="J636" s="724"/>
    </row>
    <row r="637" spans="9:10">
      <c r="I637" s="724"/>
      <c r="J637" s="724"/>
    </row>
    <row r="638" spans="9:10">
      <c r="I638" s="724"/>
      <c r="J638" s="724"/>
    </row>
    <row r="639" spans="9:10">
      <c r="I639" s="724"/>
      <c r="J639" s="724"/>
    </row>
    <row r="640" spans="9:10">
      <c r="I640" s="724"/>
      <c r="J640" s="724"/>
    </row>
    <row r="641" spans="9:10">
      <c r="I641" s="724"/>
      <c r="J641" s="724"/>
    </row>
    <row r="642" spans="9:10">
      <c r="I642" s="724"/>
      <c r="J642" s="724"/>
    </row>
    <row r="643" spans="9:10">
      <c r="I643" s="724"/>
      <c r="J643" s="724"/>
    </row>
    <row r="644" spans="9:10">
      <c r="I644" s="724"/>
      <c r="J644" s="724"/>
    </row>
    <row r="645" spans="9:10">
      <c r="I645" s="724"/>
      <c r="J645" s="724"/>
    </row>
    <row r="646" spans="9:10">
      <c r="I646" s="724"/>
      <c r="J646" s="724"/>
    </row>
    <row r="647" spans="9:10">
      <c r="I647" s="724"/>
      <c r="J647" s="724"/>
    </row>
    <row r="648" spans="9:10">
      <c r="I648" s="724"/>
      <c r="J648" s="724"/>
    </row>
    <row r="649" spans="9:10">
      <c r="I649" s="724"/>
      <c r="J649" s="724"/>
    </row>
    <row r="650" spans="9:10">
      <c r="I650" s="724"/>
      <c r="J650" s="724"/>
    </row>
    <row r="651" spans="9:10">
      <c r="I651" s="724"/>
      <c r="J651" s="724"/>
    </row>
    <row r="652" spans="9:10">
      <c r="I652" s="724"/>
      <c r="J652" s="724"/>
    </row>
    <row r="653" spans="9:10">
      <c r="I653" s="724"/>
      <c r="J653" s="724"/>
    </row>
    <row r="654" spans="9:10">
      <c r="I654" s="724"/>
      <c r="J654" s="724"/>
    </row>
    <row r="655" spans="9:10">
      <c r="I655" s="724"/>
      <c r="J655" s="724"/>
    </row>
    <row r="656" spans="9:10">
      <c r="I656" s="724"/>
      <c r="J656" s="724"/>
    </row>
    <row r="657" spans="9:10">
      <c r="I657" s="724"/>
      <c r="J657" s="724"/>
    </row>
    <row r="658" spans="9:10">
      <c r="I658" s="724"/>
      <c r="J658" s="724"/>
    </row>
    <row r="659" spans="9:10">
      <c r="I659" s="724"/>
      <c r="J659" s="724"/>
    </row>
    <row r="660" spans="9:10">
      <c r="I660" s="724"/>
      <c r="J660" s="724"/>
    </row>
    <row r="661" spans="9:10">
      <c r="I661" s="724"/>
      <c r="J661" s="724"/>
    </row>
    <row r="662" spans="9:10">
      <c r="I662" s="724"/>
      <c r="J662" s="724"/>
    </row>
    <row r="663" spans="9:10">
      <c r="I663" s="724"/>
      <c r="J663" s="724"/>
    </row>
    <row r="664" spans="9:10">
      <c r="I664" s="724"/>
      <c r="J664" s="724"/>
    </row>
    <row r="665" spans="9:10">
      <c r="I665" s="724"/>
      <c r="J665" s="724"/>
    </row>
    <row r="666" spans="9:10">
      <c r="I666" s="724"/>
      <c r="J666" s="724"/>
    </row>
    <row r="667" spans="9:10">
      <c r="I667" s="724"/>
      <c r="J667" s="724"/>
    </row>
    <row r="668" spans="9:10">
      <c r="I668" s="724"/>
      <c r="J668" s="724"/>
    </row>
    <row r="669" spans="9:10">
      <c r="I669" s="724"/>
      <c r="J669" s="724"/>
    </row>
    <row r="670" spans="9:10">
      <c r="I670" s="724"/>
      <c r="J670" s="724"/>
    </row>
    <row r="671" spans="9:10">
      <c r="I671" s="724"/>
      <c r="J671" s="724"/>
    </row>
    <row r="672" spans="9:10">
      <c r="I672" s="724"/>
      <c r="J672" s="724"/>
    </row>
    <row r="673" spans="9:10">
      <c r="I673" s="724"/>
      <c r="J673" s="724"/>
    </row>
    <row r="674" spans="9:10">
      <c r="I674" s="724"/>
      <c r="J674" s="724"/>
    </row>
    <row r="675" spans="9:10">
      <c r="I675" s="724"/>
      <c r="J675" s="724"/>
    </row>
    <row r="676" spans="9:10">
      <c r="I676" s="724"/>
      <c r="J676" s="724"/>
    </row>
    <row r="677" spans="9:10">
      <c r="I677" s="724"/>
      <c r="J677" s="724"/>
    </row>
    <row r="678" spans="9:10">
      <c r="I678" s="724"/>
      <c r="J678" s="724"/>
    </row>
    <row r="679" spans="9:10">
      <c r="I679" s="724"/>
      <c r="J679" s="724"/>
    </row>
    <row r="680" spans="9:10">
      <c r="I680" s="724"/>
      <c r="J680" s="724"/>
    </row>
    <row r="681" spans="9:10">
      <c r="I681" s="724"/>
      <c r="J681" s="724"/>
    </row>
    <row r="682" spans="9:10">
      <c r="I682" s="724"/>
      <c r="J682" s="724"/>
    </row>
    <row r="683" spans="9:10">
      <c r="I683" s="724"/>
      <c r="J683" s="724"/>
    </row>
    <row r="684" spans="9:10">
      <c r="I684" s="724"/>
      <c r="J684" s="724"/>
    </row>
    <row r="685" spans="9:10">
      <c r="I685" s="724"/>
      <c r="J685" s="724"/>
    </row>
    <row r="686" spans="9:10">
      <c r="I686" s="724"/>
      <c r="J686" s="724"/>
    </row>
    <row r="687" spans="9:10">
      <c r="I687" s="724"/>
      <c r="J687" s="724"/>
    </row>
    <row r="688" spans="9:10">
      <c r="I688" s="724"/>
      <c r="J688" s="724"/>
    </row>
    <row r="689" spans="9:10">
      <c r="I689" s="724"/>
      <c r="J689" s="724"/>
    </row>
    <row r="690" spans="9:10">
      <c r="I690" s="724"/>
      <c r="J690" s="724"/>
    </row>
    <row r="691" spans="9:10">
      <c r="I691" s="724"/>
      <c r="J691" s="724"/>
    </row>
    <row r="692" spans="9:10">
      <c r="I692" s="724"/>
      <c r="J692" s="724"/>
    </row>
    <row r="693" spans="9:10">
      <c r="I693" s="724"/>
      <c r="J693" s="724"/>
    </row>
    <row r="694" spans="9:10">
      <c r="I694" s="724"/>
      <c r="J694" s="724"/>
    </row>
    <row r="695" spans="9:10">
      <c r="I695" s="724"/>
      <c r="J695" s="724"/>
    </row>
    <row r="696" spans="9:10">
      <c r="I696" s="724"/>
      <c r="J696" s="724"/>
    </row>
    <row r="697" spans="9:10">
      <c r="I697" s="724"/>
      <c r="J697" s="724"/>
    </row>
    <row r="698" spans="9:10">
      <c r="I698" s="724"/>
      <c r="J698" s="724"/>
    </row>
    <row r="699" spans="9:10">
      <c r="I699" s="724"/>
      <c r="J699" s="724"/>
    </row>
    <row r="700" spans="9:10">
      <c r="I700" s="724"/>
      <c r="J700" s="724"/>
    </row>
    <row r="701" spans="9:10">
      <c r="I701" s="724"/>
      <c r="J701" s="724"/>
    </row>
    <row r="702" spans="9:10">
      <c r="I702" s="724"/>
      <c r="J702" s="724"/>
    </row>
    <row r="703" spans="9:10">
      <c r="I703" s="724"/>
      <c r="J703" s="724"/>
    </row>
    <row r="704" spans="9:10">
      <c r="I704" s="724"/>
      <c r="J704" s="724"/>
    </row>
    <row r="705" spans="9:10">
      <c r="I705" s="724"/>
      <c r="J705" s="724"/>
    </row>
    <row r="706" spans="9:10">
      <c r="I706" s="724"/>
      <c r="J706" s="724"/>
    </row>
    <row r="707" spans="9:10">
      <c r="I707" s="724"/>
      <c r="J707" s="724"/>
    </row>
    <row r="708" spans="9:10">
      <c r="I708" s="724"/>
      <c r="J708" s="724"/>
    </row>
    <row r="709" spans="9:10">
      <c r="I709" s="724"/>
      <c r="J709" s="724"/>
    </row>
    <row r="710" spans="9:10">
      <c r="I710" s="724"/>
      <c r="J710" s="724"/>
    </row>
    <row r="711" spans="9:10">
      <c r="I711" s="724"/>
      <c r="J711" s="724"/>
    </row>
    <row r="712" spans="9:10">
      <c r="I712" s="724"/>
      <c r="J712" s="724"/>
    </row>
    <row r="713" spans="9:10">
      <c r="I713" s="724"/>
      <c r="J713" s="724"/>
    </row>
    <row r="714" spans="9:10">
      <c r="I714" s="724"/>
      <c r="J714" s="724"/>
    </row>
    <row r="715" spans="9:10">
      <c r="I715" s="724"/>
      <c r="J715" s="724"/>
    </row>
    <row r="716" spans="9:10">
      <c r="I716" s="724"/>
      <c r="J716" s="724"/>
    </row>
    <row r="717" spans="9:10">
      <c r="I717" s="724"/>
      <c r="J717" s="724"/>
    </row>
    <row r="718" spans="9:10">
      <c r="I718" s="724"/>
      <c r="J718" s="724"/>
    </row>
    <row r="719" spans="9:10">
      <c r="I719" s="724"/>
      <c r="J719" s="724"/>
    </row>
    <row r="720" spans="9:10">
      <c r="I720" s="724"/>
      <c r="J720" s="724"/>
    </row>
    <row r="721" spans="9:10">
      <c r="I721" s="724"/>
      <c r="J721" s="724"/>
    </row>
    <row r="722" spans="9:10">
      <c r="I722" s="724"/>
      <c r="J722" s="724"/>
    </row>
    <row r="723" spans="9:10">
      <c r="I723" s="724"/>
      <c r="J723" s="724"/>
    </row>
    <row r="724" spans="9:10">
      <c r="I724" s="724"/>
      <c r="J724" s="724"/>
    </row>
    <row r="725" spans="9:10">
      <c r="I725" s="724"/>
      <c r="J725" s="724"/>
    </row>
    <row r="726" spans="9:10">
      <c r="I726" s="724"/>
      <c r="J726" s="724"/>
    </row>
    <row r="727" spans="9:10">
      <c r="I727" s="724"/>
      <c r="J727" s="724"/>
    </row>
    <row r="728" spans="9:10">
      <c r="I728" s="724"/>
      <c r="J728" s="724"/>
    </row>
    <row r="729" spans="9:10">
      <c r="I729" s="724"/>
      <c r="J729" s="724"/>
    </row>
    <row r="730" spans="9:10">
      <c r="I730" s="724"/>
      <c r="J730" s="724"/>
    </row>
    <row r="731" spans="9:10">
      <c r="I731" s="724"/>
      <c r="J731" s="724"/>
    </row>
    <row r="732" spans="9:10">
      <c r="I732" s="724"/>
      <c r="J732" s="724"/>
    </row>
    <row r="733" spans="9:10">
      <c r="I733" s="724"/>
      <c r="J733" s="724"/>
    </row>
    <row r="734" spans="9:10">
      <c r="I734" s="724"/>
      <c r="J734" s="724"/>
    </row>
    <row r="735" spans="9:10">
      <c r="I735" s="724"/>
      <c r="J735" s="724"/>
    </row>
    <row r="736" spans="9:10">
      <c r="I736" s="724"/>
      <c r="J736" s="724"/>
    </row>
    <row r="737" spans="9:10">
      <c r="I737" s="724"/>
      <c r="J737" s="724"/>
    </row>
    <row r="738" spans="9:10">
      <c r="I738" s="724"/>
      <c r="J738" s="724"/>
    </row>
    <row r="739" spans="9:10">
      <c r="I739" s="724"/>
      <c r="J739" s="724"/>
    </row>
    <row r="740" spans="9:10">
      <c r="I740" s="724"/>
      <c r="J740" s="724"/>
    </row>
    <row r="741" spans="9:10">
      <c r="I741" s="724"/>
      <c r="J741" s="724"/>
    </row>
    <row r="742" spans="9:10">
      <c r="I742" s="724"/>
      <c r="J742" s="724"/>
    </row>
    <row r="743" spans="9:10">
      <c r="I743" s="724"/>
      <c r="J743" s="724"/>
    </row>
    <row r="744" spans="9:10">
      <c r="I744" s="724"/>
      <c r="J744" s="724"/>
    </row>
    <row r="745" spans="9:10">
      <c r="I745" s="724"/>
      <c r="J745" s="724"/>
    </row>
    <row r="746" spans="9:10">
      <c r="I746" s="724"/>
      <c r="J746" s="724"/>
    </row>
    <row r="747" spans="9:10">
      <c r="I747" s="724"/>
      <c r="J747" s="724"/>
    </row>
    <row r="748" spans="9:10">
      <c r="I748" s="724"/>
      <c r="J748" s="724"/>
    </row>
    <row r="749" spans="9:10">
      <c r="I749" s="724"/>
      <c r="J749" s="724"/>
    </row>
    <row r="750" spans="9:10">
      <c r="I750" s="724"/>
      <c r="J750" s="724"/>
    </row>
    <row r="751" spans="9:10">
      <c r="I751" s="724"/>
      <c r="J751" s="724"/>
    </row>
    <row r="752" spans="9:10">
      <c r="I752" s="724"/>
      <c r="J752" s="724"/>
    </row>
    <row r="753" spans="9:10">
      <c r="I753" s="724"/>
      <c r="J753" s="724"/>
    </row>
    <row r="754" spans="9:10">
      <c r="I754" s="724"/>
      <c r="J754" s="724"/>
    </row>
    <row r="755" spans="9:10">
      <c r="I755" s="724"/>
      <c r="J755" s="724"/>
    </row>
    <row r="756" spans="9:10">
      <c r="I756" s="724"/>
      <c r="J756" s="724"/>
    </row>
    <row r="757" spans="9:10">
      <c r="I757" s="724"/>
      <c r="J757" s="724"/>
    </row>
    <row r="758" spans="9:10">
      <c r="I758" s="724"/>
      <c r="J758" s="724"/>
    </row>
    <row r="759" spans="9:10">
      <c r="I759" s="724"/>
      <c r="J759" s="724"/>
    </row>
    <row r="760" spans="9:10">
      <c r="I760" s="724"/>
      <c r="J760" s="724"/>
    </row>
    <row r="761" spans="9:10">
      <c r="I761" s="724"/>
      <c r="J761" s="724"/>
    </row>
    <row r="762" spans="9:10">
      <c r="I762" s="724"/>
      <c r="J762" s="724"/>
    </row>
    <row r="763" spans="9:10">
      <c r="I763" s="724"/>
      <c r="J763" s="724"/>
    </row>
    <row r="764" spans="9:10">
      <c r="I764" s="724"/>
      <c r="J764" s="724"/>
    </row>
    <row r="765" spans="9:10">
      <c r="I765" s="724"/>
      <c r="J765" s="724"/>
    </row>
    <row r="766" spans="9:10">
      <c r="I766" s="724"/>
      <c r="J766" s="724"/>
    </row>
    <row r="767" spans="9:10">
      <c r="I767" s="724"/>
      <c r="J767" s="724"/>
    </row>
    <row r="768" spans="9:10">
      <c r="I768" s="724"/>
      <c r="J768" s="724"/>
    </row>
    <row r="769" spans="9:10">
      <c r="I769" s="724"/>
      <c r="J769" s="724"/>
    </row>
    <row r="770" spans="9:10">
      <c r="I770" s="724"/>
      <c r="J770" s="724"/>
    </row>
    <row r="771" spans="9:10">
      <c r="I771" s="724"/>
      <c r="J771" s="724"/>
    </row>
    <row r="772" spans="9:10">
      <c r="I772" s="724"/>
      <c r="J772" s="724"/>
    </row>
    <row r="773" spans="9:10">
      <c r="I773" s="724"/>
      <c r="J773" s="724"/>
    </row>
    <row r="774" spans="9:10">
      <c r="I774" s="724"/>
      <c r="J774" s="724"/>
    </row>
    <row r="775" spans="9:10">
      <c r="I775" s="724"/>
      <c r="J775" s="724"/>
    </row>
    <row r="776" spans="9:10">
      <c r="I776" s="724"/>
      <c r="J776" s="724"/>
    </row>
    <row r="777" spans="9:10">
      <c r="I777" s="724"/>
      <c r="J777" s="724"/>
    </row>
    <row r="778" spans="9:10">
      <c r="I778" s="724"/>
      <c r="J778" s="724"/>
    </row>
    <row r="779" spans="9:10">
      <c r="I779" s="724"/>
      <c r="J779" s="724"/>
    </row>
    <row r="780" spans="9:10">
      <c r="I780" s="724"/>
      <c r="J780" s="724"/>
    </row>
    <row r="781" spans="9:10">
      <c r="I781" s="724"/>
      <c r="J781" s="724"/>
    </row>
    <row r="782" spans="9:10">
      <c r="I782" s="724"/>
      <c r="J782" s="724"/>
    </row>
    <row r="783" spans="9:10">
      <c r="I783" s="724"/>
      <c r="J783" s="724"/>
    </row>
    <row r="784" spans="9:10">
      <c r="I784" s="724"/>
      <c r="J784" s="724"/>
    </row>
    <row r="785" spans="9:10">
      <c r="I785" s="724"/>
      <c r="J785" s="724"/>
    </row>
    <row r="786" spans="9:10">
      <c r="I786" s="724"/>
      <c r="J786" s="724"/>
    </row>
    <row r="787" spans="9:10">
      <c r="I787" s="724"/>
      <c r="J787" s="724"/>
    </row>
    <row r="788" spans="9:10">
      <c r="I788" s="724"/>
      <c r="J788" s="724"/>
    </row>
    <row r="789" spans="9:10">
      <c r="I789" s="724"/>
      <c r="J789" s="724"/>
    </row>
    <row r="790" spans="9:10">
      <c r="I790" s="724"/>
      <c r="J790" s="724"/>
    </row>
    <row r="791" spans="9:10">
      <c r="I791" s="724"/>
      <c r="J791" s="724"/>
    </row>
    <row r="792" spans="9:10">
      <c r="I792" s="724"/>
      <c r="J792" s="724"/>
    </row>
    <row r="793" spans="9:10">
      <c r="I793" s="724"/>
      <c r="J793" s="724"/>
    </row>
    <row r="794" spans="9:10">
      <c r="I794" s="724"/>
      <c r="J794" s="724"/>
    </row>
    <row r="795" spans="9:10">
      <c r="I795" s="724"/>
      <c r="J795" s="724"/>
    </row>
    <row r="796" spans="9:10">
      <c r="I796" s="724"/>
      <c r="J796" s="724"/>
    </row>
    <row r="797" spans="9:10">
      <c r="I797" s="724"/>
      <c r="J797" s="724"/>
    </row>
    <row r="798" spans="9:10">
      <c r="I798" s="724"/>
      <c r="J798" s="724"/>
    </row>
    <row r="799" spans="9:10">
      <c r="I799" s="724"/>
      <c r="J799" s="724"/>
    </row>
    <row r="800" spans="9:10">
      <c r="I800" s="724"/>
      <c r="J800" s="724"/>
    </row>
    <row r="801" spans="9:10">
      <c r="I801" s="724"/>
      <c r="J801" s="724"/>
    </row>
    <row r="802" spans="9:10">
      <c r="I802" s="724"/>
      <c r="J802" s="724"/>
    </row>
    <row r="803" spans="9:10">
      <c r="I803" s="724"/>
      <c r="J803" s="724"/>
    </row>
    <row r="804" spans="9:10">
      <c r="I804" s="724"/>
      <c r="J804" s="724"/>
    </row>
    <row r="805" spans="9:10">
      <c r="I805" s="724"/>
      <c r="J805" s="724"/>
    </row>
    <row r="806" spans="9:10">
      <c r="I806" s="724"/>
      <c r="J806" s="724"/>
    </row>
    <row r="807" spans="9:10">
      <c r="I807" s="724"/>
      <c r="J807" s="724"/>
    </row>
    <row r="808" spans="9:10">
      <c r="I808" s="724"/>
      <c r="J808" s="724"/>
    </row>
    <row r="809" spans="9:10">
      <c r="I809" s="724"/>
      <c r="J809" s="724"/>
    </row>
    <row r="810" spans="9:10">
      <c r="I810" s="724"/>
      <c r="J810" s="724"/>
    </row>
    <row r="811" spans="9:10">
      <c r="I811" s="724"/>
      <c r="J811" s="724"/>
    </row>
    <row r="812" spans="9:10">
      <c r="I812" s="724"/>
      <c r="J812" s="724"/>
    </row>
    <row r="813" spans="9:10">
      <c r="I813" s="724"/>
      <c r="J813" s="724"/>
    </row>
    <row r="814" spans="9:10">
      <c r="I814" s="724"/>
      <c r="J814" s="724"/>
    </row>
    <row r="815" spans="9:10">
      <c r="I815" s="724"/>
      <c r="J815" s="724"/>
    </row>
    <row r="816" spans="9:10">
      <c r="I816" s="724"/>
      <c r="J816" s="724"/>
    </row>
    <row r="817" spans="9:10">
      <c r="I817" s="724"/>
      <c r="J817" s="724"/>
    </row>
    <row r="818" spans="9:10">
      <c r="I818" s="724"/>
      <c r="J818" s="724"/>
    </row>
    <row r="819" spans="9:10">
      <c r="I819" s="724"/>
      <c r="J819" s="724"/>
    </row>
    <row r="820" spans="9:10">
      <c r="I820" s="724"/>
      <c r="J820" s="724"/>
    </row>
    <row r="821" spans="9:10">
      <c r="I821" s="724"/>
      <c r="J821" s="724"/>
    </row>
    <row r="822" spans="9:10">
      <c r="I822" s="724"/>
      <c r="J822" s="724"/>
    </row>
    <row r="823" spans="9:10">
      <c r="I823" s="724"/>
      <c r="J823" s="724"/>
    </row>
    <row r="824" spans="9:10">
      <c r="I824" s="724"/>
      <c r="J824" s="724"/>
    </row>
    <row r="825" spans="9:10">
      <c r="I825" s="724"/>
      <c r="J825" s="724"/>
    </row>
    <row r="826" spans="9:10">
      <c r="I826" s="724"/>
      <c r="J826" s="724"/>
    </row>
    <row r="827" spans="9:10">
      <c r="I827" s="724"/>
      <c r="J827" s="724"/>
    </row>
    <row r="828" spans="9:10">
      <c r="I828" s="724"/>
      <c r="J828" s="724"/>
    </row>
    <row r="829" spans="9:10">
      <c r="I829" s="724"/>
      <c r="J829" s="724"/>
    </row>
    <row r="830" spans="9:10">
      <c r="I830" s="724"/>
      <c r="J830" s="724"/>
    </row>
    <row r="831" spans="9:10">
      <c r="I831" s="724"/>
      <c r="J831" s="724"/>
    </row>
    <row r="832" spans="9:10">
      <c r="I832" s="724"/>
      <c r="J832" s="724"/>
    </row>
    <row r="833" spans="9:10">
      <c r="I833" s="724"/>
      <c r="J833" s="724"/>
    </row>
    <row r="834" spans="9:10">
      <c r="I834" s="724"/>
      <c r="J834" s="724"/>
    </row>
    <row r="835" spans="9:10">
      <c r="I835" s="724"/>
      <c r="J835" s="724"/>
    </row>
    <row r="836" spans="9:10">
      <c r="I836" s="724"/>
      <c r="J836" s="724"/>
    </row>
    <row r="837" spans="9:10">
      <c r="I837" s="724"/>
      <c r="J837" s="724"/>
    </row>
    <row r="838" spans="9:10">
      <c r="I838" s="724"/>
      <c r="J838" s="724"/>
    </row>
    <row r="839" spans="9:10">
      <c r="I839" s="724"/>
      <c r="J839" s="724"/>
    </row>
    <row r="840" spans="9:10">
      <c r="I840" s="724"/>
      <c r="J840" s="724"/>
    </row>
    <row r="841" spans="9:10">
      <c r="I841" s="724"/>
      <c r="J841" s="724"/>
    </row>
    <row r="842" spans="9:10">
      <c r="I842" s="724"/>
      <c r="J842" s="724"/>
    </row>
    <row r="843" spans="9:10">
      <c r="I843" s="724"/>
      <c r="J843" s="724"/>
    </row>
    <row r="844" spans="9:10">
      <c r="I844" s="724"/>
      <c r="J844" s="724"/>
    </row>
    <row r="845" spans="9:10">
      <c r="I845" s="724"/>
      <c r="J845" s="724"/>
    </row>
    <row r="846" spans="9:10">
      <c r="I846" s="724"/>
      <c r="J846" s="724"/>
    </row>
    <row r="847" spans="9:10">
      <c r="I847" s="724"/>
      <c r="J847" s="724"/>
    </row>
    <row r="848" spans="9:10">
      <c r="I848" s="724"/>
      <c r="J848" s="724"/>
    </row>
    <row r="849" spans="9:10">
      <c r="I849" s="724"/>
      <c r="J849" s="724"/>
    </row>
    <row r="850" spans="9:10">
      <c r="I850" s="724"/>
      <c r="J850" s="724"/>
    </row>
    <row r="851" spans="9:10">
      <c r="I851" s="724"/>
      <c r="J851" s="724"/>
    </row>
    <row r="852" spans="9:10">
      <c r="I852" s="724"/>
      <c r="J852" s="724"/>
    </row>
    <row r="853" spans="9:10">
      <c r="I853" s="724"/>
      <c r="J853" s="724"/>
    </row>
    <row r="854" spans="9:10">
      <c r="I854" s="724"/>
      <c r="J854" s="724"/>
    </row>
    <row r="855" spans="9:10">
      <c r="I855" s="724"/>
      <c r="J855" s="724"/>
    </row>
    <row r="856" spans="9:10">
      <c r="I856" s="724"/>
      <c r="J856" s="724"/>
    </row>
    <row r="857" spans="9:10">
      <c r="I857" s="724"/>
      <c r="J857" s="724"/>
    </row>
    <row r="858" spans="9:10">
      <c r="I858" s="724"/>
      <c r="J858" s="724"/>
    </row>
    <row r="859" spans="9:10">
      <c r="I859" s="724"/>
      <c r="J859" s="724"/>
    </row>
    <row r="860" spans="9:10">
      <c r="I860" s="724"/>
      <c r="J860" s="724"/>
    </row>
    <row r="861" spans="9:10">
      <c r="I861" s="724"/>
      <c r="J861" s="724"/>
    </row>
    <row r="862" spans="9:10">
      <c r="I862" s="724"/>
      <c r="J862" s="724"/>
    </row>
    <row r="863" spans="9:10">
      <c r="I863" s="724"/>
      <c r="J863" s="724"/>
    </row>
    <row r="864" spans="9:10">
      <c r="I864" s="724"/>
      <c r="J864" s="724"/>
    </row>
    <row r="865" spans="9:10">
      <c r="I865" s="724"/>
      <c r="J865" s="724"/>
    </row>
    <row r="866" spans="9:10">
      <c r="I866" s="724"/>
      <c r="J866" s="724"/>
    </row>
    <row r="867" spans="9:10">
      <c r="I867" s="724"/>
      <c r="J867" s="724"/>
    </row>
    <row r="868" spans="9:10">
      <c r="I868" s="724"/>
      <c r="J868" s="724"/>
    </row>
    <row r="869" spans="9:10">
      <c r="I869" s="724"/>
      <c r="J869" s="724"/>
    </row>
    <row r="870" spans="9:10">
      <c r="I870" s="724"/>
      <c r="J870" s="724"/>
    </row>
    <row r="871" spans="9:10">
      <c r="I871" s="724"/>
      <c r="J871" s="724"/>
    </row>
    <row r="872" spans="9:10">
      <c r="I872" s="724"/>
      <c r="J872" s="724"/>
    </row>
    <row r="873" spans="9:10">
      <c r="I873" s="724"/>
      <c r="J873" s="724"/>
    </row>
    <row r="874" spans="9:10">
      <c r="I874" s="724"/>
      <c r="J874" s="724"/>
    </row>
    <row r="875" spans="9:10">
      <c r="I875" s="724"/>
      <c r="J875" s="724"/>
    </row>
    <row r="876" spans="9:10">
      <c r="I876" s="724"/>
      <c r="J876" s="724"/>
    </row>
    <row r="877" spans="9:10">
      <c r="I877" s="724"/>
      <c r="J877" s="724"/>
    </row>
    <row r="878" spans="9:10">
      <c r="I878" s="724"/>
      <c r="J878" s="724"/>
    </row>
    <row r="879" spans="9:10">
      <c r="I879" s="724"/>
      <c r="J879" s="724"/>
    </row>
    <row r="880" spans="9:10">
      <c r="I880" s="724"/>
      <c r="J880" s="724"/>
    </row>
    <row r="881" spans="9:10">
      <c r="I881" s="724"/>
      <c r="J881" s="724"/>
    </row>
    <row r="882" spans="9:10">
      <c r="I882" s="724"/>
      <c r="J882" s="724"/>
    </row>
    <row r="883" spans="9:10">
      <c r="I883" s="724"/>
      <c r="J883" s="724"/>
    </row>
    <row r="884" spans="9:10">
      <c r="I884" s="724"/>
      <c r="J884" s="724"/>
    </row>
    <row r="885" spans="9:10">
      <c r="I885" s="724"/>
      <c r="J885" s="724"/>
    </row>
    <row r="886" spans="9:10">
      <c r="I886" s="724"/>
      <c r="J886" s="724"/>
    </row>
    <row r="887" spans="9:10">
      <c r="I887" s="724"/>
      <c r="J887" s="724"/>
    </row>
    <row r="888" spans="9:10">
      <c r="I888" s="724"/>
      <c r="J888" s="724"/>
    </row>
    <row r="889" spans="9:10">
      <c r="I889" s="724"/>
      <c r="J889" s="724"/>
    </row>
    <row r="890" spans="9:10">
      <c r="I890" s="724"/>
      <c r="J890" s="724"/>
    </row>
    <row r="891" spans="9:10">
      <c r="I891" s="724"/>
      <c r="J891" s="724"/>
    </row>
    <row r="892" spans="9:10">
      <c r="I892" s="724"/>
      <c r="J892" s="724"/>
    </row>
    <row r="893" spans="9:10">
      <c r="I893" s="724"/>
      <c r="J893" s="724"/>
    </row>
    <row r="894" spans="9:10">
      <c r="I894" s="724"/>
      <c r="J894" s="724"/>
    </row>
    <row r="895" spans="9:10">
      <c r="I895" s="724"/>
      <c r="J895" s="724"/>
    </row>
    <row r="896" spans="9:10">
      <c r="I896" s="724"/>
      <c r="J896" s="724"/>
    </row>
    <row r="897" spans="9:10">
      <c r="I897" s="724"/>
      <c r="J897" s="724"/>
    </row>
    <row r="898" spans="9:10">
      <c r="I898" s="724"/>
      <c r="J898" s="724"/>
    </row>
    <row r="899" spans="9:10">
      <c r="I899" s="724"/>
      <c r="J899" s="724">
        <f t="shared" ref="J899:J915" si="0">H899-I899</f>
        <v>0</v>
      </c>
    </row>
    <row r="900" spans="9:10">
      <c r="I900" s="724"/>
      <c r="J900" s="724">
        <f t="shared" si="0"/>
        <v>0</v>
      </c>
    </row>
    <row r="901" spans="9:10">
      <c r="I901" s="724"/>
      <c r="J901" s="724">
        <f t="shared" si="0"/>
        <v>0</v>
      </c>
    </row>
    <row r="902" spans="9:10">
      <c r="I902" s="724"/>
      <c r="J902" s="724">
        <f t="shared" si="0"/>
        <v>0</v>
      </c>
    </row>
    <row r="903" spans="9:10">
      <c r="I903" s="724"/>
      <c r="J903" s="724">
        <f t="shared" si="0"/>
        <v>0</v>
      </c>
    </row>
    <row r="904" spans="9:10">
      <c r="I904" s="724"/>
      <c r="J904" s="724">
        <f t="shared" si="0"/>
        <v>0</v>
      </c>
    </row>
    <row r="905" spans="9:10">
      <c r="I905" s="724"/>
      <c r="J905" s="724">
        <f t="shared" si="0"/>
        <v>0</v>
      </c>
    </row>
    <row r="906" spans="9:10">
      <c r="I906" s="724"/>
      <c r="J906" s="724">
        <f t="shared" si="0"/>
        <v>0</v>
      </c>
    </row>
    <row r="907" spans="9:10">
      <c r="I907" s="724"/>
      <c r="J907" s="724">
        <f t="shared" si="0"/>
        <v>0</v>
      </c>
    </row>
    <row r="908" spans="9:10">
      <c r="I908" s="724"/>
      <c r="J908" s="724">
        <f t="shared" si="0"/>
        <v>0</v>
      </c>
    </row>
    <row r="909" spans="9:10">
      <c r="I909" s="724"/>
      <c r="J909" s="724">
        <f t="shared" si="0"/>
        <v>0</v>
      </c>
    </row>
    <row r="910" spans="9:10">
      <c r="I910" s="724"/>
      <c r="J910" s="724">
        <f t="shared" si="0"/>
        <v>0</v>
      </c>
    </row>
    <row r="911" spans="9:10">
      <c r="I911" s="724"/>
      <c r="J911" s="724">
        <f t="shared" si="0"/>
        <v>0</v>
      </c>
    </row>
    <row r="912" spans="9:10">
      <c r="I912" s="724"/>
      <c r="J912" s="724">
        <f t="shared" si="0"/>
        <v>0</v>
      </c>
    </row>
    <row r="913" spans="9:10">
      <c r="I913" s="724"/>
      <c r="J913" s="724">
        <f t="shared" si="0"/>
        <v>0</v>
      </c>
    </row>
    <row r="914" spans="9:10">
      <c r="I914" s="724"/>
      <c r="J914" s="724">
        <f t="shared" si="0"/>
        <v>0</v>
      </c>
    </row>
    <row r="915" spans="9:10">
      <c r="I915" s="724"/>
      <c r="J915" s="724">
        <f t="shared" si="0"/>
        <v>0</v>
      </c>
    </row>
    <row r="916" spans="9:10">
      <c r="I916" s="724"/>
      <c r="J916" s="724"/>
    </row>
    <row r="917" spans="9:10">
      <c r="I917" s="724"/>
      <c r="J917" s="724"/>
    </row>
    <row r="918" spans="9:10">
      <c r="I918" s="724"/>
      <c r="J918" s="724"/>
    </row>
    <row r="919" spans="9:10">
      <c r="I919" s="724"/>
      <c r="J919" s="724"/>
    </row>
    <row r="920" spans="9:10">
      <c r="I920" s="724"/>
      <c r="J920" s="724"/>
    </row>
    <row r="921" spans="9:10">
      <c r="I921" s="724"/>
      <c r="J921" s="724"/>
    </row>
    <row r="922" spans="9:10">
      <c r="I922" s="724"/>
      <c r="J922" s="724"/>
    </row>
    <row r="923" spans="9:10">
      <c r="I923" s="724"/>
      <c r="J923" s="724"/>
    </row>
    <row r="924" spans="9:10">
      <c r="I924" s="724"/>
      <c r="J924" s="724"/>
    </row>
    <row r="925" spans="9:10">
      <c r="I925" s="724"/>
      <c r="J925" s="724"/>
    </row>
    <row r="926" spans="9:10">
      <c r="I926" s="724"/>
      <c r="J926" s="724"/>
    </row>
    <row r="927" spans="9:10">
      <c r="I927" s="724"/>
      <c r="J927" s="724"/>
    </row>
    <row r="928" spans="9:10">
      <c r="I928" s="724"/>
      <c r="J928" s="724"/>
    </row>
    <row r="929" spans="9:10">
      <c r="I929" s="724"/>
      <c r="J929" s="724"/>
    </row>
    <row r="930" spans="9:10">
      <c r="I930" s="724"/>
      <c r="J930" s="724"/>
    </row>
    <row r="931" spans="9:10">
      <c r="I931" s="724"/>
      <c r="J931" s="724"/>
    </row>
    <row r="932" spans="9:10">
      <c r="I932" s="724"/>
      <c r="J932" s="724"/>
    </row>
    <row r="933" spans="9:10">
      <c r="I933" s="724"/>
      <c r="J933" s="724"/>
    </row>
    <row r="934" spans="9:10">
      <c r="I934" s="724"/>
      <c r="J934" s="724"/>
    </row>
    <row r="935" spans="9:10">
      <c r="I935" s="724"/>
      <c r="J935" s="724"/>
    </row>
    <row r="936" spans="9:10">
      <c r="I936" s="724"/>
      <c r="J936" s="724"/>
    </row>
    <row r="937" spans="9:10">
      <c r="I937" s="724"/>
      <c r="J937" s="724"/>
    </row>
    <row r="938" spans="9:10">
      <c r="I938" s="724"/>
      <c r="J938" s="724"/>
    </row>
    <row r="939" spans="9:10">
      <c r="I939" s="724"/>
      <c r="J939" s="724"/>
    </row>
    <row r="940" spans="9:10">
      <c r="I940" s="724"/>
      <c r="J940" s="724"/>
    </row>
    <row r="941" spans="9:10">
      <c r="I941" s="724"/>
      <c r="J941" s="724"/>
    </row>
    <row r="942" spans="9:10">
      <c r="I942" s="724"/>
      <c r="J942" s="724"/>
    </row>
    <row r="943" spans="9:10">
      <c r="I943" s="724"/>
      <c r="J943" s="724"/>
    </row>
    <row r="944" spans="9:10">
      <c r="I944" s="724"/>
      <c r="J944" s="724"/>
    </row>
    <row r="945" spans="9:10">
      <c r="I945" s="724"/>
      <c r="J945" s="724"/>
    </row>
    <row r="946" spans="9:10">
      <c r="I946" s="724"/>
      <c r="J946" s="724"/>
    </row>
    <row r="947" spans="9:10">
      <c r="I947" s="724"/>
      <c r="J947" s="724"/>
    </row>
    <row r="948" spans="9:10">
      <c r="I948" s="724"/>
      <c r="J948" s="724"/>
    </row>
    <row r="949" spans="9:10">
      <c r="I949" s="724"/>
      <c r="J949" s="724"/>
    </row>
    <row r="950" spans="9:10">
      <c r="I950" s="724"/>
      <c r="J950" s="724"/>
    </row>
    <row r="951" spans="9:10">
      <c r="I951" s="724"/>
      <c r="J951" s="724"/>
    </row>
    <row r="952" spans="9:10">
      <c r="I952" s="724"/>
      <c r="J952" s="724"/>
    </row>
    <row r="953" spans="9:10">
      <c r="I953" s="724"/>
      <c r="J953" s="724"/>
    </row>
    <row r="954" spans="9:10">
      <c r="I954" s="724"/>
      <c r="J954" s="724"/>
    </row>
    <row r="955" spans="9:10">
      <c r="I955" s="724"/>
      <c r="J955" s="724"/>
    </row>
    <row r="956" spans="9:10">
      <c r="I956" s="724"/>
      <c r="J956" s="724"/>
    </row>
    <row r="957" spans="9:10">
      <c r="I957" s="724"/>
      <c r="J957" s="724"/>
    </row>
    <row r="958" spans="9:10">
      <c r="I958" s="724"/>
      <c r="J958" s="724"/>
    </row>
    <row r="959" spans="9:10">
      <c r="I959" s="724"/>
      <c r="J959" s="724"/>
    </row>
    <row r="960" spans="9:10">
      <c r="I960" s="724"/>
      <c r="J960" s="724"/>
    </row>
    <row r="961" spans="9:10">
      <c r="I961" s="724"/>
      <c r="J961" s="724"/>
    </row>
    <row r="962" spans="9:10">
      <c r="I962" s="724"/>
      <c r="J962" s="724"/>
    </row>
    <row r="963" spans="9:10">
      <c r="I963" s="724"/>
      <c r="J963" s="724"/>
    </row>
    <row r="964" spans="9:10">
      <c r="I964" s="724"/>
      <c r="J964" s="724"/>
    </row>
    <row r="965" spans="9:10">
      <c r="I965" s="724"/>
      <c r="J965" s="724"/>
    </row>
    <row r="966" spans="9:10">
      <c r="I966" s="724"/>
      <c r="J966" s="724"/>
    </row>
    <row r="967" spans="9:10">
      <c r="I967" s="724"/>
      <c r="J967" s="724"/>
    </row>
    <row r="968" spans="9:10">
      <c r="I968" s="724"/>
      <c r="J968" s="724"/>
    </row>
    <row r="969" spans="9:10">
      <c r="I969" s="724"/>
      <c r="J969" s="724"/>
    </row>
    <row r="970" spans="9:10">
      <c r="I970" s="724"/>
      <c r="J970" s="724"/>
    </row>
    <row r="971" spans="9:10">
      <c r="I971" s="724"/>
      <c r="J971" s="724"/>
    </row>
    <row r="972" spans="9:10">
      <c r="I972" s="724"/>
      <c r="J972" s="724"/>
    </row>
    <row r="973" spans="9:10">
      <c r="I973" s="724"/>
      <c r="J973" s="724"/>
    </row>
    <row r="974" spans="9:10">
      <c r="I974" s="724"/>
      <c r="J974" s="724"/>
    </row>
    <row r="975" spans="9:10">
      <c r="I975" s="724"/>
      <c r="J975" s="724"/>
    </row>
    <row r="976" spans="9:10">
      <c r="I976" s="724"/>
      <c r="J976" s="724"/>
    </row>
    <row r="977" spans="9:10">
      <c r="I977" s="724"/>
      <c r="J977" s="724"/>
    </row>
    <row r="978" spans="9:10">
      <c r="I978" s="724"/>
      <c r="J978" s="724"/>
    </row>
    <row r="979" spans="9:10">
      <c r="I979" s="724"/>
      <c r="J979" s="724"/>
    </row>
    <row r="980" spans="9:10">
      <c r="I980" s="724"/>
      <c r="J980" s="724"/>
    </row>
    <row r="981" spans="9:10">
      <c r="I981" s="724"/>
      <c r="J981" s="724"/>
    </row>
    <row r="982" spans="9:10">
      <c r="I982" s="724"/>
      <c r="J982" s="724"/>
    </row>
    <row r="983" spans="9:10">
      <c r="I983" s="724"/>
      <c r="J983" s="724"/>
    </row>
    <row r="984" spans="9:10">
      <c r="I984" s="724"/>
      <c r="J984" s="724"/>
    </row>
    <row r="985" spans="9:10">
      <c r="I985" s="724"/>
      <c r="J985" s="724"/>
    </row>
    <row r="986" spans="9:10">
      <c r="I986" s="724"/>
      <c r="J986" s="724"/>
    </row>
    <row r="987" spans="9:10">
      <c r="I987" s="724"/>
      <c r="J987" s="724"/>
    </row>
    <row r="988" spans="9:10">
      <c r="I988" s="724"/>
      <c r="J988" s="724"/>
    </row>
    <row r="989" spans="9:10">
      <c r="I989" s="724"/>
      <c r="J989" s="724"/>
    </row>
    <row r="990" spans="9:10">
      <c r="I990" s="724"/>
      <c r="J990" s="724"/>
    </row>
    <row r="991" spans="9:10">
      <c r="I991" s="724"/>
      <c r="J991" s="724"/>
    </row>
    <row r="992" spans="9:10">
      <c r="I992" s="724"/>
      <c r="J992" s="724"/>
    </row>
    <row r="993" spans="9:10">
      <c r="I993" s="724"/>
      <c r="J993" s="724"/>
    </row>
    <row r="994" spans="9:10">
      <c r="I994" s="724"/>
      <c r="J994" s="724"/>
    </row>
    <row r="995" spans="9:10">
      <c r="I995" s="724"/>
      <c r="J995" s="724"/>
    </row>
    <row r="996" spans="9:10">
      <c r="I996" s="724"/>
      <c r="J996" s="724"/>
    </row>
    <row r="997" spans="9:10">
      <c r="I997" s="724"/>
      <c r="J997" s="724"/>
    </row>
    <row r="998" spans="9:10">
      <c r="I998" s="724"/>
      <c r="J998" s="724"/>
    </row>
    <row r="999" spans="9:10">
      <c r="I999" s="724"/>
      <c r="J999" s="724"/>
    </row>
    <row r="1000" spans="9:10">
      <c r="I1000" s="724"/>
      <c r="J1000" s="724"/>
    </row>
    <row r="1001" spans="9:10">
      <c r="I1001" s="724"/>
      <c r="J1001" s="724"/>
    </row>
    <row r="1002" spans="9:10">
      <c r="I1002" s="724"/>
      <c r="J1002" s="724"/>
    </row>
    <row r="1003" spans="9:10">
      <c r="I1003" s="724"/>
      <c r="J1003" s="724"/>
    </row>
    <row r="1004" spans="9:10">
      <c r="I1004" s="724"/>
      <c r="J1004" s="724"/>
    </row>
    <row r="1005" spans="9:10">
      <c r="I1005" s="724"/>
      <c r="J1005" s="724"/>
    </row>
    <row r="1006" spans="9:10">
      <c r="I1006" s="724"/>
      <c r="J1006" s="724"/>
    </row>
    <row r="1007" spans="9:10">
      <c r="I1007" s="724"/>
      <c r="J1007" s="724"/>
    </row>
    <row r="1008" spans="9:10">
      <c r="I1008" s="724"/>
      <c r="J1008" s="724"/>
    </row>
    <row r="1009" spans="9:10">
      <c r="I1009" s="724"/>
      <c r="J1009" s="724"/>
    </row>
    <row r="1010" spans="9:10">
      <c r="I1010" s="724"/>
      <c r="J1010" s="724"/>
    </row>
    <row r="1011" spans="9:10">
      <c r="I1011" s="724"/>
      <c r="J1011" s="724"/>
    </row>
    <row r="1012" spans="9:10">
      <c r="I1012" s="724"/>
      <c r="J1012" s="724"/>
    </row>
    <row r="1013" spans="9:10">
      <c r="I1013" s="724"/>
      <c r="J1013" s="724"/>
    </row>
    <row r="1014" spans="9:10">
      <c r="I1014" s="724"/>
      <c r="J1014" s="724"/>
    </row>
    <row r="1015" spans="9:10">
      <c r="I1015" s="724"/>
      <c r="J1015" s="724"/>
    </row>
    <row r="1016" spans="9:10">
      <c r="I1016" s="724"/>
      <c r="J1016" s="724"/>
    </row>
    <row r="1017" spans="9:10">
      <c r="I1017" s="724"/>
      <c r="J1017" s="724"/>
    </row>
    <row r="1018" spans="9:10">
      <c r="I1018" s="724"/>
      <c r="J1018" s="724"/>
    </row>
    <row r="1019" spans="9:10">
      <c r="I1019" s="724"/>
      <c r="J1019" s="724"/>
    </row>
    <row r="1020" spans="9:10">
      <c r="I1020" s="724"/>
      <c r="J1020" s="724"/>
    </row>
    <row r="1021" spans="9:10">
      <c r="I1021" s="724"/>
      <c r="J1021" s="724"/>
    </row>
    <row r="1022" spans="9:10">
      <c r="I1022" s="724"/>
      <c r="J1022" s="724"/>
    </row>
    <row r="1023" spans="9:10">
      <c r="I1023" s="724"/>
      <c r="J1023" s="724"/>
    </row>
    <row r="1024" spans="9:10">
      <c r="I1024" s="724"/>
      <c r="J1024" s="724"/>
    </row>
    <row r="1025" spans="9:10">
      <c r="I1025" s="724"/>
      <c r="J1025" s="724"/>
    </row>
    <row r="1026" spans="9:10">
      <c r="I1026" s="724"/>
      <c r="J1026" s="724"/>
    </row>
    <row r="1027" spans="9:10">
      <c r="I1027" s="724"/>
      <c r="J1027" s="724"/>
    </row>
    <row r="1028" spans="9:10">
      <c r="I1028" s="724"/>
      <c r="J1028" s="724"/>
    </row>
    <row r="1029" spans="9:10">
      <c r="I1029" s="724"/>
      <c r="J1029" s="724"/>
    </row>
    <row r="1030" spans="9:10">
      <c r="I1030" s="724"/>
      <c r="J1030" s="724"/>
    </row>
    <row r="1031" spans="9:10">
      <c r="I1031" s="724"/>
      <c r="J1031" s="724"/>
    </row>
    <row r="1032" spans="9:10">
      <c r="I1032" s="724"/>
      <c r="J1032" s="724"/>
    </row>
    <row r="1033" spans="9:10">
      <c r="I1033" s="724"/>
      <c r="J1033" s="724"/>
    </row>
    <row r="1034" spans="9:10">
      <c r="I1034" s="724"/>
      <c r="J1034" s="724"/>
    </row>
    <row r="1035" spans="9:10">
      <c r="I1035" s="724"/>
      <c r="J1035" s="724"/>
    </row>
    <row r="1036" spans="9:10">
      <c r="I1036" s="724"/>
      <c r="J1036" s="724"/>
    </row>
    <row r="1037" spans="9:10">
      <c r="I1037" s="724"/>
      <c r="J1037" s="724"/>
    </row>
    <row r="1038" spans="9:10">
      <c r="I1038" s="724"/>
      <c r="J1038" s="724"/>
    </row>
    <row r="1039" spans="9:10">
      <c r="I1039" s="724"/>
      <c r="J1039" s="724"/>
    </row>
    <row r="1040" spans="9:10">
      <c r="I1040" s="724"/>
      <c r="J1040" s="724"/>
    </row>
    <row r="1041" spans="9:10">
      <c r="I1041" s="724"/>
      <c r="J1041" s="724"/>
    </row>
    <row r="1042" spans="9:10">
      <c r="I1042" s="724"/>
      <c r="J1042" s="724"/>
    </row>
    <row r="1043" spans="9:10">
      <c r="I1043" s="724"/>
      <c r="J1043" s="724"/>
    </row>
    <row r="1044" spans="9:10">
      <c r="I1044" s="724"/>
      <c r="J1044" s="724"/>
    </row>
    <row r="1045" spans="9:10">
      <c r="I1045" s="724"/>
      <c r="J1045" s="724"/>
    </row>
    <row r="1046" spans="9:10">
      <c r="I1046" s="724"/>
      <c r="J1046" s="724"/>
    </row>
    <row r="1047" spans="9:10">
      <c r="I1047" s="724"/>
      <c r="J1047" s="724"/>
    </row>
    <row r="1048" spans="9:10">
      <c r="I1048" s="724"/>
      <c r="J1048" s="724"/>
    </row>
    <row r="1049" spans="9:10">
      <c r="I1049" s="724"/>
      <c r="J1049" s="724"/>
    </row>
    <row r="1050" spans="9:10">
      <c r="I1050" s="724"/>
      <c r="J1050" s="724"/>
    </row>
    <row r="1051" spans="9:10">
      <c r="I1051" s="724"/>
      <c r="J1051" s="724"/>
    </row>
    <row r="1052" spans="9:10">
      <c r="I1052" s="724"/>
      <c r="J1052" s="724"/>
    </row>
    <row r="1053" spans="9:10">
      <c r="I1053" s="724"/>
      <c r="J1053" s="724"/>
    </row>
    <row r="1054" spans="9:10">
      <c r="I1054" s="724"/>
      <c r="J1054" s="724"/>
    </row>
    <row r="1055" spans="9:10">
      <c r="I1055" s="724"/>
      <c r="J1055" s="724"/>
    </row>
    <row r="1056" spans="9:10">
      <c r="I1056" s="724"/>
      <c r="J1056" s="724"/>
    </row>
    <row r="1057" spans="9:10">
      <c r="I1057" s="724"/>
      <c r="J1057" s="724"/>
    </row>
    <row r="1058" spans="9:10">
      <c r="I1058" s="724"/>
      <c r="J1058" s="724"/>
    </row>
    <row r="1059" spans="9:10">
      <c r="I1059" s="724"/>
      <c r="J1059" s="724"/>
    </row>
    <row r="1060" spans="9:10">
      <c r="I1060" s="724"/>
      <c r="J1060" s="724"/>
    </row>
    <row r="1061" spans="9:10">
      <c r="I1061" s="724"/>
      <c r="J1061" s="724"/>
    </row>
    <row r="1062" spans="9:10">
      <c r="I1062" s="724"/>
      <c r="J1062" s="724"/>
    </row>
    <row r="1063" spans="9:10">
      <c r="I1063" s="724"/>
      <c r="J1063" s="724"/>
    </row>
    <row r="1064" spans="9:10">
      <c r="I1064" s="724"/>
      <c r="J1064" s="724"/>
    </row>
    <row r="1065" spans="9:10">
      <c r="I1065" s="724"/>
      <c r="J1065" s="724"/>
    </row>
    <row r="1066" spans="9:10">
      <c r="I1066" s="724"/>
      <c r="J1066" s="724"/>
    </row>
    <row r="1067" spans="9:10">
      <c r="I1067" s="724"/>
      <c r="J1067" s="724"/>
    </row>
    <row r="1068" spans="9:10">
      <c r="I1068" s="724"/>
      <c r="J1068" s="724"/>
    </row>
    <row r="1069" spans="9:10">
      <c r="I1069" s="724"/>
      <c r="J1069" s="724"/>
    </row>
    <row r="1070" spans="9:10">
      <c r="I1070" s="724"/>
      <c r="J1070" s="724"/>
    </row>
    <row r="1071" spans="9:10">
      <c r="I1071" s="724"/>
      <c r="J1071" s="724"/>
    </row>
    <row r="1072" spans="9:10">
      <c r="I1072" s="724"/>
      <c r="J1072" s="724"/>
    </row>
    <row r="1073" spans="9:10">
      <c r="I1073" s="724"/>
      <c r="J1073" s="724"/>
    </row>
    <row r="1074" spans="9:10">
      <c r="I1074" s="724"/>
      <c r="J1074" s="724"/>
    </row>
    <row r="1075" spans="9:10">
      <c r="I1075" s="724"/>
      <c r="J1075" s="724"/>
    </row>
    <row r="1076" spans="9:10">
      <c r="I1076" s="724"/>
      <c r="J1076" s="724"/>
    </row>
    <row r="1077" spans="9:10">
      <c r="I1077" s="724"/>
      <c r="J1077" s="724"/>
    </row>
    <row r="1078" spans="9:10">
      <c r="I1078" s="724"/>
      <c r="J1078" s="724"/>
    </row>
    <row r="1079" spans="9:10">
      <c r="I1079" s="724"/>
      <c r="J1079" s="724"/>
    </row>
    <row r="1080" spans="9:10">
      <c r="I1080" s="724"/>
      <c r="J1080" s="724"/>
    </row>
    <row r="1081" spans="9:10">
      <c r="I1081" s="724"/>
      <c r="J1081" s="724"/>
    </row>
    <row r="1082" spans="9:10">
      <c r="I1082" s="724"/>
      <c r="J1082" s="724"/>
    </row>
    <row r="1083" spans="9:10">
      <c r="I1083" s="724"/>
      <c r="J1083" s="724"/>
    </row>
    <row r="1084" spans="9:10">
      <c r="I1084" s="724"/>
      <c r="J1084" s="724"/>
    </row>
    <row r="1085" spans="9:10">
      <c r="I1085" s="724"/>
      <c r="J1085" s="724"/>
    </row>
    <row r="1086" spans="9:10">
      <c r="I1086" s="724"/>
      <c r="J1086" s="724"/>
    </row>
    <row r="1087" spans="9:10">
      <c r="I1087" s="724"/>
      <c r="J1087" s="724"/>
    </row>
    <row r="1088" spans="9:10">
      <c r="I1088" s="724"/>
      <c r="J1088" s="724"/>
    </row>
    <row r="1089" spans="9:10">
      <c r="I1089" s="724"/>
      <c r="J1089" s="724"/>
    </row>
    <row r="1090" spans="9:10">
      <c r="I1090" s="724"/>
      <c r="J1090" s="724"/>
    </row>
    <row r="1091" spans="9:10">
      <c r="I1091" s="724"/>
      <c r="J1091" s="724"/>
    </row>
    <row r="1092" spans="9:10">
      <c r="I1092" s="724"/>
      <c r="J1092" s="724"/>
    </row>
    <row r="1093" spans="9:10">
      <c r="I1093" s="724"/>
      <c r="J1093" s="724"/>
    </row>
    <row r="1094" spans="9:10">
      <c r="I1094" s="724"/>
      <c r="J1094" s="724"/>
    </row>
    <row r="1095" spans="9:10">
      <c r="I1095" s="724"/>
      <c r="J1095" s="724"/>
    </row>
    <row r="1096" spans="9:10">
      <c r="I1096" s="724"/>
      <c r="J1096" s="724"/>
    </row>
    <row r="1097" spans="9:10">
      <c r="I1097" s="724"/>
      <c r="J1097" s="724"/>
    </row>
    <row r="1098" spans="9:10">
      <c r="I1098" s="724"/>
      <c r="J1098" s="724"/>
    </row>
    <row r="1099" spans="9:10">
      <c r="I1099" s="724"/>
      <c r="J1099" s="724"/>
    </row>
    <row r="1100" spans="9:10">
      <c r="I1100" s="724"/>
      <c r="J1100" s="724"/>
    </row>
    <row r="1101" spans="9:10">
      <c r="I1101" s="724"/>
      <c r="J1101" s="724"/>
    </row>
    <row r="1102" spans="9:10">
      <c r="I1102" s="724"/>
      <c r="J1102" s="724"/>
    </row>
    <row r="1103" spans="9:10">
      <c r="I1103" s="724"/>
      <c r="J1103" s="724"/>
    </row>
    <row r="1104" spans="9:10">
      <c r="I1104" s="724"/>
      <c r="J1104" s="724"/>
    </row>
    <row r="1105" spans="9:10">
      <c r="I1105" s="724"/>
      <c r="J1105" s="724"/>
    </row>
    <row r="1106" spans="9:10">
      <c r="I1106" s="724"/>
      <c r="J1106" s="724"/>
    </row>
    <row r="1107" spans="9:10">
      <c r="I1107" s="724"/>
      <c r="J1107" s="724"/>
    </row>
    <row r="1108" spans="9:10">
      <c r="I1108" s="724"/>
      <c r="J1108" s="724"/>
    </row>
    <row r="1109" spans="9:10">
      <c r="I1109" s="724"/>
      <c r="J1109" s="724"/>
    </row>
    <row r="1110" spans="9:10">
      <c r="I1110" s="724"/>
      <c r="J1110" s="724"/>
    </row>
    <row r="1111" spans="9:10">
      <c r="I1111" s="724"/>
      <c r="J1111" s="724"/>
    </row>
    <row r="1112" spans="9:10">
      <c r="I1112" s="724"/>
      <c r="J1112" s="724"/>
    </row>
    <row r="1113" spans="9:10">
      <c r="I1113" s="724"/>
      <c r="J1113" s="724"/>
    </row>
    <row r="1114" spans="9:10">
      <c r="I1114" s="724"/>
      <c r="J1114" s="724"/>
    </row>
    <row r="1115" spans="9:10">
      <c r="I1115" s="724"/>
      <c r="J1115" s="724"/>
    </row>
    <row r="1116" spans="9:10">
      <c r="I1116" s="724"/>
      <c r="J1116" s="724"/>
    </row>
    <row r="1117" spans="9:10">
      <c r="I1117" s="724"/>
      <c r="J1117" s="724"/>
    </row>
    <row r="1118" spans="9:10">
      <c r="I1118" s="724"/>
      <c r="J1118" s="724"/>
    </row>
    <row r="1119" spans="9:10">
      <c r="I1119" s="724"/>
      <c r="J1119" s="724"/>
    </row>
    <row r="1120" spans="9:10">
      <c r="I1120" s="724"/>
      <c r="J1120" s="724"/>
    </row>
    <row r="1121" spans="9:10">
      <c r="I1121" s="724"/>
      <c r="J1121" s="724"/>
    </row>
    <row r="1122" spans="9:10">
      <c r="I1122" s="724"/>
      <c r="J1122" s="724"/>
    </row>
    <row r="1123" spans="9:10">
      <c r="I1123" s="724"/>
      <c r="J1123" s="724"/>
    </row>
    <row r="1124" spans="9:10">
      <c r="I1124" s="724"/>
      <c r="J1124" s="724"/>
    </row>
    <row r="1125" spans="9:10">
      <c r="I1125" s="724"/>
      <c r="J1125" s="724"/>
    </row>
    <row r="1126" spans="9:10">
      <c r="I1126" s="724"/>
      <c r="J1126" s="724"/>
    </row>
    <row r="1127" spans="9:10">
      <c r="I1127" s="724"/>
      <c r="J1127" s="724"/>
    </row>
    <row r="1128" spans="9:10">
      <c r="I1128" s="724"/>
      <c r="J1128" s="724"/>
    </row>
    <row r="1129" spans="9:10">
      <c r="I1129" s="724"/>
      <c r="J1129" s="724"/>
    </row>
    <row r="1130" spans="9:10">
      <c r="I1130" s="724"/>
      <c r="J1130" s="724"/>
    </row>
    <row r="1131" spans="9:10">
      <c r="I1131" s="724"/>
      <c r="J1131" s="724"/>
    </row>
    <row r="1132" spans="9:10">
      <c r="I1132" s="724"/>
      <c r="J1132" s="724"/>
    </row>
    <row r="1133" spans="9:10">
      <c r="I1133" s="724"/>
      <c r="J1133" s="724"/>
    </row>
    <row r="1134" spans="9:10">
      <c r="I1134" s="724"/>
      <c r="J1134" s="724"/>
    </row>
    <row r="1135" spans="9:10">
      <c r="I1135" s="724"/>
      <c r="J1135" s="724"/>
    </row>
    <row r="1136" spans="9:10">
      <c r="I1136" s="724"/>
      <c r="J1136" s="724"/>
    </row>
    <row r="1137" spans="9:10">
      <c r="I1137" s="724"/>
      <c r="J1137" s="724"/>
    </row>
    <row r="1138" spans="9:10">
      <c r="I1138" s="724"/>
      <c r="J1138" s="724"/>
    </row>
    <row r="1139" spans="9:10">
      <c r="I1139" s="724"/>
      <c r="J1139" s="724"/>
    </row>
    <row r="1140" spans="9:10">
      <c r="I1140" s="724"/>
      <c r="J1140" s="724"/>
    </row>
    <row r="1141" spans="9:10">
      <c r="I1141" s="724"/>
      <c r="J1141" s="724"/>
    </row>
    <row r="1142" spans="9:10">
      <c r="I1142" s="724"/>
      <c r="J1142" s="724"/>
    </row>
    <row r="1143" spans="9:10">
      <c r="I1143" s="724"/>
      <c r="J1143" s="724"/>
    </row>
    <row r="1144" spans="9:10">
      <c r="I1144" s="724"/>
      <c r="J1144" s="724"/>
    </row>
    <row r="1145" spans="9:10">
      <c r="I1145" s="724"/>
      <c r="J1145" s="724"/>
    </row>
    <row r="1146" spans="9:10">
      <c r="I1146" s="724"/>
      <c r="J1146" s="724"/>
    </row>
    <row r="1147" spans="9:10">
      <c r="I1147" s="724"/>
      <c r="J1147" s="724"/>
    </row>
    <row r="1148" spans="9:10">
      <c r="I1148" s="724"/>
      <c r="J1148" s="724"/>
    </row>
    <row r="1149" spans="9:10">
      <c r="I1149" s="724"/>
      <c r="J1149" s="724"/>
    </row>
    <row r="1150" spans="9:10">
      <c r="I1150" s="724"/>
      <c r="J1150" s="724"/>
    </row>
    <row r="1151" spans="9:10">
      <c r="I1151" s="724"/>
      <c r="J1151" s="724"/>
    </row>
    <row r="1152" spans="9:10">
      <c r="I1152" s="724"/>
      <c r="J1152" s="724"/>
    </row>
    <row r="1153" spans="9:10">
      <c r="I1153" s="724"/>
      <c r="J1153" s="724"/>
    </row>
    <row r="1154" spans="9:10">
      <c r="I1154" s="724"/>
      <c r="J1154" s="724"/>
    </row>
    <row r="1155" spans="9:10">
      <c r="I1155" s="724"/>
      <c r="J1155" s="724"/>
    </row>
    <row r="1156" spans="9:10">
      <c r="I1156" s="724"/>
      <c r="J1156" s="724"/>
    </row>
    <row r="1157" spans="9:10">
      <c r="I1157" s="724"/>
      <c r="J1157" s="724"/>
    </row>
    <row r="1158" spans="9:10">
      <c r="I1158" s="724"/>
      <c r="J1158" s="724"/>
    </row>
    <row r="1159" spans="9:10">
      <c r="I1159" s="724"/>
      <c r="J1159" s="724"/>
    </row>
    <row r="1160" spans="9:10">
      <c r="I1160" s="724"/>
      <c r="J1160" s="724"/>
    </row>
    <row r="1161" spans="9:10">
      <c r="I1161" s="724"/>
      <c r="J1161" s="724"/>
    </row>
    <row r="1162" spans="9:10">
      <c r="I1162" s="724"/>
      <c r="J1162" s="724"/>
    </row>
    <row r="1163" spans="9:10">
      <c r="I1163" s="724"/>
      <c r="J1163" s="724"/>
    </row>
    <row r="1164" spans="9:10">
      <c r="I1164" s="724"/>
      <c r="J1164" s="724"/>
    </row>
    <row r="1165" spans="9:10">
      <c r="I1165" s="724"/>
      <c r="J1165" s="724"/>
    </row>
    <row r="1166" spans="9:10">
      <c r="I1166" s="724"/>
      <c r="J1166" s="724"/>
    </row>
    <row r="1167" spans="9:10">
      <c r="I1167" s="724"/>
      <c r="J1167" s="724"/>
    </row>
    <row r="1168" spans="9:10">
      <c r="I1168" s="724"/>
      <c r="J1168" s="724"/>
    </row>
    <row r="1169" spans="9:10">
      <c r="I1169" s="724"/>
      <c r="J1169" s="724"/>
    </row>
    <row r="1170" spans="9:10">
      <c r="I1170" s="724"/>
      <c r="J1170" s="724"/>
    </row>
    <row r="1171" spans="9:10">
      <c r="I1171" s="724"/>
      <c r="J1171" s="724"/>
    </row>
    <row r="1172" spans="9:10">
      <c r="I1172" s="724"/>
      <c r="J1172" s="724"/>
    </row>
    <row r="1173" spans="9:10">
      <c r="I1173" s="724"/>
      <c r="J1173" s="724"/>
    </row>
    <row r="1174" spans="9:10">
      <c r="I1174" s="724"/>
      <c r="J1174" s="724"/>
    </row>
    <row r="1175" spans="9:10">
      <c r="I1175" s="724"/>
      <c r="J1175" s="724"/>
    </row>
    <row r="1176" spans="9:10">
      <c r="I1176" s="724"/>
      <c r="J1176" s="724"/>
    </row>
    <row r="1177" spans="9:10">
      <c r="I1177" s="724"/>
      <c r="J1177" s="724"/>
    </row>
    <row r="1178" spans="9:10">
      <c r="I1178" s="724"/>
      <c r="J1178" s="724"/>
    </row>
    <row r="1179" spans="9:10">
      <c r="I1179" s="724"/>
      <c r="J1179" s="724"/>
    </row>
    <row r="1180" spans="9:10">
      <c r="I1180" s="724"/>
      <c r="J1180" s="724"/>
    </row>
    <row r="1181" spans="9:10">
      <c r="I1181" s="724"/>
      <c r="J1181" s="724"/>
    </row>
    <row r="1182" spans="9:10">
      <c r="I1182" s="724"/>
      <c r="J1182" s="724"/>
    </row>
    <row r="1183" spans="9:10">
      <c r="I1183" s="724"/>
      <c r="J1183" s="724"/>
    </row>
    <row r="1184" spans="9:10">
      <c r="I1184" s="724"/>
      <c r="J1184" s="724"/>
    </row>
    <row r="1185" spans="9:10">
      <c r="I1185" s="724"/>
      <c r="J1185" s="724"/>
    </row>
    <row r="1186" spans="9:10">
      <c r="I1186" s="724"/>
      <c r="J1186" s="724"/>
    </row>
    <row r="1187" spans="9:10">
      <c r="I1187" s="724"/>
      <c r="J1187" s="724"/>
    </row>
    <row r="1188" spans="9:10">
      <c r="I1188" s="724"/>
      <c r="J1188" s="724"/>
    </row>
    <row r="1189" spans="9:10">
      <c r="I1189" s="724"/>
      <c r="J1189" s="724"/>
    </row>
    <row r="1190" spans="9:10">
      <c r="I1190" s="724"/>
      <c r="J1190" s="724"/>
    </row>
    <row r="1191" spans="9:10">
      <c r="I1191" s="724"/>
      <c r="J1191" s="724"/>
    </row>
    <row r="1192" spans="9:10">
      <c r="I1192" s="724"/>
      <c r="J1192" s="724"/>
    </row>
    <row r="1193" spans="9:10">
      <c r="I1193" s="724"/>
      <c r="J1193" s="724"/>
    </row>
    <row r="1194" spans="9:10">
      <c r="I1194" s="724"/>
      <c r="J1194" s="724"/>
    </row>
    <row r="1195" spans="9:10">
      <c r="I1195" s="724"/>
      <c r="J1195" s="724"/>
    </row>
    <row r="1196" spans="9:10">
      <c r="I1196" s="724"/>
      <c r="J1196" s="724"/>
    </row>
    <row r="1197" spans="9:10">
      <c r="I1197" s="724"/>
      <c r="J1197" s="724"/>
    </row>
    <row r="1198" spans="9:10">
      <c r="I1198" s="724"/>
      <c r="J1198" s="724"/>
    </row>
    <row r="1199" spans="9:10">
      <c r="I1199" s="724"/>
      <c r="J1199" s="724"/>
    </row>
    <row r="1200" spans="9:10">
      <c r="I1200" s="724"/>
      <c r="J1200" s="724"/>
    </row>
    <row r="1201" spans="9:10">
      <c r="I1201" s="724"/>
      <c r="J1201" s="724"/>
    </row>
    <row r="1202" spans="9:10">
      <c r="I1202" s="724"/>
      <c r="J1202" s="724"/>
    </row>
    <row r="1203" spans="9:10">
      <c r="I1203" s="724"/>
      <c r="J1203" s="724"/>
    </row>
    <row r="1204" spans="9:10">
      <c r="I1204" s="724"/>
      <c r="J1204" s="724"/>
    </row>
    <row r="1205" spans="9:10">
      <c r="I1205" s="724"/>
      <c r="J1205" s="724"/>
    </row>
    <row r="1206" spans="9:10">
      <c r="I1206" s="724"/>
      <c r="J1206" s="724"/>
    </row>
    <row r="1207" spans="9:10">
      <c r="I1207" s="724"/>
      <c r="J1207" s="724"/>
    </row>
    <row r="1208" spans="9:10">
      <c r="I1208" s="724"/>
      <c r="J1208" s="724"/>
    </row>
    <row r="1209" spans="9:10">
      <c r="I1209" s="724"/>
      <c r="J1209" s="724"/>
    </row>
    <row r="1210" spans="9:10">
      <c r="I1210" s="724"/>
      <c r="J1210" s="724"/>
    </row>
    <row r="1211" spans="9:10">
      <c r="I1211" s="724"/>
      <c r="J1211" s="724"/>
    </row>
    <row r="1212" spans="9:10">
      <c r="I1212" s="724"/>
      <c r="J1212" s="724"/>
    </row>
    <row r="1213" spans="9:10">
      <c r="I1213" s="724"/>
      <c r="J1213" s="724"/>
    </row>
    <row r="1214" spans="9:10">
      <c r="I1214" s="724"/>
      <c r="J1214" s="724"/>
    </row>
    <row r="1215" spans="9:10">
      <c r="I1215" s="724"/>
      <c r="J1215" s="724"/>
    </row>
    <row r="1216" spans="9:10">
      <c r="I1216" s="724"/>
      <c r="J1216" s="724"/>
    </row>
    <row r="1217" spans="9:10">
      <c r="I1217" s="724"/>
      <c r="J1217" s="724"/>
    </row>
    <row r="1218" spans="9:10">
      <c r="I1218" s="724"/>
      <c r="J1218" s="724"/>
    </row>
    <row r="1219" spans="9:10">
      <c r="I1219" s="724"/>
      <c r="J1219" s="724"/>
    </row>
    <row r="1220" spans="9:10">
      <c r="I1220" s="724"/>
      <c r="J1220" s="724"/>
    </row>
    <row r="1221" spans="9:10">
      <c r="I1221" s="724"/>
      <c r="J1221" s="724"/>
    </row>
    <row r="1222" spans="9:10">
      <c r="I1222" s="724"/>
      <c r="J1222" s="724"/>
    </row>
    <row r="1223" spans="9:10">
      <c r="I1223" s="724"/>
      <c r="J1223" s="724"/>
    </row>
    <row r="1224" spans="9:10">
      <c r="I1224" s="724"/>
      <c r="J1224" s="724"/>
    </row>
    <row r="1225" spans="9:10">
      <c r="I1225" s="724"/>
      <c r="J1225" s="724"/>
    </row>
    <row r="1226" spans="9:10">
      <c r="I1226" s="724"/>
      <c r="J1226" s="724"/>
    </row>
    <row r="1227" spans="9:10">
      <c r="I1227" s="724"/>
      <c r="J1227" s="724"/>
    </row>
    <row r="1228" spans="9:10">
      <c r="I1228" s="724"/>
      <c r="J1228" s="724"/>
    </row>
    <row r="1229" spans="9:10">
      <c r="I1229" s="724"/>
      <c r="J1229" s="724"/>
    </row>
    <row r="1230" spans="9:10">
      <c r="I1230" s="724"/>
      <c r="J1230" s="724"/>
    </row>
    <row r="1231" spans="9:10">
      <c r="I1231" s="724"/>
      <c r="J1231" s="724"/>
    </row>
    <row r="1232" spans="9:10">
      <c r="I1232" s="724"/>
      <c r="J1232" s="724"/>
    </row>
    <row r="1233" spans="9:10">
      <c r="I1233" s="724"/>
      <c r="J1233" s="724"/>
    </row>
    <row r="1234" spans="9:10">
      <c r="I1234" s="724"/>
      <c r="J1234" s="724"/>
    </row>
    <row r="1235" spans="9:10">
      <c r="I1235" s="724"/>
      <c r="J1235" s="724"/>
    </row>
    <row r="1236" spans="9:10">
      <c r="I1236" s="724"/>
      <c r="J1236" s="724"/>
    </row>
    <row r="1237" spans="9:10">
      <c r="I1237" s="724"/>
      <c r="J1237" s="724"/>
    </row>
    <row r="1238" spans="9:10">
      <c r="I1238" s="724"/>
      <c r="J1238" s="724"/>
    </row>
    <row r="1239" spans="9:10">
      <c r="I1239" s="724"/>
      <c r="J1239" s="724"/>
    </row>
    <row r="1240" spans="9:10">
      <c r="I1240" s="724"/>
      <c r="J1240" s="724"/>
    </row>
    <row r="1241" spans="9:10">
      <c r="I1241" s="724"/>
      <c r="J1241" s="724"/>
    </row>
    <row r="1242" spans="9:10">
      <c r="I1242" s="724"/>
      <c r="J1242" s="724"/>
    </row>
    <row r="1243" spans="9:10">
      <c r="I1243" s="724"/>
      <c r="J1243" s="724"/>
    </row>
    <row r="1244" spans="9:10">
      <c r="I1244" s="724"/>
      <c r="J1244" s="724"/>
    </row>
    <row r="1245" spans="9:10">
      <c r="I1245" s="724"/>
      <c r="J1245" s="724"/>
    </row>
    <row r="1246" spans="9:10">
      <c r="I1246" s="724"/>
      <c r="J1246" s="724"/>
    </row>
    <row r="1247" spans="9:10">
      <c r="I1247" s="724"/>
      <c r="J1247" s="724"/>
    </row>
    <row r="1248" spans="9:10">
      <c r="I1248" s="724"/>
      <c r="J1248" s="724"/>
    </row>
    <row r="1249" spans="9:10">
      <c r="I1249" s="724"/>
      <c r="J1249" s="724"/>
    </row>
    <row r="1250" spans="9:10">
      <c r="I1250" s="724"/>
      <c r="J1250" s="724"/>
    </row>
    <row r="1251" spans="9:10">
      <c r="I1251" s="724"/>
      <c r="J1251" s="724"/>
    </row>
    <row r="1252" spans="9:10">
      <c r="I1252" s="724"/>
      <c r="J1252" s="724"/>
    </row>
    <row r="1253" spans="9:10">
      <c r="I1253" s="724"/>
      <c r="J1253" s="724"/>
    </row>
    <row r="1254" spans="9:10">
      <c r="I1254" s="724"/>
      <c r="J1254" s="724"/>
    </row>
    <row r="1255" spans="9:10">
      <c r="I1255" s="724"/>
      <c r="J1255" s="724"/>
    </row>
    <row r="1256" spans="9:10">
      <c r="I1256" s="724"/>
      <c r="J1256" s="724"/>
    </row>
    <row r="1257" spans="9:10">
      <c r="I1257" s="724"/>
      <c r="J1257" s="724"/>
    </row>
    <row r="1258" spans="9:10">
      <c r="I1258" s="724"/>
      <c r="J1258" s="724"/>
    </row>
    <row r="1259" spans="9:10">
      <c r="I1259" s="724"/>
      <c r="J1259" s="724"/>
    </row>
    <row r="1260" spans="9:10">
      <c r="I1260" s="724"/>
      <c r="J1260" s="724"/>
    </row>
    <row r="1261" spans="9:10">
      <c r="I1261" s="724"/>
      <c r="J1261" s="724"/>
    </row>
    <row r="1262" spans="9:10">
      <c r="I1262" s="724"/>
      <c r="J1262" s="724"/>
    </row>
    <row r="1263" spans="9:10">
      <c r="I1263" s="724"/>
      <c r="J1263" s="724"/>
    </row>
    <row r="1264" spans="9:10">
      <c r="I1264" s="724"/>
      <c r="J1264" s="724"/>
    </row>
    <row r="1265" spans="9:10">
      <c r="I1265" s="724"/>
      <c r="J1265" s="724"/>
    </row>
    <row r="1266" spans="9:10">
      <c r="I1266" s="724"/>
      <c r="J1266" s="724"/>
    </row>
    <row r="1267" spans="9:10">
      <c r="I1267" s="724"/>
      <c r="J1267" s="724"/>
    </row>
    <row r="1268" spans="9:10">
      <c r="I1268" s="724"/>
      <c r="J1268" s="724"/>
    </row>
    <row r="1269" spans="9:10">
      <c r="I1269" s="724"/>
      <c r="J1269" s="724"/>
    </row>
    <row r="1270" spans="9:10">
      <c r="I1270" s="724"/>
      <c r="J1270" s="724"/>
    </row>
    <row r="1271" spans="9:10">
      <c r="I1271" s="724"/>
      <c r="J1271" s="724"/>
    </row>
    <row r="1272" spans="9:10">
      <c r="I1272" s="724"/>
      <c r="J1272" s="724"/>
    </row>
    <row r="1273" spans="9:10">
      <c r="I1273" s="724"/>
      <c r="J1273" s="724"/>
    </row>
    <row r="1274" spans="9:10">
      <c r="I1274" s="724"/>
      <c r="J1274" s="724"/>
    </row>
    <row r="1275" spans="9:10">
      <c r="I1275" s="724"/>
      <c r="J1275" s="724"/>
    </row>
    <row r="1276" spans="9:10">
      <c r="I1276" s="724"/>
      <c r="J1276" s="724"/>
    </row>
    <row r="1277" spans="9:10">
      <c r="I1277" s="724"/>
      <c r="J1277" s="724"/>
    </row>
    <row r="1278" spans="9:10">
      <c r="I1278" s="724"/>
      <c r="J1278" s="724"/>
    </row>
    <row r="1279" spans="9:10">
      <c r="I1279" s="724"/>
      <c r="J1279" s="724"/>
    </row>
    <row r="1280" spans="9:10">
      <c r="I1280" s="724"/>
      <c r="J1280" s="724"/>
    </row>
    <row r="1281" spans="9:10">
      <c r="I1281" s="724"/>
      <c r="J1281" s="724"/>
    </row>
    <row r="1282" spans="9:10">
      <c r="I1282" s="724"/>
      <c r="J1282" s="724"/>
    </row>
    <row r="1283" spans="9:10">
      <c r="I1283" s="724"/>
      <c r="J1283" s="724"/>
    </row>
    <row r="1284" spans="9:10">
      <c r="I1284" s="724"/>
      <c r="J1284" s="724"/>
    </row>
    <row r="1285" spans="9:10">
      <c r="I1285" s="724"/>
      <c r="J1285" s="724"/>
    </row>
    <row r="1286" spans="9:10">
      <c r="I1286" s="724"/>
      <c r="J1286" s="724"/>
    </row>
    <row r="1287" spans="9:10">
      <c r="I1287" s="724"/>
      <c r="J1287" s="724"/>
    </row>
    <row r="1288" spans="9:10">
      <c r="I1288" s="724"/>
      <c r="J1288" s="724"/>
    </row>
    <row r="1289" spans="9:10">
      <c r="I1289" s="724"/>
      <c r="J1289" s="724"/>
    </row>
    <row r="1290" spans="9:10">
      <c r="I1290" s="724"/>
      <c r="J1290" s="724"/>
    </row>
    <row r="1291" spans="9:10">
      <c r="I1291" s="724"/>
      <c r="J1291" s="724"/>
    </row>
    <row r="1292" spans="9:10">
      <c r="I1292" s="724"/>
      <c r="J1292" s="724"/>
    </row>
    <row r="1293" spans="9:10">
      <c r="I1293" s="724"/>
      <c r="J1293" s="724"/>
    </row>
    <row r="1294" spans="9:10">
      <c r="I1294" s="724"/>
      <c r="J1294" s="724"/>
    </row>
    <row r="1295" spans="9:10">
      <c r="I1295" s="724"/>
      <c r="J1295" s="724"/>
    </row>
    <row r="1296" spans="9:10">
      <c r="I1296" s="724"/>
      <c r="J1296" s="724"/>
    </row>
    <row r="1297" spans="9:10">
      <c r="I1297" s="724"/>
      <c r="J1297" s="724"/>
    </row>
    <row r="1298" spans="9:10">
      <c r="I1298" s="724"/>
      <c r="J1298" s="724"/>
    </row>
    <row r="1299" spans="9:10">
      <c r="I1299" s="724"/>
      <c r="J1299" s="724"/>
    </row>
    <row r="1300" spans="9:10">
      <c r="I1300" s="724"/>
      <c r="J1300" s="724"/>
    </row>
    <row r="1301" spans="9:10">
      <c r="I1301" s="724"/>
      <c r="J1301" s="724"/>
    </row>
    <row r="1302" spans="9:10">
      <c r="I1302" s="724"/>
      <c r="J1302" s="724"/>
    </row>
    <row r="1303" spans="9:10">
      <c r="I1303" s="724"/>
      <c r="J1303" s="724"/>
    </row>
    <row r="1304" spans="9:10">
      <c r="I1304" s="724"/>
      <c r="J1304" s="724"/>
    </row>
    <row r="1305" spans="9:10">
      <c r="I1305" s="724"/>
      <c r="J1305" s="724"/>
    </row>
    <row r="1306" spans="9:10">
      <c r="I1306" s="724"/>
      <c r="J1306" s="724"/>
    </row>
    <row r="1307" spans="9:10">
      <c r="I1307" s="724"/>
      <c r="J1307" s="724"/>
    </row>
    <row r="1308" spans="9:10">
      <c r="I1308" s="724"/>
      <c r="J1308" s="724"/>
    </row>
    <row r="1309" spans="9:10">
      <c r="I1309" s="724"/>
      <c r="J1309" s="724"/>
    </row>
    <row r="1310" spans="9:10">
      <c r="I1310" s="724"/>
      <c r="J1310" s="724"/>
    </row>
    <row r="1311" spans="9:10">
      <c r="I1311" s="724"/>
      <c r="J1311" s="724"/>
    </row>
    <row r="1312" spans="9:10">
      <c r="I1312" s="724"/>
      <c r="J1312" s="724"/>
    </row>
    <row r="1313" spans="9:10">
      <c r="I1313" s="724"/>
      <c r="J1313" s="724"/>
    </row>
    <row r="1314" spans="9:10">
      <c r="I1314" s="724"/>
      <c r="J1314" s="724"/>
    </row>
    <row r="1315" spans="9:10">
      <c r="I1315" s="724"/>
      <c r="J1315" s="724"/>
    </row>
    <row r="1316" spans="9:10">
      <c r="I1316" s="724"/>
      <c r="J1316" s="724"/>
    </row>
    <row r="1317" spans="9:10">
      <c r="I1317" s="724"/>
      <c r="J1317" s="724"/>
    </row>
    <row r="1318" spans="9:10">
      <c r="I1318" s="724"/>
      <c r="J1318" s="724"/>
    </row>
    <row r="1319" spans="9:10">
      <c r="I1319" s="724"/>
      <c r="J1319" s="724"/>
    </row>
    <row r="1320" spans="9:10">
      <c r="I1320" s="724"/>
      <c r="J1320" s="724"/>
    </row>
    <row r="1321" spans="9:10">
      <c r="I1321" s="724"/>
      <c r="J1321" s="724"/>
    </row>
    <row r="1322" spans="9:10">
      <c r="I1322" s="724"/>
      <c r="J1322" s="724"/>
    </row>
    <row r="1323" spans="9:10">
      <c r="I1323" s="724"/>
      <c r="J1323" s="724"/>
    </row>
    <row r="1324" spans="9:10">
      <c r="I1324" s="724"/>
      <c r="J1324" s="724"/>
    </row>
    <row r="1325" spans="9:10">
      <c r="I1325" s="724"/>
      <c r="J1325" s="724"/>
    </row>
    <row r="1326" spans="9:10">
      <c r="I1326" s="724"/>
      <c r="J1326" s="724"/>
    </row>
    <row r="1327" spans="9:10">
      <c r="I1327" s="724"/>
      <c r="J1327" s="724"/>
    </row>
    <row r="1328" spans="9:10">
      <c r="I1328" s="724"/>
      <c r="J1328" s="724"/>
    </row>
    <row r="1329" spans="9:10">
      <c r="I1329" s="724"/>
      <c r="J1329" s="724"/>
    </row>
    <row r="1330" spans="9:10">
      <c r="I1330" s="724"/>
      <c r="J1330" s="724"/>
    </row>
    <row r="1331" spans="9:10">
      <c r="I1331" s="724"/>
      <c r="J1331" s="724"/>
    </row>
    <row r="1332" spans="9:10">
      <c r="I1332" s="724"/>
      <c r="J1332" s="724"/>
    </row>
    <row r="1333" spans="9:10">
      <c r="I1333" s="724"/>
      <c r="J1333" s="724"/>
    </row>
    <row r="1334" spans="9:10">
      <c r="I1334" s="724"/>
      <c r="J1334" s="724"/>
    </row>
    <row r="1335" spans="9:10">
      <c r="I1335" s="724"/>
      <c r="J1335" s="724"/>
    </row>
    <row r="1336" spans="9:10">
      <c r="I1336" s="724"/>
      <c r="J1336" s="724"/>
    </row>
    <row r="1337" spans="9:10">
      <c r="I1337" s="724"/>
      <c r="J1337" s="724"/>
    </row>
    <row r="1338" spans="9:10">
      <c r="I1338" s="724"/>
      <c r="J1338" s="724"/>
    </row>
    <row r="1339" spans="9:10">
      <c r="I1339" s="724"/>
      <c r="J1339" s="724"/>
    </row>
    <row r="1340" spans="9:10">
      <c r="I1340" s="724"/>
      <c r="J1340" s="724"/>
    </row>
    <row r="1341" spans="9:10">
      <c r="I1341" s="724"/>
      <c r="J1341" s="724"/>
    </row>
    <row r="1342" spans="9:10">
      <c r="I1342" s="724"/>
      <c r="J1342" s="724"/>
    </row>
    <row r="1343" spans="9:10">
      <c r="I1343" s="724"/>
      <c r="J1343" s="724"/>
    </row>
    <row r="1344" spans="9:10">
      <c r="I1344" s="724"/>
      <c r="J1344" s="724"/>
    </row>
    <row r="1345" spans="9:10">
      <c r="I1345" s="724"/>
      <c r="J1345" s="724"/>
    </row>
    <row r="1346" spans="9:10">
      <c r="I1346" s="724"/>
      <c r="J1346" s="724"/>
    </row>
    <row r="1347" spans="9:10">
      <c r="I1347" s="724"/>
      <c r="J1347" s="724"/>
    </row>
    <row r="1348" spans="9:10">
      <c r="I1348" s="724"/>
      <c r="J1348" s="724"/>
    </row>
    <row r="1349" spans="9:10">
      <c r="I1349" s="724"/>
      <c r="J1349" s="724"/>
    </row>
    <row r="1350" spans="9:10">
      <c r="I1350" s="724"/>
      <c r="J1350" s="724"/>
    </row>
    <row r="1351" spans="9:10">
      <c r="I1351" s="724"/>
      <c r="J1351" s="724"/>
    </row>
    <row r="1352" spans="9:10">
      <c r="I1352" s="724"/>
      <c r="J1352" s="724"/>
    </row>
    <row r="1353" spans="9:10">
      <c r="I1353" s="724"/>
      <c r="J1353" s="724"/>
    </row>
    <row r="1354" spans="9:10">
      <c r="I1354" s="724"/>
      <c r="J1354" s="724"/>
    </row>
    <row r="1355" spans="9:10">
      <c r="I1355" s="724"/>
      <c r="J1355" s="724"/>
    </row>
    <row r="1356" spans="9:10">
      <c r="I1356" s="724"/>
      <c r="J1356" s="724"/>
    </row>
    <row r="1357" spans="9:10">
      <c r="I1357" s="724"/>
      <c r="J1357" s="724"/>
    </row>
    <row r="1358" spans="9:10">
      <c r="I1358" s="724"/>
      <c r="J1358" s="724"/>
    </row>
    <row r="1359" spans="9:10">
      <c r="I1359" s="724"/>
      <c r="J1359" s="724"/>
    </row>
    <row r="1360" spans="9:10">
      <c r="I1360" s="724"/>
      <c r="J1360" s="724"/>
    </row>
    <row r="1361" spans="9:10">
      <c r="I1361" s="724"/>
      <c r="J1361" s="724"/>
    </row>
    <row r="1362" spans="9:10">
      <c r="I1362" s="724"/>
      <c r="J1362" s="724"/>
    </row>
    <row r="1363" spans="9:10">
      <c r="I1363" s="724"/>
      <c r="J1363" s="724"/>
    </row>
    <row r="1364" spans="9:10">
      <c r="I1364" s="724"/>
      <c r="J1364" s="724"/>
    </row>
    <row r="1365" spans="9:10">
      <c r="I1365" s="724"/>
      <c r="J1365" s="724"/>
    </row>
    <row r="1366" spans="9:10">
      <c r="I1366" s="724"/>
      <c r="J1366" s="724"/>
    </row>
    <row r="1367" spans="9:10">
      <c r="I1367" s="724"/>
      <c r="J1367" s="724"/>
    </row>
    <row r="1368" spans="9:10">
      <c r="I1368" s="724"/>
      <c r="J1368" s="724"/>
    </row>
    <row r="1369" spans="9:10">
      <c r="I1369" s="724"/>
      <c r="J1369" s="724"/>
    </row>
    <row r="1370" spans="9:10">
      <c r="I1370" s="724"/>
      <c r="J1370" s="724"/>
    </row>
    <row r="1371" spans="9:10">
      <c r="I1371" s="724"/>
      <c r="J1371" s="724"/>
    </row>
    <row r="1372" spans="9:10">
      <c r="I1372" s="724"/>
      <c r="J1372" s="724"/>
    </row>
    <row r="1373" spans="9:10">
      <c r="I1373" s="724"/>
      <c r="J1373" s="724"/>
    </row>
    <row r="1374" spans="9:10">
      <c r="I1374" s="724"/>
      <c r="J1374" s="724"/>
    </row>
    <row r="1375" spans="9:10">
      <c r="I1375" s="724"/>
      <c r="J1375" s="724"/>
    </row>
    <row r="1376" spans="9:10">
      <c r="I1376" s="724"/>
      <c r="J1376" s="724"/>
    </row>
    <row r="1377" spans="9:10">
      <c r="I1377" s="724"/>
      <c r="J1377" s="724"/>
    </row>
    <row r="1378" spans="9:10">
      <c r="I1378" s="724"/>
      <c r="J1378" s="724"/>
    </row>
    <row r="1379" spans="9:10">
      <c r="I1379" s="724"/>
      <c r="J1379" s="724"/>
    </row>
    <row r="1380" spans="9:10">
      <c r="I1380" s="724"/>
      <c r="J1380" s="724"/>
    </row>
    <row r="1381" spans="9:10">
      <c r="I1381" s="724"/>
      <c r="J1381" s="724"/>
    </row>
    <row r="1382" spans="9:10">
      <c r="I1382" s="724"/>
      <c r="J1382" s="724"/>
    </row>
    <row r="1383" spans="9:10">
      <c r="I1383" s="724"/>
      <c r="J1383" s="724"/>
    </row>
    <row r="1384" spans="9:10">
      <c r="I1384" s="724"/>
      <c r="J1384" s="724"/>
    </row>
    <row r="1385" spans="9:10">
      <c r="I1385" s="724"/>
      <c r="J1385" s="724"/>
    </row>
    <row r="1386" spans="9:10">
      <c r="I1386" s="724"/>
      <c r="J1386" s="724"/>
    </row>
    <row r="1387" spans="9:10">
      <c r="I1387" s="724"/>
      <c r="J1387" s="724"/>
    </row>
    <row r="1388" spans="9:10">
      <c r="I1388" s="724"/>
      <c r="J1388" s="724"/>
    </row>
    <row r="1389" spans="9:10">
      <c r="I1389" s="724"/>
      <c r="J1389" s="724"/>
    </row>
    <row r="1390" spans="9:10">
      <c r="I1390" s="724"/>
      <c r="J1390" s="724"/>
    </row>
    <row r="1391" spans="9:10">
      <c r="I1391" s="724"/>
      <c r="J1391" s="724"/>
    </row>
    <row r="1392" spans="9:10">
      <c r="I1392" s="724"/>
      <c r="J1392" s="724"/>
    </row>
    <row r="1393" spans="9:10">
      <c r="I1393" s="724"/>
      <c r="J1393" s="724"/>
    </row>
    <row r="1394" spans="9:10">
      <c r="I1394" s="724"/>
      <c r="J1394" s="724"/>
    </row>
    <row r="1395" spans="9:10">
      <c r="I1395" s="724"/>
      <c r="J1395" s="724"/>
    </row>
    <row r="1396" spans="9:10">
      <c r="I1396" s="724"/>
      <c r="J1396" s="724"/>
    </row>
    <row r="1397" spans="9:10">
      <c r="I1397" s="724"/>
      <c r="J1397" s="724"/>
    </row>
    <row r="1398" spans="9:10">
      <c r="I1398" s="724"/>
      <c r="J1398" s="724"/>
    </row>
    <row r="1399" spans="9:10">
      <c r="I1399" s="724"/>
      <c r="J1399" s="724"/>
    </row>
    <row r="1400" spans="9:10">
      <c r="I1400" s="724"/>
      <c r="J1400" s="724"/>
    </row>
    <row r="1401" spans="9:10">
      <c r="I1401" s="724"/>
      <c r="J1401" s="724"/>
    </row>
    <row r="1402" spans="9:10">
      <c r="I1402" s="724"/>
      <c r="J1402" s="724"/>
    </row>
    <row r="1403" spans="9:10">
      <c r="I1403" s="724"/>
      <c r="J1403" s="724"/>
    </row>
    <row r="1404" spans="9:10">
      <c r="I1404" s="724"/>
      <c r="J1404" s="724"/>
    </row>
    <row r="1405" spans="9:10">
      <c r="I1405" s="724"/>
      <c r="J1405" s="724"/>
    </row>
    <row r="1406" spans="9:10">
      <c r="I1406" s="724"/>
      <c r="J1406" s="724"/>
    </row>
    <row r="1407" spans="9:10">
      <c r="I1407" s="724"/>
      <c r="J1407" s="724"/>
    </row>
    <row r="1408" spans="9:10">
      <c r="I1408" s="724"/>
      <c r="J1408" s="724"/>
    </row>
    <row r="1409" spans="9:10">
      <c r="I1409" s="724"/>
      <c r="J1409" s="724"/>
    </row>
    <row r="1410" spans="9:10">
      <c r="I1410" s="724"/>
      <c r="J1410" s="724"/>
    </row>
    <row r="1411" spans="9:10">
      <c r="I1411" s="724"/>
      <c r="J1411" s="724"/>
    </row>
    <row r="1412" spans="9:10">
      <c r="I1412" s="724"/>
      <c r="J1412" s="724"/>
    </row>
    <row r="1413" spans="9:10">
      <c r="I1413" s="724"/>
      <c r="J1413" s="724"/>
    </row>
    <row r="1414" spans="9:10">
      <c r="I1414" s="724"/>
      <c r="J1414" s="724"/>
    </row>
    <row r="1415" spans="9:10">
      <c r="I1415" s="724"/>
      <c r="J1415" s="724"/>
    </row>
    <row r="1416" spans="9:10">
      <c r="I1416" s="724"/>
      <c r="J1416" s="724"/>
    </row>
    <row r="1417" spans="9:10">
      <c r="I1417" s="724"/>
      <c r="J1417" s="724"/>
    </row>
    <row r="1418" spans="9:10">
      <c r="I1418" s="724"/>
      <c r="J1418" s="724"/>
    </row>
    <row r="1419" spans="9:10">
      <c r="I1419" s="724"/>
      <c r="J1419" s="724"/>
    </row>
    <row r="1420" spans="9:10">
      <c r="I1420" s="724"/>
      <c r="J1420" s="724"/>
    </row>
    <row r="1421" spans="9:10">
      <c r="I1421" s="724"/>
      <c r="J1421" s="724"/>
    </row>
    <row r="1422" spans="9:10">
      <c r="I1422" s="724"/>
      <c r="J1422" s="724"/>
    </row>
    <row r="1423" spans="9:10">
      <c r="I1423" s="724"/>
      <c r="J1423" s="724"/>
    </row>
    <row r="1424" spans="9:10">
      <c r="I1424" s="724"/>
      <c r="J1424" s="724"/>
    </row>
    <row r="1425" spans="9:10">
      <c r="I1425" s="724"/>
      <c r="J1425" s="724"/>
    </row>
    <row r="1426" spans="9:10">
      <c r="I1426" s="724"/>
      <c r="J1426" s="724"/>
    </row>
    <row r="1427" spans="9:10">
      <c r="I1427" s="724"/>
      <c r="J1427" s="724"/>
    </row>
    <row r="1428" spans="9:10">
      <c r="I1428" s="724"/>
      <c r="J1428" s="724"/>
    </row>
    <row r="1429" spans="9:10">
      <c r="I1429" s="724"/>
      <c r="J1429" s="724"/>
    </row>
    <row r="1430" spans="9:10">
      <c r="I1430" s="724"/>
      <c r="J1430" s="724"/>
    </row>
    <row r="1431" spans="9:10">
      <c r="I1431" s="724"/>
      <c r="J1431" s="724"/>
    </row>
    <row r="1432" spans="9:10">
      <c r="I1432" s="724"/>
      <c r="J1432" s="724"/>
    </row>
    <row r="1433" spans="9:10">
      <c r="I1433" s="724"/>
      <c r="J1433" s="724"/>
    </row>
    <row r="1434" spans="9:10">
      <c r="I1434" s="724"/>
      <c r="J1434" s="724"/>
    </row>
    <row r="1435" spans="9:10">
      <c r="I1435" s="724"/>
      <c r="J1435" s="724"/>
    </row>
    <row r="1436" spans="9:10">
      <c r="I1436" s="724"/>
      <c r="J1436" s="724"/>
    </row>
    <row r="1437" spans="9:10">
      <c r="I1437" s="724"/>
      <c r="J1437" s="724"/>
    </row>
    <row r="1438" spans="9:10">
      <c r="I1438" s="724"/>
      <c r="J1438" s="724"/>
    </row>
    <row r="1439" spans="9:10">
      <c r="I1439" s="724"/>
      <c r="J1439" s="724"/>
    </row>
    <row r="1440" spans="9:10">
      <c r="I1440" s="724"/>
      <c r="J1440" s="724"/>
    </row>
    <row r="1441" spans="9:10">
      <c r="I1441" s="724"/>
      <c r="J1441" s="724"/>
    </row>
    <row r="1442" spans="9:10">
      <c r="I1442" s="724"/>
      <c r="J1442" s="724"/>
    </row>
    <row r="1443" spans="9:10">
      <c r="I1443" s="724"/>
      <c r="J1443" s="724"/>
    </row>
    <row r="1444" spans="9:10">
      <c r="I1444" s="724"/>
      <c r="J1444" s="724"/>
    </row>
    <row r="1445" spans="9:10">
      <c r="I1445" s="724"/>
      <c r="J1445" s="724"/>
    </row>
    <row r="1446" spans="9:10">
      <c r="I1446" s="724"/>
      <c r="J1446" s="724"/>
    </row>
    <row r="1447" spans="9:10">
      <c r="I1447" s="724"/>
      <c r="J1447" s="724"/>
    </row>
    <row r="1448" spans="9:10">
      <c r="I1448" s="724"/>
      <c r="J1448" s="724"/>
    </row>
    <row r="1449" spans="9:10">
      <c r="I1449" s="724"/>
      <c r="J1449" s="724"/>
    </row>
    <row r="1450" spans="9:10">
      <c r="I1450" s="724"/>
      <c r="J1450" s="724"/>
    </row>
    <row r="1451" spans="9:10">
      <c r="I1451" s="724"/>
      <c r="J1451" s="724"/>
    </row>
    <row r="1452" spans="9:10">
      <c r="I1452" s="724"/>
      <c r="J1452" s="724"/>
    </row>
    <row r="1453" spans="9:10">
      <c r="I1453" s="724"/>
      <c r="J1453" s="724"/>
    </row>
    <row r="1454" spans="9:10">
      <c r="I1454" s="724"/>
      <c r="J1454" s="724"/>
    </row>
    <row r="1455" spans="9:10">
      <c r="I1455" s="724"/>
      <c r="J1455" s="724"/>
    </row>
    <row r="1456" spans="9:10">
      <c r="I1456" s="724"/>
      <c r="J1456" s="724"/>
    </row>
    <row r="1457" spans="9:10">
      <c r="I1457" s="724"/>
      <c r="J1457" s="724"/>
    </row>
    <row r="1458" spans="9:10">
      <c r="I1458" s="724"/>
      <c r="J1458" s="724"/>
    </row>
    <row r="1459" spans="9:10">
      <c r="I1459" s="724"/>
      <c r="J1459" s="724"/>
    </row>
    <row r="1460" spans="9:10">
      <c r="I1460" s="724"/>
      <c r="J1460" s="724"/>
    </row>
    <row r="1461" spans="9:10">
      <c r="I1461" s="724"/>
      <c r="J1461" s="724"/>
    </row>
    <row r="1462" spans="9:10">
      <c r="I1462" s="724"/>
      <c r="J1462" s="724"/>
    </row>
    <row r="1463" spans="9:10">
      <c r="I1463" s="724"/>
      <c r="J1463" s="724"/>
    </row>
    <row r="1464" spans="9:10">
      <c r="I1464" s="724"/>
      <c r="J1464" s="724"/>
    </row>
    <row r="1465" spans="9:10">
      <c r="I1465" s="724"/>
      <c r="J1465" s="724"/>
    </row>
    <row r="1466" spans="9:10">
      <c r="I1466" s="724"/>
      <c r="J1466" s="724"/>
    </row>
    <row r="1467" spans="9:10">
      <c r="I1467" s="724"/>
      <c r="J1467" s="724"/>
    </row>
    <row r="1468" spans="9:10">
      <c r="I1468" s="724"/>
      <c r="J1468" s="724"/>
    </row>
    <row r="1469" spans="9:10">
      <c r="I1469" s="724"/>
      <c r="J1469" s="724"/>
    </row>
    <row r="1470" spans="9:10">
      <c r="I1470" s="724"/>
      <c r="J1470" s="724"/>
    </row>
    <row r="1471" spans="9:10">
      <c r="I1471" s="724"/>
      <c r="J1471" s="724"/>
    </row>
    <row r="1472" spans="9:10">
      <c r="I1472" s="724"/>
      <c r="J1472" s="724"/>
    </row>
    <row r="1473" spans="9:10">
      <c r="I1473" s="724"/>
      <c r="J1473" s="724"/>
    </row>
    <row r="1474" spans="9:10">
      <c r="I1474" s="724"/>
      <c r="J1474" s="724"/>
    </row>
    <row r="1475" spans="9:10">
      <c r="I1475" s="724"/>
      <c r="J1475" s="724"/>
    </row>
    <row r="1476" spans="9:10">
      <c r="I1476" s="724"/>
      <c r="J1476" s="724"/>
    </row>
    <row r="1477" spans="9:10">
      <c r="I1477" s="724"/>
      <c r="J1477" s="724"/>
    </row>
    <row r="1478" spans="9:10">
      <c r="I1478" s="724"/>
      <c r="J1478" s="724"/>
    </row>
    <row r="1479" spans="9:10">
      <c r="I1479" s="724"/>
      <c r="J1479" s="724"/>
    </row>
    <row r="1480" spans="9:10">
      <c r="I1480" s="724"/>
      <c r="J1480" s="724"/>
    </row>
    <row r="1481" spans="9:10">
      <c r="I1481" s="724"/>
      <c r="J1481" s="724"/>
    </row>
    <row r="1482" spans="9:10">
      <c r="I1482" s="724"/>
      <c r="J1482" s="724"/>
    </row>
    <row r="1483" spans="9:10">
      <c r="I1483" s="724"/>
      <c r="J1483" s="724"/>
    </row>
    <row r="1484" spans="9:10">
      <c r="I1484" s="724"/>
      <c r="J1484" s="724"/>
    </row>
    <row r="1485" spans="9:10">
      <c r="I1485" s="724"/>
      <c r="J1485" s="724"/>
    </row>
    <row r="1486" spans="9:10">
      <c r="I1486" s="724"/>
      <c r="J1486" s="724"/>
    </row>
    <row r="1487" spans="9:10">
      <c r="I1487" s="724"/>
      <c r="J1487" s="724"/>
    </row>
    <row r="1488" spans="9:10">
      <c r="I1488" s="724"/>
      <c r="J1488" s="724"/>
    </row>
    <row r="1489" spans="9:10">
      <c r="I1489" s="724"/>
      <c r="J1489" s="724"/>
    </row>
    <row r="1490" spans="9:10">
      <c r="I1490" s="724"/>
      <c r="J1490" s="724"/>
    </row>
    <row r="1491" spans="9:10">
      <c r="I1491" s="724"/>
      <c r="J1491" s="724"/>
    </row>
    <row r="1492" spans="9:10">
      <c r="I1492" s="724"/>
      <c r="J1492" s="724"/>
    </row>
    <row r="1493" spans="9:10">
      <c r="I1493" s="724"/>
      <c r="J1493" s="724"/>
    </row>
    <row r="1494" spans="9:10">
      <c r="I1494" s="724"/>
      <c r="J1494" s="724"/>
    </row>
    <row r="1495" spans="9:10">
      <c r="I1495" s="724"/>
      <c r="J1495" s="724"/>
    </row>
    <row r="1496" spans="9:10">
      <c r="I1496" s="724"/>
      <c r="J1496" s="724"/>
    </row>
    <row r="1497" spans="9:10">
      <c r="I1497" s="724"/>
      <c r="J1497" s="724"/>
    </row>
    <row r="1498" spans="9:10">
      <c r="I1498" s="724"/>
      <c r="J1498" s="724"/>
    </row>
    <row r="1499" spans="9:10">
      <c r="I1499" s="724"/>
      <c r="J1499" s="724"/>
    </row>
    <row r="1500" spans="9:10">
      <c r="I1500" s="724"/>
      <c r="J1500" s="724"/>
    </row>
    <row r="1501" spans="9:10">
      <c r="I1501" s="724"/>
      <c r="J1501" s="724"/>
    </row>
    <row r="1502" spans="9:10">
      <c r="I1502" s="724"/>
      <c r="J1502" s="724"/>
    </row>
    <row r="1503" spans="9:10">
      <c r="I1503" s="724"/>
      <c r="J1503" s="724"/>
    </row>
    <row r="1504" spans="9:10">
      <c r="I1504" s="724"/>
      <c r="J1504" s="724"/>
    </row>
    <row r="1505" spans="9:10">
      <c r="I1505" s="724"/>
      <c r="J1505" s="724"/>
    </row>
    <row r="1506" spans="9:10">
      <c r="I1506" s="724"/>
      <c r="J1506" s="724"/>
    </row>
    <row r="1507" spans="9:10">
      <c r="I1507" s="724"/>
      <c r="J1507" s="724"/>
    </row>
    <row r="1508" spans="9:10">
      <c r="I1508" s="724"/>
      <c r="J1508" s="724"/>
    </row>
    <row r="1509" spans="9:10">
      <c r="I1509" s="724"/>
      <c r="J1509" s="724"/>
    </row>
    <row r="1510" spans="9:10">
      <c r="I1510" s="724"/>
      <c r="J1510" s="724"/>
    </row>
    <row r="1511" spans="9:10">
      <c r="I1511" s="724"/>
      <c r="J1511" s="724"/>
    </row>
    <row r="1512" spans="9:10">
      <c r="I1512" s="724"/>
      <c r="J1512" s="724"/>
    </row>
    <row r="1513" spans="9:10">
      <c r="I1513" s="724"/>
      <c r="J1513" s="724"/>
    </row>
    <row r="1514" spans="9:10">
      <c r="I1514" s="724"/>
      <c r="J1514" s="724"/>
    </row>
    <row r="1515" spans="9:10">
      <c r="I1515" s="724"/>
      <c r="J1515" s="724"/>
    </row>
    <row r="1516" spans="9:10">
      <c r="I1516" s="724"/>
      <c r="J1516" s="724"/>
    </row>
    <row r="1517" spans="9:10">
      <c r="I1517" s="724"/>
      <c r="J1517" s="724"/>
    </row>
    <row r="1518" spans="9:10">
      <c r="I1518" s="724"/>
      <c r="J1518" s="724"/>
    </row>
    <row r="1519" spans="9:10">
      <c r="I1519" s="724"/>
      <c r="J1519" s="724"/>
    </row>
    <row r="1520" spans="9:10">
      <c r="I1520" s="724"/>
      <c r="J1520" s="724"/>
    </row>
    <row r="1521" spans="9:10">
      <c r="I1521" s="724"/>
      <c r="J1521" s="724"/>
    </row>
    <row r="1522" spans="9:10">
      <c r="I1522" s="724"/>
      <c r="J1522" s="724"/>
    </row>
    <row r="1523" spans="9:10">
      <c r="I1523" s="724"/>
      <c r="J1523" s="724"/>
    </row>
    <row r="1524" spans="9:10">
      <c r="I1524" s="724"/>
      <c r="J1524" s="724"/>
    </row>
    <row r="1525" spans="9:10">
      <c r="I1525" s="724"/>
      <c r="J1525" s="724"/>
    </row>
    <row r="1526" spans="9:10">
      <c r="I1526" s="724"/>
      <c r="J1526" s="724"/>
    </row>
    <row r="1527" spans="9:10">
      <c r="I1527" s="724"/>
      <c r="J1527" s="724"/>
    </row>
    <row r="1528" spans="9:10">
      <c r="I1528" s="724"/>
      <c r="J1528" s="724"/>
    </row>
    <row r="1529" spans="9:10">
      <c r="I1529" s="724"/>
      <c r="J1529" s="724"/>
    </row>
    <row r="1530" spans="9:10">
      <c r="I1530" s="724"/>
      <c r="J1530" s="724"/>
    </row>
    <row r="1531" spans="9:10">
      <c r="I1531" s="724"/>
      <c r="J1531" s="724"/>
    </row>
    <row r="1532" spans="9:10">
      <c r="I1532" s="724"/>
      <c r="J1532" s="724"/>
    </row>
    <row r="1533" spans="9:10">
      <c r="I1533" s="724"/>
      <c r="J1533" s="724"/>
    </row>
    <row r="1534" spans="9:10">
      <c r="I1534" s="724"/>
      <c r="J1534" s="724"/>
    </row>
    <row r="1535" spans="9:10">
      <c r="I1535" s="724"/>
      <c r="J1535" s="724"/>
    </row>
    <row r="1536" spans="9:10">
      <c r="I1536" s="724"/>
      <c r="J1536" s="724"/>
    </row>
    <row r="1537" spans="9:10">
      <c r="I1537" s="724"/>
      <c r="J1537" s="724"/>
    </row>
    <row r="1538" spans="9:10">
      <c r="I1538" s="724"/>
      <c r="J1538" s="724"/>
    </row>
    <row r="1539" spans="9:10">
      <c r="I1539" s="724"/>
      <c r="J1539" s="724"/>
    </row>
    <row r="1540" spans="9:10">
      <c r="I1540" s="724"/>
      <c r="J1540" s="724"/>
    </row>
    <row r="1541" spans="9:10">
      <c r="I1541" s="724"/>
      <c r="J1541" s="724"/>
    </row>
    <row r="1542" spans="9:10">
      <c r="I1542" s="724"/>
      <c r="J1542" s="724"/>
    </row>
    <row r="1543" spans="9:10">
      <c r="I1543" s="724"/>
      <c r="J1543" s="724"/>
    </row>
    <row r="1544" spans="9:10">
      <c r="I1544" s="724"/>
      <c r="J1544" s="724"/>
    </row>
    <row r="1545" spans="9:10">
      <c r="I1545" s="724"/>
      <c r="J1545" s="724"/>
    </row>
    <row r="1546" spans="9:10">
      <c r="I1546" s="724"/>
      <c r="J1546" s="724"/>
    </row>
    <row r="1547" spans="9:10">
      <c r="I1547" s="724"/>
      <c r="J1547" s="724"/>
    </row>
    <row r="1548" spans="9:10">
      <c r="I1548" s="724"/>
      <c r="J1548" s="724"/>
    </row>
    <row r="1549" spans="9:10">
      <c r="I1549" s="724"/>
      <c r="J1549" s="724"/>
    </row>
    <row r="1550" spans="9:10">
      <c r="I1550" s="724"/>
      <c r="J1550" s="724"/>
    </row>
    <row r="1551" spans="9:10">
      <c r="I1551" s="724"/>
      <c r="J1551" s="724"/>
    </row>
    <row r="1552" spans="9:10">
      <c r="I1552" s="724"/>
      <c r="J1552" s="724"/>
    </row>
    <row r="1553" spans="9:10">
      <c r="I1553" s="724"/>
      <c r="J1553" s="724"/>
    </row>
    <row r="1554" spans="9:10">
      <c r="I1554" s="724"/>
      <c r="J1554" s="724"/>
    </row>
    <row r="1555" spans="9:10">
      <c r="I1555" s="724"/>
      <c r="J1555" s="724"/>
    </row>
    <row r="1556" spans="9:10">
      <c r="I1556" s="724"/>
      <c r="J1556" s="724"/>
    </row>
    <row r="1557" spans="9:10">
      <c r="I1557" s="724"/>
      <c r="J1557" s="724"/>
    </row>
    <row r="1558" spans="9:10">
      <c r="I1558" s="724"/>
      <c r="J1558" s="724"/>
    </row>
    <row r="1559" spans="9:10">
      <c r="I1559" s="724"/>
      <c r="J1559" s="724"/>
    </row>
    <row r="1560" spans="9:10">
      <c r="I1560" s="724"/>
      <c r="J1560" s="724"/>
    </row>
    <row r="1561" spans="9:10">
      <c r="I1561" s="724"/>
      <c r="J1561" s="724"/>
    </row>
    <row r="1562" spans="9:10">
      <c r="I1562" s="724"/>
      <c r="J1562" s="724"/>
    </row>
    <row r="1563" spans="9:10">
      <c r="I1563" s="724"/>
      <c r="J1563" s="724"/>
    </row>
    <row r="1564" spans="9:10">
      <c r="I1564" s="724"/>
      <c r="J1564" s="724"/>
    </row>
    <row r="1565" spans="9:10">
      <c r="I1565" s="724"/>
      <c r="J1565" s="724"/>
    </row>
    <row r="1566" spans="9:10">
      <c r="I1566" s="724"/>
      <c r="J1566" s="724"/>
    </row>
    <row r="1567" spans="9:10">
      <c r="I1567" s="724"/>
      <c r="J1567" s="724"/>
    </row>
    <row r="1568" spans="9:10">
      <c r="I1568" s="724"/>
      <c r="J1568" s="724"/>
    </row>
    <row r="1569" spans="9:10">
      <c r="I1569" s="724"/>
      <c r="J1569" s="724"/>
    </row>
    <row r="1570" spans="9:10">
      <c r="I1570" s="724"/>
      <c r="J1570" s="724"/>
    </row>
    <row r="1571" spans="9:10">
      <c r="I1571" s="724"/>
      <c r="J1571" s="724"/>
    </row>
    <row r="1572" spans="9:10">
      <c r="I1572" s="724"/>
      <c r="J1572" s="724"/>
    </row>
    <row r="1573" spans="9:10">
      <c r="I1573" s="724"/>
      <c r="J1573" s="724"/>
    </row>
    <row r="1574" spans="9:10">
      <c r="I1574" s="724"/>
      <c r="J1574" s="724"/>
    </row>
    <row r="1575" spans="9:10">
      <c r="I1575" s="724"/>
      <c r="J1575" s="724"/>
    </row>
    <row r="1576" spans="9:10">
      <c r="I1576" s="724"/>
      <c r="J1576" s="724"/>
    </row>
    <row r="1577" spans="9:10">
      <c r="I1577" s="724"/>
      <c r="J1577" s="724"/>
    </row>
    <row r="1578" spans="9:10">
      <c r="I1578" s="724"/>
      <c r="J1578" s="724"/>
    </row>
    <row r="1579" spans="9:10">
      <c r="I1579" s="724"/>
      <c r="J1579" s="724"/>
    </row>
    <row r="1580" spans="9:10">
      <c r="I1580" s="724"/>
      <c r="J1580" s="724"/>
    </row>
    <row r="1581" spans="9:10">
      <c r="I1581" s="724"/>
      <c r="J1581" s="724"/>
    </row>
    <row r="1582" spans="9:10">
      <c r="I1582" s="724"/>
      <c r="J1582" s="724"/>
    </row>
    <row r="1583" spans="9:10">
      <c r="I1583" s="724"/>
      <c r="J1583" s="724"/>
    </row>
    <row r="1584" spans="9:10">
      <c r="I1584" s="724"/>
      <c r="J1584" s="724"/>
    </row>
    <row r="1585" spans="9:10">
      <c r="I1585" s="724"/>
      <c r="J1585" s="724"/>
    </row>
    <row r="1586" spans="9:10">
      <c r="I1586" s="724"/>
      <c r="J1586" s="724"/>
    </row>
    <row r="1587" spans="9:10">
      <c r="I1587" s="724"/>
      <c r="J1587" s="724"/>
    </row>
    <row r="1588" spans="9:10">
      <c r="I1588" s="724"/>
      <c r="J1588" s="724"/>
    </row>
    <row r="1589" spans="9:10">
      <c r="I1589" s="724"/>
      <c r="J1589" s="724"/>
    </row>
    <row r="1590" spans="9:10">
      <c r="I1590" s="724"/>
      <c r="J1590" s="724"/>
    </row>
    <row r="1591" spans="9:10">
      <c r="I1591" s="724"/>
      <c r="J1591" s="724"/>
    </row>
    <row r="1592" spans="9:10">
      <c r="I1592" s="724"/>
      <c r="J1592" s="724"/>
    </row>
    <row r="1593" spans="9:10">
      <c r="I1593" s="724"/>
      <c r="J1593" s="724"/>
    </row>
    <row r="1594" spans="9:10">
      <c r="I1594" s="724"/>
      <c r="J1594" s="724"/>
    </row>
    <row r="1595" spans="9:10">
      <c r="I1595" s="724"/>
      <c r="J1595" s="724"/>
    </row>
    <row r="1596" spans="9:10">
      <c r="I1596" s="724"/>
      <c r="J1596" s="724"/>
    </row>
    <row r="1597" spans="9:10">
      <c r="I1597" s="724"/>
      <c r="J1597" s="724"/>
    </row>
    <row r="1598" spans="9:10">
      <c r="I1598" s="724"/>
      <c r="J1598" s="724"/>
    </row>
    <row r="1599" spans="9:10">
      <c r="I1599" s="724"/>
      <c r="J1599" s="724"/>
    </row>
    <row r="1600" spans="9:10">
      <c r="I1600" s="724"/>
      <c r="J1600" s="724"/>
    </row>
    <row r="1601" spans="9:10">
      <c r="I1601" s="724"/>
      <c r="J1601" s="724"/>
    </row>
    <row r="1602" spans="9:10">
      <c r="I1602" s="724"/>
      <c r="J1602" s="724"/>
    </row>
    <row r="1603" spans="9:10">
      <c r="I1603" s="724"/>
      <c r="J1603" s="724"/>
    </row>
    <row r="1604" spans="9:10">
      <c r="I1604" s="724"/>
      <c r="J1604" s="724"/>
    </row>
    <row r="1605" spans="9:10">
      <c r="I1605" s="724"/>
      <c r="J1605" s="724"/>
    </row>
    <row r="1606" spans="9:10">
      <c r="I1606" s="724"/>
      <c r="J1606" s="724"/>
    </row>
    <row r="1607" spans="9:10">
      <c r="I1607" s="724"/>
      <c r="J1607" s="724"/>
    </row>
    <row r="1608" spans="9:10">
      <c r="I1608" s="724"/>
      <c r="J1608" s="724"/>
    </row>
    <row r="1609" spans="9:10">
      <c r="I1609" s="724"/>
      <c r="J1609" s="724"/>
    </row>
    <row r="1610" spans="9:10">
      <c r="I1610" s="724"/>
      <c r="J1610" s="724"/>
    </row>
    <row r="1611" spans="9:10">
      <c r="I1611" s="724"/>
      <c r="J1611" s="724"/>
    </row>
    <row r="1612" spans="9:10">
      <c r="I1612" s="724"/>
      <c r="J1612" s="724"/>
    </row>
    <row r="1613" spans="9:10">
      <c r="I1613" s="724"/>
      <c r="J1613" s="724"/>
    </row>
    <row r="1614" spans="9:10">
      <c r="I1614" s="724"/>
      <c r="J1614" s="724"/>
    </row>
    <row r="1615" spans="9:10">
      <c r="I1615" s="724"/>
      <c r="J1615" s="724"/>
    </row>
    <row r="1616" spans="9:10">
      <c r="I1616" s="724"/>
      <c r="J1616" s="724"/>
    </row>
    <row r="1617" spans="9:10">
      <c r="I1617" s="724"/>
      <c r="J1617" s="724"/>
    </row>
    <row r="1618" spans="9:10">
      <c r="I1618" s="724"/>
      <c r="J1618" s="724"/>
    </row>
    <row r="1619" spans="9:10">
      <c r="I1619" s="724"/>
      <c r="J1619" s="724"/>
    </row>
    <row r="1620" spans="9:10">
      <c r="I1620" s="724"/>
      <c r="J1620" s="724"/>
    </row>
    <row r="1621" spans="9:10">
      <c r="I1621" s="724"/>
      <c r="J1621" s="724"/>
    </row>
    <row r="1622" spans="9:10">
      <c r="I1622" s="724"/>
      <c r="J1622" s="724"/>
    </row>
    <row r="1623" spans="9:10">
      <c r="I1623" s="724"/>
      <c r="J1623" s="724"/>
    </row>
    <row r="1624" spans="9:10">
      <c r="I1624" s="724"/>
      <c r="J1624" s="724"/>
    </row>
    <row r="1625" spans="9:10">
      <c r="I1625" s="724"/>
      <c r="J1625" s="724"/>
    </row>
    <row r="1626" spans="9:10">
      <c r="I1626" s="724"/>
      <c r="J1626" s="724"/>
    </row>
    <row r="1627" spans="9:10">
      <c r="I1627" s="724"/>
      <c r="J1627" s="724"/>
    </row>
    <row r="1628" spans="9:10">
      <c r="I1628" s="724"/>
      <c r="J1628" s="724"/>
    </row>
    <row r="1629" spans="9:10">
      <c r="I1629" s="724"/>
      <c r="J1629" s="724"/>
    </row>
    <row r="1630" spans="9:10">
      <c r="I1630" s="724"/>
      <c r="J1630" s="724"/>
    </row>
    <row r="1631" spans="9:10">
      <c r="I1631" s="724"/>
      <c r="J1631" s="724"/>
    </row>
    <row r="1632" spans="9:10">
      <c r="I1632" s="724"/>
      <c r="J1632" s="724"/>
    </row>
    <row r="1633" spans="9:10">
      <c r="I1633" s="724"/>
      <c r="J1633" s="724"/>
    </row>
    <row r="1634" spans="9:10">
      <c r="I1634" s="724"/>
      <c r="J1634" s="724"/>
    </row>
    <row r="1635" spans="9:10">
      <c r="I1635" s="724"/>
      <c r="J1635" s="724"/>
    </row>
    <row r="1636" spans="9:10">
      <c r="I1636" s="724"/>
      <c r="J1636" s="724"/>
    </row>
    <row r="1637" spans="9:10">
      <c r="I1637" s="724"/>
      <c r="J1637" s="724"/>
    </row>
    <row r="1638" spans="9:10">
      <c r="I1638" s="724"/>
      <c r="J1638" s="724"/>
    </row>
    <row r="1639" spans="9:10">
      <c r="I1639" s="724"/>
      <c r="J1639" s="724"/>
    </row>
    <row r="1640" spans="9:10">
      <c r="I1640" s="724"/>
      <c r="J1640" s="724"/>
    </row>
    <row r="1641" spans="9:10">
      <c r="I1641" s="724"/>
      <c r="J1641" s="724"/>
    </row>
    <row r="1642" spans="9:10">
      <c r="I1642" s="724"/>
      <c r="J1642" s="724"/>
    </row>
    <row r="1643" spans="9:10">
      <c r="I1643" s="724"/>
      <c r="J1643" s="724"/>
    </row>
    <row r="1644" spans="9:10">
      <c r="I1644" s="724"/>
      <c r="J1644" s="724"/>
    </row>
    <row r="1645" spans="9:10">
      <c r="I1645" s="724"/>
      <c r="J1645" s="724"/>
    </row>
    <row r="1646" spans="9:10">
      <c r="I1646" s="724"/>
      <c r="J1646" s="724"/>
    </row>
    <row r="1647" spans="9:10">
      <c r="I1647" s="724"/>
      <c r="J1647" s="724"/>
    </row>
    <row r="1648" spans="9:10">
      <c r="I1648" s="724"/>
      <c r="J1648" s="724"/>
    </row>
    <row r="1649" spans="9:10">
      <c r="I1649" s="724"/>
      <c r="J1649" s="724"/>
    </row>
    <row r="1650" spans="9:10">
      <c r="I1650" s="724"/>
      <c r="J1650" s="724"/>
    </row>
    <row r="1651" spans="9:10">
      <c r="I1651" s="724"/>
      <c r="J1651" s="724"/>
    </row>
    <row r="1652" spans="9:10">
      <c r="I1652" s="724"/>
      <c r="J1652" s="724"/>
    </row>
    <row r="1653" spans="9:10">
      <c r="I1653" s="724"/>
      <c r="J1653" s="724"/>
    </row>
    <row r="1654" spans="9:10">
      <c r="I1654" s="724"/>
      <c r="J1654" s="724"/>
    </row>
    <row r="1655" spans="9:10">
      <c r="I1655" s="724"/>
      <c r="J1655" s="724"/>
    </row>
    <row r="1656" spans="9:10">
      <c r="I1656" s="724"/>
      <c r="J1656" s="724"/>
    </row>
    <row r="1657" spans="9:10">
      <c r="I1657" s="724"/>
      <c r="J1657" s="724"/>
    </row>
    <row r="1658" spans="9:10">
      <c r="I1658" s="724"/>
      <c r="J1658" s="724"/>
    </row>
    <row r="1659" spans="9:10">
      <c r="I1659" s="724"/>
      <c r="J1659" s="724"/>
    </row>
    <row r="1660" spans="9:10">
      <c r="I1660" s="724"/>
      <c r="J1660" s="724"/>
    </row>
    <row r="1661" spans="9:10">
      <c r="I1661" s="724"/>
      <c r="J1661" s="724"/>
    </row>
    <row r="1662" spans="9:10">
      <c r="I1662" s="724"/>
      <c r="J1662" s="724"/>
    </row>
    <row r="1663" spans="9:10">
      <c r="I1663" s="724"/>
      <c r="J1663" s="724"/>
    </row>
    <row r="1664" spans="9:10">
      <c r="I1664" s="724"/>
      <c r="J1664" s="724"/>
    </row>
    <row r="1665" spans="9:10">
      <c r="I1665" s="724"/>
      <c r="J1665" s="724"/>
    </row>
    <row r="1666" spans="9:10">
      <c r="I1666" s="724"/>
      <c r="J1666" s="724"/>
    </row>
    <row r="1667" spans="9:10">
      <c r="I1667" s="724"/>
      <c r="J1667" s="724"/>
    </row>
    <row r="1668" spans="9:10">
      <c r="I1668" s="724"/>
      <c r="J1668" s="724"/>
    </row>
    <row r="1669" spans="9:10">
      <c r="I1669" s="724"/>
      <c r="J1669" s="724"/>
    </row>
    <row r="1670" spans="9:10">
      <c r="I1670" s="724"/>
      <c r="J1670" s="724"/>
    </row>
    <row r="1671" spans="9:10">
      <c r="I1671" s="724"/>
      <c r="J1671" s="724"/>
    </row>
    <row r="1672" spans="9:10">
      <c r="I1672" s="724"/>
      <c r="J1672" s="724"/>
    </row>
    <row r="1673" spans="9:10">
      <c r="I1673" s="724"/>
      <c r="J1673" s="724"/>
    </row>
    <row r="1674" spans="9:10">
      <c r="I1674" s="724"/>
      <c r="J1674" s="724"/>
    </row>
    <row r="1675" spans="9:10">
      <c r="I1675" s="724"/>
      <c r="J1675" s="724"/>
    </row>
    <row r="1676" spans="9:10">
      <c r="I1676" s="724"/>
      <c r="J1676" s="724"/>
    </row>
    <row r="1677" spans="9:10">
      <c r="I1677" s="724"/>
      <c r="J1677" s="724"/>
    </row>
    <row r="1678" spans="9:10">
      <c r="I1678" s="724"/>
      <c r="J1678" s="724"/>
    </row>
    <row r="1679" spans="9:10">
      <c r="I1679" s="724"/>
      <c r="J1679" s="724"/>
    </row>
    <row r="1680" spans="9:10">
      <c r="I1680" s="724"/>
      <c r="J1680" s="724"/>
    </row>
    <row r="1681" spans="9:10">
      <c r="I1681" s="724"/>
      <c r="J1681" s="724"/>
    </row>
    <row r="1682" spans="9:10">
      <c r="I1682" s="724"/>
      <c r="J1682" s="724"/>
    </row>
    <row r="1683" spans="9:10">
      <c r="I1683" s="724"/>
      <c r="J1683" s="724"/>
    </row>
    <row r="1684" spans="9:10">
      <c r="I1684" s="724"/>
      <c r="J1684" s="724"/>
    </row>
    <row r="1685" spans="9:10">
      <c r="I1685" s="724"/>
      <c r="J1685" s="724"/>
    </row>
    <row r="1686" spans="9:10">
      <c r="I1686" s="724"/>
      <c r="J1686" s="724"/>
    </row>
    <row r="1687" spans="9:10">
      <c r="I1687" s="724"/>
      <c r="J1687" s="724"/>
    </row>
    <row r="1688" spans="9:10">
      <c r="I1688" s="724"/>
      <c r="J1688" s="724"/>
    </row>
    <row r="1689" spans="9:10">
      <c r="I1689" s="724"/>
      <c r="J1689" s="724"/>
    </row>
    <row r="1690" spans="9:10">
      <c r="I1690" s="724"/>
      <c r="J1690" s="724"/>
    </row>
    <row r="1691" spans="9:10">
      <c r="I1691" s="724"/>
      <c r="J1691" s="724"/>
    </row>
    <row r="1692" spans="9:10">
      <c r="I1692" s="724"/>
      <c r="J1692" s="724"/>
    </row>
    <row r="1693" spans="9:10">
      <c r="I1693" s="724"/>
      <c r="J1693" s="724"/>
    </row>
    <row r="1694" spans="9:10">
      <c r="I1694" s="724"/>
      <c r="J1694" s="724"/>
    </row>
    <row r="1695" spans="9:10">
      <c r="I1695" s="724"/>
      <c r="J1695" s="724"/>
    </row>
    <row r="1696" spans="9:10">
      <c r="I1696" s="724"/>
      <c r="J1696" s="724"/>
    </row>
    <row r="1697" spans="9:10">
      <c r="I1697" s="724"/>
      <c r="J1697" s="724"/>
    </row>
    <row r="1698" spans="9:10">
      <c r="I1698" s="724"/>
      <c r="J1698" s="724"/>
    </row>
    <row r="1699" spans="9:10">
      <c r="I1699" s="724"/>
      <c r="J1699" s="724"/>
    </row>
    <row r="1700" spans="9:10">
      <c r="I1700" s="724"/>
      <c r="J1700" s="724"/>
    </row>
    <row r="1701" spans="9:10">
      <c r="I1701" s="724"/>
      <c r="J1701" s="724"/>
    </row>
    <row r="1702" spans="9:10">
      <c r="I1702" s="724"/>
      <c r="J1702" s="724"/>
    </row>
    <row r="1703" spans="9:10">
      <c r="I1703" s="724"/>
      <c r="J1703" s="724"/>
    </row>
    <row r="1704" spans="9:10">
      <c r="I1704" s="724"/>
      <c r="J1704" s="724"/>
    </row>
    <row r="1705" spans="9:10">
      <c r="I1705" s="724"/>
      <c r="J1705" s="724"/>
    </row>
    <row r="1706" spans="9:10">
      <c r="I1706" s="724"/>
      <c r="J1706" s="724"/>
    </row>
    <row r="1707" spans="9:10">
      <c r="I1707" s="724"/>
      <c r="J1707" s="724"/>
    </row>
    <row r="1708" spans="9:10">
      <c r="I1708" s="724"/>
      <c r="J1708" s="724"/>
    </row>
    <row r="1709" spans="9:10">
      <c r="I1709" s="724"/>
      <c r="J1709" s="724"/>
    </row>
    <row r="1710" spans="9:10">
      <c r="I1710" s="724"/>
      <c r="J1710" s="724"/>
    </row>
    <row r="1711" spans="9:10">
      <c r="I1711" s="724"/>
      <c r="J1711" s="724"/>
    </row>
    <row r="1712" spans="9:10">
      <c r="I1712" s="724"/>
      <c r="J1712" s="724"/>
    </row>
    <row r="1713" spans="9:10">
      <c r="I1713" s="724"/>
      <c r="J1713" s="724"/>
    </row>
    <row r="1714" spans="9:10">
      <c r="I1714" s="724"/>
      <c r="J1714" s="724"/>
    </row>
    <row r="1715" spans="9:10">
      <c r="I1715" s="724"/>
      <c r="J1715" s="724"/>
    </row>
    <row r="1716" spans="9:10">
      <c r="I1716" s="724"/>
      <c r="J1716" s="724"/>
    </row>
    <row r="1717" spans="9:10">
      <c r="I1717" s="724"/>
      <c r="J1717" s="724"/>
    </row>
    <row r="1718" spans="9:10">
      <c r="I1718" s="724"/>
      <c r="J1718" s="724"/>
    </row>
    <row r="1719" spans="9:10">
      <c r="I1719" s="724"/>
      <c r="J1719" s="724"/>
    </row>
    <row r="1720" spans="9:10">
      <c r="I1720" s="724"/>
      <c r="J1720" s="724"/>
    </row>
    <row r="1721" spans="9:10">
      <c r="I1721" s="724"/>
      <c r="J1721" s="724"/>
    </row>
    <row r="1722" spans="9:10">
      <c r="I1722" s="724"/>
      <c r="J1722" s="724"/>
    </row>
    <row r="1723" spans="9:10">
      <c r="I1723" s="724"/>
      <c r="J1723" s="724"/>
    </row>
    <row r="1724" spans="9:10">
      <c r="I1724" s="724"/>
      <c r="J1724" s="724"/>
    </row>
    <row r="1725" spans="9:10">
      <c r="I1725" s="724"/>
      <c r="J1725" s="724"/>
    </row>
    <row r="1726" spans="9:10">
      <c r="I1726" s="724"/>
      <c r="J1726" s="724"/>
    </row>
    <row r="1727" spans="9:10">
      <c r="I1727" s="724"/>
      <c r="J1727" s="724"/>
    </row>
    <row r="1728" spans="9:10">
      <c r="I1728" s="724"/>
      <c r="J1728" s="724"/>
    </row>
    <row r="1729" spans="9:10">
      <c r="I1729" s="724"/>
      <c r="J1729" s="724"/>
    </row>
    <row r="1730" spans="9:10">
      <c r="I1730" s="724"/>
      <c r="J1730" s="724"/>
    </row>
    <row r="1731" spans="9:10">
      <c r="I1731" s="724"/>
      <c r="J1731" s="724"/>
    </row>
    <row r="1732" spans="9:10">
      <c r="I1732" s="724"/>
      <c r="J1732" s="724"/>
    </row>
    <row r="1733" spans="9:10">
      <c r="I1733" s="724"/>
      <c r="J1733" s="724"/>
    </row>
    <row r="1734" spans="9:10">
      <c r="I1734" s="724"/>
      <c r="J1734" s="724"/>
    </row>
    <row r="1735" spans="9:10">
      <c r="I1735" s="724"/>
      <c r="J1735" s="724"/>
    </row>
    <row r="1736" spans="9:10">
      <c r="I1736" s="724"/>
      <c r="J1736" s="724"/>
    </row>
    <row r="1737" spans="9:10">
      <c r="I1737" s="724"/>
      <c r="J1737" s="724"/>
    </row>
    <row r="1738" spans="9:10">
      <c r="I1738" s="724"/>
      <c r="J1738" s="724"/>
    </row>
    <row r="1739" spans="9:10">
      <c r="I1739" s="724"/>
      <c r="J1739" s="724"/>
    </row>
    <row r="1740" spans="9:10">
      <c r="I1740" s="724"/>
      <c r="J1740" s="724"/>
    </row>
    <row r="1741" spans="9:10">
      <c r="I1741" s="724"/>
      <c r="J1741" s="724"/>
    </row>
    <row r="1742" spans="9:10">
      <c r="I1742" s="724"/>
      <c r="J1742" s="724"/>
    </row>
    <row r="1743" spans="9:10">
      <c r="I1743" s="724"/>
      <c r="J1743" s="724"/>
    </row>
    <row r="1744" spans="9:10">
      <c r="I1744" s="724"/>
      <c r="J1744" s="724"/>
    </row>
    <row r="1745" spans="9:10">
      <c r="I1745" s="724"/>
      <c r="J1745" s="724"/>
    </row>
    <row r="1746" spans="9:10">
      <c r="I1746" s="724"/>
      <c r="J1746" s="724"/>
    </row>
    <row r="1747" spans="9:10">
      <c r="I1747" s="724"/>
      <c r="J1747" s="724"/>
    </row>
    <row r="1748" spans="9:10">
      <c r="I1748" s="724"/>
      <c r="J1748" s="724"/>
    </row>
    <row r="1749" spans="9:10">
      <c r="I1749" s="724"/>
      <c r="J1749" s="724"/>
    </row>
    <row r="1750" spans="9:10">
      <c r="I1750" s="724"/>
      <c r="J1750" s="724"/>
    </row>
    <row r="1751" spans="9:10">
      <c r="I1751" s="724"/>
      <c r="J1751" s="724"/>
    </row>
    <row r="1752" spans="9:10">
      <c r="I1752" s="724"/>
      <c r="J1752" s="724"/>
    </row>
    <row r="1753" spans="9:10">
      <c r="I1753" s="724"/>
      <c r="J1753" s="724"/>
    </row>
    <row r="1754" spans="9:10">
      <c r="I1754" s="724"/>
      <c r="J1754" s="724"/>
    </row>
    <row r="1755" spans="9:10">
      <c r="I1755" s="724"/>
      <c r="J1755" s="724"/>
    </row>
    <row r="1756" spans="9:10">
      <c r="I1756" s="724"/>
      <c r="J1756" s="724"/>
    </row>
    <row r="1757" spans="9:10">
      <c r="I1757" s="724"/>
      <c r="J1757" s="724"/>
    </row>
    <row r="1758" spans="9:10">
      <c r="I1758" s="724"/>
      <c r="J1758" s="724"/>
    </row>
    <row r="1759" spans="9:10">
      <c r="I1759" s="724"/>
      <c r="J1759" s="724"/>
    </row>
    <row r="1760" spans="9:10">
      <c r="I1760" s="724"/>
      <c r="J1760" s="724"/>
    </row>
    <row r="1761" spans="9:10">
      <c r="I1761" s="724"/>
      <c r="J1761" s="724"/>
    </row>
    <row r="1762" spans="9:10">
      <c r="I1762" s="724"/>
      <c r="J1762" s="724"/>
    </row>
    <row r="1763" spans="9:10">
      <c r="I1763" s="724"/>
      <c r="J1763" s="724"/>
    </row>
    <row r="1764" spans="9:10">
      <c r="I1764" s="724"/>
      <c r="J1764" s="724"/>
    </row>
    <row r="1765" spans="9:10">
      <c r="I1765" s="724"/>
      <c r="J1765" s="724"/>
    </row>
    <row r="1766" spans="9:10">
      <c r="I1766" s="724"/>
      <c r="J1766" s="724"/>
    </row>
    <row r="1767" spans="9:10">
      <c r="I1767" s="724"/>
      <c r="J1767" s="724"/>
    </row>
    <row r="1768" spans="9:10">
      <c r="I1768" s="724"/>
      <c r="J1768" s="724"/>
    </row>
    <row r="1769" spans="9:10">
      <c r="I1769" s="724"/>
      <c r="J1769" s="724"/>
    </row>
    <row r="1770" spans="9:10">
      <c r="I1770" s="724"/>
      <c r="J1770" s="724"/>
    </row>
    <row r="1771" spans="9:10">
      <c r="I1771" s="724"/>
      <c r="J1771" s="724"/>
    </row>
    <row r="1772" spans="9:10">
      <c r="I1772" s="724"/>
      <c r="J1772" s="724"/>
    </row>
    <row r="1773" spans="9:10">
      <c r="I1773" s="724"/>
      <c r="J1773" s="724"/>
    </row>
    <row r="1774" spans="9:10">
      <c r="I1774" s="724"/>
      <c r="J1774" s="724"/>
    </row>
    <row r="1775" spans="9:10">
      <c r="I1775" s="724"/>
      <c r="J1775" s="724"/>
    </row>
    <row r="1776" spans="9:10">
      <c r="I1776" s="724"/>
      <c r="J1776" s="724"/>
    </row>
    <row r="1777" spans="9:10">
      <c r="I1777" s="724"/>
      <c r="J1777" s="724"/>
    </row>
    <row r="1778" spans="9:10">
      <c r="I1778" s="724"/>
      <c r="J1778" s="724"/>
    </row>
    <row r="1779" spans="9:10">
      <c r="I1779" s="724"/>
      <c r="J1779" s="724"/>
    </row>
    <row r="1780" spans="9:10">
      <c r="I1780" s="724"/>
      <c r="J1780" s="724"/>
    </row>
    <row r="1781" spans="9:10">
      <c r="I1781" s="724"/>
      <c r="J1781" s="724"/>
    </row>
    <row r="1782" spans="9:10">
      <c r="I1782" s="724"/>
      <c r="J1782" s="724"/>
    </row>
    <row r="1783" spans="9:10">
      <c r="I1783" s="724"/>
      <c r="J1783" s="724"/>
    </row>
    <row r="1784" spans="9:10">
      <c r="I1784" s="724"/>
      <c r="J1784" s="724"/>
    </row>
    <row r="1785" spans="9:10">
      <c r="I1785" s="724"/>
      <c r="J1785" s="724"/>
    </row>
    <row r="1786" spans="9:10">
      <c r="I1786" s="724"/>
      <c r="J1786" s="724"/>
    </row>
    <row r="1787" spans="9:10">
      <c r="I1787" s="724"/>
      <c r="J1787" s="724"/>
    </row>
    <row r="1788" spans="9:10">
      <c r="I1788" s="724"/>
      <c r="J1788" s="724"/>
    </row>
    <row r="1789" spans="9:10">
      <c r="I1789" s="724"/>
      <c r="J1789" s="724"/>
    </row>
    <row r="1790" spans="9:10">
      <c r="I1790" s="724"/>
      <c r="J1790" s="724"/>
    </row>
    <row r="1791" spans="9:10">
      <c r="I1791" s="724"/>
      <c r="J1791" s="724"/>
    </row>
    <row r="1792" spans="9:10">
      <c r="I1792" s="724"/>
      <c r="J1792" s="724"/>
    </row>
    <row r="1793" spans="9:10">
      <c r="I1793" s="724"/>
      <c r="J1793" s="724"/>
    </row>
    <row r="1794" spans="9:10">
      <c r="I1794" s="724"/>
      <c r="J1794" s="724"/>
    </row>
    <row r="1795" spans="9:10">
      <c r="I1795" s="724"/>
      <c r="J1795" s="724"/>
    </row>
    <row r="1796" spans="9:10">
      <c r="I1796" s="724"/>
      <c r="J1796" s="724"/>
    </row>
    <row r="1797" spans="9:10">
      <c r="I1797" s="724"/>
      <c r="J1797" s="724"/>
    </row>
    <row r="1798" spans="9:10">
      <c r="I1798" s="724"/>
      <c r="J1798" s="724"/>
    </row>
    <row r="1799" spans="9:10">
      <c r="I1799" s="724"/>
      <c r="J1799" s="724"/>
    </row>
    <row r="1800" spans="9:10">
      <c r="I1800" s="724"/>
      <c r="J1800" s="724"/>
    </row>
    <row r="1801" spans="9:10">
      <c r="I1801" s="724"/>
      <c r="J1801" s="724"/>
    </row>
    <row r="1802" spans="9:10">
      <c r="I1802" s="724"/>
      <c r="J1802" s="724"/>
    </row>
    <row r="1803" spans="9:10">
      <c r="I1803" s="724"/>
      <c r="J1803" s="724"/>
    </row>
    <row r="1804" spans="9:10">
      <c r="I1804" s="724"/>
      <c r="J1804" s="724"/>
    </row>
    <row r="1805" spans="9:10">
      <c r="I1805" s="724"/>
      <c r="J1805" s="724"/>
    </row>
    <row r="1806" spans="9:10">
      <c r="I1806" s="724"/>
      <c r="J1806" s="724"/>
    </row>
    <row r="1807" spans="9:10">
      <c r="I1807" s="724"/>
      <c r="J1807" s="724"/>
    </row>
    <row r="1808" spans="9:10">
      <c r="I1808" s="724"/>
      <c r="J1808" s="724"/>
    </row>
    <row r="1809" spans="9:10">
      <c r="I1809" s="724"/>
      <c r="J1809" s="724"/>
    </row>
    <row r="1810" spans="9:10">
      <c r="I1810" s="724"/>
      <c r="J1810" s="724"/>
    </row>
    <row r="1811" spans="9:10">
      <c r="I1811" s="724"/>
      <c r="J1811" s="724"/>
    </row>
    <row r="1812" spans="9:10">
      <c r="I1812" s="724"/>
      <c r="J1812" s="724"/>
    </row>
    <row r="1813" spans="9:10">
      <c r="I1813" s="724"/>
      <c r="J1813" s="724"/>
    </row>
    <row r="1814" spans="9:10">
      <c r="I1814" s="724"/>
      <c r="J1814" s="724"/>
    </row>
    <row r="1815" spans="9:10">
      <c r="I1815" s="724"/>
      <c r="J1815" s="724"/>
    </row>
    <row r="1816" spans="9:10">
      <c r="I1816" s="724"/>
      <c r="J1816" s="724"/>
    </row>
    <row r="1817" spans="9:10">
      <c r="I1817" s="724"/>
      <c r="J1817" s="724"/>
    </row>
    <row r="1818" spans="9:10">
      <c r="I1818" s="724"/>
      <c r="J1818" s="724"/>
    </row>
    <row r="1819" spans="9:10">
      <c r="I1819" s="724"/>
      <c r="J1819" s="724"/>
    </row>
    <row r="1820" spans="9:10">
      <c r="I1820" s="724"/>
      <c r="J1820" s="724"/>
    </row>
    <row r="1821" spans="9:10">
      <c r="I1821" s="724"/>
      <c r="J1821" s="724"/>
    </row>
    <row r="1822" spans="9:10">
      <c r="I1822" s="724"/>
      <c r="J1822" s="724"/>
    </row>
    <row r="1823" spans="9:10">
      <c r="I1823" s="724"/>
      <c r="J1823" s="724"/>
    </row>
    <row r="1824" spans="9:10">
      <c r="I1824" s="724"/>
      <c r="J1824" s="724"/>
    </row>
    <row r="1825" spans="9:10">
      <c r="I1825" s="724"/>
      <c r="J1825" s="724"/>
    </row>
    <row r="1826" spans="9:10">
      <c r="I1826" s="724"/>
      <c r="J1826" s="724"/>
    </row>
    <row r="1827" spans="9:10">
      <c r="I1827" s="724"/>
      <c r="J1827" s="724"/>
    </row>
    <row r="1828" spans="9:10">
      <c r="I1828" s="724"/>
      <c r="J1828" s="724"/>
    </row>
    <row r="1829" spans="9:10">
      <c r="I1829" s="724"/>
      <c r="J1829" s="724"/>
    </row>
    <row r="1830" spans="9:10">
      <c r="I1830" s="724"/>
      <c r="J1830" s="724"/>
    </row>
    <row r="1831" spans="9:10">
      <c r="I1831" s="724"/>
      <c r="J1831" s="724"/>
    </row>
    <row r="1832" spans="9:10">
      <c r="I1832" s="724"/>
      <c r="J1832" s="724"/>
    </row>
    <row r="1833" spans="9:10">
      <c r="I1833" s="724"/>
      <c r="J1833" s="724"/>
    </row>
    <row r="1834" spans="9:10">
      <c r="I1834" s="724"/>
      <c r="J1834" s="724"/>
    </row>
    <row r="1835" spans="9:10">
      <c r="I1835" s="724"/>
      <c r="J1835" s="724"/>
    </row>
    <row r="1836" spans="9:10">
      <c r="I1836" s="724"/>
      <c r="J1836" s="724"/>
    </row>
    <row r="1837" spans="9:10">
      <c r="I1837" s="724"/>
      <c r="J1837" s="724"/>
    </row>
    <row r="1838" spans="9:10">
      <c r="I1838" s="724"/>
      <c r="J1838" s="724"/>
    </row>
    <row r="1839" spans="9:10">
      <c r="I1839" s="724"/>
      <c r="J1839" s="724"/>
    </row>
    <row r="1840" spans="9:10">
      <c r="I1840" s="724"/>
      <c r="J1840" s="724"/>
    </row>
    <row r="1841" spans="9:10">
      <c r="I1841" s="724"/>
      <c r="J1841" s="724"/>
    </row>
    <row r="1842" spans="9:10">
      <c r="I1842" s="724"/>
      <c r="J1842" s="724"/>
    </row>
    <row r="1843" spans="9:10">
      <c r="I1843" s="724"/>
      <c r="J1843" s="724"/>
    </row>
    <row r="1844" spans="9:10">
      <c r="I1844" s="724"/>
      <c r="J1844" s="724"/>
    </row>
    <row r="1845" spans="9:10">
      <c r="I1845" s="724"/>
      <c r="J1845" s="724"/>
    </row>
    <row r="1846" spans="9:10">
      <c r="I1846" s="724"/>
      <c r="J1846" s="724"/>
    </row>
    <row r="1847" spans="9:10">
      <c r="I1847" s="724"/>
      <c r="J1847" s="724"/>
    </row>
    <row r="1848" spans="9:10">
      <c r="I1848" s="724"/>
      <c r="J1848" s="724"/>
    </row>
    <row r="1849" spans="9:10">
      <c r="I1849" s="724"/>
      <c r="J1849" s="724"/>
    </row>
    <row r="1850" spans="9:10">
      <c r="I1850" s="724"/>
      <c r="J1850" s="724"/>
    </row>
    <row r="1851" spans="9:10">
      <c r="I1851" s="724"/>
      <c r="J1851" s="724"/>
    </row>
    <row r="1852" spans="9:10">
      <c r="I1852" s="724"/>
      <c r="J1852" s="724"/>
    </row>
    <row r="1853" spans="9:10">
      <c r="I1853" s="724"/>
      <c r="J1853" s="724"/>
    </row>
    <row r="1854" spans="9:10">
      <c r="I1854" s="724"/>
      <c r="J1854" s="724"/>
    </row>
    <row r="1855" spans="9:10">
      <c r="I1855" s="724"/>
      <c r="J1855" s="724"/>
    </row>
    <row r="1856" spans="9:10">
      <c r="I1856" s="724"/>
      <c r="J1856" s="724"/>
    </row>
    <row r="1857" spans="9:10">
      <c r="I1857" s="724"/>
      <c r="J1857" s="724"/>
    </row>
    <row r="1858" spans="9:10">
      <c r="I1858" s="724"/>
      <c r="J1858" s="724"/>
    </row>
    <row r="1859" spans="9:10">
      <c r="I1859" s="724"/>
      <c r="J1859" s="724"/>
    </row>
    <row r="1860" spans="9:10">
      <c r="I1860" s="724"/>
      <c r="J1860" s="724"/>
    </row>
    <row r="1861" spans="9:10">
      <c r="I1861" s="724"/>
      <c r="J1861" s="724"/>
    </row>
    <row r="1862" spans="9:10">
      <c r="I1862" s="724"/>
      <c r="J1862" s="724"/>
    </row>
    <row r="1863" spans="9:10">
      <c r="I1863" s="724"/>
      <c r="J1863" s="724"/>
    </row>
    <row r="1864" spans="9:10">
      <c r="I1864" s="724"/>
      <c r="J1864" s="724"/>
    </row>
    <row r="1865" spans="9:10">
      <c r="I1865" s="724"/>
      <c r="J1865" s="724"/>
    </row>
    <row r="1866" spans="9:10">
      <c r="I1866" s="724"/>
      <c r="J1866" s="724"/>
    </row>
    <row r="1867" spans="9:10">
      <c r="I1867" s="724"/>
      <c r="J1867" s="724"/>
    </row>
    <row r="1868" spans="9:10">
      <c r="I1868" s="724"/>
      <c r="J1868" s="724"/>
    </row>
    <row r="1869" spans="9:10">
      <c r="I1869" s="724"/>
      <c r="J1869" s="724"/>
    </row>
    <row r="1870" spans="9:10">
      <c r="I1870" s="724"/>
      <c r="J1870" s="724"/>
    </row>
    <row r="1871" spans="9:10">
      <c r="I1871" s="724"/>
      <c r="J1871" s="724"/>
    </row>
    <row r="1872" spans="9:10">
      <c r="I1872" s="724"/>
      <c r="J1872" s="724"/>
    </row>
    <row r="1873" spans="9:10">
      <c r="I1873" s="724"/>
      <c r="J1873" s="724"/>
    </row>
    <row r="1874" spans="9:10">
      <c r="I1874" s="724"/>
      <c r="J1874" s="724"/>
    </row>
    <row r="1875" spans="9:10">
      <c r="I1875" s="724"/>
      <c r="J1875" s="724"/>
    </row>
    <row r="1876" spans="9:10">
      <c r="I1876" s="724"/>
      <c r="J1876" s="724"/>
    </row>
    <row r="1877" spans="9:10">
      <c r="I1877" s="724"/>
      <c r="J1877" s="724"/>
    </row>
    <row r="1878" spans="9:10">
      <c r="I1878" s="724"/>
      <c r="J1878" s="724"/>
    </row>
    <row r="1879" spans="9:10">
      <c r="I1879" s="724"/>
      <c r="J1879" s="724"/>
    </row>
    <row r="1880" spans="9:10">
      <c r="I1880" s="724"/>
      <c r="J1880" s="724"/>
    </row>
    <row r="1881" spans="9:10">
      <c r="I1881" s="724"/>
      <c r="J1881" s="724"/>
    </row>
    <row r="1882" spans="9:10">
      <c r="I1882" s="724"/>
      <c r="J1882" s="724"/>
    </row>
    <row r="1883" spans="9:10">
      <c r="I1883" s="724"/>
      <c r="J1883" s="724"/>
    </row>
    <row r="1884" spans="9:10">
      <c r="I1884" s="724"/>
      <c r="J1884" s="724"/>
    </row>
    <row r="1885" spans="9:10">
      <c r="I1885" s="724"/>
      <c r="J1885" s="724"/>
    </row>
    <row r="1886" spans="9:10">
      <c r="I1886" s="724"/>
      <c r="J1886" s="724"/>
    </row>
    <row r="1887" spans="9:10">
      <c r="I1887" s="724"/>
      <c r="J1887" s="724"/>
    </row>
    <row r="1888" spans="9:10">
      <c r="I1888" s="724"/>
      <c r="J1888" s="724"/>
    </row>
    <row r="1889" spans="9:10">
      <c r="I1889" s="724"/>
      <c r="J1889" s="724"/>
    </row>
    <row r="1890" spans="9:10">
      <c r="I1890" s="724"/>
      <c r="J1890" s="724"/>
    </row>
    <row r="1891" spans="9:10">
      <c r="I1891" s="724"/>
      <c r="J1891" s="724"/>
    </row>
    <row r="1892" spans="9:10">
      <c r="I1892" s="724"/>
      <c r="J1892" s="724"/>
    </row>
    <row r="1893" spans="9:10">
      <c r="I1893" s="724"/>
      <c r="J1893" s="724"/>
    </row>
    <row r="1894" spans="9:10">
      <c r="I1894" s="724"/>
      <c r="J1894" s="724"/>
    </row>
    <row r="1895" spans="9:10">
      <c r="I1895" s="724"/>
      <c r="J1895" s="724"/>
    </row>
    <row r="1896" spans="9:10">
      <c r="I1896" s="724"/>
      <c r="J1896" s="724"/>
    </row>
    <row r="1897" spans="9:10">
      <c r="I1897" s="724"/>
      <c r="J1897" s="724"/>
    </row>
    <row r="1898" spans="9:10">
      <c r="I1898" s="724"/>
      <c r="J1898" s="724"/>
    </row>
    <row r="1899" spans="9:10">
      <c r="I1899" s="724"/>
      <c r="J1899" s="724"/>
    </row>
    <row r="1900" spans="9:10">
      <c r="I1900" s="724"/>
      <c r="J1900" s="724"/>
    </row>
    <row r="1901" spans="9:10">
      <c r="I1901" s="724"/>
      <c r="J1901" s="724"/>
    </row>
    <row r="1902" spans="9:10">
      <c r="I1902" s="724"/>
      <c r="J1902" s="724"/>
    </row>
    <row r="1903" spans="9:10">
      <c r="I1903" s="724"/>
      <c r="J1903" s="724"/>
    </row>
    <row r="1904" spans="9:10">
      <c r="I1904" s="724"/>
      <c r="J1904" s="724"/>
    </row>
    <row r="1905" spans="9:10">
      <c r="I1905" s="724"/>
      <c r="J1905" s="724"/>
    </row>
    <row r="1906" spans="9:10">
      <c r="I1906" s="724"/>
      <c r="J1906" s="724"/>
    </row>
    <row r="1907" spans="9:10">
      <c r="I1907" s="724"/>
      <c r="J1907" s="724"/>
    </row>
    <row r="1908" spans="9:10">
      <c r="I1908" s="724"/>
      <c r="J1908" s="724"/>
    </row>
    <row r="1909" spans="9:10">
      <c r="I1909" s="724"/>
      <c r="J1909" s="724"/>
    </row>
    <row r="1910" spans="9:10">
      <c r="I1910" s="724"/>
      <c r="J1910" s="724"/>
    </row>
    <row r="1911" spans="9:10">
      <c r="I1911" s="724"/>
      <c r="J1911" s="724"/>
    </row>
    <row r="1912" spans="9:10">
      <c r="I1912" s="724"/>
      <c r="J1912" s="724"/>
    </row>
    <row r="1913" spans="9:10">
      <c r="I1913" s="724"/>
      <c r="J1913" s="724"/>
    </row>
    <row r="1914" spans="9:10">
      <c r="I1914" s="724"/>
      <c r="J1914" s="724"/>
    </row>
    <row r="1915" spans="9:10">
      <c r="I1915" s="724"/>
      <c r="J1915" s="724"/>
    </row>
    <row r="1916" spans="9:10">
      <c r="I1916" s="724"/>
      <c r="J1916" s="724"/>
    </row>
    <row r="1917" spans="9:10">
      <c r="I1917" s="724"/>
      <c r="J1917" s="724"/>
    </row>
    <row r="1918" spans="9:10">
      <c r="I1918" s="724"/>
      <c r="J1918" s="724"/>
    </row>
    <row r="1919" spans="9:10">
      <c r="I1919" s="724"/>
      <c r="J1919" s="724"/>
    </row>
    <row r="1920" spans="9:10">
      <c r="I1920" s="724"/>
      <c r="J1920" s="724"/>
    </row>
    <row r="1921" spans="9:10">
      <c r="I1921" s="724"/>
      <c r="J1921" s="724"/>
    </row>
    <row r="1922" spans="9:10">
      <c r="I1922" s="724"/>
      <c r="J1922" s="724"/>
    </row>
    <row r="1923" spans="9:10">
      <c r="I1923" s="724"/>
      <c r="J1923" s="724"/>
    </row>
    <row r="1924" spans="9:10">
      <c r="I1924" s="724"/>
      <c r="J1924" s="724"/>
    </row>
    <row r="1925" spans="9:10">
      <c r="I1925" s="724"/>
      <c r="J1925" s="724"/>
    </row>
    <row r="1926" spans="9:10">
      <c r="I1926" s="724"/>
      <c r="J1926" s="724"/>
    </row>
    <row r="1927" spans="9:10">
      <c r="I1927" s="724"/>
      <c r="J1927" s="724"/>
    </row>
    <row r="1928" spans="9:10">
      <c r="I1928" s="724"/>
      <c r="J1928" s="724"/>
    </row>
    <row r="1929" spans="9:10">
      <c r="I1929" s="724"/>
      <c r="J1929" s="724"/>
    </row>
    <row r="1930" spans="9:10">
      <c r="I1930" s="724"/>
      <c r="J1930" s="724"/>
    </row>
    <row r="1931" spans="9:10">
      <c r="I1931" s="724"/>
      <c r="J1931" s="724"/>
    </row>
    <row r="1932" spans="9:10">
      <c r="I1932" s="724"/>
      <c r="J1932" s="724"/>
    </row>
    <row r="1933" spans="9:10">
      <c r="I1933" s="724"/>
      <c r="J1933" s="724"/>
    </row>
    <row r="1934" spans="9:10">
      <c r="I1934" s="724"/>
      <c r="J1934" s="724"/>
    </row>
    <row r="1935" spans="9:10">
      <c r="I1935" s="724"/>
      <c r="J1935" s="724"/>
    </row>
    <row r="1936" spans="9:10">
      <c r="I1936" s="724"/>
      <c r="J1936" s="724"/>
    </row>
    <row r="1937" spans="9:10">
      <c r="I1937" s="724"/>
      <c r="J1937" s="724"/>
    </row>
    <row r="1938" spans="9:10">
      <c r="I1938" s="724"/>
      <c r="J1938" s="724"/>
    </row>
    <row r="1939" spans="9:10">
      <c r="I1939" s="724"/>
      <c r="J1939" s="724"/>
    </row>
    <row r="1940" spans="9:10">
      <c r="I1940" s="724"/>
      <c r="J1940" s="724"/>
    </row>
    <row r="1941" spans="9:10">
      <c r="I1941" s="724"/>
      <c r="J1941" s="724"/>
    </row>
    <row r="1942" spans="9:10">
      <c r="I1942" s="724"/>
      <c r="J1942" s="724"/>
    </row>
    <row r="1943" spans="9:10">
      <c r="I1943" s="724"/>
      <c r="J1943" s="724"/>
    </row>
    <row r="1944" spans="9:10">
      <c r="I1944" s="724"/>
      <c r="J1944" s="724"/>
    </row>
    <row r="1945" spans="9:10">
      <c r="I1945" s="724"/>
      <c r="J1945" s="724"/>
    </row>
    <row r="1946" spans="9:10">
      <c r="I1946" s="724"/>
      <c r="J1946" s="724"/>
    </row>
    <row r="1947" spans="9:10">
      <c r="I1947" s="724"/>
      <c r="J1947" s="724"/>
    </row>
    <row r="1948" spans="9:10">
      <c r="I1948" s="724"/>
      <c r="J1948" s="724"/>
    </row>
    <row r="1949" spans="9:10">
      <c r="I1949" s="724"/>
      <c r="J1949" s="724"/>
    </row>
    <row r="1950" spans="9:10">
      <c r="I1950" s="724"/>
      <c r="J1950" s="724"/>
    </row>
    <row r="1951" spans="9:10">
      <c r="I1951" s="724"/>
      <c r="J1951" s="724"/>
    </row>
    <row r="1952" spans="9:10">
      <c r="I1952" s="724"/>
      <c r="J1952" s="724"/>
    </row>
    <row r="1953" spans="9:10">
      <c r="I1953" s="724"/>
      <c r="J1953" s="724"/>
    </row>
    <row r="1954" spans="9:10">
      <c r="I1954" s="724"/>
      <c r="J1954" s="724"/>
    </row>
    <row r="1955" spans="9:10">
      <c r="I1955" s="724"/>
      <c r="J1955" s="724"/>
    </row>
    <row r="1956" spans="9:10">
      <c r="I1956" s="724"/>
      <c r="J1956" s="724"/>
    </row>
    <row r="1957" spans="9:10">
      <c r="I1957" s="724"/>
      <c r="J1957" s="724"/>
    </row>
    <row r="1958" spans="9:10">
      <c r="I1958" s="724"/>
      <c r="J1958" s="724"/>
    </row>
    <row r="1959" spans="9:10">
      <c r="I1959" s="724"/>
      <c r="J1959" s="724"/>
    </row>
    <row r="1960" spans="9:10">
      <c r="I1960" s="724"/>
      <c r="J1960" s="724"/>
    </row>
    <row r="1961" spans="9:10">
      <c r="I1961" s="724"/>
      <c r="J1961" s="724"/>
    </row>
    <row r="1962" spans="9:10">
      <c r="I1962" s="724"/>
      <c r="J1962" s="724"/>
    </row>
    <row r="1963" spans="9:10">
      <c r="I1963" s="724"/>
      <c r="J1963" s="724"/>
    </row>
    <row r="1964" spans="9:10">
      <c r="I1964" s="724"/>
      <c r="J1964" s="724"/>
    </row>
    <row r="1965" spans="9:10">
      <c r="I1965" s="724"/>
      <c r="J1965" s="724"/>
    </row>
    <row r="1966" spans="9:10">
      <c r="I1966" s="724"/>
      <c r="J1966" s="724"/>
    </row>
    <row r="1967" spans="9:10">
      <c r="I1967" s="724"/>
      <c r="J1967" s="724"/>
    </row>
    <row r="1968" spans="9:10">
      <c r="I1968" s="724"/>
      <c r="J1968" s="724"/>
    </row>
    <row r="1969" spans="9:10">
      <c r="I1969" s="724"/>
      <c r="J1969" s="724"/>
    </row>
    <row r="1970" spans="9:10">
      <c r="I1970" s="724"/>
      <c r="J1970" s="724"/>
    </row>
    <row r="1971" spans="9:10">
      <c r="I1971" s="724"/>
      <c r="J1971" s="724"/>
    </row>
    <row r="1972" spans="9:10">
      <c r="I1972" s="724"/>
      <c r="J1972" s="724"/>
    </row>
    <row r="1973" spans="9:10">
      <c r="I1973" s="724"/>
      <c r="J1973" s="724"/>
    </row>
    <row r="1974" spans="9:10">
      <c r="I1974" s="724"/>
      <c r="J1974" s="724"/>
    </row>
    <row r="1975" spans="9:10">
      <c r="I1975" s="724"/>
      <c r="J1975" s="724"/>
    </row>
    <row r="1976" spans="9:10">
      <c r="I1976" s="724"/>
      <c r="J1976" s="724"/>
    </row>
    <row r="1977" spans="9:10">
      <c r="I1977" s="724"/>
      <c r="J1977" s="724"/>
    </row>
    <row r="1978" spans="9:10">
      <c r="I1978" s="724"/>
      <c r="J1978" s="724"/>
    </row>
    <row r="1979" spans="9:10">
      <c r="I1979" s="724"/>
      <c r="J1979" s="724"/>
    </row>
    <row r="1980" spans="9:10">
      <c r="I1980" s="724"/>
      <c r="J1980" s="724"/>
    </row>
    <row r="1981" spans="9:10">
      <c r="I1981" s="724"/>
      <c r="J1981" s="724"/>
    </row>
    <row r="1982" spans="9:10">
      <c r="I1982" s="724"/>
      <c r="J1982" s="724"/>
    </row>
    <row r="1983" spans="9:10">
      <c r="I1983" s="724"/>
      <c r="J1983" s="724"/>
    </row>
    <row r="1984" spans="9:10">
      <c r="I1984" s="724"/>
      <c r="J1984" s="724"/>
    </row>
    <row r="1985" spans="9:10">
      <c r="I1985" s="724"/>
      <c r="J1985" s="724"/>
    </row>
    <row r="1986" spans="9:10">
      <c r="I1986" s="724"/>
      <c r="J1986" s="724"/>
    </row>
    <row r="1987" spans="9:10">
      <c r="I1987" s="724"/>
      <c r="J1987" s="724"/>
    </row>
    <row r="1988" spans="9:10">
      <c r="I1988" s="724"/>
      <c r="J1988" s="724"/>
    </row>
    <row r="1989" spans="9:10">
      <c r="I1989" s="724"/>
      <c r="J1989" s="724"/>
    </row>
    <row r="1990" spans="9:10">
      <c r="I1990" s="724"/>
      <c r="J1990" s="724"/>
    </row>
    <row r="1991" spans="9:10">
      <c r="I1991" s="724"/>
      <c r="J1991" s="724"/>
    </row>
    <row r="1992" spans="9:10">
      <c r="I1992" s="724"/>
      <c r="J1992" s="724"/>
    </row>
    <row r="1993" spans="9:10">
      <c r="I1993" s="724"/>
      <c r="J1993" s="724"/>
    </row>
    <row r="1994" spans="9:10">
      <c r="I1994" s="724"/>
      <c r="J1994" s="724"/>
    </row>
    <row r="1995" spans="9:10">
      <c r="I1995" s="724"/>
      <c r="J1995" s="724"/>
    </row>
    <row r="1996" spans="9:10">
      <c r="I1996" s="724"/>
      <c r="J1996" s="724"/>
    </row>
    <row r="1997" spans="9:10">
      <c r="I1997" s="724"/>
      <c r="J1997" s="724"/>
    </row>
    <row r="1998" spans="9:10">
      <c r="I1998" s="724"/>
      <c r="J1998" s="724"/>
    </row>
    <row r="1999" spans="9:10">
      <c r="I1999" s="724"/>
      <c r="J1999" s="724"/>
    </row>
    <row r="2000" spans="9:10">
      <c r="I2000" s="724"/>
      <c r="J2000" s="724"/>
    </row>
    <row r="2001" spans="9:10">
      <c r="I2001" s="724"/>
      <c r="J2001" s="724"/>
    </row>
    <row r="2002" spans="9:10">
      <c r="I2002" s="724"/>
      <c r="J2002" s="724"/>
    </row>
    <row r="2003" spans="9:10">
      <c r="I2003" s="724"/>
      <c r="J2003" s="724"/>
    </row>
    <row r="2004" spans="9:10">
      <c r="I2004" s="724"/>
      <c r="J2004" s="724"/>
    </row>
    <row r="2005" spans="9:10">
      <c r="I2005" s="724"/>
      <c r="J2005" s="724"/>
    </row>
    <row r="2006" spans="9:10">
      <c r="I2006" s="724"/>
      <c r="J2006" s="724"/>
    </row>
    <row r="2007" spans="9:10">
      <c r="I2007" s="724"/>
      <c r="J2007" s="724"/>
    </row>
    <row r="2008" spans="9:10">
      <c r="I2008" s="724"/>
      <c r="J2008" s="724"/>
    </row>
    <row r="2009" spans="9:10">
      <c r="I2009" s="724"/>
      <c r="J2009" s="724"/>
    </row>
    <row r="2010" spans="9:10">
      <c r="I2010" s="724"/>
      <c r="J2010" s="724"/>
    </row>
    <row r="2011" spans="9:10">
      <c r="I2011" s="724"/>
      <c r="J2011" s="724"/>
    </row>
    <row r="2012" spans="9:10">
      <c r="I2012" s="724"/>
      <c r="J2012" s="724"/>
    </row>
    <row r="2013" spans="9:10">
      <c r="I2013" s="724"/>
      <c r="J2013" s="724"/>
    </row>
    <row r="2014" spans="9:10">
      <c r="I2014" s="724"/>
      <c r="J2014" s="724"/>
    </row>
    <row r="2015" spans="9:10">
      <c r="I2015" s="724"/>
      <c r="J2015" s="724"/>
    </row>
    <row r="2016" spans="9:10">
      <c r="I2016" s="724"/>
      <c r="J2016" s="724"/>
    </row>
    <row r="2017" spans="9:10">
      <c r="I2017" s="724"/>
      <c r="J2017" s="724"/>
    </row>
    <row r="2018" spans="9:10">
      <c r="I2018" s="724"/>
      <c r="J2018" s="724"/>
    </row>
    <row r="2019" spans="9:10">
      <c r="I2019" s="724"/>
      <c r="J2019" s="724"/>
    </row>
    <row r="2020" spans="9:10">
      <c r="I2020" s="724"/>
      <c r="J2020" s="724"/>
    </row>
    <row r="2021" spans="9:10">
      <c r="I2021" s="724"/>
      <c r="J2021" s="724"/>
    </row>
    <row r="2022" spans="9:10">
      <c r="I2022" s="724"/>
      <c r="J2022" s="724"/>
    </row>
    <row r="2023" spans="9:10">
      <c r="I2023" s="724"/>
      <c r="J2023" s="724"/>
    </row>
    <row r="2024" spans="9:10">
      <c r="I2024" s="724"/>
      <c r="J2024" s="724"/>
    </row>
    <row r="2025" spans="9:10">
      <c r="I2025" s="724"/>
      <c r="J2025" s="724"/>
    </row>
    <row r="2026" spans="9:10">
      <c r="I2026" s="724"/>
      <c r="J2026" s="724"/>
    </row>
    <row r="2027" spans="9:10">
      <c r="I2027" s="724"/>
      <c r="J2027" s="724"/>
    </row>
    <row r="2028" spans="9:10">
      <c r="I2028" s="724"/>
      <c r="J2028" s="724"/>
    </row>
    <row r="2029" spans="9:10">
      <c r="I2029" s="724"/>
      <c r="J2029" s="724"/>
    </row>
    <row r="2030" spans="9:10">
      <c r="I2030" s="724"/>
      <c r="J2030" s="724"/>
    </row>
    <row r="2031" spans="9:10">
      <c r="I2031" s="724"/>
      <c r="J2031" s="724"/>
    </row>
    <row r="2032" spans="9:10">
      <c r="I2032" s="724"/>
      <c r="J2032" s="724"/>
    </row>
    <row r="2033" spans="9:10">
      <c r="I2033" s="724"/>
      <c r="J2033" s="724"/>
    </row>
    <row r="2034" spans="9:10">
      <c r="I2034" s="724"/>
      <c r="J2034" s="724"/>
    </row>
    <row r="2035" spans="9:10">
      <c r="I2035" s="724"/>
      <c r="J2035" s="724"/>
    </row>
    <row r="2036" spans="9:10">
      <c r="I2036" s="724"/>
      <c r="J2036" s="724"/>
    </row>
    <row r="2037" spans="9:10">
      <c r="I2037" s="724"/>
      <c r="J2037" s="724"/>
    </row>
    <row r="2038" spans="9:10">
      <c r="I2038" s="724"/>
      <c r="J2038" s="724"/>
    </row>
    <row r="2039" spans="9:10">
      <c r="I2039" s="724"/>
      <c r="J2039" s="724"/>
    </row>
    <row r="2040" spans="9:10">
      <c r="I2040" s="724"/>
      <c r="J2040" s="724"/>
    </row>
    <row r="2041" spans="9:10">
      <c r="I2041" s="724"/>
      <c r="J2041" s="724"/>
    </row>
    <row r="2042" spans="9:10">
      <c r="I2042" s="724"/>
      <c r="J2042" s="724"/>
    </row>
    <row r="2043" spans="9:10">
      <c r="I2043" s="724"/>
      <c r="J2043" s="724"/>
    </row>
    <row r="2044" spans="9:10">
      <c r="I2044" s="724"/>
      <c r="J2044" s="724"/>
    </row>
    <row r="2045" spans="9:10">
      <c r="I2045" s="724"/>
      <c r="J2045" s="724"/>
    </row>
    <row r="2046" spans="9:10">
      <c r="I2046" s="724"/>
      <c r="J2046" s="724"/>
    </row>
    <row r="2047" spans="9:10">
      <c r="I2047" s="724"/>
      <c r="J2047" s="724"/>
    </row>
    <row r="2048" spans="9:10">
      <c r="I2048" s="724"/>
      <c r="J2048" s="724"/>
    </row>
    <row r="2049" spans="9:10">
      <c r="I2049" s="724"/>
      <c r="J2049" s="724"/>
    </row>
    <row r="2050" spans="9:10">
      <c r="I2050" s="724"/>
      <c r="J2050" s="724"/>
    </row>
    <row r="2051" spans="9:10">
      <c r="I2051" s="724"/>
      <c r="J2051" s="724"/>
    </row>
    <row r="2052" spans="9:10">
      <c r="I2052" s="724"/>
      <c r="J2052" s="724"/>
    </row>
    <row r="2053" spans="9:10">
      <c r="I2053" s="724"/>
      <c r="J2053" s="724"/>
    </row>
    <row r="2054" spans="9:10">
      <c r="I2054" s="724"/>
      <c r="J2054" s="724"/>
    </row>
    <row r="2055" spans="9:10">
      <c r="I2055" s="724"/>
      <c r="J2055" s="724"/>
    </row>
    <row r="2056" spans="9:10">
      <c r="I2056" s="724"/>
      <c r="J2056" s="724"/>
    </row>
    <row r="2057" spans="9:10">
      <c r="I2057" s="724"/>
      <c r="J2057" s="724"/>
    </row>
    <row r="2058" spans="9:10">
      <c r="I2058" s="724"/>
      <c r="J2058" s="724"/>
    </row>
    <row r="2059" spans="9:10">
      <c r="I2059" s="724"/>
      <c r="J2059" s="724"/>
    </row>
    <row r="2060" spans="9:10">
      <c r="I2060" s="724"/>
      <c r="J2060" s="724"/>
    </row>
    <row r="2061" spans="9:10">
      <c r="I2061" s="724"/>
      <c r="J2061" s="724"/>
    </row>
    <row r="2062" spans="9:10">
      <c r="I2062" s="724"/>
      <c r="J2062" s="724"/>
    </row>
    <row r="2063" spans="9:10">
      <c r="I2063" s="724"/>
      <c r="J2063" s="724"/>
    </row>
    <row r="2064" spans="9:10">
      <c r="I2064" s="724"/>
      <c r="J2064" s="724"/>
    </row>
    <row r="2065" spans="9:10">
      <c r="I2065" s="724"/>
      <c r="J2065" s="724"/>
    </row>
    <row r="2066" spans="9:10">
      <c r="I2066" s="724"/>
      <c r="J2066" s="724"/>
    </row>
    <row r="2067" spans="9:10">
      <c r="I2067" s="724"/>
      <c r="J2067" s="724"/>
    </row>
    <row r="2068" spans="9:10">
      <c r="I2068" s="724"/>
      <c r="J2068" s="724"/>
    </row>
    <row r="2069" spans="9:10">
      <c r="I2069" s="724"/>
      <c r="J2069" s="724"/>
    </row>
    <row r="2070" spans="9:10">
      <c r="I2070" s="724"/>
      <c r="J2070" s="724"/>
    </row>
    <row r="2071" spans="9:10">
      <c r="I2071" s="724"/>
      <c r="J2071" s="724"/>
    </row>
    <row r="2072" spans="9:10">
      <c r="I2072" s="724"/>
      <c r="J2072" s="724"/>
    </row>
    <row r="2073" spans="9:10">
      <c r="I2073" s="724"/>
      <c r="J2073" s="724"/>
    </row>
    <row r="2074" spans="9:10">
      <c r="I2074" s="724"/>
      <c r="J2074" s="724"/>
    </row>
    <row r="2075" spans="9:10">
      <c r="I2075" s="724"/>
      <c r="J2075" s="724"/>
    </row>
    <row r="2076" spans="9:10">
      <c r="I2076" s="724"/>
      <c r="J2076" s="724"/>
    </row>
    <row r="2077" spans="9:10">
      <c r="I2077" s="724"/>
      <c r="J2077" s="724"/>
    </row>
    <row r="2078" spans="9:10">
      <c r="I2078" s="724"/>
      <c r="J2078" s="724"/>
    </row>
    <row r="2079" spans="9:10">
      <c r="I2079" s="724"/>
      <c r="J2079" s="724"/>
    </row>
    <row r="2080" spans="9:10">
      <c r="I2080" s="724"/>
      <c r="J2080" s="724"/>
    </row>
    <row r="2081" spans="9:10">
      <c r="I2081" s="724"/>
      <c r="J2081" s="724"/>
    </row>
    <row r="2082" spans="9:10">
      <c r="I2082" s="724"/>
      <c r="J2082" s="724"/>
    </row>
    <row r="2083" spans="9:10">
      <c r="I2083" s="724"/>
      <c r="J2083" s="724"/>
    </row>
    <row r="2084" spans="9:10">
      <c r="I2084" s="724"/>
      <c r="J2084" s="724"/>
    </row>
    <row r="2085" spans="9:10">
      <c r="I2085" s="724"/>
      <c r="J2085" s="724"/>
    </row>
    <row r="2086" spans="9:10">
      <c r="I2086" s="724"/>
      <c r="J2086" s="724"/>
    </row>
    <row r="2087" spans="9:10">
      <c r="I2087" s="724"/>
      <c r="J2087" s="724"/>
    </row>
    <row r="2088" spans="9:10">
      <c r="I2088" s="724"/>
      <c r="J2088" s="724"/>
    </row>
    <row r="2089" spans="9:10">
      <c r="I2089" s="724"/>
      <c r="J2089" s="724"/>
    </row>
    <row r="2090" spans="9:10">
      <c r="I2090" s="724"/>
      <c r="J2090" s="724"/>
    </row>
    <row r="2091" spans="9:10">
      <c r="I2091" s="724"/>
      <c r="J2091" s="724"/>
    </row>
    <row r="2092" spans="9:10">
      <c r="I2092" s="724"/>
      <c r="J2092" s="724"/>
    </row>
    <row r="2093" spans="9:10">
      <c r="I2093" s="724"/>
      <c r="J2093" s="724"/>
    </row>
    <row r="2094" spans="9:10">
      <c r="I2094" s="724"/>
      <c r="J2094" s="724"/>
    </row>
    <row r="2095" spans="9:10">
      <c r="I2095" s="724"/>
      <c r="J2095" s="724"/>
    </row>
    <row r="2096" spans="9:10">
      <c r="I2096" s="724"/>
      <c r="J2096" s="724"/>
    </row>
    <row r="2097" spans="9:10">
      <c r="I2097" s="724"/>
      <c r="J2097" s="724"/>
    </row>
    <row r="2098" spans="9:10">
      <c r="I2098" s="724"/>
      <c r="J2098" s="724"/>
    </row>
    <row r="2099" spans="9:10">
      <c r="I2099" s="724"/>
      <c r="J2099" s="724"/>
    </row>
    <row r="2100" spans="9:10">
      <c r="I2100" s="724"/>
      <c r="J2100" s="724"/>
    </row>
    <row r="2101" spans="9:10">
      <c r="I2101" s="724"/>
      <c r="J2101" s="724"/>
    </row>
    <row r="2102" spans="9:10">
      <c r="I2102" s="724"/>
      <c r="J2102" s="724"/>
    </row>
    <row r="2103" spans="9:10">
      <c r="I2103" s="724"/>
      <c r="J2103" s="724"/>
    </row>
    <row r="2104" spans="9:10">
      <c r="I2104" s="724"/>
      <c r="J2104" s="724"/>
    </row>
    <row r="2105" spans="9:10">
      <c r="I2105" s="724"/>
      <c r="J2105" s="724"/>
    </row>
    <row r="2106" spans="9:10">
      <c r="I2106" s="724"/>
      <c r="J2106" s="724"/>
    </row>
    <row r="2107" spans="9:10">
      <c r="I2107" s="724"/>
      <c r="J2107" s="724"/>
    </row>
    <row r="2108" spans="9:10">
      <c r="I2108" s="724"/>
      <c r="J2108" s="724"/>
    </row>
    <row r="2109" spans="9:10">
      <c r="I2109" s="724"/>
      <c r="J2109" s="724"/>
    </row>
    <row r="2110" spans="9:10">
      <c r="I2110" s="724"/>
      <c r="J2110" s="724"/>
    </row>
    <row r="2111" spans="9:10">
      <c r="I2111" s="724"/>
      <c r="J2111" s="724"/>
    </row>
    <row r="2112" spans="9:10">
      <c r="I2112" s="724"/>
      <c r="J2112" s="724"/>
    </row>
    <row r="2113" spans="9:10">
      <c r="I2113" s="724"/>
      <c r="J2113" s="724"/>
    </row>
    <row r="2114" spans="9:10">
      <c r="I2114" s="724"/>
      <c r="J2114" s="724"/>
    </row>
    <row r="2115" spans="9:10">
      <c r="I2115" s="724"/>
      <c r="J2115" s="724"/>
    </row>
    <row r="2116" spans="9:10">
      <c r="I2116" s="724"/>
      <c r="J2116" s="724"/>
    </row>
    <row r="2117" spans="9:10">
      <c r="I2117" s="724"/>
      <c r="J2117" s="724"/>
    </row>
    <row r="2118" spans="9:10">
      <c r="I2118" s="724"/>
      <c r="J2118" s="724"/>
    </row>
    <row r="2119" spans="9:10">
      <c r="I2119" s="724"/>
      <c r="J2119" s="724"/>
    </row>
    <row r="2120" spans="9:10">
      <c r="I2120" s="724"/>
      <c r="J2120" s="724"/>
    </row>
    <row r="2121" spans="9:10">
      <c r="I2121" s="724"/>
      <c r="J2121" s="724"/>
    </row>
    <row r="2122" spans="9:10">
      <c r="I2122" s="724"/>
      <c r="J2122" s="724"/>
    </row>
    <row r="2123" spans="9:10">
      <c r="I2123" s="724"/>
      <c r="J2123" s="724"/>
    </row>
    <row r="2124" spans="9:10">
      <c r="I2124" s="724"/>
      <c r="J2124" s="724"/>
    </row>
    <row r="2125" spans="9:10">
      <c r="I2125" s="724"/>
      <c r="J2125" s="724"/>
    </row>
    <row r="2126" spans="9:10">
      <c r="I2126" s="724"/>
      <c r="J2126" s="724"/>
    </row>
    <row r="2127" spans="9:10">
      <c r="I2127" s="724"/>
      <c r="J2127" s="724"/>
    </row>
    <row r="2128" spans="9:10">
      <c r="I2128" s="724"/>
      <c r="J2128" s="724"/>
    </row>
    <row r="2129" spans="9:10">
      <c r="I2129" s="724"/>
      <c r="J2129" s="724"/>
    </row>
    <row r="2130" spans="9:10">
      <c r="I2130" s="724"/>
      <c r="J2130" s="724"/>
    </row>
    <row r="2131" spans="9:10">
      <c r="I2131" s="724"/>
      <c r="J2131" s="724"/>
    </row>
    <row r="2132" spans="9:10">
      <c r="I2132" s="724"/>
      <c r="J2132" s="724"/>
    </row>
    <row r="2133" spans="9:10">
      <c r="I2133" s="724"/>
      <c r="J2133" s="724"/>
    </row>
    <row r="2134" spans="9:10">
      <c r="I2134" s="724"/>
      <c r="J2134" s="724"/>
    </row>
    <row r="2135" spans="9:10">
      <c r="I2135" s="724"/>
      <c r="J2135" s="724"/>
    </row>
    <row r="2136" spans="9:10">
      <c r="I2136" s="724"/>
      <c r="J2136" s="724"/>
    </row>
    <row r="2137" spans="9:10">
      <c r="I2137" s="724"/>
      <c r="J2137" s="724"/>
    </row>
    <row r="2138" spans="9:10">
      <c r="I2138" s="724"/>
      <c r="J2138" s="724"/>
    </row>
    <row r="2139" spans="9:10">
      <c r="I2139" s="724"/>
      <c r="J2139" s="724"/>
    </row>
    <row r="2140" spans="9:10">
      <c r="I2140" s="724"/>
      <c r="J2140" s="724"/>
    </row>
    <row r="2141" spans="9:10">
      <c r="I2141" s="724"/>
      <c r="J2141" s="724"/>
    </row>
    <row r="2142" spans="9:10">
      <c r="I2142" s="724"/>
      <c r="J2142" s="724"/>
    </row>
    <row r="2143" spans="9:10">
      <c r="I2143" s="724"/>
      <c r="J2143" s="724"/>
    </row>
    <row r="2144" spans="9:10">
      <c r="I2144" s="724"/>
      <c r="J2144" s="724"/>
    </row>
    <row r="2145" spans="9:10">
      <c r="I2145" s="724"/>
      <c r="J2145" s="724"/>
    </row>
    <row r="2146" spans="9:10">
      <c r="I2146" s="724"/>
      <c r="J2146" s="724"/>
    </row>
    <row r="2147" spans="9:10">
      <c r="I2147" s="724"/>
      <c r="J2147" s="724"/>
    </row>
    <row r="2148" spans="9:10">
      <c r="I2148" s="724"/>
      <c r="J2148" s="724"/>
    </row>
    <row r="2149" spans="9:10">
      <c r="I2149" s="724"/>
      <c r="J2149" s="724"/>
    </row>
    <row r="2150" spans="9:10">
      <c r="I2150" s="724"/>
      <c r="J2150" s="724"/>
    </row>
    <row r="2151" spans="9:10">
      <c r="I2151" s="724"/>
      <c r="J2151" s="724"/>
    </row>
    <row r="2152" spans="9:10">
      <c r="I2152" s="724"/>
      <c r="J2152" s="724"/>
    </row>
    <row r="2153" spans="9:10">
      <c r="I2153" s="724"/>
      <c r="J2153" s="724"/>
    </row>
    <row r="2154" spans="9:10">
      <c r="I2154" s="724"/>
      <c r="J2154" s="724"/>
    </row>
    <row r="2155" spans="9:10">
      <c r="I2155" s="724"/>
      <c r="J2155" s="724"/>
    </row>
    <row r="2156" spans="9:10">
      <c r="I2156" s="724"/>
      <c r="J2156" s="724"/>
    </row>
    <row r="2157" spans="9:10">
      <c r="I2157" s="724"/>
      <c r="J2157" s="724"/>
    </row>
    <row r="2158" spans="9:10">
      <c r="I2158" s="724"/>
      <c r="J2158" s="724"/>
    </row>
    <row r="2159" spans="9:10">
      <c r="I2159" s="724"/>
      <c r="J2159" s="724"/>
    </row>
    <row r="2160" spans="9:10">
      <c r="I2160" s="724"/>
      <c r="J2160" s="724"/>
    </row>
    <row r="2161" spans="9:10">
      <c r="I2161" s="724"/>
      <c r="J2161" s="724"/>
    </row>
    <row r="2162" spans="9:10">
      <c r="I2162" s="724"/>
      <c r="J2162" s="724"/>
    </row>
    <row r="2163" spans="9:10">
      <c r="I2163" s="724"/>
      <c r="J2163" s="724"/>
    </row>
    <row r="2164" spans="9:10">
      <c r="I2164" s="724"/>
      <c r="J2164" s="724"/>
    </row>
    <row r="2165" spans="9:10">
      <c r="I2165" s="724"/>
      <c r="J2165" s="724"/>
    </row>
    <row r="2166" spans="9:10">
      <c r="I2166" s="724"/>
      <c r="J2166" s="724"/>
    </row>
    <row r="2167" spans="9:10">
      <c r="I2167" s="724"/>
      <c r="J2167" s="724"/>
    </row>
    <row r="2168" spans="9:10">
      <c r="I2168" s="724"/>
      <c r="J2168" s="724"/>
    </row>
    <row r="2169" spans="9:10">
      <c r="I2169" s="724"/>
      <c r="J2169" s="724"/>
    </row>
    <row r="2170" spans="9:10">
      <c r="I2170" s="724"/>
      <c r="J2170" s="724"/>
    </row>
    <row r="2171" spans="9:10">
      <c r="I2171" s="724"/>
      <c r="J2171" s="724"/>
    </row>
    <row r="2172" spans="9:10">
      <c r="I2172" s="724"/>
      <c r="J2172" s="724"/>
    </row>
    <row r="2173" spans="9:10">
      <c r="I2173" s="724"/>
      <c r="J2173" s="724"/>
    </row>
    <row r="2174" spans="9:10">
      <c r="I2174" s="724"/>
      <c r="J2174" s="724"/>
    </row>
    <row r="2175" spans="9:10">
      <c r="I2175" s="724"/>
      <c r="J2175" s="724"/>
    </row>
    <row r="2176" spans="9:10">
      <c r="I2176" s="724"/>
      <c r="J2176" s="724"/>
    </row>
    <row r="2177" spans="9:10">
      <c r="I2177" s="724"/>
      <c r="J2177" s="724"/>
    </row>
    <row r="2178" spans="9:10">
      <c r="I2178" s="724"/>
      <c r="J2178" s="724"/>
    </row>
    <row r="2179" spans="9:10">
      <c r="I2179" s="724"/>
      <c r="J2179" s="724"/>
    </row>
    <row r="2180" spans="9:10">
      <c r="I2180" s="724"/>
      <c r="J2180" s="724"/>
    </row>
    <row r="2181" spans="9:10">
      <c r="I2181" s="724"/>
      <c r="J2181" s="724"/>
    </row>
    <row r="2182" spans="9:10">
      <c r="I2182" s="724"/>
      <c r="J2182" s="724"/>
    </row>
    <row r="2183" spans="9:10">
      <c r="I2183" s="724"/>
      <c r="J2183" s="724"/>
    </row>
    <row r="2184" spans="9:10">
      <c r="I2184" s="724"/>
      <c r="J2184" s="724"/>
    </row>
    <row r="2185" spans="9:10">
      <c r="I2185" s="724"/>
      <c r="J2185" s="724"/>
    </row>
    <row r="2186" spans="9:10">
      <c r="I2186" s="724"/>
      <c r="J2186" s="724"/>
    </row>
    <row r="2187" spans="9:10">
      <c r="I2187" s="724"/>
      <c r="J2187" s="724"/>
    </row>
    <row r="2188" spans="9:10">
      <c r="I2188" s="724"/>
      <c r="J2188" s="724"/>
    </row>
    <row r="2189" spans="9:10">
      <c r="I2189" s="724"/>
      <c r="J2189" s="724"/>
    </row>
    <row r="2190" spans="9:10">
      <c r="I2190" s="724"/>
      <c r="J2190" s="724"/>
    </row>
    <row r="2191" spans="9:10">
      <c r="I2191" s="724"/>
      <c r="J2191" s="724"/>
    </row>
    <row r="2192" spans="9:10">
      <c r="I2192" s="724"/>
      <c r="J2192" s="724"/>
    </row>
    <row r="2193" spans="9:10">
      <c r="I2193" s="724"/>
      <c r="J2193" s="724"/>
    </row>
    <row r="2194" spans="9:10">
      <c r="I2194" s="724"/>
      <c r="J2194" s="724"/>
    </row>
    <row r="2195" spans="9:10">
      <c r="I2195" s="724"/>
      <c r="J2195" s="724"/>
    </row>
    <row r="2196" spans="9:10">
      <c r="I2196" s="724"/>
      <c r="J2196" s="724"/>
    </row>
    <row r="2197" spans="9:10">
      <c r="I2197" s="724"/>
      <c r="J2197" s="724"/>
    </row>
    <row r="2198" spans="9:10">
      <c r="I2198" s="724"/>
      <c r="J2198" s="724"/>
    </row>
    <row r="2199" spans="9:10">
      <c r="I2199" s="724"/>
      <c r="J2199" s="724"/>
    </row>
    <row r="2200" spans="9:10">
      <c r="I2200" s="724"/>
      <c r="J2200" s="724"/>
    </row>
    <row r="2201" spans="9:10">
      <c r="I2201" s="724"/>
      <c r="J2201" s="724"/>
    </row>
    <row r="2202" spans="9:10">
      <c r="I2202" s="724"/>
      <c r="J2202" s="724"/>
    </row>
    <row r="2203" spans="9:10">
      <c r="I2203" s="724"/>
      <c r="J2203" s="724"/>
    </row>
    <row r="2204" spans="9:10">
      <c r="I2204" s="724"/>
      <c r="J2204" s="724"/>
    </row>
    <row r="2205" spans="9:10">
      <c r="I2205" s="724"/>
      <c r="J2205" s="724"/>
    </row>
    <row r="2206" spans="9:10">
      <c r="I2206" s="724"/>
      <c r="J2206" s="724"/>
    </row>
    <row r="2207" spans="9:10">
      <c r="I2207" s="724"/>
      <c r="J2207" s="724"/>
    </row>
    <row r="2208" spans="9:10">
      <c r="I2208" s="724"/>
      <c r="J2208" s="724"/>
    </row>
    <row r="2209" spans="9:10">
      <c r="I2209" s="724"/>
      <c r="J2209" s="724"/>
    </row>
    <row r="2210" spans="9:10">
      <c r="I2210" s="724"/>
      <c r="J2210" s="724"/>
    </row>
    <row r="2211" spans="9:10">
      <c r="I2211" s="724"/>
      <c r="J2211" s="724"/>
    </row>
    <row r="2212" spans="9:10">
      <c r="I2212" s="724"/>
      <c r="J2212" s="724"/>
    </row>
    <row r="2213" spans="9:10">
      <c r="I2213" s="724"/>
      <c r="J2213" s="724"/>
    </row>
    <row r="2214" spans="9:10">
      <c r="I2214" s="724"/>
      <c r="J2214" s="724"/>
    </row>
    <row r="2215" spans="9:10">
      <c r="I2215" s="724"/>
      <c r="J2215" s="724"/>
    </row>
    <row r="2216" spans="9:10">
      <c r="I2216" s="724"/>
      <c r="J2216" s="724"/>
    </row>
    <row r="2217" spans="9:10">
      <c r="I2217" s="724"/>
      <c r="J2217" s="724"/>
    </row>
    <row r="2218" spans="9:10">
      <c r="I2218" s="724"/>
      <c r="J2218" s="724"/>
    </row>
    <row r="2219" spans="9:10">
      <c r="I2219" s="724"/>
      <c r="J2219" s="724"/>
    </row>
    <row r="2220" spans="9:10">
      <c r="I2220" s="724"/>
      <c r="J2220" s="724"/>
    </row>
    <row r="2221" spans="9:10">
      <c r="I2221" s="724"/>
      <c r="J2221" s="724"/>
    </row>
    <row r="2222" spans="9:10">
      <c r="I2222" s="724"/>
      <c r="J2222" s="724"/>
    </row>
    <row r="2223" spans="9:10">
      <c r="I2223" s="724"/>
      <c r="J2223" s="724"/>
    </row>
    <row r="2224" spans="9:10">
      <c r="I2224" s="724"/>
      <c r="J2224" s="724"/>
    </row>
    <row r="2225" spans="9:10">
      <c r="I2225" s="724"/>
      <c r="J2225" s="724"/>
    </row>
    <row r="2226" spans="9:10">
      <c r="I2226" s="724"/>
      <c r="J2226" s="724"/>
    </row>
    <row r="2227" spans="9:10">
      <c r="I2227" s="724"/>
      <c r="J2227" s="724"/>
    </row>
    <row r="2228" spans="9:10">
      <c r="I2228" s="724"/>
      <c r="J2228" s="724"/>
    </row>
    <row r="2229" spans="9:10">
      <c r="I2229" s="724"/>
      <c r="J2229" s="724"/>
    </row>
    <row r="2230" spans="9:10">
      <c r="I2230" s="724"/>
      <c r="J2230" s="724"/>
    </row>
    <row r="2231" spans="9:10">
      <c r="I2231" s="724"/>
      <c r="J2231" s="724"/>
    </row>
    <row r="2232" spans="9:10">
      <c r="I2232" s="724"/>
      <c r="J2232" s="724"/>
    </row>
    <row r="2233" spans="9:10">
      <c r="I2233" s="724"/>
      <c r="J2233" s="724"/>
    </row>
    <row r="2234" spans="9:10">
      <c r="I2234" s="724"/>
      <c r="J2234" s="724"/>
    </row>
    <row r="2235" spans="9:10">
      <c r="I2235" s="724"/>
      <c r="J2235" s="724"/>
    </row>
    <row r="2236" spans="9:10">
      <c r="I2236" s="724"/>
      <c r="J2236" s="724"/>
    </row>
    <row r="2237" spans="9:10">
      <c r="I2237" s="724"/>
      <c r="J2237" s="724"/>
    </row>
    <row r="2238" spans="9:10">
      <c r="I2238" s="724"/>
      <c r="J2238" s="724"/>
    </row>
    <row r="2239" spans="9:10">
      <c r="I2239" s="724"/>
      <c r="J2239" s="724"/>
    </row>
    <row r="2240" spans="9:10">
      <c r="I2240" s="724"/>
      <c r="J2240" s="724"/>
    </row>
    <row r="2241" spans="9:10">
      <c r="I2241" s="724"/>
      <c r="J2241" s="724"/>
    </row>
    <row r="2242" spans="9:10">
      <c r="I2242" s="724"/>
      <c r="J2242" s="724"/>
    </row>
    <row r="2243" spans="9:10">
      <c r="I2243" s="724"/>
      <c r="J2243" s="724"/>
    </row>
    <row r="2244" spans="9:10">
      <c r="I2244" s="724"/>
      <c r="J2244" s="724"/>
    </row>
    <row r="2245" spans="9:10">
      <c r="I2245" s="724"/>
      <c r="J2245" s="724"/>
    </row>
    <row r="2246" spans="9:10">
      <c r="I2246" s="724"/>
      <c r="J2246" s="724"/>
    </row>
    <row r="2247" spans="9:10">
      <c r="I2247" s="724"/>
      <c r="J2247" s="724"/>
    </row>
    <row r="2248" spans="9:10">
      <c r="I2248" s="724"/>
      <c r="J2248" s="724"/>
    </row>
    <row r="2249" spans="9:10">
      <c r="I2249" s="724"/>
      <c r="J2249" s="724"/>
    </row>
    <row r="2250" spans="9:10">
      <c r="I2250" s="724"/>
      <c r="J2250" s="724"/>
    </row>
    <row r="2251" spans="9:10">
      <c r="I2251" s="724"/>
      <c r="J2251" s="724"/>
    </row>
    <row r="2252" spans="9:10">
      <c r="I2252" s="724"/>
      <c r="J2252" s="724"/>
    </row>
    <row r="2253" spans="9:10">
      <c r="I2253" s="724"/>
      <c r="J2253" s="724"/>
    </row>
    <row r="2254" spans="9:10">
      <c r="I2254" s="724"/>
      <c r="J2254" s="724"/>
    </row>
    <row r="2255" spans="9:10">
      <c r="I2255" s="724"/>
      <c r="J2255" s="724"/>
    </row>
    <row r="2256" spans="9:10">
      <c r="I2256" s="724"/>
      <c r="J2256" s="724"/>
    </row>
    <row r="2257" spans="9:10">
      <c r="I2257" s="724"/>
      <c r="J2257" s="724"/>
    </row>
    <row r="2258" spans="9:10">
      <c r="I2258" s="724"/>
      <c r="J2258" s="724"/>
    </row>
    <row r="2259" spans="9:10">
      <c r="I2259" s="724"/>
      <c r="J2259" s="724"/>
    </row>
    <row r="2260" spans="9:10">
      <c r="I2260" s="724"/>
      <c r="J2260" s="724"/>
    </row>
    <row r="2261" spans="9:10">
      <c r="I2261" s="724"/>
      <c r="J2261" s="724"/>
    </row>
    <row r="2262" spans="9:10">
      <c r="I2262" s="724"/>
      <c r="J2262" s="724"/>
    </row>
    <row r="2263" spans="9:10">
      <c r="I2263" s="724"/>
      <c r="J2263" s="724"/>
    </row>
    <row r="2264" spans="9:10">
      <c r="I2264" s="724"/>
      <c r="J2264" s="724"/>
    </row>
    <row r="2265" spans="9:10">
      <c r="I2265" s="724"/>
      <c r="J2265" s="724"/>
    </row>
    <row r="2266" spans="9:10">
      <c r="I2266" s="724"/>
      <c r="J2266" s="724"/>
    </row>
    <row r="2267" spans="9:10">
      <c r="I2267" s="724"/>
      <c r="J2267" s="724"/>
    </row>
    <row r="2268" spans="9:10">
      <c r="I2268" s="724"/>
      <c r="J2268" s="724"/>
    </row>
    <row r="2269" spans="9:10">
      <c r="I2269" s="724"/>
      <c r="J2269" s="724"/>
    </row>
    <row r="2270" spans="9:10">
      <c r="I2270" s="724"/>
      <c r="J2270" s="724"/>
    </row>
    <row r="2271" spans="9:10">
      <c r="I2271" s="724"/>
      <c r="J2271" s="724"/>
    </row>
    <row r="2272" spans="9:10">
      <c r="I2272" s="724"/>
      <c r="J2272" s="724"/>
    </row>
    <row r="2273" spans="9:10">
      <c r="I2273" s="724"/>
      <c r="J2273" s="724"/>
    </row>
    <row r="2274" spans="9:10">
      <c r="I2274" s="724"/>
      <c r="J2274" s="724"/>
    </row>
    <row r="2275" spans="9:10">
      <c r="I2275" s="724"/>
      <c r="J2275" s="724"/>
    </row>
    <row r="2276" spans="9:10">
      <c r="I2276" s="724"/>
      <c r="J2276" s="724"/>
    </row>
    <row r="2277" spans="9:10">
      <c r="I2277" s="724"/>
      <c r="J2277" s="724"/>
    </row>
    <row r="2278" spans="9:10">
      <c r="I2278" s="724"/>
      <c r="J2278" s="724"/>
    </row>
    <row r="2279" spans="9:10">
      <c r="I2279" s="724"/>
      <c r="J2279" s="724"/>
    </row>
    <row r="2280" spans="9:10">
      <c r="I2280" s="724"/>
      <c r="J2280" s="724"/>
    </row>
    <row r="2281" spans="9:10">
      <c r="I2281" s="724"/>
      <c r="J2281" s="724"/>
    </row>
    <row r="2282" spans="9:10">
      <c r="I2282" s="724"/>
      <c r="J2282" s="724"/>
    </row>
    <row r="2283" spans="9:10">
      <c r="I2283" s="724"/>
      <c r="J2283" s="724"/>
    </row>
    <row r="2284" spans="9:10">
      <c r="I2284" s="724"/>
      <c r="J2284" s="724"/>
    </row>
    <row r="2285" spans="9:10">
      <c r="I2285" s="724"/>
      <c r="J2285" s="724"/>
    </row>
    <row r="2286" spans="9:10">
      <c r="I2286" s="724"/>
      <c r="J2286" s="724"/>
    </row>
    <row r="2287" spans="9:10">
      <c r="I2287" s="724"/>
      <c r="J2287" s="724"/>
    </row>
    <row r="2288" spans="9:10">
      <c r="I2288" s="724"/>
      <c r="J2288" s="724"/>
    </row>
    <row r="2289" spans="9:10">
      <c r="I2289" s="724"/>
      <c r="J2289" s="724"/>
    </row>
    <row r="2290" spans="9:10">
      <c r="I2290" s="724"/>
      <c r="J2290" s="724"/>
    </row>
    <row r="2291" spans="9:10">
      <c r="I2291" s="724"/>
      <c r="J2291" s="724"/>
    </row>
    <row r="2292" spans="9:10">
      <c r="I2292" s="724"/>
      <c r="J2292" s="724"/>
    </row>
    <row r="2293" spans="9:10">
      <c r="I2293" s="724"/>
      <c r="J2293" s="724"/>
    </row>
    <row r="2294" spans="9:10">
      <c r="I2294" s="724"/>
      <c r="J2294" s="724"/>
    </row>
    <row r="2295" spans="9:10">
      <c r="I2295" s="724"/>
      <c r="J2295" s="724"/>
    </row>
    <row r="2296" spans="9:10">
      <c r="I2296" s="724"/>
      <c r="J2296" s="724"/>
    </row>
    <row r="2297" spans="9:10">
      <c r="I2297" s="724"/>
      <c r="J2297" s="724"/>
    </row>
    <row r="2298" spans="9:10">
      <c r="I2298" s="724"/>
      <c r="J2298" s="724"/>
    </row>
    <row r="2299" spans="9:10">
      <c r="I2299" s="724"/>
      <c r="J2299" s="724"/>
    </row>
    <row r="2300" spans="9:10">
      <c r="I2300" s="724"/>
      <c r="J2300" s="724"/>
    </row>
    <row r="2301" spans="9:10">
      <c r="I2301" s="724"/>
      <c r="J2301" s="724"/>
    </row>
    <row r="2302" spans="9:10">
      <c r="I2302" s="724"/>
      <c r="J2302" s="724"/>
    </row>
    <row r="2303" spans="9:10">
      <c r="I2303" s="724"/>
      <c r="J2303" s="724"/>
    </row>
    <row r="2304" spans="9:10">
      <c r="I2304" s="724"/>
      <c r="J2304" s="724"/>
    </row>
    <row r="2305" spans="9:10">
      <c r="I2305" s="724"/>
      <c r="J2305" s="724"/>
    </row>
    <row r="2306" spans="9:10">
      <c r="I2306" s="724"/>
      <c r="J2306" s="724"/>
    </row>
    <row r="2307" spans="9:10">
      <c r="I2307" s="724"/>
      <c r="J2307" s="724"/>
    </row>
    <row r="2308" spans="9:10">
      <c r="I2308" s="724"/>
      <c r="J2308" s="724"/>
    </row>
    <row r="2309" spans="9:10">
      <c r="I2309" s="724"/>
      <c r="J2309" s="724"/>
    </row>
    <row r="2310" spans="9:10">
      <c r="I2310" s="724"/>
      <c r="J2310" s="724"/>
    </row>
    <row r="2311" spans="9:10">
      <c r="I2311" s="724"/>
      <c r="J2311" s="724"/>
    </row>
    <row r="2312" spans="9:10">
      <c r="I2312" s="724"/>
      <c r="J2312" s="724"/>
    </row>
    <row r="2313" spans="9:10">
      <c r="I2313" s="724"/>
      <c r="J2313" s="724"/>
    </row>
    <row r="2314" spans="9:10">
      <c r="I2314" s="724"/>
      <c r="J2314" s="724"/>
    </row>
    <row r="2315" spans="9:10">
      <c r="I2315" s="724"/>
      <c r="J2315" s="724"/>
    </row>
    <row r="2316" spans="9:10">
      <c r="I2316" s="724"/>
      <c r="J2316" s="724"/>
    </row>
    <row r="2317" spans="9:10">
      <c r="I2317" s="724"/>
      <c r="J2317" s="724"/>
    </row>
    <row r="2318" spans="9:10">
      <c r="I2318" s="724"/>
      <c r="J2318" s="724"/>
    </row>
    <row r="2319" spans="9:10">
      <c r="I2319" s="724"/>
      <c r="J2319" s="724"/>
    </row>
    <row r="2320" spans="9:10">
      <c r="I2320" s="724"/>
      <c r="J2320" s="724"/>
    </row>
    <row r="2321" spans="9:10">
      <c r="I2321" s="724"/>
      <c r="J2321" s="724"/>
    </row>
    <row r="2322" spans="9:10">
      <c r="I2322" s="724"/>
      <c r="J2322" s="724"/>
    </row>
    <row r="2323" spans="9:10">
      <c r="I2323" s="724"/>
      <c r="J2323" s="724"/>
    </row>
    <row r="2324" spans="9:10">
      <c r="I2324" s="724"/>
      <c r="J2324" s="724"/>
    </row>
    <row r="2325" spans="9:10">
      <c r="I2325" s="724"/>
      <c r="J2325" s="724"/>
    </row>
    <row r="2326" spans="9:10">
      <c r="I2326" s="724"/>
      <c r="J2326" s="724"/>
    </row>
    <row r="2327" spans="9:10">
      <c r="I2327" s="724"/>
      <c r="J2327" s="724"/>
    </row>
    <row r="2328" spans="9:10">
      <c r="I2328" s="724"/>
      <c r="J2328" s="724"/>
    </row>
    <row r="2329" spans="9:10">
      <c r="I2329" s="724"/>
      <c r="J2329" s="724"/>
    </row>
    <row r="2330" spans="9:10">
      <c r="I2330" s="724"/>
      <c r="J2330" s="724"/>
    </row>
    <row r="2331" spans="9:10">
      <c r="I2331" s="724"/>
      <c r="J2331" s="724"/>
    </row>
    <row r="2332" spans="9:10">
      <c r="I2332" s="724"/>
      <c r="J2332" s="724"/>
    </row>
    <row r="2333" spans="9:10">
      <c r="I2333" s="724"/>
      <c r="J2333" s="724"/>
    </row>
    <row r="2334" spans="9:10">
      <c r="I2334" s="724"/>
      <c r="J2334" s="724"/>
    </row>
    <row r="2335" spans="9:10">
      <c r="I2335" s="724"/>
      <c r="J2335" s="724"/>
    </row>
    <row r="2336" spans="9:10">
      <c r="I2336" s="724"/>
      <c r="J2336" s="724"/>
    </row>
    <row r="2337" spans="9:10">
      <c r="I2337" s="724"/>
      <c r="J2337" s="724"/>
    </row>
    <row r="2338" spans="9:10">
      <c r="I2338" s="724"/>
      <c r="J2338" s="724"/>
    </row>
    <row r="2339" spans="9:10">
      <c r="I2339" s="724"/>
      <c r="J2339" s="724"/>
    </row>
    <row r="2340" spans="9:10">
      <c r="I2340" s="724"/>
      <c r="J2340" s="724"/>
    </row>
    <row r="2341" spans="9:10">
      <c r="I2341" s="724"/>
      <c r="J2341" s="724"/>
    </row>
    <row r="2342" spans="9:10">
      <c r="I2342" s="724"/>
      <c r="J2342" s="724"/>
    </row>
    <row r="2343" spans="9:10">
      <c r="I2343" s="724"/>
      <c r="J2343" s="724"/>
    </row>
    <row r="2344" spans="9:10">
      <c r="I2344" s="724"/>
      <c r="J2344" s="724"/>
    </row>
    <row r="2345" spans="9:10">
      <c r="I2345" s="724"/>
      <c r="J2345" s="724"/>
    </row>
    <row r="2346" spans="9:10">
      <c r="I2346" s="724"/>
      <c r="J2346" s="724"/>
    </row>
    <row r="2347" spans="9:10">
      <c r="I2347" s="724"/>
      <c r="J2347" s="724"/>
    </row>
    <row r="2348" spans="9:10">
      <c r="I2348" s="724"/>
      <c r="J2348" s="724"/>
    </row>
    <row r="2349" spans="9:10">
      <c r="I2349" s="724"/>
      <c r="J2349" s="724"/>
    </row>
    <row r="2350" spans="9:10">
      <c r="I2350" s="724"/>
      <c r="J2350" s="724"/>
    </row>
    <row r="2351" spans="9:10">
      <c r="I2351" s="724"/>
      <c r="J2351" s="724"/>
    </row>
    <row r="2352" spans="9:10">
      <c r="I2352" s="724"/>
      <c r="J2352" s="724"/>
    </row>
    <row r="2353" spans="9:10">
      <c r="I2353" s="724"/>
      <c r="J2353" s="724"/>
    </row>
    <row r="2354" spans="9:10">
      <c r="I2354" s="724"/>
      <c r="J2354" s="724"/>
    </row>
    <row r="2355" spans="9:10">
      <c r="I2355" s="724"/>
      <c r="J2355" s="724"/>
    </row>
    <row r="2356" spans="9:10">
      <c r="I2356" s="724"/>
      <c r="J2356" s="724"/>
    </row>
    <row r="2357" spans="9:10">
      <c r="I2357" s="724"/>
      <c r="J2357" s="724"/>
    </row>
    <row r="2358" spans="9:10">
      <c r="I2358" s="724"/>
      <c r="J2358" s="724"/>
    </row>
    <row r="2359" spans="9:10">
      <c r="I2359" s="724"/>
      <c r="J2359" s="724"/>
    </row>
    <row r="2360" spans="9:10">
      <c r="I2360" s="724"/>
      <c r="J2360" s="724"/>
    </row>
    <row r="2361" spans="9:10">
      <c r="I2361" s="724"/>
      <c r="J2361" s="724"/>
    </row>
    <row r="2362" spans="9:10">
      <c r="I2362" s="724"/>
      <c r="J2362" s="724"/>
    </row>
    <row r="2363" spans="9:10">
      <c r="I2363" s="724"/>
      <c r="J2363" s="724"/>
    </row>
    <row r="2364" spans="9:10">
      <c r="I2364" s="724"/>
      <c r="J2364" s="724"/>
    </row>
    <row r="2365" spans="9:10">
      <c r="I2365" s="724"/>
      <c r="J2365" s="724"/>
    </row>
    <row r="2366" spans="9:10">
      <c r="I2366" s="724"/>
      <c r="J2366" s="724"/>
    </row>
    <row r="2367" spans="9:10">
      <c r="I2367" s="724"/>
      <c r="J2367" s="724"/>
    </row>
    <row r="2368" spans="9:10">
      <c r="I2368" s="724"/>
      <c r="J2368" s="724"/>
    </row>
    <row r="2369" spans="9:10">
      <c r="I2369" s="724"/>
      <c r="J2369" s="724"/>
    </row>
    <row r="2370" spans="9:10">
      <c r="I2370" s="724"/>
      <c r="J2370" s="724"/>
    </row>
    <row r="2371" spans="9:10">
      <c r="I2371" s="724"/>
      <c r="J2371" s="724"/>
    </row>
    <row r="2372" spans="9:10">
      <c r="I2372" s="724"/>
      <c r="J2372" s="724"/>
    </row>
    <row r="2373" spans="9:10">
      <c r="I2373" s="724"/>
      <c r="J2373" s="724"/>
    </row>
    <row r="2374" spans="9:10">
      <c r="I2374" s="724"/>
      <c r="J2374" s="724"/>
    </row>
    <row r="2375" spans="9:10">
      <c r="I2375" s="724"/>
      <c r="J2375" s="724"/>
    </row>
    <row r="2376" spans="9:10">
      <c r="I2376" s="724"/>
      <c r="J2376" s="724"/>
    </row>
    <row r="2377" spans="9:10">
      <c r="I2377" s="724"/>
      <c r="J2377" s="724"/>
    </row>
    <row r="2378" spans="9:10">
      <c r="I2378" s="724"/>
      <c r="J2378" s="724"/>
    </row>
    <row r="2379" spans="9:10">
      <c r="I2379" s="724"/>
      <c r="J2379" s="724"/>
    </row>
    <row r="2380" spans="9:10">
      <c r="I2380" s="724"/>
      <c r="J2380" s="724"/>
    </row>
    <row r="2381" spans="9:10">
      <c r="I2381" s="724"/>
      <c r="J2381" s="724"/>
    </row>
    <row r="2382" spans="9:10">
      <c r="I2382" s="724"/>
      <c r="J2382" s="724"/>
    </row>
    <row r="2383" spans="9:10">
      <c r="I2383" s="724"/>
      <c r="J2383" s="724"/>
    </row>
    <row r="2384" spans="9:10">
      <c r="I2384" s="724"/>
      <c r="J2384" s="724"/>
    </row>
    <row r="2385" spans="9:10">
      <c r="I2385" s="724"/>
      <c r="J2385" s="724"/>
    </row>
    <row r="2386" spans="9:10">
      <c r="I2386" s="724"/>
      <c r="J2386" s="724"/>
    </row>
    <row r="2387" spans="9:10">
      <c r="I2387" s="724"/>
      <c r="J2387" s="724"/>
    </row>
    <row r="2388" spans="9:10">
      <c r="I2388" s="724"/>
      <c r="J2388" s="724"/>
    </row>
    <row r="2389" spans="9:10">
      <c r="I2389" s="724"/>
      <c r="J2389" s="724"/>
    </row>
    <row r="2390" spans="9:10">
      <c r="I2390" s="724"/>
      <c r="J2390" s="724"/>
    </row>
    <row r="2391" spans="9:10">
      <c r="I2391" s="724"/>
      <c r="J2391" s="724"/>
    </row>
    <row r="2392" spans="9:10">
      <c r="I2392" s="724"/>
      <c r="J2392" s="724"/>
    </row>
    <row r="2393" spans="9:10">
      <c r="I2393" s="724"/>
      <c r="J2393" s="724"/>
    </row>
    <row r="2394" spans="9:10">
      <c r="I2394" s="724"/>
      <c r="J2394" s="724"/>
    </row>
    <row r="2395" spans="9:10">
      <c r="I2395" s="724"/>
      <c r="J2395" s="724"/>
    </row>
    <row r="2396" spans="9:10">
      <c r="I2396" s="724"/>
      <c r="J2396" s="724"/>
    </row>
    <row r="2397" spans="9:10">
      <c r="I2397" s="724"/>
      <c r="J2397" s="724"/>
    </row>
    <row r="2398" spans="9:10">
      <c r="I2398" s="724"/>
      <c r="J2398" s="724"/>
    </row>
    <row r="2399" spans="9:10">
      <c r="I2399" s="724"/>
      <c r="J2399" s="724"/>
    </row>
    <row r="2400" spans="9:10">
      <c r="I2400" s="724"/>
      <c r="J2400" s="724"/>
    </row>
    <row r="2401" spans="9:10">
      <c r="I2401" s="724"/>
      <c r="J2401" s="724"/>
    </row>
    <row r="2402" spans="9:10">
      <c r="I2402" s="724"/>
      <c r="J2402" s="724"/>
    </row>
    <row r="2403" spans="9:10">
      <c r="I2403" s="724"/>
      <c r="J2403" s="724"/>
    </row>
    <row r="2404" spans="9:10">
      <c r="I2404" s="724"/>
      <c r="J2404" s="724"/>
    </row>
    <row r="2405" spans="9:10">
      <c r="I2405" s="724"/>
      <c r="J2405" s="724"/>
    </row>
    <row r="2406" spans="9:10">
      <c r="I2406" s="724"/>
      <c r="J2406" s="724"/>
    </row>
    <row r="2407" spans="9:10">
      <c r="I2407" s="724"/>
      <c r="J2407" s="724"/>
    </row>
    <row r="2408" spans="9:10">
      <c r="I2408" s="724"/>
      <c r="J2408" s="724"/>
    </row>
    <row r="2409" spans="9:10">
      <c r="I2409" s="724"/>
      <c r="J2409" s="724"/>
    </row>
    <row r="2410" spans="9:10">
      <c r="I2410" s="724"/>
      <c r="J2410" s="724"/>
    </row>
    <row r="2411" spans="9:10">
      <c r="I2411" s="724"/>
      <c r="J2411" s="724"/>
    </row>
    <row r="2412" spans="9:10">
      <c r="I2412" s="724"/>
      <c r="J2412" s="724"/>
    </row>
    <row r="2413" spans="9:10">
      <c r="I2413" s="724"/>
      <c r="J2413" s="724"/>
    </row>
    <row r="2414" spans="9:10">
      <c r="I2414" s="724"/>
      <c r="J2414" s="724"/>
    </row>
    <row r="2415" spans="9:10">
      <c r="I2415" s="724"/>
      <c r="J2415" s="724"/>
    </row>
    <row r="2416" spans="9:10">
      <c r="I2416" s="724"/>
      <c r="J2416" s="724"/>
    </row>
    <row r="2417" spans="9:10">
      <c r="I2417" s="724"/>
      <c r="J2417" s="724"/>
    </row>
    <row r="2418" spans="9:10">
      <c r="I2418" s="724"/>
      <c r="J2418" s="724"/>
    </row>
    <row r="2419" spans="9:10">
      <c r="I2419" s="724"/>
      <c r="J2419" s="724"/>
    </row>
    <row r="2420" spans="9:10">
      <c r="I2420" s="724"/>
      <c r="J2420" s="724"/>
    </row>
    <row r="2421" spans="9:10">
      <c r="I2421" s="724"/>
      <c r="J2421" s="724"/>
    </row>
    <row r="2422" spans="9:10">
      <c r="I2422" s="724"/>
      <c r="J2422" s="724"/>
    </row>
    <row r="2423" spans="9:10">
      <c r="I2423" s="724"/>
      <c r="J2423" s="724"/>
    </row>
    <row r="2424" spans="9:10">
      <c r="I2424" s="724"/>
      <c r="J2424" s="724"/>
    </row>
    <row r="2425" spans="9:10">
      <c r="I2425" s="724"/>
      <c r="J2425" s="724"/>
    </row>
    <row r="2426" spans="9:10">
      <c r="I2426" s="724"/>
      <c r="J2426" s="724"/>
    </row>
    <row r="2427" spans="9:10">
      <c r="I2427" s="724"/>
      <c r="J2427" s="724"/>
    </row>
    <row r="2428" spans="9:10">
      <c r="I2428" s="724"/>
      <c r="J2428" s="724"/>
    </row>
    <row r="2429" spans="9:10">
      <c r="I2429" s="724"/>
      <c r="J2429" s="724"/>
    </row>
    <row r="2430" spans="9:10">
      <c r="I2430" s="724"/>
      <c r="J2430" s="724"/>
    </row>
    <row r="2431" spans="9:10">
      <c r="I2431" s="724"/>
      <c r="J2431" s="724"/>
    </row>
    <row r="2432" spans="9:10">
      <c r="I2432" s="724"/>
      <c r="J2432" s="724"/>
    </row>
    <row r="2433" spans="9:10">
      <c r="I2433" s="724"/>
      <c r="J2433" s="724"/>
    </row>
    <row r="2434" spans="9:10">
      <c r="I2434" s="724"/>
      <c r="J2434" s="724"/>
    </row>
    <row r="2435" spans="9:10">
      <c r="I2435" s="724"/>
      <c r="J2435" s="724"/>
    </row>
    <row r="2436" spans="9:10">
      <c r="I2436" s="724"/>
      <c r="J2436" s="724"/>
    </row>
    <row r="2437" spans="9:10">
      <c r="I2437" s="724"/>
      <c r="J2437" s="724"/>
    </row>
    <row r="2438" spans="9:10">
      <c r="I2438" s="724"/>
      <c r="J2438" s="724"/>
    </row>
    <row r="2439" spans="9:10">
      <c r="I2439" s="724"/>
      <c r="J2439" s="724"/>
    </row>
    <row r="2440" spans="9:10">
      <c r="I2440" s="724"/>
      <c r="J2440" s="724"/>
    </row>
    <row r="2441" spans="9:10">
      <c r="I2441" s="724"/>
      <c r="J2441" s="724"/>
    </row>
    <row r="2442" spans="9:10">
      <c r="I2442" s="724"/>
      <c r="J2442" s="724"/>
    </row>
    <row r="2443" spans="9:10">
      <c r="I2443" s="724"/>
      <c r="J2443" s="724"/>
    </row>
    <row r="2444" spans="9:10">
      <c r="I2444" s="724"/>
      <c r="J2444" s="724"/>
    </row>
    <row r="2445" spans="9:10">
      <c r="I2445" s="724"/>
      <c r="J2445" s="724"/>
    </row>
    <row r="2446" spans="9:10">
      <c r="I2446" s="724"/>
      <c r="J2446" s="724"/>
    </row>
    <row r="2447" spans="9:10">
      <c r="I2447" s="724"/>
      <c r="J2447" s="724"/>
    </row>
    <row r="2448" spans="9:10">
      <c r="I2448" s="724"/>
      <c r="J2448" s="724"/>
    </row>
    <row r="2449" spans="9:10">
      <c r="I2449" s="724"/>
      <c r="J2449" s="724"/>
    </row>
    <row r="2450" spans="9:10">
      <c r="I2450" s="724"/>
      <c r="J2450" s="724"/>
    </row>
    <row r="2451" spans="9:10">
      <c r="I2451" s="724"/>
      <c r="J2451" s="724"/>
    </row>
    <row r="2452" spans="9:10">
      <c r="I2452" s="724"/>
      <c r="J2452" s="724"/>
    </row>
    <row r="2453" spans="9:10">
      <c r="I2453" s="724"/>
      <c r="J2453" s="724"/>
    </row>
    <row r="2454" spans="9:10">
      <c r="I2454" s="724"/>
      <c r="J2454" s="724"/>
    </row>
    <row r="2455" spans="9:10">
      <c r="I2455" s="724"/>
      <c r="J2455" s="724"/>
    </row>
    <row r="2456" spans="9:10">
      <c r="I2456" s="724"/>
      <c r="J2456" s="724"/>
    </row>
    <row r="2457" spans="9:10">
      <c r="I2457" s="724"/>
      <c r="J2457" s="724"/>
    </row>
    <row r="2458" spans="9:10">
      <c r="I2458" s="724"/>
      <c r="J2458" s="724"/>
    </row>
    <row r="2459" spans="9:10">
      <c r="I2459" s="724"/>
      <c r="J2459" s="724"/>
    </row>
    <row r="2460" spans="9:10">
      <c r="I2460" s="724"/>
      <c r="J2460" s="724"/>
    </row>
    <row r="2461" spans="9:10">
      <c r="I2461" s="724"/>
      <c r="J2461" s="724"/>
    </row>
    <row r="2462" spans="9:10">
      <c r="I2462" s="724"/>
      <c r="J2462" s="724"/>
    </row>
    <row r="2463" spans="9:10">
      <c r="I2463" s="724"/>
      <c r="J2463" s="724"/>
    </row>
    <row r="2464" spans="9:10">
      <c r="I2464" s="724"/>
      <c r="J2464" s="724"/>
    </row>
    <row r="2465" spans="9:10">
      <c r="I2465" s="724"/>
      <c r="J2465" s="724"/>
    </row>
    <row r="2466" spans="9:10">
      <c r="I2466" s="724"/>
      <c r="J2466" s="724"/>
    </row>
    <row r="2467" spans="9:10">
      <c r="I2467" s="724"/>
      <c r="J2467" s="724"/>
    </row>
    <row r="2468" spans="9:10">
      <c r="I2468" s="724"/>
      <c r="J2468" s="724"/>
    </row>
    <row r="2469" spans="9:10">
      <c r="I2469" s="724"/>
      <c r="J2469" s="724"/>
    </row>
    <row r="2470" spans="9:10">
      <c r="I2470" s="724"/>
      <c r="J2470" s="724"/>
    </row>
    <row r="2471" spans="9:10">
      <c r="I2471" s="724"/>
      <c r="J2471" s="724"/>
    </row>
    <row r="2472" spans="9:10">
      <c r="I2472" s="724"/>
      <c r="J2472" s="724"/>
    </row>
    <row r="2473" spans="9:10">
      <c r="I2473" s="724"/>
      <c r="J2473" s="724"/>
    </row>
    <row r="2474" spans="9:10">
      <c r="I2474" s="724"/>
      <c r="J2474" s="724"/>
    </row>
    <row r="2475" spans="9:10">
      <c r="I2475" s="724"/>
      <c r="J2475" s="724"/>
    </row>
    <row r="2476" spans="9:10">
      <c r="I2476" s="724"/>
      <c r="J2476" s="724"/>
    </row>
    <row r="2477" spans="9:10">
      <c r="I2477" s="724"/>
      <c r="J2477" s="724"/>
    </row>
    <row r="2478" spans="9:10">
      <c r="I2478" s="724"/>
      <c r="J2478" s="724"/>
    </row>
    <row r="2479" spans="9:10">
      <c r="I2479" s="724"/>
      <c r="J2479" s="724"/>
    </row>
    <row r="2480" spans="9:10">
      <c r="I2480" s="724"/>
      <c r="J2480" s="724"/>
    </row>
    <row r="2481" spans="9:10">
      <c r="I2481" s="724"/>
      <c r="J2481" s="724"/>
    </row>
    <row r="2482" spans="9:10">
      <c r="I2482" s="724"/>
      <c r="J2482" s="724"/>
    </row>
    <row r="2483" spans="9:10">
      <c r="I2483" s="724"/>
      <c r="J2483" s="724"/>
    </row>
    <row r="2484" spans="9:10">
      <c r="I2484" s="724"/>
      <c r="J2484" s="724"/>
    </row>
    <row r="2485" spans="9:10">
      <c r="I2485" s="724"/>
      <c r="J2485" s="724"/>
    </row>
    <row r="2486" spans="9:10">
      <c r="I2486" s="724"/>
      <c r="J2486" s="724"/>
    </row>
    <row r="2487" spans="9:10">
      <c r="I2487" s="724"/>
      <c r="J2487" s="724"/>
    </row>
    <row r="2488" spans="9:10">
      <c r="I2488" s="724"/>
      <c r="J2488" s="724"/>
    </row>
    <row r="2489" spans="9:10">
      <c r="I2489" s="724"/>
      <c r="J2489" s="724"/>
    </row>
    <row r="2490" spans="9:10">
      <c r="I2490" s="724"/>
      <c r="J2490" s="724"/>
    </row>
    <row r="2491" spans="9:10">
      <c r="I2491" s="724"/>
      <c r="J2491" s="724"/>
    </row>
    <row r="2492" spans="9:10">
      <c r="I2492" s="724"/>
      <c r="J2492" s="724"/>
    </row>
    <row r="2493" spans="9:10">
      <c r="I2493" s="724"/>
      <c r="J2493" s="724"/>
    </row>
    <row r="2494" spans="9:10">
      <c r="I2494" s="724"/>
      <c r="J2494" s="724"/>
    </row>
    <row r="2495" spans="9:10">
      <c r="I2495" s="724"/>
      <c r="J2495" s="724"/>
    </row>
    <row r="2496" spans="9:10">
      <c r="I2496" s="724"/>
      <c r="J2496" s="724"/>
    </row>
    <row r="2497" spans="9:10">
      <c r="I2497" s="724"/>
      <c r="J2497" s="724"/>
    </row>
    <row r="2498" spans="9:10">
      <c r="I2498" s="724"/>
      <c r="J2498" s="724"/>
    </row>
    <row r="2499" spans="9:10">
      <c r="I2499" s="724"/>
      <c r="J2499" s="724"/>
    </row>
    <row r="2500" spans="9:10">
      <c r="I2500" s="724"/>
      <c r="J2500" s="724"/>
    </row>
    <row r="2501" spans="9:10">
      <c r="I2501" s="724"/>
      <c r="J2501" s="724"/>
    </row>
    <row r="2502" spans="9:10">
      <c r="I2502" s="724"/>
      <c r="J2502" s="724"/>
    </row>
    <row r="2503" spans="9:10">
      <c r="I2503" s="724"/>
      <c r="J2503" s="724"/>
    </row>
    <row r="2504" spans="9:10">
      <c r="I2504" s="724"/>
      <c r="J2504" s="724"/>
    </row>
    <row r="2505" spans="9:10">
      <c r="I2505" s="724"/>
      <c r="J2505" s="724"/>
    </row>
    <row r="2506" spans="9:10">
      <c r="I2506" s="724"/>
      <c r="J2506" s="724"/>
    </row>
    <row r="2507" spans="9:10">
      <c r="I2507" s="724"/>
      <c r="J2507" s="724"/>
    </row>
    <row r="2508" spans="9:10">
      <c r="I2508" s="724"/>
      <c r="J2508" s="724"/>
    </row>
    <row r="2509" spans="9:10">
      <c r="I2509" s="724"/>
      <c r="J2509" s="724"/>
    </row>
    <row r="2510" spans="9:10">
      <c r="I2510" s="724"/>
      <c r="J2510" s="724"/>
    </row>
    <row r="2511" spans="9:10">
      <c r="I2511" s="724"/>
      <c r="J2511" s="724"/>
    </row>
    <row r="2512" spans="9:10">
      <c r="I2512" s="724"/>
      <c r="J2512" s="724"/>
    </row>
    <row r="2513" spans="9:10">
      <c r="I2513" s="724"/>
      <c r="J2513" s="724"/>
    </row>
    <row r="2514" spans="9:10">
      <c r="I2514" s="724"/>
      <c r="J2514" s="724"/>
    </row>
    <row r="2515" spans="9:10">
      <c r="I2515" s="724"/>
      <c r="J2515" s="724"/>
    </row>
    <row r="2516" spans="9:10">
      <c r="I2516" s="724"/>
      <c r="J2516" s="724"/>
    </row>
    <row r="2517" spans="9:10">
      <c r="I2517" s="724"/>
      <c r="J2517" s="724"/>
    </row>
    <row r="2518" spans="9:10">
      <c r="I2518" s="724"/>
      <c r="J2518" s="724"/>
    </row>
    <row r="2519" spans="9:10">
      <c r="I2519" s="724"/>
      <c r="J2519" s="724"/>
    </row>
    <row r="2520" spans="9:10">
      <c r="I2520" s="724"/>
      <c r="J2520" s="724"/>
    </row>
    <row r="2521" spans="9:10">
      <c r="I2521" s="724"/>
      <c r="J2521" s="724"/>
    </row>
    <row r="2522" spans="9:10">
      <c r="I2522" s="724"/>
      <c r="J2522" s="724"/>
    </row>
    <row r="2523" spans="9:10">
      <c r="I2523" s="724"/>
      <c r="J2523" s="724"/>
    </row>
    <row r="2524" spans="9:10">
      <c r="I2524" s="724"/>
      <c r="J2524" s="724"/>
    </row>
    <row r="2525" spans="9:10">
      <c r="I2525" s="724"/>
      <c r="J2525" s="724"/>
    </row>
    <row r="2526" spans="9:10">
      <c r="I2526" s="724"/>
      <c r="J2526" s="724"/>
    </row>
    <row r="2527" spans="9:10">
      <c r="I2527" s="724"/>
      <c r="J2527" s="724"/>
    </row>
    <row r="2528" spans="9:10">
      <c r="I2528" s="724"/>
      <c r="J2528" s="724"/>
    </row>
    <row r="2529" spans="9:10">
      <c r="I2529" s="724"/>
      <c r="J2529" s="724"/>
    </row>
    <row r="2530" spans="9:10">
      <c r="I2530" s="724"/>
      <c r="J2530" s="724"/>
    </row>
    <row r="2531" spans="9:10">
      <c r="I2531" s="724"/>
      <c r="J2531" s="724"/>
    </row>
    <row r="2532" spans="9:10">
      <c r="I2532" s="724"/>
      <c r="J2532" s="724"/>
    </row>
    <row r="2533" spans="9:10">
      <c r="I2533" s="724"/>
      <c r="J2533" s="724"/>
    </row>
    <row r="2534" spans="9:10">
      <c r="I2534" s="724"/>
      <c r="J2534" s="724"/>
    </row>
    <row r="2535" spans="9:10">
      <c r="I2535" s="724"/>
      <c r="J2535" s="724"/>
    </row>
    <row r="2536" spans="9:10">
      <c r="I2536" s="724"/>
      <c r="J2536" s="724"/>
    </row>
    <row r="2537" spans="9:10">
      <c r="I2537" s="724"/>
      <c r="J2537" s="724"/>
    </row>
    <row r="2538" spans="9:10">
      <c r="I2538" s="724"/>
      <c r="J2538" s="724"/>
    </row>
    <row r="2539" spans="9:10">
      <c r="I2539" s="724"/>
      <c r="J2539" s="724"/>
    </row>
    <row r="2540" spans="9:10">
      <c r="I2540" s="724"/>
      <c r="J2540" s="724"/>
    </row>
    <row r="2541" spans="9:10">
      <c r="I2541" s="724"/>
      <c r="J2541" s="724"/>
    </row>
    <row r="2542" spans="9:10">
      <c r="I2542" s="724"/>
      <c r="J2542" s="724"/>
    </row>
    <row r="2543" spans="9:10">
      <c r="I2543" s="724"/>
      <c r="J2543" s="724"/>
    </row>
    <row r="2544" spans="9:10">
      <c r="I2544" s="724"/>
      <c r="J2544" s="724"/>
    </row>
    <row r="2545" spans="9:10">
      <c r="I2545" s="724"/>
      <c r="J2545" s="724"/>
    </row>
    <row r="2546" spans="9:10">
      <c r="I2546" s="724"/>
      <c r="J2546" s="724"/>
    </row>
    <row r="2547" spans="9:10">
      <c r="I2547" s="724"/>
      <c r="J2547" s="724"/>
    </row>
    <row r="2548" spans="9:10">
      <c r="I2548" s="724"/>
      <c r="J2548" s="724"/>
    </row>
    <row r="2549" spans="9:10">
      <c r="I2549" s="724"/>
      <c r="J2549" s="724"/>
    </row>
    <row r="2550" spans="9:10">
      <c r="I2550" s="724"/>
      <c r="J2550" s="724"/>
    </row>
    <row r="2551" spans="9:10">
      <c r="I2551" s="724"/>
      <c r="J2551" s="724"/>
    </row>
    <row r="2552" spans="9:10">
      <c r="I2552" s="724"/>
      <c r="J2552" s="724"/>
    </row>
    <row r="2553" spans="9:10">
      <c r="I2553" s="724"/>
      <c r="J2553" s="724"/>
    </row>
    <row r="2554" spans="9:10">
      <c r="I2554" s="724"/>
      <c r="J2554" s="724"/>
    </row>
    <row r="2555" spans="9:10">
      <c r="I2555" s="724"/>
      <c r="J2555" s="724"/>
    </row>
    <row r="2556" spans="9:10">
      <c r="I2556" s="724"/>
      <c r="J2556" s="724"/>
    </row>
    <row r="2557" spans="9:10">
      <c r="I2557" s="724"/>
      <c r="J2557" s="724"/>
    </row>
    <row r="2558" spans="9:10">
      <c r="I2558" s="724"/>
      <c r="J2558" s="724"/>
    </row>
    <row r="2559" spans="9:10">
      <c r="I2559" s="724"/>
      <c r="J2559" s="724"/>
    </row>
    <row r="2560" spans="9:10">
      <c r="I2560" s="724"/>
      <c r="J2560" s="724"/>
    </row>
    <row r="2561" spans="9:10">
      <c r="I2561" s="724"/>
      <c r="J2561" s="724"/>
    </row>
    <row r="2562" spans="9:10">
      <c r="I2562" s="724"/>
      <c r="J2562" s="724"/>
    </row>
    <row r="2563" spans="9:10">
      <c r="I2563" s="724"/>
      <c r="J2563" s="724"/>
    </row>
    <row r="2564" spans="9:10">
      <c r="I2564" s="724"/>
      <c r="J2564" s="724"/>
    </row>
    <row r="2565" spans="9:10">
      <c r="I2565" s="724"/>
      <c r="J2565" s="724"/>
    </row>
    <row r="2566" spans="9:10">
      <c r="I2566" s="724"/>
      <c r="J2566" s="724"/>
    </row>
    <row r="2567" spans="9:10">
      <c r="I2567" s="724"/>
      <c r="J2567" s="724"/>
    </row>
    <row r="2568" spans="9:10">
      <c r="I2568" s="724"/>
      <c r="J2568" s="724"/>
    </row>
    <row r="2569" spans="9:10">
      <c r="I2569" s="724"/>
      <c r="J2569" s="724"/>
    </row>
    <row r="2570" spans="9:10">
      <c r="I2570" s="724"/>
      <c r="J2570" s="724"/>
    </row>
    <row r="2571" spans="9:10">
      <c r="I2571" s="724"/>
      <c r="J2571" s="724"/>
    </row>
    <row r="2572" spans="9:10">
      <c r="I2572" s="724"/>
      <c r="J2572" s="724"/>
    </row>
    <row r="2573" spans="9:10">
      <c r="I2573" s="724"/>
      <c r="J2573" s="724"/>
    </row>
    <row r="2574" spans="9:10">
      <c r="I2574" s="724"/>
      <c r="J2574" s="724"/>
    </row>
    <row r="2575" spans="9:10">
      <c r="I2575" s="724"/>
      <c r="J2575" s="724"/>
    </row>
    <row r="2576" spans="9:10">
      <c r="I2576" s="724"/>
      <c r="J2576" s="724"/>
    </row>
    <row r="2577" spans="9:10">
      <c r="I2577" s="724"/>
      <c r="J2577" s="724"/>
    </row>
    <row r="2578" spans="9:10">
      <c r="I2578" s="724"/>
      <c r="J2578" s="724"/>
    </row>
    <row r="2579" spans="9:10">
      <c r="I2579" s="724"/>
      <c r="J2579" s="724"/>
    </row>
    <row r="2580" spans="9:10">
      <c r="I2580" s="724"/>
      <c r="J2580" s="724"/>
    </row>
    <row r="2581" spans="9:10">
      <c r="I2581" s="724"/>
      <c r="J2581" s="724"/>
    </row>
    <row r="2582" spans="9:10">
      <c r="I2582" s="724"/>
      <c r="J2582" s="724"/>
    </row>
    <row r="2583" spans="9:10">
      <c r="I2583" s="724"/>
      <c r="J2583" s="724"/>
    </row>
    <row r="2584" spans="9:10">
      <c r="I2584" s="724"/>
      <c r="J2584" s="724"/>
    </row>
    <row r="2585" spans="9:10">
      <c r="I2585" s="724"/>
      <c r="J2585" s="724"/>
    </row>
    <row r="2586" spans="9:10">
      <c r="I2586" s="724"/>
      <c r="J2586" s="724"/>
    </row>
    <row r="2587" spans="9:10">
      <c r="I2587" s="724"/>
      <c r="J2587" s="724"/>
    </row>
    <row r="2588" spans="9:10">
      <c r="I2588" s="724"/>
      <c r="J2588" s="724"/>
    </row>
    <row r="2589" spans="9:10">
      <c r="I2589" s="724"/>
      <c r="J2589" s="724"/>
    </row>
    <row r="2590" spans="9:10">
      <c r="I2590" s="724"/>
      <c r="J2590" s="724"/>
    </row>
    <row r="2591" spans="9:10">
      <c r="I2591" s="724"/>
      <c r="J2591" s="724"/>
    </row>
    <row r="2592" spans="9:10">
      <c r="I2592" s="724"/>
      <c r="J2592" s="724"/>
    </row>
    <row r="2593" spans="9:10">
      <c r="I2593" s="724"/>
      <c r="J2593" s="724"/>
    </row>
    <row r="2594" spans="9:10">
      <c r="I2594" s="724"/>
      <c r="J2594" s="724"/>
    </row>
    <row r="2595" spans="9:10">
      <c r="I2595" s="724"/>
      <c r="J2595" s="724"/>
    </row>
    <row r="2596" spans="9:10">
      <c r="I2596" s="724"/>
      <c r="J2596" s="724"/>
    </row>
    <row r="2597" spans="9:10">
      <c r="I2597" s="724"/>
      <c r="J2597" s="724"/>
    </row>
    <row r="2598" spans="9:10">
      <c r="I2598" s="724"/>
      <c r="J2598" s="724"/>
    </row>
    <row r="2599" spans="9:10">
      <c r="I2599" s="724"/>
      <c r="J2599" s="724"/>
    </row>
    <row r="2600" spans="9:10">
      <c r="I2600" s="724"/>
      <c r="J2600" s="724"/>
    </row>
    <row r="2601" spans="9:10">
      <c r="I2601" s="724"/>
      <c r="J2601" s="724"/>
    </row>
    <row r="2602" spans="9:10">
      <c r="I2602" s="724"/>
      <c r="J2602" s="724"/>
    </row>
    <row r="2603" spans="9:10">
      <c r="I2603" s="724"/>
      <c r="J2603" s="724"/>
    </row>
    <row r="2604" spans="9:10">
      <c r="I2604" s="724"/>
      <c r="J2604" s="724"/>
    </row>
    <row r="2605" spans="9:10">
      <c r="I2605" s="724"/>
      <c r="J2605" s="724"/>
    </row>
    <row r="2606" spans="9:10">
      <c r="I2606" s="724"/>
      <c r="J2606" s="724"/>
    </row>
    <row r="2607" spans="9:10">
      <c r="I2607" s="724"/>
      <c r="J2607" s="724"/>
    </row>
    <row r="2608" spans="9:10">
      <c r="I2608" s="724"/>
      <c r="J2608" s="724"/>
    </row>
    <row r="2609" spans="9:10">
      <c r="I2609" s="724"/>
      <c r="J2609" s="724"/>
    </row>
    <row r="2610" spans="9:10">
      <c r="I2610" s="724"/>
      <c r="J2610" s="724"/>
    </row>
    <row r="2611" spans="9:10">
      <c r="I2611" s="724"/>
      <c r="J2611" s="724"/>
    </row>
    <row r="2612" spans="9:10">
      <c r="I2612" s="724"/>
      <c r="J2612" s="724"/>
    </row>
    <row r="2613" spans="9:10">
      <c r="I2613" s="724"/>
      <c r="J2613" s="724"/>
    </row>
    <row r="2614" spans="9:10">
      <c r="I2614" s="724"/>
      <c r="J2614" s="724"/>
    </row>
    <row r="2615" spans="9:10">
      <c r="I2615" s="724"/>
      <c r="J2615" s="724"/>
    </row>
    <row r="2616" spans="9:10">
      <c r="I2616" s="724"/>
      <c r="J2616" s="724"/>
    </row>
    <row r="2617" spans="9:10">
      <c r="I2617" s="724"/>
      <c r="J2617" s="724"/>
    </row>
    <row r="2618" spans="9:10">
      <c r="I2618" s="724"/>
      <c r="J2618" s="724"/>
    </row>
    <row r="2619" spans="9:10">
      <c r="I2619" s="724"/>
      <c r="J2619" s="724"/>
    </row>
    <row r="2620" spans="9:10">
      <c r="I2620" s="724"/>
      <c r="J2620" s="724"/>
    </row>
    <row r="2621" spans="9:10">
      <c r="I2621" s="724"/>
      <c r="J2621" s="724"/>
    </row>
    <row r="2622" spans="9:10">
      <c r="I2622" s="724"/>
      <c r="J2622" s="724"/>
    </row>
    <row r="2623" spans="9:10">
      <c r="I2623" s="724"/>
      <c r="J2623" s="724"/>
    </row>
    <row r="2624" spans="9:10">
      <c r="I2624" s="724"/>
      <c r="J2624" s="724"/>
    </row>
    <row r="2625" spans="9:10">
      <c r="I2625" s="724"/>
      <c r="J2625" s="724"/>
    </row>
    <row r="2626" spans="9:10">
      <c r="I2626" s="724"/>
      <c r="J2626" s="724"/>
    </row>
    <row r="2627" spans="9:10">
      <c r="I2627" s="724"/>
      <c r="J2627" s="724"/>
    </row>
    <row r="2628" spans="9:10">
      <c r="I2628" s="724"/>
      <c r="J2628" s="724"/>
    </row>
    <row r="2629" spans="9:10">
      <c r="I2629" s="724"/>
      <c r="J2629" s="724"/>
    </row>
    <row r="2630" spans="9:10">
      <c r="I2630" s="724"/>
      <c r="J2630" s="724"/>
    </row>
    <row r="2631" spans="9:10">
      <c r="I2631" s="724"/>
      <c r="J2631" s="724"/>
    </row>
    <row r="2632" spans="9:10">
      <c r="I2632" s="724"/>
      <c r="J2632" s="724"/>
    </row>
    <row r="2633" spans="9:10">
      <c r="I2633" s="724"/>
      <c r="J2633" s="724"/>
    </row>
    <row r="2634" spans="9:10">
      <c r="I2634" s="724"/>
      <c r="J2634" s="724"/>
    </row>
    <row r="2635" spans="9:10">
      <c r="I2635" s="724"/>
      <c r="J2635" s="724"/>
    </row>
    <row r="2636" spans="9:10">
      <c r="I2636" s="724"/>
      <c r="J2636" s="724"/>
    </row>
    <row r="2637" spans="9:10">
      <c r="I2637" s="724"/>
      <c r="J2637" s="724"/>
    </row>
    <row r="2638" spans="9:10">
      <c r="I2638" s="724"/>
      <c r="J2638" s="724"/>
    </row>
    <row r="2639" spans="9:10">
      <c r="I2639" s="724"/>
      <c r="J2639" s="724"/>
    </row>
    <row r="2640" spans="9:10">
      <c r="I2640" s="724"/>
      <c r="J2640" s="724"/>
    </row>
    <row r="2641" spans="9:10">
      <c r="I2641" s="724"/>
      <c r="J2641" s="724"/>
    </row>
    <row r="2642" spans="9:10">
      <c r="I2642" s="724"/>
      <c r="J2642" s="724"/>
    </row>
    <row r="2643" spans="9:10">
      <c r="I2643" s="724"/>
      <c r="J2643" s="724"/>
    </row>
    <row r="2644" spans="9:10">
      <c r="I2644" s="724"/>
      <c r="J2644" s="724"/>
    </row>
    <row r="2645" spans="9:10">
      <c r="I2645" s="724"/>
      <c r="J2645" s="724"/>
    </row>
    <row r="2646" spans="9:10">
      <c r="I2646" s="724"/>
      <c r="J2646" s="724"/>
    </row>
    <row r="2647" spans="9:10">
      <c r="I2647" s="724"/>
      <c r="J2647" s="724"/>
    </row>
    <row r="2648" spans="9:10">
      <c r="I2648" s="724"/>
      <c r="J2648" s="724"/>
    </row>
    <row r="2649" spans="9:10">
      <c r="I2649" s="724"/>
      <c r="J2649" s="724"/>
    </row>
    <row r="2650" spans="9:10">
      <c r="I2650" s="724"/>
      <c r="J2650" s="724"/>
    </row>
    <row r="2651" spans="9:10">
      <c r="I2651" s="724"/>
      <c r="J2651" s="724"/>
    </row>
    <row r="2652" spans="9:10">
      <c r="I2652" s="724"/>
      <c r="J2652" s="724"/>
    </row>
    <row r="2653" spans="9:10">
      <c r="I2653" s="724"/>
      <c r="J2653" s="724"/>
    </row>
    <row r="2654" spans="9:10">
      <c r="I2654" s="724"/>
      <c r="J2654" s="724"/>
    </row>
    <row r="2655" spans="9:10">
      <c r="I2655" s="724"/>
      <c r="J2655" s="724"/>
    </row>
    <row r="2656" spans="9:10">
      <c r="I2656" s="724"/>
      <c r="J2656" s="724"/>
    </row>
    <row r="2657" spans="9:10">
      <c r="I2657" s="724"/>
      <c r="J2657" s="724"/>
    </row>
    <row r="2658" spans="9:10">
      <c r="I2658" s="724"/>
      <c r="J2658" s="724"/>
    </row>
    <row r="2659" spans="9:10">
      <c r="I2659" s="724"/>
      <c r="J2659" s="724"/>
    </row>
    <row r="2660" spans="9:10">
      <c r="I2660" s="724"/>
      <c r="J2660" s="724"/>
    </row>
    <row r="2661" spans="9:10">
      <c r="I2661" s="724"/>
      <c r="J2661" s="724"/>
    </row>
    <row r="2662" spans="9:10">
      <c r="I2662" s="724"/>
      <c r="J2662" s="724"/>
    </row>
    <row r="2663" spans="9:10">
      <c r="I2663" s="724"/>
      <c r="J2663" s="724"/>
    </row>
    <row r="2664" spans="9:10">
      <c r="I2664" s="724"/>
      <c r="J2664" s="724"/>
    </row>
    <row r="2665" spans="9:10">
      <c r="I2665" s="724"/>
      <c r="J2665" s="724"/>
    </row>
    <row r="2666" spans="9:10">
      <c r="I2666" s="724"/>
      <c r="J2666" s="724"/>
    </row>
    <row r="2667" spans="9:10">
      <c r="I2667" s="724"/>
      <c r="J2667" s="724"/>
    </row>
    <row r="2668" spans="9:10">
      <c r="I2668" s="724"/>
      <c r="J2668" s="724"/>
    </row>
    <row r="2669" spans="9:10">
      <c r="I2669" s="724"/>
      <c r="J2669" s="724"/>
    </row>
    <row r="2670" spans="9:10">
      <c r="I2670" s="724"/>
      <c r="J2670" s="724"/>
    </row>
    <row r="2671" spans="9:10">
      <c r="I2671" s="724"/>
      <c r="J2671" s="724"/>
    </row>
    <row r="2672" spans="9:10">
      <c r="I2672" s="724"/>
      <c r="J2672" s="724"/>
    </row>
    <row r="2673" spans="9:10">
      <c r="I2673" s="724"/>
      <c r="J2673" s="724"/>
    </row>
    <row r="2674" spans="9:10">
      <c r="I2674" s="724"/>
      <c r="J2674" s="724"/>
    </row>
    <row r="2675" spans="9:10">
      <c r="I2675" s="724"/>
      <c r="J2675" s="724"/>
    </row>
    <row r="2676" spans="9:10">
      <c r="I2676" s="724"/>
      <c r="J2676" s="724"/>
    </row>
    <row r="2677" spans="9:10">
      <c r="I2677" s="724"/>
      <c r="J2677" s="724"/>
    </row>
    <row r="2678" spans="9:10">
      <c r="I2678" s="724"/>
      <c r="J2678" s="724"/>
    </row>
    <row r="2679" spans="9:10">
      <c r="I2679" s="724"/>
      <c r="J2679" s="724"/>
    </row>
    <row r="2680" spans="9:10">
      <c r="I2680" s="724"/>
      <c r="J2680" s="724"/>
    </row>
    <row r="2681" spans="9:10">
      <c r="I2681" s="724"/>
      <c r="J2681" s="724"/>
    </row>
    <row r="2682" spans="9:10">
      <c r="I2682" s="724"/>
      <c r="J2682" s="724"/>
    </row>
    <row r="2683" spans="9:10">
      <c r="I2683" s="724"/>
      <c r="J2683" s="724"/>
    </row>
    <row r="2684" spans="9:10">
      <c r="I2684" s="724"/>
      <c r="J2684" s="724"/>
    </row>
    <row r="2685" spans="9:10">
      <c r="I2685" s="724"/>
      <c r="J2685" s="724"/>
    </row>
    <row r="2686" spans="9:10">
      <c r="I2686" s="724"/>
      <c r="J2686" s="724"/>
    </row>
    <row r="2687" spans="9:10">
      <c r="I2687" s="724"/>
      <c r="J2687" s="724"/>
    </row>
    <row r="2688" spans="9:10">
      <c r="I2688" s="724"/>
      <c r="J2688" s="724"/>
    </row>
    <row r="2689" spans="9:10">
      <c r="I2689" s="724"/>
      <c r="J2689" s="724"/>
    </row>
    <row r="2690" spans="9:10">
      <c r="I2690" s="724"/>
      <c r="J2690" s="724"/>
    </row>
    <row r="2691" spans="9:10">
      <c r="I2691" s="724"/>
      <c r="J2691" s="724"/>
    </row>
    <row r="2692" spans="9:10">
      <c r="I2692" s="724"/>
      <c r="J2692" s="724"/>
    </row>
    <row r="2693" spans="9:10">
      <c r="I2693" s="724"/>
      <c r="J2693" s="724"/>
    </row>
    <row r="2694" spans="9:10">
      <c r="I2694" s="724"/>
      <c r="J2694" s="724"/>
    </row>
    <row r="2695" spans="9:10">
      <c r="I2695" s="724"/>
      <c r="J2695" s="724"/>
    </row>
    <row r="2696" spans="9:10">
      <c r="I2696" s="724"/>
      <c r="J2696" s="724"/>
    </row>
    <row r="2697" spans="9:10">
      <c r="I2697" s="724"/>
      <c r="J2697" s="724"/>
    </row>
    <row r="2698" spans="9:10">
      <c r="I2698" s="724"/>
      <c r="J2698" s="724"/>
    </row>
    <row r="2699" spans="9:10">
      <c r="I2699" s="724"/>
      <c r="J2699" s="724"/>
    </row>
    <row r="2700" spans="9:10">
      <c r="I2700" s="724"/>
      <c r="J2700" s="724"/>
    </row>
    <row r="2701" spans="9:10">
      <c r="I2701" s="724"/>
      <c r="J2701" s="724"/>
    </row>
    <row r="2702" spans="9:10">
      <c r="I2702" s="724"/>
      <c r="J2702" s="724"/>
    </row>
    <row r="2703" spans="9:10">
      <c r="I2703" s="724"/>
      <c r="J2703" s="724"/>
    </row>
    <row r="2704" spans="9:10">
      <c r="I2704" s="724"/>
      <c r="J2704" s="724"/>
    </row>
    <row r="2705" spans="9:10">
      <c r="I2705" s="724"/>
      <c r="J2705" s="724"/>
    </row>
    <row r="2706" spans="9:10">
      <c r="I2706" s="724"/>
      <c r="J2706" s="724"/>
    </row>
    <row r="2707" spans="9:10">
      <c r="I2707" s="724"/>
      <c r="J2707" s="724"/>
    </row>
    <row r="2708" spans="9:10">
      <c r="I2708" s="724"/>
      <c r="J2708" s="724"/>
    </row>
    <row r="2709" spans="9:10">
      <c r="I2709" s="724"/>
      <c r="J2709" s="724"/>
    </row>
    <row r="2710" spans="9:10">
      <c r="I2710" s="724"/>
      <c r="J2710" s="724"/>
    </row>
    <row r="2711" spans="9:10">
      <c r="I2711" s="724"/>
      <c r="J2711" s="724"/>
    </row>
    <row r="2712" spans="9:10">
      <c r="I2712" s="724"/>
      <c r="J2712" s="724"/>
    </row>
    <row r="2713" spans="9:10">
      <c r="I2713" s="724"/>
      <c r="J2713" s="724"/>
    </row>
    <row r="2714" spans="9:10">
      <c r="I2714" s="724"/>
      <c r="J2714" s="724"/>
    </row>
    <row r="2715" spans="9:10">
      <c r="I2715" s="724"/>
      <c r="J2715" s="724"/>
    </row>
    <row r="2716" spans="9:10">
      <c r="I2716" s="724"/>
      <c r="J2716" s="724"/>
    </row>
    <row r="2717" spans="9:10">
      <c r="I2717" s="724"/>
      <c r="J2717" s="724"/>
    </row>
    <row r="2718" spans="9:10">
      <c r="I2718" s="724"/>
      <c r="J2718" s="724"/>
    </row>
    <row r="2719" spans="9:10">
      <c r="I2719" s="724"/>
      <c r="J2719" s="724"/>
    </row>
    <row r="2720" spans="9:10">
      <c r="I2720" s="724"/>
      <c r="J2720" s="724"/>
    </row>
    <row r="2721" spans="9:10">
      <c r="I2721" s="724"/>
      <c r="J2721" s="724"/>
    </row>
    <row r="2722" spans="9:10">
      <c r="I2722" s="724"/>
      <c r="J2722" s="724"/>
    </row>
    <row r="2723" spans="9:10">
      <c r="I2723" s="724"/>
      <c r="J2723" s="724"/>
    </row>
    <row r="2724" spans="9:10">
      <c r="I2724" s="724"/>
      <c r="J2724" s="724"/>
    </row>
    <row r="2725" spans="9:10">
      <c r="I2725" s="724"/>
      <c r="J2725" s="724"/>
    </row>
    <row r="2726" spans="9:10">
      <c r="I2726" s="724"/>
      <c r="J2726" s="724"/>
    </row>
    <row r="2727" spans="9:10">
      <c r="I2727" s="724"/>
      <c r="J2727" s="724"/>
    </row>
    <row r="2728" spans="9:10">
      <c r="I2728" s="724"/>
      <c r="J2728" s="724"/>
    </row>
    <row r="2729" spans="9:10">
      <c r="I2729" s="724"/>
      <c r="J2729" s="724"/>
    </row>
    <row r="2730" spans="9:10">
      <c r="I2730" s="724"/>
      <c r="J2730" s="724"/>
    </row>
    <row r="2731" spans="9:10">
      <c r="I2731" s="724"/>
      <c r="J2731" s="724"/>
    </row>
    <row r="2732" spans="9:10">
      <c r="I2732" s="724"/>
      <c r="J2732" s="724"/>
    </row>
    <row r="2733" spans="9:10">
      <c r="I2733" s="724"/>
      <c r="J2733" s="724"/>
    </row>
    <row r="2734" spans="9:10">
      <c r="I2734" s="724"/>
      <c r="J2734" s="724"/>
    </row>
    <row r="2735" spans="9:10">
      <c r="I2735" s="724"/>
      <c r="J2735" s="724"/>
    </row>
    <row r="2736" spans="9:10">
      <c r="I2736" s="724"/>
      <c r="J2736" s="724"/>
    </row>
    <row r="2737" spans="9:10">
      <c r="I2737" s="724"/>
      <c r="J2737" s="724"/>
    </row>
    <row r="2738" spans="9:10">
      <c r="I2738" s="724"/>
      <c r="J2738" s="724"/>
    </row>
    <row r="2739" spans="9:10">
      <c r="I2739" s="724"/>
      <c r="J2739" s="724"/>
    </row>
    <row r="2740" spans="9:10">
      <c r="I2740" s="724"/>
      <c r="J2740" s="724"/>
    </row>
    <row r="2741" spans="9:10">
      <c r="I2741" s="724"/>
      <c r="J2741" s="724"/>
    </row>
    <row r="2742" spans="9:10">
      <c r="I2742" s="724"/>
      <c r="J2742" s="724"/>
    </row>
    <row r="2743" spans="9:10">
      <c r="I2743" s="724"/>
      <c r="J2743" s="724"/>
    </row>
    <row r="2744" spans="9:10">
      <c r="I2744" s="724"/>
      <c r="J2744" s="724"/>
    </row>
    <row r="2745" spans="9:10">
      <c r="I2745" s="724"/>
      <c r="J2745" s="724"/>
    </row>
    <row r="2746" spans="9:10">
      <c r="I2746" s="724"/>
      <c r="J2746" s="724"/>
    </row>
    <row r="2747" spans="9:10">
      <c r="I2747" s="724"/>
      <c r="J2747" s="724"/>
    </row>
    <row r="2748" spans="9:10">
      <c r="I2748" s="724"/>
      <c r="J2748" s="724"/>
    </row>
    <row r="2749" spans="9:10">
      <c r="I2749" s="724"/>
      <c r="J2749" s="724"/>
    </row>
    <row r="2750" spans="9:10">
      <c r="I2750" s="724"/>
      <c r="J2750" s="724"/>
    </row>
    <row r="2751" spans="9:10">
      <c r="I2751" s="724"/>
      <c r="J2751" s="724"/>
    </row>
    <row r="2752" spans="9:10">
      <c r="I2752" s="724"/>
      <c r="J2752" s="724"/>
    </row>
    <row r="2753" spans="9:10">
      <c r="I2753" s="724"/>
      <c r="J2753" s="724"/>
    </row>
    <row r="2754" spans="9:10">
      <c r="I2754" s="724"/>
      <c r="J2754" s="724"/>
    </row>
    <row r="2755" spans="9:10">
      <c r="I2755" s="724"/>
      <c r="J2755" s="724"/>
    </row>
    <row r="2756" spans="9:10">
      <c r="I2756" s="724"/>
      <c r="J2756" s="724"/>
    </row>
    <row r="2757" spans="9:10">
      <c r="I2757" s="724"/>
      <c r="J2757" s="724"/>
    </row>
    <row r="2758" spans="9:10">
      <c r="I2758" s="724"/>
      <c r="J2758" s="724"/>
    </row>
    <row r="2759" spans="9:10">
      <c r="I2759" s="724"/>
      <c r="J2759" s="724"/>
    </row>
    <row r="2760" spans="9:10">
      <c r="I2760" s="724"/>
      <c r="J2760" s="724"/>
    </row>
    <row r="2761" spans="9:10">
      <c r="I2761" s="724"/>
      <c r="J2761" s="724"/>
    </row>
    <row r="2762" spans="9:10">
      <c r="I2762" s="724"/>
      <c r="J2762" s="724"/>
    </row>
    <row r="2763" spans="9:10">
      <c r="I2763" s="724"/>
      <c r="J2763" s="724"/>
    </row>
    <row r="2764" spans="9:10">
      <c r="I2764" s="724"/>
      <c r="J2764" s="724"/>
    </row>
    <row r="2765" spans="9:10">
      <c r="I2765" s="724"/>
      <c r="J2765" s="724"/>
    </row>
    <row r="2766" spans="9:10">
      <c r="I2766" s="724"/>
      <c r="J2766" s="724"/>
    </row>
    <row r="2767" spans="9:10">
      <c r="I2767" s="724"/>
      <c r="J2767" s="724"/>
    </row>
    <row r="2768" spans="9:10">
      <c r="I2768" s="724"/>
      <c r="J2768" s="724"/>
    </row>
    <row r="2769" spans="9:10">
      <c r="I2769" s="724"/>
      <c r="J2769" s="724"/>
    </row>
    <row r="2770" spans="9:10">
      <c r="I2770" s="724"/>
      <c r="J2770" s="724"/>
    </row>
    <row r="2771" spans="9:10">
      <c r="I2771" s="724"/>
      <c r="J2771" s="724"/>
    </row>
    <row r="2772" spans="9:10">
      <c r="I2772" s="724"/>
      <c r="J2772" s="724"/>
    </row>
    <row r="2773" spans="9:10">
      <c r="I2773" s="724"/>
      <c r="J2773" s="724"/>
    </row>
    <row r="2774" spans="9:10">
      <c r="I2774" s="724"/>
      <c r="J2774" s="724"/>
    </row>
    <row r="2775" spans="9:10">
      <c r="I2775" s="724"/>
      <c r="J2775" s="724"/>
    </row>
    <row r="2776" spans="9:10">
      <c r="I2776" s="724"/>
      <c r="J2776" s="724"/>
    </row>
    <row r="2777" spans="9:10">
      <c r="I2777" s="724"/>
      <c r="J2777" s="724"/>
    </row>
    <row r="2778" spans="9:10">
      <c r="I2778" s="724"/>
      <c r="J2778" s="724"/>
    </row>
    <row r="2779" spans="9:10">
      <c r="I2779" s="724"/>
      <c r="J2779" s="724"/>
    </row>
    <row r="2780" spans="9:10">
      <c r="I2780" s="724"/>
      <c r="J2780" s="724"/>
    </row>
    <row r="2781" spans="9:10">
      <c r="I2781" s="724"/>
      <c r="J2781" s="724"/>
    </row>
    <row r="2782" spans="9:10">
      <c r="I2782" s="724"/>
      <c r="J2782" s="724"/>
    </row>
    <row r="2783" spans="9:10">
      <c r="I2783" s="724"/>
      <c r="J2783" s="724"/>
    </row>
    <row r="2784" spans="9:10">
      <c r="I2784" s="724"/>
      <c r="J2784" s="724"/>
    </row>
    <row r="2785" spans="9:10">
      <c r="I2785" s="724"/>
      <c r="J2785" s="724"/>
    </row>
    <row r="2786" spans="9:10">
      <c r="I2786" s="724"/>
      <c r="J2786" s="724"/>
    </row>
    <row r="2787" spans="9:10">
      <c r="I2787" s="724"/>
      <c r="J2787" s="724"/>
    </row>
    <row r="2788" spans="9:10">
      <c r="I2788" s="724"/>
      <c r="J2788" s="724"/>
    </row>
    <row r="2789" spans="9:10">
      <c r="I2789" s="724"/>
      <c r="J2789" s="724"/>
    </row>
    <row r="2790" spans="9:10">
      <c r="I2790" s="724"/>
      <c r="J2790" s="724"/>
    </row>
    <row r="2791" spans="9:10">
      <c r="I2791" s="724"/>
      <c r="J2791" s="724"/>
    </row>
    <row r="2792" spans="9:10">
      <c r="I2792" s="724"/>
      <c r="J2792" s="724"/>
    </row>
    <row r="2793" spans="9:10">
      <c r="I2793" s="724"/>
      <c r="J2793" s="724"/>
    </row>
    <row r="2794" spans="9:10">
      <c r="I2794" s="724"/>
      <c r="J2794" s="724"/>
    </row>
    <row r="2795" spans="9:10">
      <c r="I2795" s="724"/>
      <c r="J2795" s="724"/>
    </row>
    <row r="2796" spans="9:10">
      <c r="I2796" s="724"/>
      <c r="J2796" s="724"/>
    </row>
    <row r="2797" spans="9:10">
      <c r="I2797" s="724"/>
      <c r="J2797" s="724"/>
    </row>
    <row r="2798" spans="9:10">
      <c r="I2798" s="724"/>
      <c r="J2798" s="724"/>
    </row>
    <row r="2799" spans="9:10">
      <c r="I2799" s="724"/>
      <c r="J2799" s="724"/>
    </row>
    <row r="2800" spans="9:10">
      <c r="I2800" s="724"/>
      <c r="J2800" s="724"/>
    </row>
    <row r="2801" spans="9:10">
      <c r="I2801" s="724"/>
      <c r="J2801" s="724"/>
    </row>
    <row r="2802" spans="9:10">
      <c r="I2802" s="724"/>
      <c r="J2802" s="724"/>
    </row>
    <row r="2803" spans="9:10">
      <c r="I2803" s="724"/>
      <c r="J2803" s="724"/>
    </row>
    <row r="2804" spans="9:10">
      <c r="I2804" s="724"/>
      <c r="J2804" s="724"/>
    </row>
    <row r="2805" spans="9:10">
      <c r="I2805" s="724"/>
      <c r="J2805" s="724"/>
    </row>
    <row r="2806" spans="9:10">
      <c r="I2806" s="724"/>
      <c r="J2806" s="724"/>
    </row>
    <row r="2807" spans="9:10">
      <c r="I2807" s="724"/>
      <c r="J2807" s="724"/>
    </row>
    <row r="2808" spans="9:10">
      <c r="I2808" s="724"/>
      <c r="J2808" s="724"/>
    </row>
    <row r="2809" spans="9:10">
      <c r="I2809" s="724"/>
      <c r="J2809" s="724"/>
    </row>
    <row r="2810" spans="9:10">
      <c r="I2810" s="724"/>
      <c r="J2810" s="724"/>
    </row>
    <row r="2811" spans="9:10">
      <c r="I2811" s="724"/>
      <c r="J2811" s="724"/>
    </row>
    <row r="2812" spans="9:10">
      <c r="I2812" s="724"/>
      <c r="J2812" s="724"/>
    </row>
    <row r="2813" spans="9:10">
      <c r="I2813" s="724"/>
      <c r="J2813" s="724"/>
    </row>
    <row r="2814" spans="9:10">
      <c r="I2814" s="724"/>
      <c r="J2814" s="724"/>
    </row>
    <row r="2815" spans="9:10">
      <c r="I2815" s="724"/>
      <c r="J2815" s="724"/>
    </row>
    <row r="2816" spans="9:10">
      <c r="I2816" s="724"/>
      <c r="J2816" s="724"/>
    </row>
    <row r="2817" spans="9:10">
      <c r="I2817" s="724"/>
      <c r="J2817" s="724"/>
    </row>
    <row r="2818" spans="9:10">
      <c r="I2818" s="724"/>
      <c r="J2818" s="724"/>
    </row>
    <row r="2819" spans="9:10">
      <c r="I2819" s="724"/>
      <c r="J2819" s="724"/>
    </row>
    <row r="2820" spans="9:10">
      <c r="I2820" s="724"/>
      <c r="J2820" s="724"/>
    </row>
    <row r="2821" spans="9:10">
      <c r="I2821" s="724"/>
      <c r="J2821" s="724"/>
    </row>
    <row r="2822" spans="9:10">
      <c r="J2822" s="724"/>
    </row>
    <row r="2823" spans="9:10">
      <c r="J2823" s="724"/>
    </row>
    <row r="2824" spans="9:10">
      <c r="J2824" s="724"/>
    </row>
    <row r="2825" spans="9:10">
      <c r="J2825" s="724"/>
    </row>
    <row r="2826" spans="9:10">
      <c r="J2826" s="724"/>
    </row>
    <row r="2827" spans="9:10">
      <c r="J2827" s="724"/>
    </row>
    <row r="2828" spans="9:10">
      <c r="J2828" s="724"/>
    </row>
    <row r="2829" spans="9:10">
      <c r="J2829" s="724"/>
    </row>
    <row r="2830" spans="9:10">
      <c r="J2830" s="724"/>
    </row>
    <row r="2831" spans="9:10">
      <c r="J2831" s="724"/>
    </row>
    <row r="2832" spans="9:10">
      <c r="J2832" s="724"/>
    </row>
    <row r="2833" spans="10:10">
      <c r="J2833" s="724"/>
    </row>
    <row r="2834" spans="10:10">
      <c r="J2834" s="724"/>
    </row>
    <row r="2835" spans="10:10">
      <c r="J2835" s="724"/>
    </row>
    <row r="2836" spans="10:10">
      <c r="J2836" s="724"/>
    </row>
    <row r="2837" spans="10:10">
      <c r="J2837" s="724"/>
    </row>
    <row r="2838" spans="10:10">
      <c r="J2838" s="724"/>
    </row>
    <row r="2839" spans="10:10">
      <c r="J2839" s="724"/>
    </row>
    <row r="2840" spans="10:10">
      <c r="J2840" s="724"/>
    </row>
    <row r="2841" spans="10:10">
      <c r="J2841" s="724"/>
    </row>
    <row r="2842" spans="10:10">
      <c r="J2842" s="724"/>
    </row>
    <row r="2843" spans="10:10">
      <c r="J2843" s="724"/>
    </row>
    <row r="2844" spans="10:10">
      <c r="J2844" s="724"/>
    </row>
    <row r="2845" spans="10:10">
      <c r="J2845" s="724"/>
    </row>
    <row r="2846" spans="10:10">
      <c r="J2846" s="724"/>
    </row>
    <row r="2847" spans="10:10">
      <c r="J2847" s="724"/>
    </row>
    <row r="2848" spans="10:10">
      <c r="J2848" s="724"/>
    </row>
    <row r="2849" spans="10:10">
      <c r="J2849" s="724"/>
    </row>
    <row r="2850" spans="10:10">
      <c r="J2850" s="724"/>
    </row>
    <row r="2851" spans="10:10">
      <c r="J2851" s="724"/>
    </row>
    <row r="2852" spans="10:10">
      <c r="J2852" s="724"/>
    </row>
    <row r="2853" spans="10:10">
      <c r="J2853" s="724"/>
    </row>
    <row r="2854" spans="10:10">
      <c r="J2854" s="724"/>
    </row>
    <row r="2855" spans="10:10">
      <c r="J2855" s="724"/>
    </row>
    <row r="2856" spans="10:10">
      <c r="J2856" s="724"/>
    </row>
    <row r="2857" spans="10:10">
      <c r="J2857" s="724"/>
    </row>
    <row r="2858" spans="10:10">
      <c r="J2858" s="724"/>
    </row>
    <row r="2859" spans="10:10">
      <c r="J2859" s="724"/>
    </row>
    <row r="2860" spans="10:10">
      <c r="J2860" s="724"/>
    </row>
    <row r="2861" spans="10:10">
      <c r="J2861" s="724"/>
    </row>
    <row r="2862" spans="10:10">
      <c r="J2862" s="724"/>
    </row>
    <row r="2863" spans="10:10">
      <c r="J2863" s="724"/>
    </row>
    <row r="2864" spans="10:10">
      <c r="J2864" s="724"/>
    </row>
    <row r="2865" spans="10:10">
      <c r="J2865" s="724"/>
    </row>
    <row r="2866" spans="10:10">
      <c r="J2866" s="724"/>
    </row>
    <row r="2867" spans="10:10">
      <c r="J2867" s="724"/>
    </row>
    <row r="2868" spans="10:10">
      <c r="J2868" s="724"/>
    </row>
    <row r="2869" spans="10:10">
      <c r="J2869" s="724"/>
    </row>
    <row r="2870" spans="10:10">
      <c r="J2870" s="724"/>
    </row>
    <row r="2871" spans="10:10">
      <c r="J2871" s="724"/>
    </row>
    <row r="2872" spans="10:10">
      <c r="J2872" s="724"/>
    </row>
    <row r="2873" spans="10:10">
      <c r="J2873" s="724"/>
    </row>
    <row r="2874" spans="10:10">
      <c r="J2874" s="724"/>
    </row>
    <row r="2875" spans="10:10">
      <c r="J2875" s="724"/>
    </row>
    <row r="2876" spans="10:10">
      <c r="J2876" s="724"/>
    </row>
    <row r="2877" spans="10:10">
      <c r="J2877" s="724"/>
    </row>
    <row r="2878" spans="10:10">
      <c r="J2878" s="724"/>
    </row>
    <row r="2879" spans="10:10">
      <c r="J2879" s="724"/>
    </row>
    <row r="2880" spans="10:10">
      <c r="J2880" s="724"/>
    </row>
    <row r="2881" spans="10:10">
      <c r="J2881" s="724"/>
    </row>
    <row r="2882" spans="10:10">
      <c r="J2882" s="724"/>
    </row>
    <row r="2883" spans="10:10">
      <c r="J2883" s="724"/>
    </row>
    <row r="2884" spans="10:10">
      <c r="J2884" s="724"/>
    </row>
    <row r="2885" spans="10:10">
      <c r="J2885" s="724"/>
    </row>
    <row r="2886" spans="10:10">
      <c r="J2886" s="724"/>
    </row>
    <row r="2887" spans="10:10">
      <c r="J2887" s="724"/>
    </row>
    <row r="2888" spans="10:10">
      <c r="J2888" s="724"/>
    </row>
    <row r="2889" spans="10:10">
      <c r="J2889" s="724"/>
    </row>
    <row r="2890" spans="10:10">
      <c r="J2890" s="724"/>
    </row>
    <row r="2891" spans="10:10">
      <c r="J2891" s="724"/>
    </row>
    <row r="2892" spans="10:10">
      <c r="J2892" s="724"/>
    </row>
    <row r="2893" spans="10:10">
      <c r="J2893" s="724"/>
    </row>
    <row r="2894" spans="10:10">
      <c r="J2894" s="724"/>
    </row>
    <row r="2895" spans="10:10">
      <c r="J2895" s="724"/>
    </row>
    <row r="2896" spans="10:10">
      <c r="J2896" s="724"/>
    </row>
    <row r="2897" spans="10:10">
      <c r="J2897" s="724"/>
    </row>
    <row r="2898" spans="10:10">
      <c r="J2898" s="724"/>
    </row>
    <row r="2899" spans="10:10">
      <c r="J2899" s="724"/>
    </row>
    <row r="2900" spans="10:10">
      <c r="J2900" s="724"/>
    </row>
    <row r="2901" spans="10:10">
      <c r="J2901" s="724"/>
    </row>
    <row r="2902" spans="10:10">
      <c r="J2902" s="724"/>
    </row>
    <row r="2903" spans="10:10">
      <c r="J2903" s="724"/>
    </row>
    <row r="2904" spans="10:10">
      <c r="J2904" s="724"/>
    </row>
    <row r="2905" spans="10:10">
      <c r="J2905" s="724"/>
    </row>
    <row r="2906" spans="10:10">
      <c r="J2906" s="724"/>
    </row>
    <row r="2907" spans="10:10">
      <c r="J2907" s="724"/>
    </row>
    <row r="2908" spans="10:10">
      <c r="J2908" s="724"/>
    </row>
    <row r="2909" spans="10:10">
      <c r="J2909" s="724"/>
    </row>
    <row r="2910" spans="10:10">
      <c r="J2910" s="724"/>
    </row>
    <row r="2911" spans="10:10">
      <c r="J2911" s="724"/>
    </row>
    <row r="2912" spans="10:10">
      <c r="J2912" s="724"/>
    </row>
    <row r="2913" spans="10:10">
      <c r="J2913" s="724"/>
    </row>
    <row r="2914" spans="10:10">
      <c r="J2914" s="724"/>
    </row>
    <row r="2915" spans="10:10">
      <c r="J2915" s="724"/>
    </row>
    <row r="2916" spans="10:10">
      <c r="J2916" s="724"/>
    </row>
    <row r="2917" spans="10:10">
      <c r="J2917" s="724"/>
    </row>
    <row r="2918" spans="10:10">
      <c r="J2918" s="724"/>
    </row>
    <row r="2919" spans="10:10">
      <c r="J2919" s="724"/>
    </row>
    <row r="2920" spans="10:10">
      <c r="J2920" s="724"/>
    </row>
    <row r="2921" spans="10:10">
      <c r="J2921" s="724"/>
    </row>
    <row r="2922" spans="10:10">
      <c r="J2922" s="724"/>
    </row>
    <row r="2923" spans="10:10">
      <c r="J2923" s="724"/>
    </row>
    <row r="2924" spans="10:10">
      <c r="J2924" s="724"/>
    </row>
    <row r="2925" spans="10:10">
      <c r="J2925" s="724"/>
    </row>
    <row r="2926" spans="10:10">
      <c r="J2926" s="724"/>
    </row>
    <row r="2927" spans="10:10">
      <c r="J2927" s="724"/>
    </row>
    <row r="2928" spans="10:10">
      <c r="J2928" s="724"/>
    </row>
    <row r="2929" spans="10:10">
      <c r="J2929" s="724"/>
    </row>
    <row r="2930" spans="10:10">
      <c r="J2930" s="724"/>
    </row>
    <row r="2931" spans="10:10">
      <c r="J2931" s="724"/>
    </row>
    <row r="2932" spans="10:10">
      <c r="J2932" s="724"/>
    </row>
    <row r="2933" spans="10:10">
      <c r="J2933" s="724"/>
    </row>
    <row r="2934" spans="10:10">
      <c r="J2934" s="724"/>
    </row>
    <row r="2935" spans="10:10">
      <c r="J2935" s="724"/>
    </row>
    <row r="2936" spans="10:10">
      <c r="J2936" s="724"/>
    </row>
    <row r="2937" spans="10:10">
      <c r="J2937" s="724"/>
    </row>
    <row r="2938" spans="10:10">
      <c r="J2938" s="724"/>
    </row>
    <row r="2939" spans="10:10">
      <c r="J2939" s="724"/>
    </row>
    <row r="2940" spans="10:10">
      <c r="J2940" s="724"/>
    </row>
    <row r="2941" spans="10:10">
      <c r="J2941" s="724"/>
    </row>
    <row r="2942" spans="10:10">
      <c r="J2942" s="724"/>
    </row>
    <row r="2943" spans="10:10">
      <c r="J2943" s="724"/>
    </row>
    <row r="2944" spans="10:10">
      <c r="J2944" s="724"/>
    </row>
    <row r="2945" spans="10:10">
      <c r="J2945" s="724"/>
    </row>
    <row r="2946" spans="10:10">
      <c r="J2946" s="724"/>
    </row>
    <row r="2947" spans="10:10">
      <c r="J2947" s="724"/>
    </row>
    <row r="2948" spans="10:10">
      <c r="J2948" s="724"/>
    </row>
    <row r="2949" spans="10:10">
      <c r="J2949" s="724"/>
    </row>
    <row r="2950" spans="10:10">
      <c r="J2950" s="724"/>
    </row>
    <row r="2951" spans="10:10">
      <c r="J2951" s="724"/>
    </row>
    <row r="2952" spans="10:10">
      <c r="J2952" s="724"/>
    </row>
    <row r="2953" spans="10:10">
      <c r="J2953" s="724"/>
    </row>
    <row r="2954" spans="10:10">
      <c r="J2954" s="724"/>
    </row>
    <row r="2955" spans="10:10">
      <c r="J2955" s="724"/>
    </row>
    <row r="2956" spans="10:10">
      <c r="J2956" s="724"/>
    </row>
    <row r="2957" spans="10:10">
      <c r="J2957" s="724"/>
    </row>
    <row r="2958" spans="10:10">
      <c r="J2958" s="724"/>
    </row>
    <row r="2959" spans="10:10">
      <c r="J2959" s="724"/>
    </row>
    <row r="2960" spans="10:10">
      <c r="J2960" s="724"/>
    </row>
    <row r="2961" spans="10:10">
      <c r="J2961" s="724"/>
    </row>
    <row r="2962" spans="10:10">
      <c r="J2962" s="724"/>
    </row>
    <row r="2963" spans="10:10">
      <c r="J2963" s="724"/>
    </row>
    <row r="2964" spans="10:10">
      <c r="J2964" s="724"/>
    </row>
    <row r="2965" spans="10:10">
      <c r="J2965" s="724"/>
    </row>
    <row r="2966" spans="10:10">
      <c r="J2966" s="724"/>
    </row>
    <row r="2967" spans="10:10">
      <c r="J2967" s="724"/>
    </row>
    <row r="2968" spans="10:10">
      <c r="J2968" s="724"/>
    </row>
    <row r="2969" spans="10:10">
      <c r="J2969" s="724"/>
    </row>
    <row r="2970" spans="10:10">
      <c r="J2970" s="724"/>
    </row>
    <row r="2971" spans="10:10">
      <c r="J2971" s="724"/>
    </row>
    <row r="2972" spans="10:10">
      <c r="J2972" s="724"/>
    </row>
    <row r="2973" spans="10:10">
      <c r="J2973" s="724"/>
    </row>
    <row r="2974" spans="10:10">
      <c r="J2974" s="724"/>
    </row>
    <row r="2975" spans="10:10">
      <c r="J2975" s="724"/>
    </row>
    <row r="2976" spans="10:10">
      <c r="J2976" s="724"/>
    </row>
    <row r="2977" spans="10:10">
      <c r="J2977" s="724"/>
    </row>
    <row r="2978" spans="10:10">
      <c r="J2978" s="724"/>
    </row>
    <row r="2979" spans="10:10">
      <c r="J2979" s="724"/>
    </row>
    <row r="2980" spans="10:10">
      <c r="J2980" s="724"/>
    </row>
    <row r="2981" spans="10:10">
      <c r="J2981" s="724"/>
    </row>
    <row r="2982" spans="10:10">
      <c r="J2982" s="724"/>
    </row>
    <row r="2983" spans="10:10">
      <c r="J2983" s="724"/>
    </row>
    <row r="2984" spans="10:10">
      <c r="J2984" s="724"/>
    </row>
    <row r="2985" spans="10:10">
      <c r="J2985" s="724"/>
    </row>
    <row r="2986" spans="10:10">
      <c r="J2986" s="724"/>
    </row>
    <row r="2987" spans="10:10">
      <c r="J2987" s="724"/>
    </row>
    <row r="2988" spans="10:10">
      <c r="J2988" s="724"/>
    </row>
    <row r="2989" spans="10:10">
      <c r="J2989" s="724"/>
    </row>
    <row r="2990" spans="10:10">
      <c r="J2990" s="724"/>
    </row>
    <row r="2991" spans="10:10">
      <c r="J2991" s="724"/>
    </row>
    <row r="2992" spans="10:10">
      <c r="J2992" s="724"/>
    </row>
    <row r="2993" spans="10:10">
      <c r="J2993" s="724"/>
    </row>
    <row r="2994" spans="10:10">
      <c r="J2994" s="724"/>
    </row>
    <row r="2995" spans="10:10">
      <c r="J2995" s="724"/>
    </row>
    <row r="2996" spans="10:10">
      <c r="J2996" s="724"/>
    </row>
    <row r="2997" spans="10:10">
      <c r="J2997" s="724"/>
    </row>
    <row r="2998" spans="10:10">
      <c r="J2998" s="724"/>
    </row>
    <row r="2999" spans="10:10">
      <c r="J2999" s="724"/>
    </row>
    <row r="3000" spans="10:10">
      <c r="J3000" s="724"/>
    </row>
    <row r="3001" spans="10:10">
      <c r="J3001" s="724"/>
    </row>
    <row r="3002" spans="10:10">
      <c r="J3002" s="724"/>
    </row>
    <row r="3003" spans="10:10">
      <c r="J3003" s="724"/>
    </row>
    <row r="3004" spans="10:10">
      <c r="J3004" s="724"/>
    </row>
    <row r="3005" spans="10:10">
      <c r="J3005" s="724"/>
    </row>
    <row r="3006" spans="10:10">
      <c r="J3006" s="724"/>
    </row>
    <row r="3007" spans="10:10">
      <c r="J3007" s="724"/>
    </row>
    <row r="3008" spans="10:10">
      <c r="J3008" s="724"/>
    </row>
    <row r="3009" spans="10:10">
      <c r="J3009" s="724"/>
    </row>
    <row r="3010" spans="10:10">
      <c r="J3010" s="724"/>
    </row>
    <row r="3011" spans="10:10">
      <c r="J3011" s="724"/>
    </row>
    <row r="3012" spans="10:10">
      <c r="J3012" s="724"/>
    </row>
    <row r="3013" spans="10:10">
      <c r="J3013" s="724"/>
    </row>
    <row r="3014" spans="10:10">
      <c r="J3014" s="724"/>
    </row>
    <row r="3015" spans="10:10">
      <c r="J3015" s="724"/>
    </row>
    <row r="3016" spans="10:10">
      <c r="J3016" s="724"/>
    </row>
    <row r="3017" spans="10:10">
      <c r="J3017" s="724"/>
    </row>
    <row r="3018" spans="10:10">
      <c r="J3018" s="724"/>
    </row>
    <row r="3019" spans="10:10">
      <c r="J3019" s="724"/>
    </row>
    <row r="3020" spans="10:10">
      <c r="J3020" s="724"/>
    </row>
    <row r="3021" spans="10:10">
      <c r="J3021" s="724"/>
    </row>
    <row r="3022" spans="10:10">
      <c r="J3022" s="724"/>
    </row>
    <row r="3023" spans="10:10">
      <c r="J3023" s="724"/>
    </row>
    <row r="3024" spans="10:10">
      <c r="J3024" s="724"/>
    </row>
    <row r="3025" spans="10:10">
      <c r="J3025" s="724"/>
    </row>
    <row r="3026" spans="10:10">
      <c r="J3026" s="724"/>
    </row>
    <row r="3027" spans="10:10">
      <c r="J3027" s="724"/>
    </row>
    <row r="3028" spans="10:10">
      <c r="J3028" s="724"/>
    </row>
    <row r="3029" spans="10:10">
      <c r="J3029" s="724"/>
    </row>
    <row r="3030" spans="10:10">
      <c r="J3030" s="724"/>
    </row>
    <row r="3031" spans="10:10">
      <c r="J3031" s="724"/>
    </row>
    <row r="3032" spans="10:10">
      <c r="J3032" s="724"/>
    </row>
    <row r="3033" spans="10:10">
      <c r="J3033" s="724"/>
    </row>
    <row r="3034" spans="10:10">
      <c r="J3034" s="724"/>
    </row>
    <row r="3035" spans="10:10">
      <c r="J3035" s="724"/>
    </row>
    <row r="3036" spans="10:10">
      <c r="J3036" s="724"/>
    </row>
    <row r="3037" spans="10:10">
      <c r="J3037" s="724"/>
    </row>
    <row r="3038" spans="10:10">
      <c r="J3038" s="724"/>
    </row>
    <row r="3039" spans="10:10">
      <c r="J3039" s="724"/>
    </row>
    <row r="3040" spans="10:10">
      <c r="J3040" s="724"/>
    </row>
    <row r="3041" spans="10:10">
      <c r="J3041" s="724"/>
    </row>
    <row r="3042" spans="10:10">
      <c r="J3042" s="724"/>
    </row>
    <row r="3043" spans="10:10">
      <c r="J3043" s="724"/>
    </row>
    <row r="3044" spans="10:10">
      <c r="J3044" s="724"/>
    </row>
    <row r="3045" spans="10:10">
      <c r="J3045" s="724"/>
    </row>
    <row r="3046" spans="10:10">
      <c r="J3046" s="724"/>
    </row>
    <row r="3047" spans="10:10">
      <c r="J3047" s="724"/>
    </row>
    <row r="3048" spans="10:10">
      <c r="J3048" s="724"/>
    </row>
    <row r="3049" spans="10:10">
      <c r="J3049" s="724"/>
    </row>
    <row r="3050" spans="10:10">
      <c r="J3050" s="724"/>
    </row>
    <row r="3051" spans="10:10">
      <c r="J3051" s="724"/>
    </row>
    <row r="3052" spans="10:10">
      <c r="J3052" s="724"/>
    </row>
    <row r="3053" spans="10:10">
      <c r="J3053" s="724"/>
    </row>
    <row r="3054" spans="10:10">
      <c r="J3054" s="724"/>
    </row>
    <row r="3055" spans="10:10">
      <c r="J3055" s="724"/>
    </row>
    <row r="3056" spans="10:10">
      <c r="J3056" s="724"/>
    </row>
    <row r="3057" spans="10:10">
      <c r="J3057" s="724"/>
    </row>
    <row r="3058" spans="10:10">
      <c r="J3058" s="724"/>
    </row>
    <row r="3059" spans="10:10">
      <c r="J3059" s="724"/>
    </row>
    <row r="3060" spans="10:10">
      <c r="J3060" s="724"/>
    </row>
    <row r="3061" spans="10:10">
      <c r="J3061" s="724"/>
    </row>
    <row r="3062" spans="10:10">
      <c r="J3062" s="724"/>
    </row>
    <row r="3063" spans="10:10">
      <c r="J3063" s="724"/>
    </row>
    <row r="3064" spans="10:10">
      <c r="J3064" s="724"/>
    </row>
    <row r="3065" spans="10:10">
      <c r="J3065" s="724"/>
    </row>
    <row r="3066" spans="10:10">
      <c r="J3066" s="724"/>
    </row>
    <row r="3067" spans="10:10">
      <c r="J3067" s="724"/>
    </row>
    <row r="3068" spans="10:10">
      <c r="J3068" s="724"/>
    </row>
    <row r="3069" spans="10:10">
      <c r="J3069" s="724"/>
    </row>
    <row r="3070" spans="10:10">
      <c r="J3070" s="724"/>
    </row>
    <row r="3071" spans="10:10">
      <c r="J3071" s="724"/>
    </row>
    <row r="3072" spans="10:10">
      <c r="J3072" s="724"/>
    </row>
    <row r="3073" spans="10:10">
      <c r="J3073" s="724"/>
    </row>
    <row r="3074" spans="10:10">
      <c r="J3074" s="724"/>
    </row>
    <row r="3075" spans="10:10">
      <c r="J3075" s="724"/>
    </row>
    <row r="3076" spans="10:10">
      <c r="J3076" s="724"/>
    </row>
    <row r="3077" spans="10:10">
      <c r="J3077" s="724"/>
    </row>
    <row r="3078" spans="10:10">
      <c r="J3078" s="724"/>
    </row>
    <row r="3079" spans="10:10">
      <c r="J3079" s="724"/>
    </row>
    <row r="3080" spans="10:10">
      <c r="J3080" s="724"/>
    </row>
    <row r="3081" spans="10:10">
      <c r="J3081" s="724"/>
    </row>
    <row r="3082" spans="10:10">
      <c r="J3082" s="724"/>
    </row>
    <row r="3083" spans="10:10">
      <c r="J3083" s="724"/>
    </row>
    <row r="3084" spans="10:10">
      <c r="J3084" s="724"/>
    </row>
    <row r="3085" spans="10:10">
      <c r="J3085" s="724"/>
    </row>
    <row r="3086" spans="10:10">
      <c r="J3086" s="724"/>
    </row>
    <row r="3087" spans="10:10">
      <c r="J3087" s="724"/>
    </row>
    <row r="3088" spans="10:10">
      <c r="J3088" s="724"/>
    </row>
    <row r="3089" spans="10:10">
      <c r="J3089" s="724"/>
    </row>
    <row r="3090" spans="10:10">
      <c r="J3090" s="724"/>
    </row>
    <row r="3091" spans="10:10">
      <c r="J3091" s="724"/>
    </row>
    <row r="3092" spans="10:10">
      <c r="J3092" s="724"/>
    </row>
    <row r="3093" spans="10:10">
      <c r="J3093" s="724"/>
    </row>
    <row r="3094" spans="10:10">
      <c r="J3094" s="724"/>
    </row>
    <row r="3095" spans="10:10">
      <c r="J3095" s="724"/>
    </row>
    <row r="3096" spans="10:10">
      <c r="J3096" s="724"/>
    </row>
  </sheetData>
  <printOptions horizontalCentered="1" verticalCentered="1"/>
  <pageMargins left="0" right="0" top="0.43307086614173229" bottom="0" header="3.937007874015748E-2" footer="0"/>
  <pageSetup paperSize="9" scale="77"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3487"/>
  <sheetViews>
    <sheetView zoomScaleNormal="100" zoomScaleSheetLayoutView="90" workbookViewId="0">
      <selection activeCell="DU10" sqref="DU10"/>
    </sheetView>
  </sheetViews>
  <sheetFormatPr defaultRowHeight="15"/>
  <cols>
    <col min="1" max="1" width="54.5703125" style="541" customWidth="1"/>
    <col min="2" max="2" width="11.140625" style="541" hidden="1" customWidth="1"/>
    <col min="3" max="3" width="11.5703125" style="541" hidden="1" customWidth="1"/>
    <col min="4" max="4" width="12" style="541" hidden="1" customWidth="1"/>
    <col min="5" max="5" width="9.140625" style="541" hidden="1" customWidth="1"/>
    <col min="6" max="6" width="10.7109375" style="541" hidden="1" customWidth="1"/>
    <col min="7" max="7" width="9.140625" style="541" hidden="1" customWidth="1"/>
    <col min="8" max="8" width="10.42578125" style="541" hidden="1" customWidth="1"/>
    <col min="9" max="13" width="9.140625" style="541" hidden="1" customWidth="1"/>
    <col min="14" max="14" width="10.28515625" style="541" hidden="1" customWidth="1"/>
    <col min="15" max="15" width="10.42578125" style="541" hidden="1" customWidth="1"/>
    <col min="16" max="16" width="10.140625" style="541" hidden="1" customWidth="1"/>
    <col min="17" max="19" width="9.140625" style="541" hidden="1" customWidth="1"/>
    <col min="20" max="20" width="10.42578125" style="541" hidden="1" customWidth="1"/>
    <col min="21" max="25" width="9.140625" style="541" hidden="1" customWidth="1"/>
    <col min="26" max="26" width="10.28515625" style="541" hidden="1" customWidth="1"/>
    <col min="27" max="31" width="9.140625" style="541" hidden="1" customWidth="1"/>
    <col min="32" max="32" width="10.42578125" style="541" hidden="1" customWidth="1"/>
    <col min="33" max="34" width="9.140625" style="541" hidden="1" customWidth="1"/>
    <col min="35" max="37" width="8.85546875" style="541" hidden="1" customWidth="1"/>
    <col min="38" max="38" width="10" style="541" hidden="1" customWidth="1"/>
    <col min="39" max="39" width="9.140625" style="541" hidden="1" customWidth="1"/>
    <col min="40" max="41" width="9.7109375" style="541" hidden="1" customWidth="1"/>
    <col min="42" max="43" width="9.140625" style="541" hidden="1" customWidth="1"/>
    <col min="44" max="45" width="11.140625" style="541" hidden="1" customWidth="1"/>
    <col min="46" max="46" width="10" style="541" hidden="1" customWidth="1"/>
    <col min="47" max="47" width="10.5703125" style="541" hidden="1" customWidth="1"/>
    <col min="48" max="48" width="10.7109375" style="541" hidden="1" customWidth="1"/>
    <col min="49" max="49" width="9.7109375" style="541" hidden="1" customWidth="1"/>
    <col min="50" max="50" width="10.5703125" style="541" hidden="1" customWidth="1"/>
    <col min="51" max="51" width="10.42578125" style="541" hidden="1" customWidth="1"/>
    <col min="52" max="54" width="9.140625" style="541" hidden="1" customWidth="1"/>
    <col min="55" max="55" width="9.5703125" style="541" hidden="1" customWidth="1"/>
    <col min="56" max="56" width="9.140625" style="541" hidden="1" customWidth="1"/>
    <col min="57" max="57" width="15.7109375" style="541" hidden="1" customWidth="1"/>
    <col min="58" max="58" width="0.28515625" style="541" hidden="1" customWidth="1"/>
    <col min="59" max="69" width="15.7109375" style="541" hidden="1" customWidth="1"/>
    <col min="70" max="70" width="14.42578125" style="541" hidden="1" customWidth="1"/>
    <col min="71" max="75" width="13.5703125" style="541" hidden="1" customWidth="1"/>
    <col min="76" max="94" width="12.5703125" style="541" hidden="1" customWidth="1"/>
    <col min="95" max="95" width="11" style="541" hidden="1" customWidth="1"/>
    <col min="96" max="109" width="12.28515625" style="541" hidden="1" customWidth="1"/>
    <col min="110" max="118" width="12.28515625" style="541" customWidth="1"/>
    <col min="119" max="119" width="12.42578125" style="541" customWidth="1"/>
    <col min="120" max="122" width="11.140625" style="541" customWidth="1"/>
    <col min="123" max="16384" width="9.140625" style="541"/>
  </cols>
  <sheetData>
    <row r="1" spans="1:122" ht="18.75">
      <c r="A1" s="772" t="s">
        <v>2478</v>
      </c>
    </row>
    <row r="2" spans="1:122" ht="15.75" thickBot="1">
      <c r="A2" s="542"/>
      <c r="D2" s="773"/>
      <c r="F2" s="773"/>
      <c r="G2" s="773"/>
      <c r="I2" s="773"/>
      <c r="P2" s="773"/>
      <c r="AC2" s="773"/>
      <c r="AE2" s="773"/>
      <c r="AF2" s="773"/>
      <c r="AK2" s="773"/>
      <c r="AN2" s="773"/>
      <c r="AR2" s="629"/>
      <c r="AV2" s="629"/>
      <c r="AW2" s="774"/>
      <c r="AX2" s="774"/>
      <c r="AY2" s="774"/>
      <c r="AZ2" s="774"/>
      <c r="BA2" s="774"/>
      <c r="BB2" s="774"/>
      <c r="BC2" s="774"/>
      <c r="BD2" s="774"/>
      <c r="BE2" s="774"/>
      <c r="BF2" s="774"/>
      <c r="BH2" s="774"/>
      <c r="BJ2" s="774"/>
      <c r="BK2" s="774"/>
      <c r="BL2" s="774"/>
      <c r="BN2" s="774"/>
      <c r="BQ2" s="774"/>
      <c r="BR2" s="774"/>
      <c r="BS2" s="774"/>
      <c r="BT2" s="774"/>
      <c r="BU2" s="774"/>
      <c r="BV2" s="774"/>
      <c r="BW2" s="774"/>
      <c r="BX2" s="774"/>
      <c r="BY2" s="774"/>
      <c r="BZ2" s="774"/>
      <c r="CA2" s="774"/>
      <c r="CB2" s="774"/>
      <c r="CC2" s="775"/>
      <c r="CD2" s="776"/>
      <c r="CE2" s="776"/>
      <c r="CF2" s="776"/>
      <c r="CG2" s="776"/>
      <c r="CH2" s="776"/>
      <c r="CI2" s="775"/>
      <c r="CJ2" s="775"/>
      <c r="CK2" s="774"/>
      <c r="CL2" s="774"/>
      <c r="CM2" s="774"/>
      <c r="CN2" s="774"/>
      <c r="CO2" s="774"/>
      <c r="CP2" s="774"/>
      <c r="CQ2" s="774"/>
      <c r="DB2" s="629"/>
      <c r="DE2" s="629"/>
      <c r="DH2" s="629"/>
      <c r="DK2" s="629"/>
      <c r="DR2" s="629" t="s">
        <v>49</v>
      </c>
    </row>
    <row r="3" spans="1:122" ht="20.25" customHeight="1" thickTop="1" thickBot="1">
      <c r="A3" s="777" t="s">
        <v>2368</v>
      </c>
      <c r="B3" s="778">
        <v>38504</v>
      </c>
      <c r="C3" s="779">
        <v>38534</v>
      </c>
      <c r="D3" s="780">
        <v>38565</v>
      </c>
      <c r="E3" s="781">
        <v>38596</v>
      </c>
      <c r="F3" s="780">
        <v>38626</v>
      </c>
      <c r="G3" s="780">
        <v>38657</v>
      </c>
      <c r="H3" s="780">
        <v>38687</v>
      </c>
      <c r="I3" s="780">
        <v>38718</v>
      </c>
      <c r="J3" s="780">
        <v>38749</v>
      </c>
      <c r="K3" s="781">
        <v>38777</v>
      </c>
      <c r="L3" s="780">
        <v>38808</v>
      </c>
      <c r="M3" s="780">
        <v>38838</v>
      </c>
      <c r="N3" s="780">
        <v>38869</v>
      </c>
      <c r="O3" s="781">
        <v>38899</v>
      </c>
      <c r="P3" s="780">
        <v>38930</v>
      </c>
      <c r="Q3" s="780">
        <v>38961</v>
      </c>
      <c r="R3" s="781">
        <v>38991</v>
      </c>
      <c r="S3" s="780">
        <v>39022</v>
      </c>
      <c r="T3" s="780">
        <v>39052</v>
      </c>
      <c r="U3" s="782">
        <v>39083</v>
      </c>
      <c r="V3" s="782">
        <v>39114</v>
      </c>
      <c r="W3" s="782">
        <v>39142</v>
      </c>
      <c r="X3" s="782">
        <v>39173</v>
      </c>
      <c r="Y3" s="782">
        <v>39203</v>
      </c>
      <c r="Z3" s="782">
        <v>39234</v>
      </c>
      <c r="AA3" s="782">
        <v>39264</v>
      </c>
      <c r="AB3" s="782">
        <v>39295</v>
      </c>
      <c r="AC3" s="782">
        <v>39326</v>
      </c>
      <c r="AD3" s="782">
        <v>39356</v>
      </c>
      <c r="AE3" s="782">
        <v>39387</v>
      </c>
      <c r="AF3" s="782">
        <v>39417</v>
      </c>
      <c r="AG3" s="782">
        <v>39448</v>
      </c>
      <c r="AH3" s="782">
        <v>39479</v>
      </c>
      <c r="AI3" s="782">
        <v>39508</v>
      </c>
      <c r="AJ3" s="782">
        <v>39539</v>
      </c>
      <c r="AK3" s="782">
        <v>39569</v>
      </c>
      <c r="AL3" s="782">
        <v>39600</v>
      </c>
      <c r="AM3" s="782">
        <v>39630</v>
      </c>
      <c r="AN3" s="782">
        <v>39661</v>
      </c>
      <c r="AO3" s="782">
        <v>39692</v>
      </c>
      <c r="AP3" s="782">
        <v>39722</v>
      </c>
      <c r="AQ3" s="782">
        <v>39753</v>
      </c>
      <c r="AR3" s="778">
        <v>39783</v>
      </c>
      <c r="AS3" s="778">
        <v>39814</v>
      </c>
      <c r="AT3" s="778">
        <v>39853</v>
      </c>
      <c r="AU3" s="778">
        <v>39881</v>
      </c>
      <c r="AV3" s="778">
        <v>39912</v>
      </c>
      <c r="AW3" s="783">
        <v>39942</v>
      </c>
      <c r="AX3" s="783">
        <v>39973</v>
      </c>
      <c r="AY3" s="783">
        <v>40003</v>
      </c>
      <c r="AZ3" s="783">
        <v>40034</v>
      </c>
      <c r="BA3" s="783">
        <v>40065</v>
      </c>
      <c r="BB3" s="783">
        <v>40095</v>
      </c>
      <c r="BC3" s="783">
        <v>40126</v>
      </c>
      <c r="BD3" s="783">
        <v>40156</v>
      </c>
      <c r="BE3" s="783">
        <v>40187</v>
      </c>
      <c r="BF3" s="783">
        <v>40218</v>
      </c>
      <c r="BG3" s="783">
        <v>40246</v>
      </c>
      <c r="BH3" s="783">
        <v>40277</v>
      </c>
      <c r="BI3" s="783">
        <v>40307</v>
      </c>
      <c r="BJ3" s="783">
        <v>40338</v>
      </c>
      <c r="BK3" s="783">
        <v>40368</v>
      </c>
      <c r="BL3" s="783">
        <v>40399</v>
      </c>
      <c r="BM3" s="783">
        <v>40430</v>
      </c>
      <c r="BN3" s="784" t="s">
        <v>147</v>
      </c>
      <c r="BO3" s="784" t="s">
        <v>148</v>
      </c>
      <c r="BP3" s="784" t="s">
        <v>2479</v>
      </c>
      <c r="BQ3" s="784" t="s">
        <v>2122</v>
      </c>
      <c r="BR3" s="784">
        <v>40575</v>
      </c>
      <c r="BS3" s="784">
        <v>40603</v>
      </c>
      <c r="BT3" s="784">
        <v>40634</v>
      </c>
      <c r="BU3" s="784">
        <v>40664</v>
      </c>
      <c r="BV3" s="784">
        <v>40695</v>
      </c>
      <c r="BW3" s="784">
        <v>40725</v>
      </c>
      <c r="BX3" s="784">
        <v>40756</v>
      </c>
      <c r="BY3" s="784">
        <v>40787</v>
      </c>
      <c r="BZ3" s="784">
        <v>40817</v>
      </c>
      <c r="CA3" s="784">
        <v>40848</v>
      </c>
      <c r="CB3" s="784">
        <v>40878</v>
      </c>
      <c r="CC3" s="784">
        <v>40909</v>
      </c>
      <c r="CD3" s="784">
        <v>40940</v>
      </c>
      <c r="CE3" s="784">
        <v>40969</v>
      </c>
      <c r="CF3" s="784">
        <v>41000</v>
      </c>
      <c r="CG3" s="784">
        <v>41030</v>
      </c>
      <c r="CH3" s="784">
        <v>41061</v>
      </c>
      <c r="CI3" s="784">
        <v>41091</v>
      </c>
      <c r="CJ3" s="784">
        <v>41122</v>
      </c>
      <c r="CK3" s="784">
        <v>41153</v>
      </c>
      <c r="CL3" s="784">
        <v>41183</v>
      </c>
      <c r="CM3" s="784">
        <v>41214</v>
      </c>
      <c r="CN3" s="784">
        <v>41244</v>
      </c>
      <c r="CO3" s="784">
        <v>41275</v>
      </c>
      <c r="CP3" s="785">
        <v>41306</v>
      </c>
      <c r="CQ3" s="785" t="s">
        <v>173</v>
      </c>
      <c r="CR3" s="784" t="s">
        <v>174</v>
      </c>
      <c r="CS3" s="784" t="s">
        <v>175</v>
      </c>
      <c r="CT3" s="784" t="s">
        <v>176</v>
      </c>
      <c r="CU3" s="784" t="s">
        <v>177</v>
      </c>
      <c r="CV3" s="784" t="s">
        <v>178</v>
      </c>
      <c r="CW3" s="784" t="s">
        <v>179</v>
      </c>
      <c r="CX3" s="784" t="s">
        <v>180</v>
      </c>
      <c r="CY3" s="784">
        <v>41579</v>
      </c>
      <c r="CZ3" s="784">
        <v>41609</v>
      </c>
      <c r="DA3" s="784">
        <v>41640</v>
      </c>
      <c r="DB3" s="784" t="s">
        <v>184</v>
      </c>
      <c r="DC3" s="784" t="s">
        <v>185</v>
      </c>
      <c r="DD3" s="784" t="s">
        <v>186</v>
      </c>
      <c r="DE3" s="784" t="s">
        <v>187</v>
      </c>
      <c r="DF3" s="784" t="s">
        <v>188</v>
      </c>
      <c r="DG3" s="784" t="s">
        <v>189</v>
      </c>
      <c r="DH3" s="784">
        <v>41865</v>
      </c>
      <c r="DI3" s="784">
        <v>41896</v>
      </c>
      <c r="DJ3" s="784">
        <v>41926</v>
      </c>
      <c r="DK3" s="784">
        <v>41957</v>
      </c>
      <c r="DL3" s="784">
        <v>41987</v>
      </c>
      <c r="DM3" s="784">
        <v>42018</v>
      </c>
      <c r="DN3" s="784">
        <v>42049</v>
      </c>
      <c r="DO3" s="784">
        <v>42077</v>
      </c>
      <c r="DP3" s="784">
        <v>42108</v>
      </c>
      <c r="DQ3" s="784">
        <v>42138</v>
      </c>
      <c r="DR3" s="784">
        <v>42169</v>
      </c>
    </row>
    <row r="4" spans="1:122" ht="21" customHeight="1" thickTop="1">
      <c r="A4" s="786" t="s">
        <v>2379</v>
      </c>
      <c r="B4" s="787">
        <f>SUM(B6:B14)</f>
        <v>7345.4913986934589</v>
      </c>
      <c r="C4" s="788">
        <f>SUM(C6:C14)</f>
        <v>7531.8395667485602</v>
      </c>
      <c r="D4" s="584">
        <f>SUM(D6:D14)</f>
        <v>7335.7852072345695</v>
      </c>
      <c r="E4" s="596">
        <f>SUM(E6:E14)</f>
        <v>7904.6126914552005</v>
      </c>
      <c r="F4" s="584">
        <v>7848.7531799304998</v>
      </c>
      <c r="G4" s="584">
        <v>7623.2581692748108</v>
      </c>
      <c r="H4" s="788">
        <v>7989.5967294912807</v>
      </c>
      <c r="I4" s="788">
        <v>7999.8353108993188</v>
      </c>
      <c r="J4" s="584">
        <v>7598.7227322044992</v>
      </c>
      <c r="K4" s="596">
        <v>7574.7225746160748</v>
      </c>
      <c r="L4" s="584">
        <v>7452.7798256555943</v>
      </c>
      <c r="M4" s="584">
        <v>7438.3021187001723</v>
      </c>
      <c r="N4" s="584">
        <v>7844.4049486156382</v>
      </c>
      <c r="O4" s="596">
        <v>8514.6616202365913</v>
      </c>
      <c r="P4" s="584">
        <v>8540.3393322357224</v>
      </c>
      <c r="Q4" s="584">
        <v>7870.6834208845994</v>
      </c>
      <c r="R4" s="789">
        <v>7049.2249522224993</v>
      </c>
      <c r="S4" s="584">
        <v>7247.5642858422998</v>
      </c>
      <c r="T4" s="584">
        <v>7736.2856641049993</v>
      </c>
      <c r="U4" s="586">
        <v>7323.1811838683789</v>
      </c>
      <c r="V4" s="586">
        <v>7145.0940294786169</v>
      </c>
      <c r="W4" s="586">
        <v>6723.0958649366003</v>
      </c>
      <c r="X4" s="586">
        <v>6764.686924614879</v>
      </c>
      <c r="Y4" s="586">
        <v>6746.6737972092178</v>
      </c>
      <c r="Z4" s="586">
        <v>6851.7240930283997</v>
      </c>
      <c r="AA4" s="586">
        <v>7038.2681390582566</v>
      </c>
      <c r="AB4" s="586">
        <v>7209.1246228901327</v>
      </c>
      <c r="AC4" s="586">
        <v>6835.0073988716013</v>
      </c>
      <c r="AD4" s="586">
        <v>7347.0733112097014</v>
      </c>
      <c r="AE4" s="586">
        <v>7207.6971087416669</v>
      </c>
      <c r="AF4" s="586">
        <v>9504.8579286612512</v>
      </c>
      <c r="AG4" s="586">
        <v>9077.6021887352017</v>
      </c>
      <c r="AH4" s="586">
        <v>8367.9104018260005</v>
      </c>
      <c r="AI4" s="586">
        <v>8777.3273127571974</v>
      </c>
      <c r="AJ4" s="586">
        <v>9148.1078086604011</v>
      </c>
      <c r="AK4" s="586">
        <v>9141.4265807759984</v>
      </c>
      <c r="AL4" s="586">
        <v>9248.1128217293008</v>
      </c>
      <c r="AM4" s="665">
        <v>9826.1113371430019</v>
      </c>
      <c r="AN4" s="665">
        <v>9211.2912869184001</v>
      </c>
      <c r="AO4" s="665">
        <v>10040.610854071101</v>
      </c>
      <c r="AP4" s="665">
        <v>11042.825340053099</v>
      </c>
      <c r="AQ4" s="665">
        <v>11337.249227759512</v>
      </c>
      <c r="AR4" s="787">
        <v>12033.491818864621</v>
      </c>
      <c r="AS4" s="787">
        <v>11603.658607119998</v>
      </c>
      <c r="AT4" s="787">
        <v>10732.4054462524</v>
      </c>
      <c r="AU4" s="787">
        <v>11768.312493008001</v>
      </c>
      <c r="AV4" s="787">
        <v>11497.417782589002</v>
      </c>
      <c r="AW4" s="790">
        <v>11537.362559857598</v>
      </c>
      <c r="AX4" s="790">
        <v>12221.6180075764</v>
      </c>
      <c r="AY4" s="790">
        <v>12342.1656849789</v>
      </c>
      <c r="AZ4" s="790">
        <v>13258.842710158204</v>
      </c>
      <c r="BA4" s="790">
        <v>12299.813742014601</v>
      </c>
      <c r="BB4" s="790">
        <v>12388.7715043427</v>
      </c>
      <c r="BC4" s="790">
        <v>12433.54086759544</v>
      </c>
      <c r="BD4" s="790">
        <v>12678.566889178202</v>
      </c>
      <c r="BE4" s="790">
        <v>12967.775489326299</v>
      </c>
      <c r="BF4" s="790">
        <v>13131.523268157775</v>
      </c>
      <c r="BG4" s="790">
        <v>13182.25941531872</v>
      </c>
      <c r="BH4" s="790">
        <v>13063.836328450601</v>
      </c>
      <c r="BI4" s="790">
        <v>13386.798435317798</v>
      </c>
      <c r="BJ4" s="790">
        <v>14560.199880812777</v>
      </c>
      <c r="BK4" s="790">
        <v>12976.340279048389</v>
      </c>
      <c r="BL4" s="790">
        <v>14172.241080191134</v>
      </c>
      <c r="BM4" s="790">
        <v>14685.688135307433</v>
      </c>
      <c r="BN4" s="790">
        <v>15005.716175792335</v>
      </c>
      <c r="BO4" s="790">
        <v>15003.464583781033</v>
      </c>
      <c r="BP4" s="790">
        <v>14468.138209593166</v>
      </c>
      <c r="BQ4" s="790">
        <v>13689.370093494466</v>
      </c>
      <c r="BR4" s="790">
        <v>13876.200949639491</v>
      </c>
      <c r="BS4" s="790">
        <v>13919.254869353617</v>
      </c>
      <c r="BT4" s="790">
        <v>14594.908170461689</v>
      </c>
      <c r="BU4" s="790">
        <v>14388.642019590179</v>
      </c>
      <c r="BV4" s="790">
        <v>13726.883930169755</v>
      </c>
      <c r="BW4" s="790">
        <v>15353.413558884475</v>
      </c>
      <c r="BX4" s="790">
        <v>15699.156513783499</v>
      </c>
      <c r="BY4" s="790">
        <v>15795.0750797745</v>
      </c>
      <c r="BZ4" s="790">
        <v>15878.9</v>
      </c>
      <c r="CA4" s="790">
        <v>15789.186492460702</v>
      </c>
      <c r="CB4" s="790">
        <v>16126.0886783144</v>
      </c>
      <c r="CC4" s="790">
        <v>16599.675062896946</v>
      </c>
      <c r="CD4" s="790">
        <v>16340.584549594476</v>
      </c>
      <c r="CE4" s="790">
        <v>15017.889985251633</v>
      </c>
      <c r="CF4" s="790">
        <v>15029.613866499927</v>
      </c>
      <c r="CG4" s="790">
        <v>15369.276232010279</v>
      </c>
      <c r="CH4" s="790">
        <v>15681.410294747</v>
      </c>
      <c r="CI4" s="790">
        <v>16320.642602344422</v>
      </c>
      <c r="CJ4" s="790">
        <v>16412.937692386644</v>
      </c>
      <c r="CK4" s="790">
        <v>16795.060683477899</v>
      </c>
      <c r="CL4" s="790">
        <v>16473.038777185153</v>
      </c>
      <c r="CM4" s="790">
        <v>17314.672810717457</v>
      </c>
      <c r="CN4" s="790">
        <v>18064.141561415308</v>
      </c>
      <c r="CO4" s="790">
        <v>17507.095010699031</v>
      </c>
      <c r="CP4" s="791">
        <v>17151.629329744275</v>
      </c>
      <c r="CQ4" s="791">
        <v>17569.393295721475</v>
      </c>
      <c r="CR4" s="791">
        <v>17702.011842234984</v>
      </c>
      <c r="CS4" s="791">
        <v>16881.620324176922</v>
      </c>
      <c r="CT4" s="791">
        <v>17135.534504086343</v>
      </c>
      <c r="CU4" s="791">
        <v>17192.939233003413</v>
      </c>
      <c r="CV4" s="791">
        <v>17767.299772989772</v>
      </c>
      <c r="CW4" s="791">
        <v>18196.518901591691</v>
      </c>
      <c r="CX4" s="791">
        <v>18130.254285864259</v>
      </c>
      <c r="CY4" s="791">
        <v>18560.12981877823</v>
      </c>
      <c r="CZ4" s="791">
        <v>18963.31411910502</v>
      </c>
      <c r="DA4" s="791">
        <v>18910.28315050896</v>
      </c>
      <c r="DB4" s="792">
        <v>19375.502609499152</v>
      </c>
      <c r="DC4" s="792">
        <v>19662.870553718116</v>
      </c>
      <c r="DD4" s="792">
        <v>18743.12457340831</v>
      </c>
      <c r="DE4" s="792">
        <v>18487.378129915021</v>
      </c>
      <c r="DF4" s="792">
        <v>18347.194333163425</v>
      </c>
      <c r="DG4" s="792">
        <v>18503.111565147261</v>
      </c>
      <c r="DH4" s="792">
        <v>18105.364593600923</v>
      </c>
      <c r="DI4" s="792">
        <v>17563.206395161589</v>
      </c>
      <c r="DJ4" s="792">
        <v>18087.177848366733</v>
      </c>
      <c r="DK4" s="792">
        <v>18967.010917435819</v>
      </c>
      <c r="DL4" s="792">
        <v>19087.746335728185</v>
      </c>
      <c r="DM4" s="792">
        <v>18868.086467469853</v>
      </c>
      <c r="DN4" s="792">
        <v>18664.558790564934</v>
      </c>
      <c r="DO4" s="792">
        <v>17955.571531790854</v>
      </c>
      <c r="DP4" s="792">
        <v>17635.612176366871</v>
      </c>
      <c r="DQ4" s="792">
        <v>18380.623903723743</v>
      </c>
      <c r="DR4" s="792">
        <v>17667.383780248281</v>
      </c>
    </row>
    <row r="5" spans="1:122" ht="15.95" customHeight="1">
      <c r="A5" s="793" t="s">
        <v>2380</v>
      </c>
      <c r="B5" s="794"/>
      <c r="C5" s="664"/>
      <c r="D5" s="664"/>
      <c r="E5" s="593"/>
      <c r="F5" s="664"/>
      <c r="G5" s="664"/>
      <c r="H5" s="664"/>
      <c r="I5" s="664"/>
      <c r="J5" s="664"/>
      <c r="K5" s="593"/>
      <c r="L5" s="664"/>
      <c r="M5" s="664"/>
      <c r="N5" s="664"/>
      <c r="O5" s="593"/>
      <c r="P5" s="664"/>
      <c r="Q5" s="664"/>
      <c r="R5" s="593"/>
      <c r="S5" s="664"/>
      <c r="T5" s="664"/>
      <c r="U5" s="795"/>
      <c r="V5" s="795"/>
      <c r="W5" s="795"/>
      <c r="X5" s="795"/>
      <c r="Y5" s="795"/>
      <c r="Z5" s="795"/>
      <c r="AA5" s="795"/>
      <c r="AB5" s="795"/>
      <c r="AC5" s="795"/>
      <c r="AD5" s="795"/>
      <c r="AE5" s="795"/>
      <c r="AF5" s="795"/>
      <c r="AG5" s="795"/>
      <c r="AH5" s="795"/>
      <c r="AI5" s="795"/>
      <c r="AJ5" s="795"/>
      <c r="AK5" s="795"/>
      <c r="AL5" s="795"/>
      <c r="AM5" s="665"/>
      <c r="AN5" s="665"/>
      <c r="AO5" s="665"/>
      <c r="AP5" s="665"/>
      <c r="AQ5" s="665"/>
      <c r="AR5" s="794"/>
      <c r="AS5" s="794"/>
      <c r="AT5" s="794"/>
      <c r="AU5" s="794"/>
      <c r="AV5" s="794"/>
      <c r="AW5" s="587"/>
      <c r="AX5" s="587"/>
      <c r="AY5" s="587"/>
      <c r="AZ5" s="587"/>
      <c r="BA5" s="587"/>
      <c r="BB5" s="587"/>
      <c r="BC5" s="587"/>
      <c r="BD5" s="587"/>
      <c r="BE5" s="587"/>
      <c r="BF5" s="587"/>
      <c r="BG5" s="587"/>
      <c r="BH5" s="587"/>
      <c r="BI5" s="587"/>
      <c r="BJ5" s="587"/>
      <c r="BK5" s="587"/>
      <c r="BL5" s="790"/>
      <c r="BM5" s="790"/>
      <c r="BN5" s="790"/>
      <c r="BO5" s="790"/>
      <c r="BP5" s="790"/>
      <c r="BQ5" s="790"/>
      <c r="BR5" s="790"/>
      <c r="BS5" s="790"/>
      <c r="BT5" s="790"/>
      <c r="BU5" s="790"/>
      <c r="BV5" s="790"/>
      <c r="BW5" s="790"/>
      <c r="BX5" s="790"/>
      <c r="BY5" s="790"/>
      <c r="BZ5" s="790"/>
      <c r="CA5" s="790"/>
      <c r="CB5" s="790"/>
      <c r="CC5" s="790"/>
      <c r="CD5" s="790"/>
      <c r="CE5" s="790"/>
      <c r="CF5" s="790"/>
      <c r="CG5" s="790"/>
      <c r="CH5" s="790"/>
      <c r="CI5" s="790"/>
      <c r="CJ5" s="790"/>
      <c r="CK5" s="790"/>
      <c r="CL5" s="790"/>
      <c r="CM5" s="790"/>
      <c r="CN5" s="790"/>
      <c r="CO5" s="790"/>
      <c r="CP5" s="790"/>
      <c r="CQ5" s="790"/>
      <c r="CR5" s="790"/>
      <c r="CS5" s="790"/>
      <c r="CT5" s="790"/>
      <c r="CU5" s="790"/>
      <c r="CV5" s="790"/>
      <c r="CW5" s="790"/>
      <c r="CX5" s="790"/>
      <c r="CY5" s="790"/>
      <c r="CZ5" s="790"/>
      <c r="DA5" s="790"/>
      <c r="DB5" s="796"/>
      <c r="DC5" s="796"/>
      <c r="DD5" s="796"/>
      <c r="DE5" s="796"/>
      <c r="DF5" s="796"/>
      <c r="DG5" s="796"/>
      <c r="DH5" s="796"/>
      <c r="DI5" s="796"/>
      <c r="DJ5" s="796"/>
      <c r="DK5" s="796"/>
      <c r="DL5" s="796"/>
      <c r="DM5" s="796"/>
      <c r="DN5" s="796"/>
      <c r="DO5" s="796"/>
      <c r="DP5" s="796"/>
      <c r="DQ5" s="796"/>
      <c r="DR5" s="796"/>
    </row>
    <row r="6" spans="1:122" ht="15.95" customHeight="1">
      <c r="A6" s="793" t="s">
        <v>2381</v>
      </c>
      <c r="B6" s="794">
        <v>4370.7299203099992</v>
      </c>
      <c r="C6" s="664">
        <v>4323.8554170199995</v>
      </c>
      <c r="D6" s="664">
        <v>4292.1159254200002</v>
      </c>
      <c r="E6" s="593">
        <v>4689.9094079102006</v>
      </c>
      <c r="F6" s="664">
        <v>4495.6720426616002</v>
      </c>
      <c r="G6" s="664">
        <v>4366.3040840202875</v>
      </c>
      <c r="H6" s="664">
        <v>4786.4868422316003</v>
      </c>
      <c r="I6" s="664">
        <v>4993.8081464247598</v>
      </c>
      <c r="J6" s="664">
        <v>4790.7005062644994</v>
      </c>
      <c r="K6" s="593">
        <v>4914.2536862087991</v>
      </c>
      <c r="L6" s="664">
        <v>4881.4822933305941</v>
      </c>
      <c r="M6" s="664">
        <v>4854.6419675026727</v>
      </c>
      <c r="N6" s="664">
        <v>5105.3808355556384</v>
      </c>
      <c r="O6" s="593">
        <v>5474.2172920265921</v>
      </c>
      <c r="P6" s="664">
        <v>5536.0967956957229</v>
      </c>
      <c r="Q6" s="664">
        <v>4862.4684583595999</v>
      </c>
      <c r="R6" s="593">
        <v>4465.7456297024992</v>
      </c>
      <c r="S6" s="664">
        <v>4312.9186979797996</v>
      </c>
      <c r="T6" s="664">
        <v>4556.131249905</v>
      </c>
      <c r="U6" s="795">
        <v>4720.5797024283802</v>
      </c>
      <c r="V6" s="795">
        <v>4707.1345624486175</v>
      </c>
      <c r="W6" s="795">
        <v>4215.6078598466001</v>
      </c>
      <c r="X6" s="795">
        <v>4272.5918114948781</v>
      </c>
      <c r="Y6" s="795">
        <v>4035.038303729219</v>
      </c>
      <c r="Z6" s="795">
        <v>4128.9577768183999</v>
      </c>
      <c r="AA6" s="795">
        <v>4103.7642567882549</v>
      </c>
      <c r="AB6" s="795">
        <v>4025.1771553201324</v>
      </c>
      <c r="AC6" s="795">
        <v>3780.3828302116003</v>
      </c>
      <c r="AD6" s="795">
        <v>3899.8604576597004</v>
      </c>
      <c r="AE6" s="795">
        <v>3872.8509141516665</v>
      </c>
      <c r="AF6" s="795">
        <v>5375.2728675512508</v>
      </c>
      <c r="AG6" s="795">
        <v>5636.7090192952001</v>
      </c>
      <c r="AH6" s="795">
        <v>5201.4440444659995</v>
      </c>
      <c r="AI6" s="795">
        <v>4996.4140955471994</v>
      </c>
      <c r="AJ6" s="795">
        <v>5390.5534820503999</v>
      </c>
      <c r="AK6" s="795">
        <v>5377.043477706</v>
      </c>
      <c r="AL6" s="795">
        <v>5487.7118382393001</v>
      </c>
      <c r="AM6" s="666">
        <v>5552.1091964430007</v>
      </c>
      <c r="AN6" s="666">
        <v>5216.9822497083996</v>
      </c>
      <c r="AO6" s="666">
        <v>5447.3569319177004</v>
      </c>
      <c r="AP6" s="666">
        <v>5668.3898299978</v>
      </c>
      <c r="AQ6" s="666">
        <v>5930.9691786439998</v>
      </c>
      <c r="AR6" s="794">
        <v>6551.8138669764003</v>
      </c>
      <c r="AS6" s="794">
        <v>6479.8904258999992</v>
      </c>
      <c r="AT6" s="794">
        <v>6403.119384983599</v>
      </c>
      <c r="AU6" s="794">
        <v>7157.0655215983998</v>
      </c>
      <c r="AV6" s="794">
        <v>6882.3367099530014</v>
      </c>
      <c r="AW6" s="587">
        <v>6613.5759396931999</v>
      </c>
      <c r="AX6" s="587">
        <v>7036.3608777972004</v>
      </c>
      <c r="AY6" s="587">
        <v>7009.8077130161009</v>
      </c>
      <c r="AZ6" s="587">
        <v>7132.8145208325004</v>
      </c>
      <c r="BA6" s="587">
        <v>6251.2562820278008</v>
      </c>
      <c r="BB6" s="587">
        <v>6093.6134419927994</v>
      </c>
      <c r="BC6" s="587">
        <v>6100.6264666391999</v>
      </c>
      <c r="BD6" s="587">
        <v>6654.8429190156012</v>
      </c>
      <c r="BE6" s="587">
        <v>6943.3987936104013</v>
      </c>
      <c r="BF6" s="587">
        <v>6782.731771522499</v>
      </c>
      <c r="BG6" s="587">
        <v>6807.7454515099998</v>
      </c>
      <c r="BH6" s="587">
        <v>6475.6326600967004</v>
      </c>
      <c r="BI6" s="587">
        <v>6500.6610102193008</v>
      </c>
      <c r="BJ6" s="587">
        <v>6584.1377497066005</v>
      </c>
      <c r="BK6" s="587">
        <v>6329.3304995195995</v>
      </c>
      <c r="BL6" s="587">
        <v>6576.4615278647007</v>
      </c>
      <c r="BM6" s="587">
        <v>6479.6058624232001</v>
      </c>
      <c r="BN6" s="587">
        <v>6561.3156319817999</v>
      </c>
      <c r="BO6" s="587">
        <v>6477.0626906327998</v>
      </c>
      <c r="BP6" s="587">
        <v>6528.7985947214001</v>
      </c>
      <c r="BQ6" s="587">
        <v>6589.5129304363991</v>
      </c>
      <c r="BR6" s="587">
        <v>6559.5246140866993</v>
      </c>
      <c r="BS6" s="587">
        <v>6658.1929827439999</v>
      </c>
      <c r="BT6" s="587">
        <v>6662.0088622149497</v>
      </c>
      <c r="BU6" s="587">
        <v>6066.9568600943994</v>
      </c>
      <c r="BV6" s="587">
        <v>6124.3831808054001</v>
      </c>
      <c r="BW6" s="587">
        <v>6529.1913200449999</v>
      </c>
      <c r="BX6" s="587">
        <v>6600.9464487944997</v>
      </c>
      <c r="BY6" s="587">
        <v>6364.4998691746996</v>
      </c>
      <c r="BZ6" s="587">
        <v>6349.7</v>
      </c>
      <c r="CA6" s="587">
        <v>6308.0139900163995</v>
      </c>
      <c r="CB6" s="587">
        <v>6044.1974124824001</v>
      </c>
      <c r="CC6" s="587">
        <v>6341.9923835599993</v>
      </c>
      <c r="CD6" s="587">
        <v>6285.2277418739404</v>
      </c>
      <c r="CE6" s="587">
        <v>6082.926019859975</v>
      </c>
      <c r="CF6" s="587">
        <v>6335.7700357709609</v>
      </c>
      <c r="CG6" s="587">
        <v>6716.4708608245674</v>
      </c>
      <c r="CH6" s="587">
        <v>7097.3893903238404</v>
      </c>
      <c r="CI6" s="587">
        <v>7571.9813189940069</v>
      </c>
      <c r="CJ6" s="587">
        <v>7442.0839899803805</v>
      </c>
      <c r="CK6" s="587">
        <v>7142.8922370595901</v>
      </c>
      <c r="CL6" s="587">
        <v>6869.9380813100006</v>
      </c>
      <c r="CM6" s="587">
        <v>7192.52901587</v>
      </c>
      <c r="CN6" s="587">
        <v>7114.0137198900002</v>
      </c>
      <c r="CO6" s="587">
        <v>6883.8815633599988</v>
      </c>
      <c r="CP6" s="587">
        <v>6810.6534626441999</v>
      </c>
      <c r="CQ6" s="587">
        <v>7024.7370861399995</v>
      </c>
      <c r="CR6" s="587">
        <v>7264.7614756800003</v>
      </c>
      <c r="CS6" s="587">
        <v>7087.1171652499997</v>
      </c>
      <c r="CT6" s="587">
        <v>7247.2063637399997</v>
      </c>
      <c r="CU6" s="587">
        <v>6919.0764716300009</v>
      </c>
      <c r="CV6" s="587">
        <v>6676.0607484399998</v>
      </c>
      <c r="CW6" s="587">
        <v>6814.6567555399988</v>
      </c>
      <c r="CX6" s="587">
        <v>6825.7617843899989</v>
      </c>
      <c r="CY6" s="587">
        <v>6843.997188790001</v>
      </c>
      <c r="CZ6" s="587">
        <v>7002.1169684299994</v>
      </c>
      <c r="DA6" s="587">
        <v>7446.1643054899996</v>
      </c>
      <c r="DB6" s="797">
        <v>7529.3587611499997</v>
      </c>
      <c r="DC6" s="797">
        <v>7602.34439845</v>
      </c>
      <c r="DD6" s="797">
        <v>7694.6431382999999</v>
      </c>
      <c r="DE6" s="797">
        <v>7698.5189493499993</v>
      </c>
      <c r="DF6" s="797">
        <v>8000.7818561299991</v>
      </c>
      <c r="DG6" s="797">
        <v>8202.1251248400004</v>
      </c>
      <c r="DH6" s="797">
        <v>8255.4369417300004</v>
      </c>
      <c r="DI6" s="797">
        <v>7946.9189571400002</v>
      </c>
      <c r="DJ6" s="797">
        <v>7872.9595007500002</v>
      </c>
      <c r="DK6" s="797">
        <v>6973.5069436499998</v>
      </c>
      <c r="DL6" s="797">
        <v>7360.8988018499995</v>
      </c>
      <c r="DM6" s="797">
        <v>7234.9400248500006</v>
      </c>
      <c r="DN6" s="797">
        <v>7117.6037073500011</v>
      </c>
      <c r="DO6" s="797">
        <v>6951.6137688599993</v>
      </c>
      <c r="DP6" s="797">
        <v>6759.6659475600009</v>
      </c>
      <c r="DQ6" s="797">
        <v>6782.1101982500004</v>
      </c>
      <c r="DR6" s="797">
        <v>7112.6793703900003</v>
      </c>
    </row>
    <row r="7" spans="1:122" ht="15.95" customHeight="1">
      <c r="A7" s="793" t="s">
        <v>2382</v>
      </c>
      <c r="B7" s="794">
        <v>947.71407808999993</v>
      </c>
      <c r="C7" s="664">
        <v>888.25672714999996</v>
      </c>
      <c r="D7" s="664">
        <v>894.59133156999997</v>
      </c>
      <c r="E7" s="593">
        <v>808.46376236000015</v>
      </c>
      <c r="F7" s="664">
        <v>760.30456875999994</v>
      </c>
      <c r="G7" s="664">
        <v>691.09963296000001</v>
      </c>
      <c r="H7" s="664">
        <v>703.49796226000001</v>
      </c>
      <c r="I7" s="664">
        <v>1100.5213783199999</v>
      </c>
      <c r="J7" s="664">
        <v>846.72288403999994</v>
      </c>
      <c r="K7" s="593">
        <v>880.52077351000003</v>
      </c>
      <c r="L7" s="664">
        <v>935.92604272000005</v>
      </c>
      <c r="M7" s="664">
        <v>722.06079064999994</v>
      </c>
      <c r="N7" s="664">
        <v>706.18664161000004</v>
      </c>
      <c r="O7" s="593">
        <v>813.69968423</v>
      </c>
      <c r="P7" s="664">
        <v>731.17343831999995</v>
      </c>
      <c r="Q7" s="664">
        <v>743.58479609000005</v>
      </c>
      <c r="R7" s="593">
        <v>670.50531777999993</v>
      </c>
      <c r="S7" s="664">
        <v>647.10581165999997</v>
      </c>
      <c r="T7" s="664">
        <v>899.91180695000003</v>
      </c>
      <c r="U7" s="795">
        <v>660.67174766999995</v>
      </c>
      <c r="V7" s="795">
        <v>595.99635827999998</v>
      </c>
      <c r="W7" s="795">
        <v>790.72846633999995</v>
      </c>
      <c r="X7" s="795">
        <v>768.83103670000003</v>
      </c>
      <c r="Y7" s="795">
        <v>760.86141576</v>
      </c>
      <c r="Z7" s="795">
        <v>608.70071227999995</v>
      </c>
      <c r="AA7" s="795">
        <v>686.03519133000009</v>
      </c>
      <c r="AB7" s="795">
        <v>638.57694258000004</v>
      </c>
      <c r="AC7" s="795">
        <v>625.02238913999997</v>
      </c>
      <c r="AD7" s="795">
        <v>572.14731293</v>
      </c>
      <c r="AE7" s="795">
        <v>588.39648282000019</v>
      </c>
      <c r="AF7" s="795">
        <v>561.94402072000003</v>
      </c>
      <c r="AG7" s="795">
        <v>491.69037447000005</v>
      </c>
      <c r="AH7" s="795">
        <v>404.17246085000005</v>
      </c>
      <c r="AI7" s="795">
        <v>1052.8532324</v>
      </c>
      <c r="AJ7" s="795">
        <v>1079.00945247</v>
      </c>
      <c r="AK7" s="795">
        <v>1028.23917175</v>
      </c>
      <c r="AL7" s="795">
        <v>992.26630272</v>
      </c>
      <c r="AM7" s="666">
        <v>1010.10531451</v>
      </c>
      <c r="AN7" s="666">
        <v>1056.9215584400001</v>
      </c>
      <c r="AO7" s="666">
        <v>1026.3791025200001</v>
      </c>
      <c r="AP7" s="666">
        <v>1210.84515521</v>
      </c>
      <c r="AQ7" s="666">
        <v>1417.8552750300003</v>
      </c>
      <c r="AR7" s="794">
        <v>666.98173649519993</v>
      </c>
      <c r="AS7" s="794">
        <v>762.87199767999994</v>
      </c>
      <c r="AT7" s="794">
        <v>736.79466325999999</v>
      </c>
      <c r="AU7" s="794">
        <v>1016.7911232228</v>
      </c>
      <c r="AV7" s="794">
        <v>1017.8522659400001</v>
      </c>
      <c r="AW7" s="587">
        <v>986.7281722724</v>
      </c>
      <c r="AX7" s="587">
        <v>1090.0841711399999</v>
      </c>
      <c r="AY7" s="587">
        <v>1117.5570805899999</v>
      </c>
      <c r="AZ7" s="587">
        <v>1242.1857621718998</v>
      </c>
      <c r="BA7" s="587">
        <v>1130.6207459157999</v>
      </c>
      <c r="BB7" s="587">
        <v>1180.9600675199999</v>
      </c>
      <c r="BC7" s="587">
        <v>1179.2927186999998</v>
      </c>
      <c r="BD7" s="587">
        <v>1194.4314657499999</v>
      </c>
      <c r="BE7" s="587">
        <v>1283.3959922957001</v>
      </c>
      <c r="BF7" s="587">
        <v>1170.1192027449999</v>
      </c>
      <c r="BG7" s="587">
        <v>1037.2159888900001</v>
      </c>
      <c r="BH7" s="587">
        <v>977.25371406560009</v>
      </c>
      <c r="BI7" s="587">
        <v>973.93286234000004</v>
      </c>
      <c r="BJ7" s="587">
        <v>1609.17291312</v>
      </c>
      <c r="BK7" s="587">
        <v>1343.6732333334</v>
      </c>
      <c r="BL7" s="587">
        <v>1380.5472245097001</v>
      </c>
      <c r="BM7" s="587">
        <v>1585.4924234523999</v>
      </c>
      <c r="BN7" s="587">
        <v>1401.6625373600002</v>
      </c>
      <c r="BO7" s="587">
        <v>1356.8478927136002</v>
      </c>
      <c r="BP7" s="587">
        <v>1259.7261644150999</v>
      </c>
      <c r="BQ7" s="587">
        <v>1236.5469993167001</v>
      </c>
      <c r="BR7" s="587">
        <v>1297.8113549047998</v>
      </c>
      <c r="BS7" s="587">
        <v>1254.7770420416</v>
      </c>
      <c r="BT7" s="587">
        <v>2359.4374312179998</v>
      </c>
      <c r="BU7" s="587">
        <v>2492.8735255574061</v>
      </c>
      <c r="BV7" s="587">
        <v>2596.1876437210285</v>
      </c>
      <c r="BW7" s="587">
        <v>2592.3674039123198</v>
      </c>
      <c r="BX7" s="587">
        <v>2737.081852884</v>
      </c>
      <c r="BY7" s="587">
        <v>2671.7097182817001</v>
      </c>
      <c r="BZ7" s="587">
        <v>2644.4</v>
      </c>
      <c r="CA7" s="587">
        <v>2608.12796746</v>
      </c>
      <c r="CB7" s="587">
        <v>2547.7241215800004</v>
      </c>
      <c r="CC7" s="587">
        <v>2605.7748322424</v>
      </c>
      <c r="CD7" s="587">
        <v>2581.5688966204902</v>
      </c>
      <c r="CE7" s="587">
        <v>1922.9857331599999</v>
      </c>
      <c r="CF7" s="587">
        <v>1851.1474936136021</v>
      </c>
      <c r="CG7" s="587">
        <v>1823.2372807956165</v>
      </c>
      <c r="CH7" s="587">
        <v>1863.3675000000001</v>
      </c>
      <c r="CI7" s="587">
        <v>1995.3255854899999</v>
      </c>
      <c r="CJ7" s="587">
        <v>1971.91117252</v>
      </c>
      <c r="CK7" s="587">
        <v>1869.7525880599999</v>
      </c>
      <c r="CL7" s="587">
        <v>1778.58311007</v>
      </c>
      <c r="CM7" s="587">
        <v>1799.8706586599997</v>
      </c>
      <c r="CN7" s="587">
        <v>1849.45383186</v>
      </c>
      <c r="CO7" s="587">
        <v>1850.2427751099999</v>
      </c>
      <c r="CP7" s="587">
        <v>1788.3412914</v>
      </c>
      <c r="CQ7" s="587">
        <v>1856.30235322</v>
      </c>
      <c r="CR7" s="587">
        <v>1848.6942909299999</v>
      </c>
      <c r="CS7" s="587">
        <v>1851.8845406800001</v>
      </c>
      <c r="CT7" s="587">
        <v>2437.9259930400003</v>
      </c>
      <c r="CU7" s="587">
        <v>2683.4749029</v>
      </c>
      <c r="CV7" s="587">
        <v>2873.5351473399996</v>
      </c>
      <c r="CW7" s="587">
        <v>2863.6323328399999</v>
      </c>
      <c r="CX7" s="587">
        <v>2932.6817921300003</v>
      </c>
      <c r="CY7" s="587">
        <v>2892.3364387200004</v>
      </c>
      <c r="CZ7" s="587">
        <v>3018.0717435300003</v>
      </c>
      <c r="DA7" s="587">
        <v>3040.81866416</v>
      </c>
      <c r="DB7" s="797">
        <v>3061.71292352</v>
      </c>
      <c r="DC7" s="797">
        <v>3017.5393533399997</v>
      </c>
      <c r="DD7" s="797">
        <v>3036.47316796</v>
      </c>
      <c r="DE7" s="797">
        <v>3082.6068864899999</v>
      </c>
      <c r="DF7" s="797">
        <v>2924.1876803240234</v>
      </c>
      <c r="DG7" s="797">
        <v>3008.8082769877651</v>
      </c>
      <c r="DH7" s="797">
        <v>3029.8981704463072</v>
      </c>
      <c r="DI7" s="797">
        <v>3460.9018560058003</v>
      </c>
      <c r="DJ7" s="797">
        <v>3310.3038027049051</v>
      </c>
      <c r="DK7" s="797">
        <v>2998.397979581709</v>
      </c>
      <c r="DL7" s="797">
        <v>2929.3319966965787</v>
      </c>
      <c r="DM7" s="797">
        <v>3145.4756887137537</v>
      </c>
      <c r="DN7" s="797">
        <v>3197.1587873879798</v>
      </c>
      <c r="DO7" s="797">
        <v>3428.7045279499998</v>
      </c>
      <c r="DP7" s="797">
        <v>3462.4791880799999</v>
      </c>
      <c r="DQ7" s="797">
        <v>3471.4170574600003</v>
      </c>
      <c r="DR7" s="797">
        <v>3431.1554657299998</v>
      </c>
    </row>
    <row r="8" spans="1:122" ht="15.95" customHeight="1">
      <c r="A8" s="793" t="s">
        <v>2383</v>
      </c>
      <c r="B8" s="794">
        <v>14.049424</v>
      </c>
      <c r="C8" s="664">
        <v>12.630751</v>
      </c>
      <c r="D8" s="664">
        <v>13.428654000000002</v>
      </c>
      <c r="E8" s="593">
        <v>15.132339000000002</v>
      </c>
      <c r="F8" s="664">
        <v>15.919357</v>
      </c>
      <c r="G8" s="664">
        <v>16.155488000000002</v>
      </c>
      <c r="H8" s="664">
        <v>18.95864688</v>
      </c>
      <c r="I8" s="664">
        <v>16.23104</v>
      </c>
      <c r="J8" s="664">
        <v>18.155421829999998</v>
      </c>
      <c r="K8" s="593">
        <v>19.179758240000002</v>
      </c>
      <c r="L8" s="664">
        <v>14.546299400000001</v>
      </c>
      <c r="M8" s="664">
        <v>18.68868582</v>
      </c>
      <c r="N8" s="664">
        <v>17.235568000000001</v>
      </c>
      <c r="O8" s="593">
        <v>19.27239694</v>
      </c>
      <c r="P8" s="664">
        <v>20.66539998</v>
      </c>
      <c r="Q8" s="664">
        <v>21.927378019999999</v>
      </c>
      <c r="R8" s="593">
        <v>22.397614709999999</v>
      </c>
      <c r="S8" s="664">
        <v>23.981740869999999</v>
      </c>
      <c r="T8" s="664">
        <v>20.001068149999998</v>
      </c>
      <c r="U8" s="795">
        <v>24.183884350000003</v>
      </c>
      <c r="V8" s="795">
        <v>24.915300250000001</v>
      </c>
      <c r="W8" s="795">
        <v>22.119072719999998</v>
      </c>
      <c r="X8" s="795">
        <v>21.157603429999998</v>
      </c>
      <c r="Y8" s="795">
        <v>19.039158240000003</v>
      </c>
      <c r="Z8" s="795">
        <v>17.498148050000001</v>
      </c>
      <c r="AA8" s="795">
        <v>19.131903319999999</v>
      </c>
      <c r="AB8" s="795">
        <v>20.453608450000001</v>
      </c>
      <c r="AC8" s="795">
        <v>14.772791420000001</v>
      </c>
      <c r="AD8" s="795">
        <v>15.45467451</v>
      </c>
      <c r="AE8" s="795">
        <v>17.127844370000002</v>
      </c>
      <c r="AF8" s="795">
        <v>17.43549646</v>
      </c>
      <c r="AG8" s="795">
        <v>16.568486069999999</v>
      </c>
      <c r="AH8" s="795">
        <v>19.166698499999999</v>
      </c>
      <c r="AI8" s="795">
        <v>18.96211533</v>
      </c>
      <c r="AJ8" s="795">
        <v>19.512489689999999</v>
      </c>
      <c r="AK8" s="795">
        <v>19.53939733</v>
      </c>
      <c r="AL8" s="795">
        <v>18.170410780000001</v>
      </c>
      <c r="AM8" s="666">
        <v>16.670075489999999</v>
      </c>
      <c r="AN8" s="666">
        <v>16.5553715</v>
      </c>
      <c r="AO8" s="666">
        <v>16.17877979</v>
      </c>
      <c r="AP8" s="666">
        <v>17.015526240000003</v>
      </c>
      <c r="AQ8" s="666">
        <v>17.004971179999998</v>
      </c>
      <c r="AR8" s="794">
        <v>16.321624359999998</v>
      </c>
      <c r="AS8" s="794">
        <v>15.42724069</v>
      </c>
      <c r="AT8" s="794">
        <v>14.555907769999999</v>
      </c>
      <c r="AU8" s="794">
        <v>15.6637319</v>
      </c>
      <c r="AV8" s="794">
        <v>15.142991530000002</v>
      </c>
      <c r="AW8" s="587">
        <v>62.480838718800001</v>
      </c>
      <c r="AX8" s="587">
        <v>62.640613819999999</v>
      </c>
      <c r="AY8" s="587">
        <v>64.983649409999998</v>
      </c>
      <c r="AZ8" s="587">
        <v>65.705261149999998</v>
      </c>
      <c r="BA8" s="587">
        <v>65.608467560000008</v>
      </c>
      <c r="BB8" s="587">
        <v>67.104993690000001</v>
      </c>
      <c r="BC8" s="587">
        <v>65.936608300000003</v>
      </c>
      <c r="BD8" s="587">
        <v>66.269063799999998</v>
      </c>
      <c r="BE8" s="587">
        <v>67.142427653699997</v>
      </c>
      <c r="BF8" s="587">
        <v>66.769846042500006</v>
      </c>
      <c r="BG8" s="587">
        <v>16.314983609999999</v>
      </c>
      <c r="BH8" s="587">
        <v>15.66918912</v>
      </c>
      <c r="BI8" s="587">
        <v>14.70712675</v>
      </c>
      <c r="BJ8" s="587">
        <v>14.14735907</v>
      </c>
      <c r="BK8" s="587">
        <v>12.02554349</v>
      </c>
      <c r="BL8" s="587">
        <v>11.767226539999999</v>
      </c>
      <c r="BM8" s="587">
        <v>12.49390421</v>
      </c>
      <c r="BN8" s="587">
        <v>10.334915929999999</v>
      </c>
      <c r="BO8" s="587">
        <v>11.426193269999999</v>
      </c>
      <c r="BP8" s="587">
        <v>11.68602375</v>
      </c>
      <c r="BQ8" s="587">
        <v>12.068280640000001</v>
      </c>
      <c r="BR8" s="587">
        <v>11.92550069</v>
      </c>
      <c r="BS8" s="587">
        <v>11.200466629999999</v>
      </c>
      <c r="BT8" s="587">
        <v>9.2935320500000014</v>
      </c>
      <c r="BU8" s="587">
        <v>10.469897289999999</v>
      </c>
      <c r="BV8" s="587">
        <v>11.684196596219998</v>
      </c>
      <c r="BW8" s="587">
        <v>11.23606889</v>
      </c>
      <c r="BX8" s="587">
        <v>10.350129000000001</v>
      </c>
      <c r="BY8" s="587">
        <v>11.4813106123</v>
      </c>
      <c r="BZ8" s="587">
        <v>11.5</v>
      </c>
      <c r="CA8" s="587">
        <v>9.9080165299999994</v>
      </c>
      <c r="CB8" s="587">
        <v>13.356135</v>
      </c>
      <c r="CC8" s="587">
        <v>13.194072049727998</v>
      </c>
      <c r="CD8" s="587">
        <v>13.667905460907999</v>
      </c>
      <c r="CE8" s="587">
        <v>14.509243358094825</v>
      </c>
      <c r="CF8" s="587">
        <v>15.483963649663997</v>
      </c>
      <c r="CG8" s="587">
        <v>12.491698636283333</v>
      </c>
      <c r="CH8" s="587">
        <v>12.567417749999999</v>
      </c>
      <c r="CI8" s="587">
        <v>11.97007224</v>
      </c>
      <c r="CJ8" s="587">
        <v>10.528653850000001</v>
      </c>
      <c r="CK8" s="587">
        <v>9.1565461500000005</v>
      </c>
      <c r="CL8" s="587">
        <v>8.4030496899999996</v>
      </c>
      <c r="CM8" s="587">
        <v>10.43707256442779</v>
      </c>
      <c r="CN8" s="587">
        <v>12.215941920000001</v>
      </c>
      <c r="CO8" s="587">
        <v>11.37133736</v>
      </c>
      <c r="CP8" s="587">
        <v>11.904212170000001</v>
      </c>
      <c r="CQ8" s="587">
        <v>10.313248960000001</v>
      </c>
      <c r="CR8" s="587">
        <v>11.145040190000001</v>
      </c>
      <c r="CS8" s="587">
        <v>10.38853761</v>
      </c>
      <c r="CT8" s="587">
        <v>10.063368109999999</v>
      </c>
      <c r="CU8" s="587">
        <v>10.23378862</v>
      </c>
      <c r="CV8" s="587">
        <v>10.28510065</v>
      </c>
      <c r="CW8" s="587">
        <v>10.065354390000001</v>
      </c>
      <c r="CX8" s="587">
        <v>9.8054173999999978</v>
      </c>
      <c r="CY8" s="587">
        <v>11.144426939999999</v>
      </c>
      <c r="CZ8" s="587">
        <v>11.79465038</v>
      </c>
      <c r="DA8" s="587">
        <v>10.78413991</v>
      </c>
      <c r="DB8" s="797">
        <v>10.59136505</v>
      </c>
      <c r="DC8" s="797">
        <v>8.2615560000000006</v>
      </c>
      <c r="DD8" s="797">
        <v>8.154205769999999</v>
      </c>
      <c r="DE8" s="797">
        <v>8.0235489999999992</v>
      </c>
      <c r="DF8" s="797">
        <v>8.8039190000000005</v>
      </c>
      <c r="DG8" s="797">
        <v>7.9038370000000002</v>
      </c>
      <c r="DH8" s="797">
        <v>8.6971988400000004</v>
      </c>
      <c r="DI8" s="797">
        <v>9.2084595900000004</v>
      </c>
      <c r="DJ8" s="797">
        <v>9.1416863399999997</v>
      </c>
      <c r="DK8" s="797">
        <v>10.513641</v>
      </c>
      <c r="DL8" s="797">
        <v>9.8508040000000001</v>
      </c>
      <c r="DM8" s="797">
        <v>10.099980960000002</v>
      </c>
      <c r="DN8" s="797">
        <v>9.30554989</v>
      </c>
      <c r="DO8" s="797">
        <v>11.051081</v>
      </c>
      <c r="DP8" s="797">
        <v>11.42057417</v>
      </c>
      <c r="DQ8" s="797">
        <v>11.169676190000001</v>
      </c>
      <c r="DR8" s="797">
        <v>12.1093288</v>
      </c>
    </row>
    <row r="9" spans="1:122" ht="15.95" customHeight="1">
      <c r="A9" s="793" t="s">
        <v>2384</v>
      </c>
      <c r="B9" s="794">
        <v>19.434546000000001</v>
      </c>
      <c r="C9" s="664">
        <v>21.991353700000001</v>
      </c>
      <c r="D9" s="664">
        <v>24.904605510000003</v>
      </c>
      <c r="E9" s="593">
        <v>20.44278006</v>
      </c>
      <c r="F9" s="664">
        <v>26.744178240000004</v>
      </c>
      <c r="G9" s="664">
        <v>27.471033890000001</v>
      </c>
      <c r="H9" s="664">
        <v>31.25423623</v>
      </c>
      <c r="I9" s="664">
        <v>14.37098275</v>
      </c>
      <c r="J9" s="664">
        <v>14.743625040000001</v>
      </c>
      <c r="K9" s="593">
        <v>15.38837155</v>
      </c>
      <c r="L9" s="664">
        <v>14.317133999999999</v>
      </c>
      <c r="M9" s="664">
        <v>15.369480529999999</v>
      </c>
      <c r="N9" s="664">
        <v>14.123897019999999</v>
      </c>
      <c r="O9" s="593">
        <v>13.827830909999999</v>
      </c>
      <c r="P9" s="664">
        <v>15.908692479999999</v>
      </c>
      <c r="Q9" s="664">
        <v>14.163014530000002</v>
      </c>
      <c r="R9" s="593">
        <v>15.938348299999999</v>
      </c>
      <c r="S9" s="664">
        <v>14.927327640000001</v>
      </c>
      <c r="T9" s="664">
        <v>15.37474287</v>
      </c>
      <c r="U9" s="795">
        <v>16.239639539999999</v>
      </c>
      <c r="V9" s="795">
        <v>15.00314176</v>
      </c>
      <c r="W9" s="795">
        <v>15.303271949999999</v>
      </c>
      <c r="X9" s="795">
        <v>13.790674790000001</v>
      </c>
      <c r="Y9" s="795">
        <v>12.73285454</v>
      </c>
      <c r="Z9" s="795">
        <v>13.541893530000001</v>
      </c>
      <c r="AA9" s="795">
        <v>12.95515335</v>
      </c>
      <c r="AB9" s="795">
        <v>16.082966370000001</v>
      </c>
      <c r="AC9" s="795">
        <v>14.496600379999999</v>
      </c>
      <c r="AD9" s="795">
        <v>12.776230910000001</v>
      </c>
      <c r="AE9" s="795">
        <v>15.368706900000001</v>
      </c>
      <c r="AF9" s="795">
        <v>13.117615220000001</v>
      </c>
      <c r="AG9" s="795">
        <v>12.448867310000001</v>
      </c>
      <c r="AH9" s="795">
        <v>11.553555950000002</v>
      </c>
      <c r="AI9" s="795">
        <v>13.22084695</v>
      </c>
      <c r="AJ9" s="795">
        <v>12.993818859999999</v>
      </c>
      <c r="AK9" s="795">
        <v>11.6259444</v>
      </c>
      <c r="AL9" s="795">
        <v>9.9342030099999992</v>
      </c>
      <c r="AM9" s="666">
        <v>8.7160712100000008</v>
      </c>
      <c r="AN9" s="666">
        <v>9.0718181500000004</v>
      </c>
      <c r="AO9" s="666">
        <v>8.9005056099999997</v>
      </c>
      <c r="AP9" s="666">
        <v>9.6434757500000003</v>
      </c>
      <c r="AQ9" s="666">
        <v>10.434982339999999</v>
      </c>
      <c r="AR9" s="794">
        <v>11.25451874</v>
      </c>
      <c r="AS9" s="794">
        <v>17.118735280000003</v>
      </c>
      <c r="AT9" s="794">
        <v>13.757401400000001</v>
      </c>
      <c r="AU9" s="794">
        <v>16.082168519999996</v>
      </c>
      <c r="AV9" s="794">
        <v>17.78960064</v>
      </c>
      <c r="AW9" s="587">
        <v>20.382275069999999</v>
      </c>
      <c r="AX9" s="587">
        <v>18.270174609999994</v>
      </c>
      <c r="AY9" s="587">
        <v>3.2451047400000004</v>
      </c>
      <c r="AZ9" s="587">
        <v>3.3936212000000001</v>
      </c>
      <c r="BA9" s="587">
        <v>3.9056801300000004</v>
      </c>
      <c r="BB9" s="587">
        <v>4.0478866499999997</v>
      </c>
      <c r="BC9" s="587">
        <v>0.98379643000000006</v>
      </c>
      <c r="BD9" s="587">
        <v>0.91681897000000001</v>
      </c>
      <c r="BE9" s="587">
        <v>0.90502258999999996</v>
      </c>
      <c r="BF9" s="587">
        <v>0.96775080000000002</v>
      </c>
      <c r="BG9" s="587">
        <v>0.94771501999999996</v>
      </c>
      <c r="BH9" s="587">
        <v>0.95334095000000008</v>
      </c>
      <c r="BI9" s="587">
        <v>2.5305252299999998</v>
      </c>
      <c r="BJ9" s="587">
        <v>2.8388067100000001</v>
      </c>
      <c r="BK9" s="587">
        <v>3.3241337799999999</v>
      </c>
      <c r="BL9" s="587">
        <v>3.9113232999999998</v>
      </c>
      <c r="BM9" s="587">
        <v>3.8188926200000002</v>
      </c>
      <c r="BN9" s="587">
        <v>4.0777373199999998</v>
      </c>
      <c r="BO9" s="587">
        <v>2.33587794</v>
      </c>
      <c r="BP9" s="587">
        <v>2.79008491</v>
      </c>
      <c r="BQ9" s="587">
        <v>2.7442425799999999</v>
      </c>
      <c r="BR9" s="587">
        <v>2.8827066400000003</v>
      </c>
      <c r="BS9" s="587">
        <v>2.5677454800000001</v>
      </c>
      <c r="BT9" s="587">
        <v>3.3443891299999997</v>
      </c>
      <c r="BU9" s="587">
        <v>3.4035821400000001</v>
      </c>
      <c r="BV9" s="587">
        <v>3.2135207000000001</v>
      </c>
      <c r="BW9" s="587">
        <v>3.0636965799999998</v>
      </c>
      <c r="BX9" s="587">
        <v>2.8388852999999998</v>
      </c>
      <c r="BY9" s="587">
        <v>3.4044560099999996</v>
      </c>
      <c r="BZ9" s="587">
        <v>2.5</v>
      </c>
      <c r="CA9" s="587">
        <v>0.30669008999999997</v>
      </c>
      <c r="CB9" s="587">
        <v>0.64684775000000005</v>
      </c>
      <c r="CC9" s="587">
        <v>2.1253180631701722</v>
      </c>
      <c r="CD9" s="587">
        <v>1.16510812</v>
      </c>
      <c r="CE9" s="587">
        <v>2.0125944200000001</v>
      </c>
      <c r="CF9" s="587">
        <v>1.3303883700000001</v>
      </c>
      <c r="CG9" s="587">
        <v>5.16278478</v>
      </c>
      <c r="CH9" s="587">
        <v>5.2631020900000003</v>
      </c>
      <c r="CI9" s="587">
        <v>4.95825491</v>
      </c>
      <c r="CJ9" s="587">
        <v>5.3599682500000005</v>
      </c>
      <c r="CK9" s="587">
        <v>5.4523421099999991</v>
      </c>
      <c r="CL9" s="587">
        <v>7.8116119999999983E-2</v>
      </c>
      <c r="CM9" s="587">
        <v>3.4598458700000001</v>
      </c>
      <c r="CN9" s="587">
        <v>4.1738916999999995</v>
      </c>
      <c r="CO9" s="587">
        <v>3.9772062699999999</v>
      </c>
      <c r="CP9" s="587">
        <v>4.1524078800000002</v>
      </c>
      <c r="CQ9" s="587">
        <v>4.7565606100000002</v>
      </c>
      <c r="CR9" s="587">
        <v>4.5584625499999998</v>
      </c>
      <c r="CS9" s="587">
        <v>5.2777096999999999</v>
      </c>
      <c r="CT9" s="587">
        <v>5.1532224100000006</v>
      </c>
      <c r="CU9" s="587">
        <v>4.6853471600000001</v>
      </c>
      <c r="CV9" s="587">
        <v>5.2171206900000007</v>
      </c>
      <c r="CW9" s="587">
        <v>4.9632806799999996</v>
      </c>
      <c r="CX9" s="587">
        <v>0.24762703</v>
      </c>
      <c r="CY9" s="587">
        <v>0.35176181000000001</v>
      </c>
      <c r="CZ9" s="587">
        <v>1.9020433700000001</v>
      </c>
      <c r="DA9" s="587">
        <v>2.3745214400000001</v>
      </c>
      <c r="DB9" s="797">
        <v>2.59855825</v>
      </c>
      <c r="DC9" s="797">
        <v>2.79837179</v>
      </c>
      <c r="DD9" s="797">
        <v>2.9983843800000001</v>
      </c>
      <c r="DE9" s="797">
        <v>3.3022728399999997</v>
      </c>
      <c r="DF9" s="797">
        <v>3.9923136699999993</v>
      </c>
      <c r="DG9" s="797">
        <v>0.13833100000000001</v>
      </c>
      <c r="DH9" s="797">
        <v>0.139875</v>
      </c>
      <c r="DI9" s="797">
        <v>0.14137976000000002</v>
      </c>
      <c r="DJ9" s="797">
        <v>0.14307640000000002</v>
      </c>
      <c r="DK9" s="797">
        <v>0.14447099999999999</v>
      </c>
      <c r="DL9" s="797">
        <v>0.14605785000000002</v>
      </c>
      <c r="DM9" s="797">
        <v>0.14765608</v>
      </c>
      <c r="DN9" s="797">
        <v>0.14910975000000001</v>
      </c>
      <c r="DO9" s="797">
        <v>0.150729</v>
      </c>
      <c r="DP9" s="797">
        <v>0.15230769</v>
      </c>
      <c r="DQ9" s="797">
        <v>0.15394969</v>
      </c>
      <c r="DR9" s="797">
        <v>0.15554988</v>
      </c>
    </row>
    <row r="10" spans="1:122" ht="15.95" customHeight="1">
      <c r="A10" s="793" t="s">
        <v>2385</v>
      </c>
      <c r="B10" s="794">
        <v>680.74645148000002</v>
      </c>
      <c r="C10" s="664">
        <v>669.58498656000006</v>
      </c>
      <c r="D10" s="664">
        <v>721.68721933000006</v>
      </c>
      <c r="E10" s="593">
        <v>704.17222448999996</v>
      </c>
      <c r="F10" s="664">
        <v>689.42629768999996</v>
      </c>
      <c r="G10" s="664">
        <v>678.83808231000012</v>
      </c>
      <c r="H10" s="664">
        <v>671.85362325000006</v>
      </c>
      <c r="I10" s="664">
        <v>678.17775860999984</v>
      </c>
      <c r="J10" s="664">
        <v>659.00284986999998</v>
      </c>
      <c r="K10" s="593">
        <v>624.54959976999999</v>
      </c>
      <c r="L10" s="664">
        <v>623.39722935999998</v>
      </c>
      <c r="M10" s="664">
        <v>635.91024102999995</v>
      </c>
      <c r="N10" s="664">
        <v>626.03130603</v>
      </c>
      <c r="O10" s="593">
        <v>654.03063631000009</v>
      </c>
      <c r="P10" s="664">
        <v>667.06512477000001</v>
      </c>
      <c r="Q10" s="664">
        <v>637.90905760999999</v>
      </c>
      <c r="R10" s="593">
        <v>653.09075022000002</v>
      </c>
      <c r="S10" s="664">
        <v>666.38343436000014</v>
      </c>
      <c r="T10" s="664">
        <v>734.75414365000006</v>
      </c>
      <c r="U10" s="795">
        <v>704.01534222999999</v>
      </c>
      <c r="V10" s="795">
        <v>684.69541763999996</v>
      </c>
      <c r="W10" s="795">
        <v>691.91620799999998</v>
      </c>
      <c r="X10" s="795">
        <v>683.57086580999999</v>
      </c>
      <c r="Y10" s="795">
        <v>698.22884531999989</v>
      </c>
      <c r="Z10" s="795">
        <v>708.16269356999999</v>
      </c>
      <c r="AA10" s="795">
        <v>648.46042792000003</v>
      </c>
      <c r="AB10" s="795">
        <v>616.73928117999992</v>
      </c>
      <c r="AC10" s="795">
        <v>591.97554236999997</v>
      </c>
      <c r="AD10" s="795">
        <v>605.11727158000008</v>
      </c>
      <c r="AE10" s="795">
        <v>610.58692802999997</v>
      </c>
      <c r="AF10" s="795">
        <v>769.48864221000008</v>
      </c>
      <c r="AG10" s="795">
        <v>759.57411053999999</v>
      </c>
      <c r="AH10" s="795">
        <v>701.56265627999994</v>
      </c>
      <c r="AI10" s="795">
        <v>669.39741194999988</v>
      </c>
      <c r="AJ10" s="795">
        <v>740.11895875999994</v>
      </c>
      <c r="AK10" s="795">
        <v>698.99451021000004</v>
      </c>
      <c r="AL10" s="795">
        <v>692.32486569000002</v>
      </c>
      <c r="AM10" s="666">
        <v>764.58137678000003</v>
      </c>
      <c r="AN10" s="666">
        <v>761.36681661000011</v>
      </c>
      <c r="AO10" s="666">
        <v>796.97338425999999</v>
      </c>
      <c r="AP10" s="666">
        <v>858.12948381460001</v>
      </c>
      <c r="AQ10" s="666">
        <v>897.0049568206</v>
      </c>
      <c r="AR10" s="794">
        <v>1457.9946032740002</v>
      </c>
      <c r="AS10" s="794">
        <v>1296.6949313599998</v>
      </c>
      <c r="AT10" s="794">
        <v>1332.3579162115998</v>
      </c>
      <c r="AU10" s="794">
        <v>1317.9513012627999</v>
      </c>
      <c r="AV10" s="794">
        <v>1339.421396531</v>
      </c>
      <c r="AW10" s="587">
        <v>1357.3729559440001</v>
      </c>
      <c r="AX10" s="587">
        <v>1471.3503510420001</v>
      </c>
      <c r="AY10" s="587">
        <v>1404.8140691218998</v>
      </c>
      <c r="AZ10" s="587">
        <v>1434.9690486898999</v>
      </c>
      <c r="BA10" s="587">
        <v>1380.0718601475999</v>
      </c>
      <c r="BB10" s="587">
        <v>1407.801637795</v>
      </c>
      <c r="BC10" s="587">
        <v>1410.7351433904</v>
      </c>
      <c r="BD10" s="587">
        <v>1357.7031272818001</v>
      </c>
      <c r="BE10" s="587">
        <v>1425.9896374364002</v>
      </c>
      <c r="BF10" s="587">
        <v>1394.7213508025</v>
      </c>
      <c r="BG10" s="587">
        <v>1289.646278312</v>
      </c>
      <c r="BH10" s="587">
        <v>1279.9922310587999</v>
      </c>
      <c r="BI10" s="587">
        <v>1333.6415901597002</v>
      </c>
      <c r="BJ10" s="587">
        <v>1347.8243981810001</v>
      </c>
      <c r="BK10" s="587">
        <v>1333.1018977438002</v>
      </c>
      <c r="BL10" s="587">
        <v>1057.4966753783999</v>
      </c>
      <c r="BM10" s="587">
        <v>1085.7487767309999</v>
      </c>
      <c r="BN10" s="587">
        <v>1055.0548767943999</v>
      </c>
      <c r="BO10" s="587">
        <v>1055.8706959776</v>
      </c>
      <c r="BP10" s="587">
        <v>1062.2065091504001</v>
      </c>
      <c r="BQ10" s="587">
        <v>934.55127172570008</v>
      </c>
      <c r="BR10" s="587">
        <v>954.87956761839996</v>
      </c>
      <c r="BS10" s="587">
        <v>994.19406403279993</v>
      </c>
      <c r="BT10" s="587">
        <v>996.61983492583488</v>
      </c>
      <c r="BU10" s="587">
        <v>934.16697285658597</v>
      </c>
      <c r="BV10" s="587">
        <v>1038.2528140550039</v>
      </c>
      <c r="BW10" s="587">
        <v>1019.210718515685</v>
      </c>
      <c r="BX10" s="587">
        <v>982.39189505050001</v>
      </c>
      <c r="BY10" s="587">
        <v>1000.3535430119</v>
      </c>
      <c r="BZ10" s="587">
        <v>926.1</v>
      </c>
      <c r="CA10" s="587">
        <v>911.28902409290004</v>
      </c>
      <c r="CB10" s="587">
        <v>1415.3755182940001</v>
      </c>
      <c r="CC10" s="587">
        <v>1411.178157913281</v>
      </c>
      <c r="CD10" s="587">
        <v>1415.0680699612901</v>
      </c>
      <c r="CE10" s="587">
        <v>1512.4050718441963</v>
      </c>
      <c r="CF10" s="587">
        <v>1612.6384349413279</v>
      </c>
      <c r="CG10" s="587">
        <v>1560.1921296366065</v>
      </c>
      <c r="CH10" s="587">
        <v>1921.6772129017158</v>
      </c>
      <c r="CI10" s="587">
        <v>1889.8323416632547</v>
      </c>
      <c r="CJ10" s="587">
        <v>1929.002978808642</v>
      </c>
      <c r="CK10" s="587">
        <v>1860.8523967775998</v>
      </c>
      <c r="CL10" s="587">
        <v>1729.0895120966359</v>
      </c>
      <c r="CM10" s="587">
        <v>1871.0706141359376</v>
      </c>
      <c r="CN10" s="587">
        <v>1897.3329362216323</v>
      </c>
      <c r="CO10" s="587">
        <v>1783.0843833568979</v>
      </c>
      <c r="CP10" s="587">
        <v>1818.9197389677997</v>
      </c>
      <c r="CQ10" s="587">
        <v>1820.5650165017969</v>
      </c>
      <c r="CR10" s="587">
        <v>1905.03961284248</v>
      </c>
      <c r="CS10" s="587">
        <v>2035.454992654574</v>
      </c>
      <c r="CT10" s="587">
        <v>1977.9474160685861</v>
      </c>
      <c r="CU10" s="587">
        <v>2060.6577598549343</v>
      </c>
      <c r="CV10" s="587">
        <v>1998.1475605456549</v>
      </c>
      <c r="CW10" s="587">
        <v>1875.1870264667264</v>
      </c>
      <c r="CX10" s="587">
        <v>1927.302425281245</v>
      </c>
      <c r="CY10" s="587">
        <v>2040.8718431972336</v>
      </c>
      <c r="CZ10" s="587">
        <v>1685.5726706356654</v>
      </c>
      <c r="DA10" s="587">
        <v>1687.2878435593709</v>
      </c>
      <c r="DB10" s="797">
        <v>1641.9856447748562</v>
      </c>
      <c r="DC10" s="797">
        <v>1602.3277001903218</v>
      </c>
      <c r="DD10" s="797">
        <v>1741.4639121718922</v>
      </c>
      <c r="DE10" s="797">
        <v>1759.3451526683202</v>
      </c>
      <c r="DF10" s="797">
        <v>1954.2794249108147</v>
      </c>
      <c r="DG10" s="797">
        <v>1936.7004222544319</v>
      </c>
      <c r="DH10" s="797">
        <v>1844.8591813064256</v>
      </c>
      <c r="DI10" s="797">
        <v>1885.1577173768001</v>
      </c>
      <c r="DJ10" s="797">
        <v>1810.1586972076836</v>
      </c>
      <c r="DK10" s="797">
        <v>2658.2699941391384</v>
      </c>
      <c r="DL10" s="797">
        <v>2625.7545606245894</v>
      </c>
      <c r="DM10" s="797">
        <v>2610.509855099921</v>
      </c>
      <c r="DN10" s="797">
        <v>2595.2221733924453</v>
      </c>
      <c r="DO10" s="797">
        <v>2545.9626818540423</v>
      </c>
      <c r="DP10" s="797">
        <v>2660.2313683960247</v>
      </c>
      <c r="DQ10" s="797">
        <v>2655.5943279265298</v>
      </c>
      <c r="DR10" s="797">
        <v>2773.6355953840352</v>
      </c>
    </row>
    <row r="11" spans="1:122" ht="15.95" customHeight="1">
      <c r="A11" s="793" t="s">
        <v>2386</v>
      </c>
      <c r="B11" s="794">
        <v>57.798629949999999</v>
      </c>
      <c r="C11" s="664">
        <v>51.700971169999995</v>
      </c>
      <c r="D11" s="664">
        <v>49.256198470000008</v>
      </c>
      <c r="E11" s="593">
        <v>49.36767734</v>
      </c>
      <c r="F11" s="664">
        <v>50.872078359999996</v>
      </c>
      <c r="G11" s="664">
        <v>54.562780589999996</v>
      </c>
      <c r="H11" s="664">
        <v>58.534968980000002</v>
      </c>
      <c r="I11" s="664">
        <v>59.416303890000002</v>
      </c>
      <c r="J11" s="664">
        <v>63.125296670000004</v>
      </c>
      <c r="K11" s="593">
        <v>62.886076810000006</v>
      </c>
      <c r="L11" s="664">
        <v>50.058069839999987</v>
      </c>
      <c r="M11" s="664">
        <v>51.92119254</v>
      </c>
      <c r="N11" s="664">
        <v>48.029054439999996</v>
      </c>
      <c r="O11" s="593">
        <v>49.198509870000002</v>
      </c>
      <c r="P11" s="664">
        <v>48.009204990000001</v>
      </c>
      <c r="Q11" s="664">
        <v>43.050701940000003</v>
      </c>
      <c r="R11" s="593">
        <v>48.613263120000006</v>
      </c>
      <c r="S11" s="664">
        <v>47.472828039999996</v>
      </c>
      <c r="T11" s="664">
        <v>53.312322280000004</v>
      </c>
      <c r="U11" s="795">
        <v>51.812994189999998</v>
      </c>
      <c r="V11" s="795">
        <v>51.391255610000002</v>
      </c>
      <c r="W11" s="795">
        <v>44.031219050000004</v>
      </c>
      <c r="X11" s="795">
        <v>42.034925229999999</v>
      </c>
      <c r="Y11" s="795">
        <v>43.431987530000001</v>
      </c>
      <c r="Z11" s="795">
        <v>52.73871504000001</v>
      </c>
      <c r="AA11" s="795">
        <v>55.471890520000002</v>
      </c>
      <c r="AB11" s="795">
        <v>55.895976870000005</v>
      </c>
      <c r="AC11" s="795">
        <v>53.713909140000005</v>
      </c>
      <c r="AD11" s="795">
        <v>59.263937799999994</v>
      </c>
      <c r="AE11" s="795">
        <v>58.65993094000001</v>
      </c>
      <c r="AF11" s="795">
        <v>62.744424140000007</v>
      </c>
      <c r="AG11" s="795">
        <v>73.224120570000011</v>
      </c>
      <c r="AH11" s="795">
        <v>82.383440840000006</v>
      </c>
      <c r="AI11" s="795">
        <v>92.614042930000011</v>
      </c>
      <c r="AJ11" s="795">
        <v>96.124649969999993</v>
      </c>
      <c r="AK11" s="795">
        <v>99.667327090000001</v>
      </c>
      <c r="AL11" s="795">
        <v>114.18458379999998</v>
      </c>
      <c r="AM11" s="666">
        <v>110.61494218000001</v>
      </c>
      <c r="AN11" s="666">
        <v>108.29413239</v>
      </c>
      <c r="AO11" s="666">
        <v>117.71123702</v>
      </c>
      <c r="AP11" s="666">
        <v>122.22364185520001</v>
      </c>
      <c r="AQ11" s="666">
        <v>125.19706089</v>
      </c>
      <c r="AR11" s="794">
        <v>141.73660931560002</v>
      </c>
      <c r="AS11" s="794">
        <v>137.56350472</v>
      </c>
      <c r="AT11" s="794">
        <v>140.07364025999999</v>
      </c>
      <c r="AU11" s="794">
        <v>132.19475150380001</v>
      </c>
      <c r="AV11" s="794">
        <v>135.71728740900002</v>
      </c>
      <c r="AW11" s="587">
        <v>133.7734744384</v>
      </c>
      <c r="AX11" s="587">
        <v>135.0620454168</v>
      </c>
      <c r="AY11" s="587">
        <v>132.00445559080001</v>
      </c>
      <c r="AZ11" s="587">
        <v>130.7704204115</v>
      </c>
      <c r="BA11" s="587">
        <v>127.47570119480001</v>
      </c>
      <c r="BB11" s="587">
        <v>127.08448812859999</v>
      </c>
      <c r="BC11" s="587">
        <v>133.39653014960001</v>
      </c>
      <c r="BD11" s="587">
        <v>124.53656030579999</v>
      </c>
      <c r="BE11" s="587">
        <v>127.72038237570001</v>
      </c>
      <c r="BF11" s="587">
        <v>114.779105735</v>
      </c>
      <c r="BG11" s="587">
        <v>118.75586125600002</v>
      </c>
      <c r="BH11" s="587">
        <v>117.03129830920003</v>
      </c>
      <c r="BI11" s="587">
        <v>121.24610390220001</v>
      </c>
      <c r="BJ11" s="587">
        <v>138.6959368613</v>
      </c>
      <c r="BK11" s="587">
        <v>139.9814070255</v>
      </c>
      <c r="BL11" s="587">
        <v>142.58327622070001</v>
      </c>
      <c r="BM11" s="587">
        <v>142.02858426219998</v>
      </c>
      <c r="BN11" s="587">
        <v>211.901367908</v>
      </c>
      <c r="BO11" s="587">
        <v>216.39152313199997</v>
      </c>
      <c r="BP11" s="587">
        <v>222.77367906120003</v>
      </c>
      <c r="BQ11" s="587">
        <v>210.76319128770001</v>
      </c>
      <c r="BR11" s="587">
        <v>222.58779522530003</v>
      </c>
      <c r="BS11" s="587">
        <v>216.09899116839995</v>
      </c>
      <c r="BT11" s="587">
        <v>220.52534513946497</v>
      </c>
      <c r="BU11" s="587">
        <v>215.80126499413001</v>
      </c>
      <c r="BV11" s="587">
        <v>215.738260927336</v>
      </c>
      <c r="BW11" s="587">
        <v>224.41069014882004</v>
      </c>
      <c r="BX11" s="587">
        <v>231.87547430749999</v>
      </c>
      <c r="BY11" s="587">
        <v>212.5</v>
      </c>
      <c r="BZ11" s="587">
        <v>209.4</v>
      </c>
      <c r="CA11" s="587">
        <v>192.1683350234</v>
      </c>
      <c r="CB11" s="587">
        <v>192.10295291720001</v>
      </c>
      <c r="CC11" s="587">
        <v>188.83597411753999</v>
      </c>
      <c r="CD11" s="587">
        <v>194.081023142324</v>
      </c>
      <c r="CE11" s="587">
        <v>196.57433001807919</v>
      </c>
      <c r="CF11" s="587">
        <v>183.32370457449662</v>
      </c>
      <c r="CG11" s="587">
        <v>187.46372827056564</v>
      </c>
      <c r="CH11" s="587">
        <v>197.593067813549</v>
      </c>
      <c r="CI11" s="587">
        <v>191.01849727684083</v>
      </c>
      <c r="CJ11" s="587">
        <v>176.34674955509598</v>
      </c>
      <c r="CK11" s="587">
        <v>176.14991748109898</v>
      </c>
      <c r="CL11" s="587">
        <v>140.219479282344</v>
      </c>
      <c r="CM11" s="587">
        <v>140.80877388959249</v>
      </c>
      <c r="CN11" s="587">
        <v>136.64911419256532</v>
      </c>
      <c r="CO11" s="587">
        <v>169.48792703671199</v>
      </c>
      <c r="CP11" s="587">
        <v>218.912331893925</v>
      </c>
      <c r="CQ11" s="587">
        <v>227.78715636140552</v>
      </c>
      <c r="CR11" s="587">
        <v>190.45751965391005</v>
      </c>
      <c r="CS11" s="587">
        <v>202.9059953908349</v>
      </c>
      <c r="CT11" s="587">
        <v>116.58267620582745</v>
      </c>
      <c r="CU11" s="587">
        <v>119.00965620758149</v>
      </c>
      <c r="CV11" s="587">
        <v>120.44847847</v>
      </c>
      <c r="CW11" s="587">
        <v>112.66419506000001</v>
      </c>
      <c r="CX11" s="587">
        <v>103.52121041750294</v>
      </c>
      <c r="CY11" s="587">
        <v>102.79530289358992</v>
      </c>
      <c r="CZ11" s="587">
        <v>114.35201755838585</v>
      </c>
      <c r="DA11" s="587">
        <v>103.78674190568019</v>
      </c>
      <c r="DB11" s="797">
        <v>106.66028520171564</v>
      </c>
      <c r="DC11" s="797">
        <v>120.83106183548647</v>
      </c>
      <c r="DD11" s="797">
        <v>115.86672542413162</v>
      </c>
      <c r="DE11" s="797">
        <v>119.90542714872896</v>
      </c>
      <c r="DF11" s="797">
        <v>119.8113614616951</v>
      </c>
      <c r="DG11" s="797">
        <v>122.96423357773978</v>
      </c>
      <c r="DH11" s="797">
        <v>127.06176914244497</v>
      </c>
      <c r="DI11" s="797">
        <v>128.17230616831932</v>
      </c>
      <c r="DJ11" s="797">
        <v>125.6215945890438</v>
      </c>
      <c r="DK11" s="797">
        <v>119.19119082320908</v>
      </c>
      <c r="DL11" s="797">
        <v>118.25735678999999</v>
      </c>
      <c r="DM11" s="797">
        <v>118.7753537</v>
      </c>
      <c r="DN11" s="797">
        <v>113.06764705838269</v>
      </c>
      <c r="DO11" s="797">
        <v>122.58327354348984</v>
      </c>
      <c r="DP11" s="797">
        <v>128.39460924057127</v>
      </c>
      <c r="DQ11" s="797">
        <v>121.47832875385228</v>
      </c>
      <c r="DR11" s="797">
        <v>126.63001284568</v>
      </c>
    </row>
    <row r="12" spans="1:122" ht="15.95" customHeight="1">
      <c r="A12" s="793" t="s">
        <v>2387</v>
      </c>
      <c r="B12" s="794">
        <v>736.55948827000009</v>
      </c>
      <c r="C12" s="664">
        <v>733.52918764999993</v>
      </c>
      <c r="D12" s="664">
        <v>732.15930138999988</v>
      </c>
      <c r="E12" s="593">
        <v>718.26600730999996</v>
      </c>
      <c r="F12" s="664">
        <v>741.51070261999996</v>
      </c>
      <c r="G12" s="664">
        <v>699.68836633000012</v>
      </c>
      <c r="H12" s="664">
        <v>723.17987817999983</v>
      </c>
      <c r="I12" s="664">
        <v>715.33115117</v>
      </c>
      <c r="J12" s="664">
        <v>649.21072432000005</v>
      </c>
      <c r="K12" s="593">
        <v>662.48318692000009</v>
      </c>
      <c r="L12" s="664">
        <v>659.55422504000001</v>
      </c>
      <c r="M12" s="664">
        <v>652.43408654999996</v>
      </c>
      <c r="N12" s="664">
        <v>684.40910025000005</v>
      </c>
      <c r="O12" s="593">
        <v>681.76122988999998</v>
      </c>
      <c r="P12" s="664">
        <v>655.08935042999997</v>
      </c>
      <c r="Q12" s="664">
        <v>672.50805530000002</v>
      </c>
      <c r="R12" s="593">
        <v>629.89446720000001</v>
      </c>
      <c r="S12" s="664">
        <v>642.35362208000004</v>
      </c>
      <c r="T12" s="664">
        <v>645.46264953999992</v>
      </c>
      <c r="U12" s="795">
        <v>644.42085243999998</v>
      </c>
      <c r="V12" s="795">
        <v>659.30571644000008</v>
      </c>
      <c r="W12" s="795">
        <v>652.08803773</v>
      </c>
      <c r="X12" s="795">
        <v>666.60781406000001</v>
      </c>
      <c r="Y12" s="795">
        <v>612.23725543000012</v>
      </c>
      <c r="Z12" s="795">
        <v>606.74979399000006</v>
      </c>
      <c r="AA12" s="795">
        <v>658.20387760000017</v>
      </c>
      <c r="AB12" s="795">
        <v>634.25186406000012</v>
      </c>
      <c r="AC12" s="795">
        <v>621.77348896000001</v>
      </c>
      <c r="AD12" s="795">
        <v>597.18443334000017</v>
      </c>
      <c r="AE12" s="795">
        <v>604.06508178000001</v>
      </c>
      <c r="AF12" s="795">
        <v>592.73015972999997</v>
      </c>
      <c r="AG12" s="795">
        <v>586.53402099000004</v>
      </c>
      <c r="AH12" s="795">
        <v>559.58719701999996</v>
      </c>
      <c r="AI12" s="795">
        <v>476.72935605999993</v>
      </c>
      <c r="AJ12" s="795">
        <v>502.93494873999998</v>
      </c>
      <c r="AK12" s="795">
        <v>537.31934782999997</v>
      </c>
      <c r="AL12" s="795">
        <v>553.25571288000003</v>
      </c>
      <c r="AM12" s="666">
        <v>540.59114454999997</v>
      </c>
      <c r="AN12" s="666">
        <v>534.92488765999997</v>
      </c>
      <c r="AO12" s="666">
        <v>563.67607465000003</v>
      </c>
      <c r="AP12" s="666">
        <v>572.62253351940001</v>
      </c>
      <c r="AQ12" s="666">
        <v>620.83133577800004</v>
      </c>
      <c r="AR12" s="794">
        <v>635.01948180479997</v>
      </c>
      <c r="AS12" s="794">
        <v>629.05823623000003</v>
      </c>
      <c r="AT12" s="794">
        <v>636.79703982039985</v>
      </c>
      <c r="AU12" s="794">
        <v>647.02661767480004</v>
      </c>
      <c r="AV12" s="794">
        <v>684.62955795499988</v>
      </c>
      <c r="AW12" s="587">
        <v>719.73253946999989</v>
      </c>
      <c r="AX12" s="587">
        <v>742.39140043880013</v>
      </c>
      <c r="AY12" s="587">
        <v>731.42000312129994</v>
      </c>
      <c r="AZ12" s="587">
        <v>744.22710117619999</v>
      </c>
      <c r="BA12" s="587">
        <v>739.24643505360007</v>
      </c>
      <c r="BB12" s="587">
        <v>770.79922536080005</v>
      </c>
      <c r="BC12" s="587">
        <v>705.54872499199985</v>
      </c>
      <c r="BD12" s="587">
        <v>740.56789657180002</v>
      </c>
      <c r="BE12" s="587">
        <v>708.05870449049996</v>
      </c>
      <c r="BF12" s="587">
        <v>747.56181083499996</v>
      </c>
      <c r="BG12" s="587">
        <v>707.116794196</v>
      </c>
      <c r="BH12" s="587">
        <v>749.76267161210001</v>
      </c>
      <c r="BI12" s="587">
        <v>725.81760791569991</v>
      </c>
      <c r="BJ12" s="587">
        <v>709.43820582499995</v>
      </c>
      <c r="BK12" s="587">
        <v>712.46557459990015</v>
      </c>
      <c r="BL12" s="587">
        <v>725.25088453220008</v>
      </c>
      <c r="BM12" s="587">
        <v>727.1123359828</v>
      </c>
      <c r="BN12" s="587">
        <v>725.70540007039995</v>
      </c>
      <c r="BO12" s="587">
        <v>717.79814981079994</v>
      </c>
      <c r="BP12" s="587">
        <v>687.52573383869992</v>
      </c>
      <c r="BQ12" s="587">
        <v>702.98647806710005</v>
      </c>
      <c r="BR12" s="587">
        <v>715.6634967798999</v>
      </c>
      <c r="BS12" s="587">
        <v>670.98375989599992</v>
      </c>
      <c r="BT12" s="587">
        <v>682.25407335522493</v>
      </c>
      <c r="BU12" s="587">
        <v>648.51952493912597</v>
      </c>
      <c r="BV12" s="587">
        <v>680.94136569235604</v>
      </c>
      <c r="BW12" s="587">
        <v>668.99178862628514</v>
      </c>
      <c r="BX12" s="587">
        <v>672.07739708100007</v>
      </c>
      <c r="BY12" s="587">
        <v>668.64570158989989</v>
      </c>
      <c r="BZ12" s="587">
        <v>649.6</v>
      </c>
      <c r="CA12" s="587">
        <v>660.89445722499988</v>
      </c>
      <c r="CB12" s="587">
        <v>680.24610450759997</v>
      </c>
      <c r="CC12" s="587">
        <v>678.06300706501997</v>
      </c>
      <c r="CD12" s="587">
        <v>664.99371280055595</v>
      </c>
      <c r="CE12" s="587">
        <v>682.06778971792824</v>
      </c>
      <c r="CF12" s="587">
        <v>768.32163354912802</v>
      </c>
      <c r="CG12" s="587">
        <v>806.29086588268001</v>
      </c>
      <c r="CH12" s="587">
        <v>820.32353652082361</v>
      </c>
      <c r="CI12" s="587">
        <v>819.4342101903311</v>
      </c>
      <c r="CJ12" s="587">
        <v>842.94216275869996</v>
      </c>
      <c r="CK12" s="587">
        <v>879.73007721813997</v>
      </c>
      <c r="CL12" s="587">
        <v>982.22519685475902</v>
      </c>
      <c r="CM12" s="587">
        <v>1034.298166190423</v>
      </c>
      <c r="CN12" s="587">
        <v>1036.6675062895583</v>
      </c>
      <c r="CO12" s="587">
        <v>1005.5915681087619</v>
      </c>
      <c r="CP12" s="587">
        <v>891.66864325229983</v>
      </c>
      <c r="CQ12" s="587">
        <v>875.46833347534846</v>
      </c>
      <c r="CR12" s="587">
        <v>906.30182693497989</v>
      </c>
      <c r="CS12" s="587">
        <v>914.29830622496991</v>
      </c>
      <c r="CT12" s="587">
        <v>898.70724081440994</v>
      </c>
      <c r="CU12" s="587">
        <v>950.05777717988053</v>
      </c>
      <c r="CV12" s="587">
        <v>951.42601543539502</v>
      </c>
      <c r="CW12" s="587">
        <v>935.31379661003177</v>
      </c>
      <c r="CX12" s="587">
        <v>973.72164043961288</v>
      </c>
      <c r="CY12" s="587">
        <v>970.40394054576996</v>
      </c>
      <c r="CZ12" s="587">
        <v>1007.5184488307416</v>
      </c>
      <c r="DA12" s="587">
        <v>999.96493527729262</v>
      </c>
      <c r="DB12" s="797">
        <v>960.50794897962146</v>
      </c>
      <c r="DC12" s="797">
        <v>988.4980782215996</v>
      </c>
      <c r="DD12" s="797">
        <v>950.58382686681318</v>
      </c>
      <c r="DE12" s="797">
        <v>947.97168910487039</v>
      </c>
      <c r="DF12" s="797">
        <v>992.63086626953668</v>
      </c>
      <c r="DG12" s="797">
        <v>974.95889274269439</v>
      </c>
      <c r="DH12" s="797">
        <v>962.81158473508174</v>
      </c>
      <c r="DI12" s="797">
        <v>938.3828113152266</v>
      </c>
      <c r="DJ12" s="797">
        <v>992.87891214469539</v>
      </c>
      <c r="DK12" s="797">
        <v>1017.1025718131103</v>
      </c>
      <c r="DL12" s="797">
        <v>1034.2513457203527</v>
      </c>
      <c r="DM12" s="797">
        <v>985.77481133666811</v>
      </c>
      <c r="DN12" s="797">
        <v>949.95254809438882</v>
      </c>
      <c r="DO12" s="797">
        <v>891.19758090999983</v>
      </c>
      <c r="DP12" s="797">
        <v>914.24748335558752</v>
      </c>
      <c r="DQ12" s="797">
        <v>887.29418059602199</v>
      </c>
      <c r="DR12" s="797">
        <v>863.12850195491001</v>
      </c>
    </row>
    <row r="13" spans="1:122" ht="15.95" customHeight="1">
      <c r="A13" s="793" t="s">
        <v>2388</v>
      </c>
      <c r="B13" s="794">
        <v>124.99176263000001</v>
      </c>
      <c r="C13" s="664">
        <v>100.59934063</v>
      </c>
      <c r="D13" s="664">
        <v>96.104119199999985</v>
      </c>
      <c r="E13" s="593">
        <v>96.434326549999994</v>
      </c>
      <c r="F13" s="664">
        <v>102.57009767999999</v>
      </c>
      <c r="G13" s="664">
        <v>111.20738567000002</v>
      </c>
      <c r="H13" s="664">
        <v>108.26677868</v>
      </c>
      <c r="I13" s="664">
        <v>95.878963939999991</v>
      </c>
      <c r="J13" s="664">
        <v>96.056776199999987</v>
      </c>
      <c r="K13" s="593">
        <v>82.736083859999979</v>
      </c>
      <c r="L13" s="664">
        <v>94.30735731</v>
      </c>
      <c r="M13" s="664">
        <v>85.249180559999999</v>
      </c>
      <c r="N13" s="664">
        <v>84.315589570000014</v>
      </c>
      <c r="O13" s="593">
        <v>81.524654609999999</v>
      </c>
      <c r="P13" s="664">
        <v>81.552380179999986</v>
      </c>
      <c r="Q13" s="664">
        <v>70.030845889999995</v>
      </c>
      <c r="R13" s="593">
        <v>82.14990997999999</v>
      </c>
      <c r="S13" s="664">
        <v>95.893809729999987</v>
      </c>
      <c r="T13" s="664">
        <v>99.634526409999992</v>
      </c>
      <c r="U13" s="795">
        <v>82.180210620000011</v>
      </c>
      <c r="V13" s="795">
        <v>85.123405480000002</v>
      </c>
      <c r="W13" s="795">
        <v>82.378181710000007</v>
      </c>
      <c r="X13" s="795">
        <v>83.383140409999996</v>
      </c>
      <c r="Y13" s="795">
        <v>83.189585030000003</v>
      </c>
      <c r="Z13" s="795">
        <v>203.43200723999999</v>
      </c>
      <c r="AA13" s="795">
        <v>210.60283288999997</v>
      </c>
      <c r="AB13" s="795">
        <v>327.30192291999998</v>
      </c>
      <c r="AC13" s="795">
        <v>340.70001848999999</v>
      </c>
      <c r="AD13" s="795">
        <v>364.2029410099999</v>
      </c>
      <c r="AE13" s="795">
        <v>414.12622721000002</v>
      </c>
      <c r="AF13" s="795">
        <v>366.37088190999998</v>
      </c>
      <c r="AG13" s="795">
        <v>366.22597855000004</v>
      </c>
      <c r="AH13" s="795">
        <v>376.10401789999997</v>
      </c>
      <c r="AI13" s="795">
        <v>261.87489035999999</v>
      </c>
      <c r="AJ13" s="795">
        <v>258.90894800000001</v>
      </c>
      <c r="AK13" s="795">
        <v>267.37542157000001</v>
      </c>
      <c r="AL13" s="795">
        <v>253.91107115</v>
      </c>
      <c r="AM13" s="666">
        <v>306.93055080999994</v>
      </c>
      <c r="AN13" s="666">
        <v>310.25036755000002</v>
      </c>
      <c r="AO13" s="666">
        <v>304.63853637</v>
      </c>
      <c r="AP13" s="666">
        <v>381.22095930250003</v>
      </c>
      <c r="AQ13" s="666">
        <v>375.82525960859999</v>
      </c>
      <c r="AR13" s="794">
        <v>397.97667611240007</v>
      </c>
      <c r="AS13" s="794">
        <v>345.01958476999999</v>
      </c>
      <c r="AT13" s="794">
        <v>383.71042763759999</v>
      </c>
      <c r="AU13" s="794">
        <v>392.25145249920001</v>
      </c>
      <c r="AV13" s="794">
        <v>394.06686827499999</v>
      </c>
      <c r="AW13" s="587">
        <v>396.89350050080003</v>
      </c>
      <c r="AX13" s="587">
        <v>381.26019078359997</v>
      </c>
      <c r="AY13" s="587">
        <v>432.2654234963</v>
      </c>
      <c r="AZ13" s="587">
        <v>462.09608323589998</v>
      </c>
      <c r="BA13" s="587">
        <v>432.05621180100002</v>
      </c>
      <c r="BB13" s="587">
        <v>432.62795254669999</v>
      </c>
      <c r="BC13" s="587">
        <v>424.6698621004</v>
      </c>
      <c r="BD13" s="587">
        <v>422.19112018859994</v>
      </c>
      <c r="BE13" s="587">
        <v>418.29761927589999</v>
      </c>
      <c r="BF13" s="587">
        <v>427.33094676999997</v>
      </c>
      <c r="BG13" s="587">
        <v>424.25368464000013</v>
      </c>
      <c r="BH13" s="587">
        <v>431.18664024780003</v>
      </c>
      <c r="BI13" s="587">
        <v>421.68830201479994</v>
      </c>
      <c r="BJ13" s="587">
        <v>404.74183823589999</v>
      </c>
      <c r="BK13" s="587">
        <v>382.35444202460002</v>
      </c>
      <c r="BL13" s="587">
        <v>367.32697576689992</v>
      </c>
      <c r="BM13" s="587">
        <v>369.04821826259996</v>
      </c>
      <c r="BN13" s="587">
        <v>367.74702733149934</v>
      </c>
      <c r="BO13" s="587">
        <v>353.2147062528</v>
      </c>
      <c r="BP13" s="587">
        <v>361.21162379259999</v>
      </c>
      <c r="BQ13" s="587">
        <v>360.46925125820002</v>
      </c>
      <c r="BR13" s="587">
        <v>364.30881772500004</v>
      </c>
      <c r="BS13" s="587">
        <v>364.58810433759999</v>
      </c>
      <c r="BT13" s="587">
        <v>349.76246279848658</v>
      </c>
      <c r="BU13" s="587">
        <v>371.95163168112396</v>
      </c>
      <c r="BV13" s="587">
        <v>355.24788302362998</v>
      </c>
      <c r="BW13" s="587">
        <v>358.34234129950005</v>
      </c>
      <c r="BX13" s="587">
        <v>349.4097120655</v>
      </c>
      <c r="BY13" s="587">
        <v>342.20560558789998</v>
      </c>
      <c r="BZ13" s="587">
        <v>331.7</v>
      </c>
      <c r="CA13" s="587">
        <v>339.21530205670007</v>
      </c>
      <c r="CB13" s="587">
        <v>313.04275183919992</v>
      </c>
      <c r="CC13" s="587">
        <v>421.38628428000004</v>
      </c>
      <c r="CD13" s="587">
        <v>431.76649684064597</v>
      </c>
      <c r="CE13" s="587">
        <v>412.15124626731057</v>
      </c>
      <c r="CF13" s="587">
        <v>443.99343500499992</v>
      </c>
      <c r="CG13" s="587">
        <v>435.97044923314991</v>
      </c>
      <c r="CH13" s="587">
        <v>390.56419416065233</v>
      </c>
      <c r="CI13" s="587">
        <v>376.15364261080305</v>
      </c>
      <c r="CJ13" s="587">
        <v>371.62584581360994</v>
      </c>
      <c r="CK13" s="587">
        <v>365.94107834347204</v>
      </c>
      <c r="CL13" s="587">
        <v>395.12587268021218</v>
      </c>
      <c r="CM13" s="587">
        <v>397.74819277674101</v>
      </c>
      <c r="CN13" s="587">
        <v>366.99379088711333</v>
      </c>
      <c r="CO13" s="587">
        <v>422.02499986979905</v>
      </c>
      <c r="CP13" s="587">
        <v>413.503276135075</v>
      </c>
      <c r="CQ13" s="587">
        <v>423.90404593540893</v>
      </c>
      <c r="CR13" s="587">
        <v>433.22844366882498</v>
      </c>
      <c r="CS13" s="587">
        <v>440.91617557981198</v>
      </c>
      <c r="CT13" s="587">
        <v>423.43850975871959</v>
      </c>
      <c r="CU13" s="587">
        <v>431.39361691292703</v>
      </c>
      <c r="CV13" s="587">
        <v>412.19564667041578</v>
      </c>
      <c r="CW13" s="587">
        <v>412.30273892722812</v>
      </c>
      <c r="CX13" s="587">
        <v>414.38086648057794</v>
      </c>
      <c r="CY13" s="587">
        <v>416.19998192350062</v>
      </c>
      <c r="CZ13" s="587">
        <v>417.25254964791799</v>
      </c>
      <c r="DA13" s="587">
        <v>413.08895877299142</v>
      </c>
      <c r="DB13" s="797">
        <v>412.49198634627476</v>
      </c>
      <c r="DC13" s="797">
        <v>408.00137499597787</v>
      </c>
      <c r="DD13" s="797">
        <v>409.91363689839898</v>
      </c>
      <c r="DE13" s="797">
        <v>403.39275494376005</v>
      </c>
      <c r="DF13" s="797">
        <v>399.48887823892949</v>
      </c>
      <c r="DG13" s="797">
        <v>393.7657895479054</v>
      </c>
      <c r="DH13" s="797">
        <v>390.00805050497604</v>
      </c>
      <c r="DI13" s="797">
        <v>384.52409409626671</v>
      </c>
      <c r="DJ13" s="797">
        <v>381.84007063397235</v>
      </c>
      <c r="DK13" s="797">
        <v>337.90875849061797</v>
      </c>
      <c r="DL13" s="797">
        <v>327.59980410638173</v>
      </c>
      <c r="DM13" s="797">
        <v>317.11926855910798</v>
      </c>
      <c r="DN13" s="797">
        <v>359.67576656216494</v>
      </c>
      <c r="DO13" s="797">
        <v>294.87254833666339</v>
      </c>
      <c r="DP13" s="797">
        <v>245.05960490818751</v>
      </c>
      <c r="DQ13" s="797">
        <v>241.09421751891699</v>
      </c>
      <c r="DR13" s="797">
        <v>234.02470287958349</v>
      </c>
    </row>
    <row r="14" spans="1:122" ht="15.95" customHeight="1">
      <c r="A14" s="793" t="s">
        <v>2389</v>
      </c>
      <c r="B14" s="794">
        <v>393.46709796345954</v>
      </c>
      <c r="C14" s="664">
        <v>729.69083186856005</v>
      </c>
      <c r="D14" s="664">
        <v>511.53785234457001</v>
      </c>
      <c r="E14" s="593">
        <v>802.42416643500007</v>
      </c>
      <c r="F14" s="664">
        <v>965.73385734999999</v>
      </c>
      <c r="G14" s="664">
        <v>977.93131550452119</v>
      </c>
      <c r="H14" s="664">
        <v>887.56379279967996</v>
      </c>
      <c r="I14" s="664">
        <v>326.09958579455997</v>
      </c>
      <c r="J14" s="664">
        <v>461.00464797000001</v>
      </c>
      <c r="K14" s="593">
        <v>312.725037747275</v>
      </c>
      <c r="L14" s="664">
        <v>179.191174655</v>
      </c>
      <c r="M14" s="664">
        <v>402.0264935175</v>
      </c>
      <c r="N14" s="664">
        <v>558.69295613999998</v>
      </c>
      <c r="O14" s="593">
        <v>727.12938545000009</v>
      </c>
      <c r="P14" s="664">
        <v>784.7789453900001</v>
      </c>
      <c r="Q14" s="664">
        <v>805.04111314499994</v>
      </c>
      <c r="R14" s="593">
        <v>460.8896512099999</v>
      </c>
      <c r="S14" s="664">
        <v>796.52701348250002</v>
      </c>
      <c r="T14" s="664">
        <v>711.70315434999998</v>
      </c>
      <c r="U14" s="795">
        <v>419.0768104</v>
      </c>
      <c r="V14" s="795">
        <v>321.52887156999998</v>
      </c>
      <c r="W14" s="795">
        <v>208.92354759</v>
      </c>
      <c r="X14" s="795">
        <v>212.71905268999998</v>
      </c>
      <c r="Y14" s="795">
        <v>481.91439163000001</v>
      </c>
      <c r="Z14" s="795">
        <v>511.94235250999998</v>
      </c>
      <c r="AA14" s="795">
        <v>643.64260533999993</v>
      </c>
      <c r="AB14" s="795">
        <v>874.64490513999988</v>
      </c>
      <c r="AC14" s="795">
        <v>792.16982875999997</v>
      </c>
      <c r="AD14" s="795">
        <v>1221.0660514700003</v>
      </c>
      <c r="AE14" s="795">
        <v>1026.5149925400001</v>
      </c>
      <c r="AF14" s="795">
        <v>1745.7538207200002</v>
      </c>
      <c r="AG14" s="795">
        <v>1134.6272109400002</v>
      </c>
      <c r="AH14" s="795">
        <v>1011.93633002</v>
      </c>
      <c r="AI14" s="795">
        <v>1195.26132123</v>
      </c>
      <c r="AJ14" s="795">
        <v>1047.95106012</v>
      </c>
      <c r="AK14" s="795">
        <v>1101.6219828899998</v>
      </c>
      <c r="AL14" s="795">
        <v>1126.35383346</v>
      </c>
      <c r="AM14" s="666">
        <v>1515.79266517</v>
      </c>
      <c r="AN14" s="666">
        <v>1196.9240849099999</v>
      </c>
      <c r="AO14" s="666">
        <v>1758.7963019334002</v>
      </c>
      <c r="AP14" s="666">
        <v>2202.7347343635997</v>
      </c>
      <c r="AQ14" s="666">
        <v>1942.12620746831</v>
      </c>
      <c r="AR14" s="794">
        <v>2154.3927017862202</v>
      </c>
      <c r="AS14" s="794">
        <v>1920.0139504899998</v>
      </c>
      <c r="AT14" s="794">
        <v>1071.2390649091999</v>
      </c>
      <c r="AU14" s="794">
        <v>1073.2858248262</v>
      </c>
      <c r="AV14" s="794">
        <v>1010.4611043560001</v>
      </c>
      <c r="AW14" s="587">
        <v>1246.42286375</v>
      </c>
      <c r="AX14" s="587">
        <v>1284.198182528</v>
      </c>
      <c r="AY14" s="587">
        <v>1446.0681858925</v>
      </c>
      <c r="AZ14" s="587">
        <v>2042.6808912903</v>
      </c>
      <c r="BA14" s="587">
        <v>2169.5723581840002</v>
      </c>
      <c r="BB14" s="587">
        <v>2304.7318106588</v>
      </c>
      <c r="BC14" s="587">
        <v>2412.351016893841</v>
      </c>
      <c r="BD14" s="587">
        <v>2117.1079172946002</v>
      </c>
      <c r="BE14" s="587">
        <v>1992.8669095979999</v>
      </c>
      <c r="BF14" s="587">
        <v>2426.5414829052747</v>
      </c>
      <c r="BG14" s="587">
        <v>2780.2626578847203</v>
      </c>
      <c r="BH14" s="587">
        <v>3016.3545829903978</v>
      </c>
      <c r="BI14" s="587">
        <v>3292.5733067860956</v>
      </c>
      <c r="BJ14" s="587">
        <v>3749.202673102976</v>
      </c>
      <c r="BK14" s="587">
        <v>2720.0835475315939</v>
      </c>
      <c r="BL14" s="587">
        <v>3906.8959660785349</v>
      </c>
      <c r="BM14" s="587">
        <v>4280.3391373632367</v>
      </c>
      <c r="BN14" s="587">
        <v>4667.9166810962361</v>
      </c>
      <c r="BO14" s="587">
        <v>4812.5168540514314</v>
      </c>
      <c r="BP14" s="587">
        <v>4331.4197959537687</v>
      </c>
      <c r="BQ14" s="587">
        <v>3639.7274481826666</v>
      </c>
      <c r="BR14" s="587">
        <v>3746.6170959693918</v>
      </c>
      <c r="BS14" s="587">
        <v>3746.651713023216</v>
      </c>
      <c r="BT14" s="587">
        <v>3311.6622396297294</v>
      </c>
      <c r="BU14" s="587">
        <v>3644.4987600374097</v>
      </c>
      <c r="BV14" s="587">
        <v>2701.1350646487799</v>
      </c>
      <c r="BW14" s="587">
        <v>3946.4995308668658</v>
      </c>
      <c r="BX14" s="587">
        <v>4112.0847193005002</v>
      </c>
      <c r="BY14" s="587">
        <v>4520.2751633702992</v>
      </c>
      <c r="BZ14" s="587">
        <v>4753.8999999999996</v>
      </c>
      <c r="CA14" s="587">
        <v>4759.2627099663005</v>
      </c>
      <c r="CB14" s="587">
        <v>4919.3968339439998</v>
      </c>
      <c r="CC14" s="587">
        <v>4937.1250336058083</v>
      </c>
      <c r="CD14" s="587">
        <v>4753.0455947743221</v>
      </c>
      <c r="CE14" s="587">
        <v>4192.2579566060494</v>
      </c>
      <c r="CF14" s="587">
        <v>3817.6047770257474</v>
      </c>
      <c r="CG14" s="587">
        <v>3821.9964339508133</v>
      </c>
      <c r="CH14" s="587">
        <v>3372.6648731864179</v>
      </c>
      <c r="CI14" s="587">
        <v>3459.9686789691864</v>
      </c>
      <c r="CJ14" s="587">
        <v>3663.1361708502159</v>
      </c>
      <c r="CK14" s="587">
        <v>4485.1335002779979</v>
      </c>
      <c r="CL14" s="587">
        <v>4569.3763590812014</v>
      </c>
      <c r="CM14" s="587">
        <v>4864.4504707603373</v>
      </c>
      <c r="CN14" s="587">
        <v>5646.6408284544377</v>
      </c>
      <c r="CO14" s="587">
        <v>5377.4332502268617</v>
      </c>
      <c r="CP14" s="587">
        <v>5193.5739654009749</v>
      </c>
      <c r="CQ14" s="587">
        <v>5325.5594945175153</v>
      </c>
      <c r="CR14" s="587">
        <v>5137.82516978479</v>
      </c>
      <c r="CS14" s="587">
        <v>4333.3769010867318</v>
      </c>
      <c r="CT14" s="587">
        <v>4018.5097139388017</v>
      </c>
      <c r="CU14" s="587">
        <v>4014.3499125380899</v>
      </c>
      <c r="CV14" s="587">
        <v>4719.9839547483089</v>
      </c>
      <c r="CW14" s="587">
        <v>5167.7334210777035</v>
      </c>
      <c r="CX14" s="587">
        <v>4942.8315222953206</v>
      </c>
      <c r="CY14" s="587">
        <v>5282.0289339581359</v>
      </c>
      <c r="CZ14" s="587">
        <v>5704.7330267223051</v>
      </c>
      <c r="DA14" s="587">
        <v>5206.0130399936243</v>
      </c>
      <c r="DB14" s="797">
        <v>5649.5951362266851</v>
      </c>
      <c r="DC14" s="797">
        <v>5912.2686588947299</v>
      </c>
      <c r="DD14" s="797">
        <v>4783.0275756370729</v>
      </c>
      <c r="DE14" s="797">
        <v>4464.3114483693407</v>
      </c>
      <c r="DF14" s="797">
        <v>3943.2180331584295</v>
      </c>
      <c r="DG14" s="797">
        <v>3855.7466571967225</v>
      </c>
      <c r="DH14" s="797">
        <v>3486.451821895686</v>
      </c>
      <c r="DI14" s="797">
        <v>2809.7988137091788</v>
      </c>
      <c r="DJ14" s="797">
        <v>3584.1305075964351</v>
      </c>
      <c r="DK14" s="797">
        <v>4851.9753669380352</v>
      </c>
      <c r="DL14" s="797">
        <v>4681.6556080902801</v>
      </c>
      <c r="DM14" s="797">
        <v>4445.2438281704008</v>
      </c>
      <c r="DN14" s="797">
        <v>4322.4235010795737</v>
      </c>
      <c r="DO14" s="797">
        <v>3709.4353403366622</v>
      </c>
      <c r="DP14" s="797">
        <v>3453.9610929664991</v>
      </c>
      <c r="DQ14" s="797">
        <v>4210.3119673384235</v>
      </c>
      <c r="DR14" s="797">
        <v>3113.8652523840701</v>
      </c>
    </row>
    <row r="15" spans="1:122" ht="7.7" customHeight="1">
      <c r="A15" s="786"/>
      <c r="B15" s="787"/>
      <c r="C15" s="584"/>
      <c r="D15" s="584"/>
      <c r="E15" s="596"/>
      <c r="F15" s="584"/>
      <c r="G15" s="584"/>
      <c r="H15" s="664"/>
      <c r="I15" s="664"/>
      <c r="J15" s="664"/>
      <c r="K15" s="593"/>
      <c r="L15" s="664"/>
      <c r="M15" s="664"/>
      <c r="N15" s="664"/>
      <c r="O15" s="593"/>
      <c r="P15" s="664"/>
      <c r="Q15" s="664"/>
      <c r="R15" s="593"/>
      <c r="S15" s="664"/>
      <c r="T15" s="664"/>
      <c r="U15" s="795"/>
      <c r="V15" s="795"/>
      <c r="W15" s="795"/>
      <c r="X15" s="795"/>
      <c r="Y15" s="795"/>
      <c r="Z15" s="795"/>
      <c r="AA15" s="795"/>
      <c r="AB15" s="795"/>
      <c r="AC15" s="795"/>
      <c r="AD15" s="795"/>
      <c r="AE15" s="795"/>
      <c r="AF15" s="795"/>
      <c r="AG15" s="795"/>
      <c r="AH15" s="795"/>
      <c r="AI15" s="795"/>
      <c r="AJ15" s="795"/>
      <c r="AK15" s="795"/>
      <c r="AL15" s="795"/>
      <c r="AM15" s="665"/>
      <c r="AN15" s="665"/>
      <c r="AO15" s="665"/>
      <c r="AP15" s="665"/>
      <c r="AQ15" s="665"/>
      <c r="AR15" s="787"/>
      <c r="AS15" s="787"/>
      <c r="AT15" s="787"/>
      <c r="AU15" s="787"/>
      <c r="AV15" s="787"/>
      <c r="AW15" s="790"/>
      <c r="AX15" s="790"/>
      <c r="AY15" s="790"/>
      <c r="AZ15" s="790"/>
      <c r="BA15" s="790"/>
      <c r="BB15" s="790"/>
      <c r="BC15" s="790"/>
      <c r="BD15" s="790"/>
      <c r="BE15" s="790"/>
      <c r="BF15" s="790"/>
      <c r="BG15" s="790"/>
      <c r="BH15" s="790"/>
      <c r="BI15" s="790"/>
      <c r="BJ15" s="790"/>
      <c r="BK15" s="790"/>
      <c r="BL15" s="790"/>
      <c r="BM15" s="790"/>
      <c r="BN15" s="790"/>
      <c r="BO15" s="790"/>
      <c r="BP15" s="790"/>
      <c r="BQ15" s="790"/>
      <c r="BR15" s="790"/>
      <c r="BS15" s="790"/>
      <c r="BT15" s="790"/>
      <c r="BU15" s="790"/>
      <c r="BV15" s="790"/>
      <c r="BW15" s="790"/>
      <c r="BX15" s="790"/>
      <c r="BY15" s="790"/>
      <c r="BZ15" s="790"/>
      <c r="CA15" s="790"/>
      <c r="CB15" s="790"/>
      <c r="CC15" s="790"/>
      <c r="CD15" s="790"/>
      <c r="CE15" s="790"/>
      <c r="CF15" s="790"/>
      <c r="CG15" s="790"/>
      <c r="CH15" s="790"/>
      <c r="CI15" s="790"/>
      <c r="CJ15" s="790"/>
      <c r="CK15" s="790"/>
      <c r="CL15" s="790"/>
      <c r="CM15" s="790"/>
      <c r="CN15" s="790"/>
      <c r="CO15" s="790"/>
      <c r="CP15" s="790"/>
      <c r="CQ15" s="790"/>
      <c r="CR15" s="790"/>
      <c r="CS15" s="790"/>
      <c r="CT15" s="790"/>
      <c r="CU15" s="790"/>
      <c r="CV15" s="790"/>
      <c r="CW15" s="790"/>
      <c r="CX15" s="790"/>
      <c r="CY15" s="790"/>
      <c r="CZ15" s="790"/>
      <c r="DA15" s="790"/>
      <c r="DB15" s="797"/>
      <c r="DC15" s="797"/>
      <c r="DD15" s="797"/>
      <c r="DE15" s="797"/>
      <c r="DF15" s="797"/>
      <c r="DG15" s="797"/>
      <c r="DH15" s="797"/>
      <c r="DI15" s="797"/>
      <c r="DJ15" s="797"/>
      <c r="DK15" s="797"/>
      <c r="DL15" s="797"/>
      <c r="DM15" s="797"/>
      <c r="DN15" s="797"/>
      <c r="DO15" s="797"/>
      <c r="DP15" s="797"/>
      <c r="DQ15" s="797"/>
      <c r="DR15" s="797"/>
    </row>
    <row r="16" spans="1:122">
      <c r="A16" s="786" t="s">
        <v>2390</v>
      </c>
      <c r="B16" s="787">
        <f>SUM(B18:B34)</f>
        <v>14397.702758701704</v>
      </c>
      <c r="C16" s="584">
        <f>SUM(C18:C34)</f>
        <v>14563.462937684602</v>
      </c>
      <c r="D16" s="584">
        <f>SUM(D18:D34)</f>
        <v>14472.510563321543</v>
      </c>
      <c r="E16" s="596">
        <f>SUM(E18:E34)</f>
        <v>14474.722307242801</v>
      </c>
      <c r="F16" s="584">
        <v>14676.282794245801</v>
      </c>
      <c r="G16" s="584">
        <v>14528.859925789762</v>
      </c>
      <c r="H16" s="584">
        <v>14752.448025040005</v>
      </c>
      <c r="I16" s="584">
        <v>14765.763216959047</v>
      </c>
      <c r="J16" s="584">
        <v>14912.580981303501</v>
      </c>
      <c r="K16" s="596">
        <v>14682.895543182678</v>
      </c>
      <c r="L16" s="584">
        <v>14882.106521112893</v>
      </c>
      <c r="M16" s="584">
        <v>15050.517765799295</v>
      </c>
      <c r="N16" s="584">
        <v>14975.836911448299</v>
      </c>
      <c r="O16" s="596">
        <v>15133.933188828225</v>
      </c>
      <c r="P16" s="584">
        <v>15122.114728785033</v>
      </c>
      <c r="Q16" s="584">
        <v>15077.721255990416</v>
      </c>
      <c r="R16" s="596">
        <v>15025.212989781701</v>
      </c>
      <c r="S16" s="584">
        <v>15041.424354925799</v>
      </c>
      <c r="T16" s="584">
        <v>15217.004064520437</v>
      </c>
      <c r="U16" s="586">
        <v>15241.599663304485</v>
      </c>
      <c r="V16" s="586">
        <v>15498.465158734349</v>
      </c>
      <c r="W16" s="586">
        <v>15270.149565517795</v>
      </c>
      <c r="X16" s="586">
        <v>15615.984538204531</v>
      </c>
      <c r="Y16" s="586">
        <v>15224.697446500923</v>
      </c>
      <c r="Z16" s="586">
        <v>14944.946969909397</v>
      </c>
      <c r="AA16" s="586">
        <v>14548.691784253941</v>
      </c>
      <c r="AB16" s="586">
        <v>14921.44589574569</v>
      </c>
      <c r="AC16" s="586">
        <v>14607.599237262431</v>
      </c>
      <c r="AD16" s="586">
        <v>15290.082207660482</v>
      </c>
      <c r="AE16" s="586">
        <v>15167.591749738871</v>
      </c>
      <c r="AF16" s="586">
        <v>16091.480954991712</v>
      </c>
      <c r="AG16" s="586">
        <v>16556.187443218758</v>
      </c>
      <c r="AH16" s="586">
        <v>16794.42328766064</v>
      </c>
      <c r="AI16" s="586">
        <v>17055.484155719409</v>
      </c>
      <c r="AJ16" s="586">
        <v>17284.657231407644</v>
      </c>
      <c r="AK16" s="586">
        <v>17240.73411076728</v>
      </c>
      <c r="AL16" s="586">
        <v>17304.474743809158</v>
      </c>
      <c r="AM16" s="665">
        <v>17566.017126143288</v>
      </c>
      <c r="AN16" s="665">
        <v>17744.17903489892</v>
      </c>
      <c r="AO16" s="665">
        <v>17813.335701909473</v>
      </c>
      <c r="AP16" s="665">
        <v>18173.430967658791</v>
      </c>
      <c r="AQ16" s="665">
        <v>17710.176963903075</v>
      </c>
      <c r="AR16" s="787">
        <v>18312.458554939876</v>
      </c>
      <c r="AS16" s="787">
        <v>18362.431617292001</v>
      </c>
      <c r="AT16" s="787">
        <v>18040.682518560487</v>
      </c>
      <c r="AU16" s="787">
        <v>18332.824024042882</v>
      </c>
      <c r="AV16" s="787">
        <v>18418.686036869203</v>
      </c>
      <c r="AW16" s="790">
        <v>18304.094176246159</v>
      </c>
      <c r="AX16" s="790">
        <v>18042.488859817357</v>
      </c>
      <c r="AY16" s="790">
        <v>18380.367824377303</v>
      </c>
      <c r="AZ16" s="790">
        <v>17689.675412525783</v>
      </c>
      <c r="BA16" s="790">
        <v>16794.68587281249</v>
      </c>
      <c r="BB16" s="790">
        <v>16663.181123100254</v>
      </c>
      <c r="BC16" s="790">
        <v>16832.802247679443</v>
      </c>
      <c r="BD16" s="790">
        <v>17641.896696754182</v>
      </c>
      <c r="BE16" s="790">
        <v>17337.28331738713</v>
      </c>
      <c r="BF16" s="790">
        <v>17027.196857685653</v>
      </c>
      <c r="BG16" s="790">
        <v>17208.825495829649</v>
      </c>
      <c r="BH16" s="790">
        <v>17328.763866388719</v>
      </c>
      <c r="BI16" s="790">
        <v>17732.235850287918</v>
      </c>
      <c r="BJ16" s="790">
        <v>17667.271328935018</v>
      </c>
      <c r="BK16" s="790">
        <v>17368.374724600464</v>
      </c>
      <c r="BL16" s="790">
        <v>17439.685550028644</v>
      </c>
      <c r="BM16" s="790">
        <v>16571.563763933595</v>
      </c>
      <c r="BN16" s="790">
        <v>16581.344802860585</v>
      </c>
      <c r="BO16" s="790">
        <v>17318.910047721074</v>
      </c>
      <c r="BP16" s="790">
        <v>17889.427473524574</v>
      </c>
      <c r="BQ16" s="790">
        <v>17666.337489129019</v>
      </c>
      <c r="BR16" s="790">
        <v>17897.869212677637</v>
      </c>
      <c r="BS16" s="790">
        <v>17239.688573105897</v>
      </c>
      <c r="BT16" s="790">
        <v>17689.790007494168</v>
      </c>
      <c r="BU16" s="790">
        <v>17370.685373160471</v>
      </c>
      <c r="BV16" s="790">
        <v>18187.009044939608</v>
      </c>
      <c r="BW16" s="790">
        <v>17969.011446690689</v>
      </c>
      <c r="BX16" s="790">
        <v>17894.282418790499</v>
      </c>
      <c r="BY16" s="790">
        <v>17887.590081791597</v>
      </c>
      <c r="BZ16" s="790">
        <v>17730.8</v>
      </c>
      <c r="CA16" s="790">
        <v>18238.233616766498</v>
      </c>
      <c r="CB16" s="790">
        <v>18200.154738766221</v>
      </c>
      <c r="CC16" s="790">
        <v>18225.265376002375</v>
      </c>
      <c r="CD16" s="790">
        <v>17911.535468539587</v>
      </c>
      <c r="CE16" s="798">
        <v>18336.599999999999</v>
      </c>
      <c r="CF16" s="798">
        <v>18860.857220203667</v>
      </c>
      <c r="CG16" s="798">
        <v>18724.284276744344</v>
      </c>
      <c r="CH16" s="798">
        <v>18993.828575017273</v>
      </c>
      <c r="CI16" s="798">
        <v>18856.082224317812</v>
      </c>
      <c r="CJ16" s="798">
        <v>18226.248924643169</v>
      </c>
      <c r="CK16" s="798">
        <v>17922.009393716118</v>
      </c>
      <c r="CL16" s="798">
        <v>18449.240533725009</v>
      </c>
      <c r="CM16" s="798">
        <v>18406.742793950925</v>
      </c>
      <c r="CN16" s="798">
        <v>18851.370357228552</v>
      </c>
      <c r="CO16" s="798">
        <v>18820.777822266718</v>
      </c>
      <c r="CP16" s="798">
        <v>18693.191711211723</v>
      </c>
      <c r="CQ16" s="798">
        <v>18183.992482762478</v>
      </c>
      <c r="CR16" s="798">
        <v>17877.751643222364</v>
      </c>
      <c r="CS16" s="798">
        <v>17823.429700260869</v>
      </c>
      <c r="CT16" s="798">
        <v>18351.830482071215</v>
      </c>
      <c r="CU16" s="798">
        <v>18598.848188523989</v>
      </c>
      <c r="CV16" s="798">
        <v>18379.344708436111</v>
      </c>
      <c r="CW16" s="798">
        <v>18330.238589575372</v>
      </c>
      <c r="CX16" s="798">
        <v>18440.358206516274</v>
      </c>
      <c r="CY16" s="798">
        <v>18894.183212561518</v>
      </c>
      <c r="CZ16" s="798">
        <v>19259.761815730901</v>
      </c>
      <c r="DA16" s="798">
        <v>18997.031180972597</v>
      </c>
      <c r="DB16" s="799">
        <v>18898.470708671637</v>
      </c>
      <c r="DC16" s="799">
        <v>18945.616429488109</v>
      </c>
      <c r="DD16" s="799">
        <v>17912.264895579603</v>
      </c>
      <c r="DE16" s="799">
        <v>17496.837767628309</v>
      </c>
      <c r="DF16" s="799">
        <v>18108.74757185343</v>
      </c>
      <c r="DG16" s="799">
        <v>17934.633366012738</v>
      </c>
      <c r="DH16" s="799">
        <v>17838.11865534055</v>
      </c>
      <c r="DI16" s="799">
        <v>18132.965736516107</v>
      </c>
      <c r="DJ16" s="799">
        <v>18449.287691422407</v>
      </c>
      <c r="DK16" s="799">
        <v>18492.855223703871</v>
      </c>
      <c r="DL16" s="799">
        <v>18835.989325802708</v>
      </c>
      <c r="DM16" s="799">
        <v>18868.702648661667</v>
      </c>
      <c r="DN16" s="799">
        <v>19001.087390248966</v>
      </c>
      <c r="DO16" s="799">
        <v>21134.499541008798</v>
      </c>
      <c r="DP16" s="799">
        <v>19943.899495790978</v>
      </c>
      <c r="DQ16" s="799">
        <v>19496.039510610968</v>
      </c>
      <c r="DR16" s="799">
        <v>19952.488031717963</v>
      </c>
    </row>
    <row r="17" spans="1:122" ht="15.95" customHeight="1">
      <c r="A17" s="793" t="s">
        <v>2380</v>
      </c>
      <c r="B17" s="787"/>
      <c r="C17" s="584"/>
      <c r="D17" s="584"/>
      <c r="E17" s="596"/>
      <c r="F17" s="584"/>
      <c r="G17" s="584"/>
      <c r="H17" s="664"/>
      <c r="I17" s="664"/>
      <c r="J17" s="664"/>
      <c r="K17" s="593"/>
      <c r="L17" s="664"/>
      <c r="M17" s="664"/>
      <c r="N17" s="664"/>
      <c r="O17" s="593"/>
      <c r="P17" s="664"/>
      <c r="Q17" s="664"/>
      <c r="R17" s="593"/>
      <c r="S17" s="664"/>
      <c r="T17" s="664"/>
      <c r="U17" s="795"/>
      <c r="V17" s="795"/>
      <c r="W17" s="795"/>
      <c r="X17" s="795"/>
      <c r="Y17" s="795"/>
      <c r="Z17" s="795"/>
      <c r="AA17" s="795"/>
      <c r="AB17" s="795"/>
      <c r="AC17" s="795"/>
      <c r="AD17" s="795"/>
      <c r="AE17" s="795"/>
      <c r="AF17" s="795"/>
      <c r="AG17" s="795"/>
      <c r="AH17" s="795"/>
      <c r="AI17" s="795"/>
      <c r="AJ17" s="795"/>
      <c r="AK17" s="795"/>
      <c r="AL17" s="795"/>
      <c r="AM17" s="665"/>
      <c r="AN17" s="665"/>
      <c r="AO17" s="665"/>
      <c r="AP17" s="665"/>
      <c r="AQ17" s="665"/>
      <c r="AR17" s="787"/>
      <c r="AS17" s="787"/>
      <c r="AT17" s="787"/>
      <c r="AU17" s="787"/>
      <c r="AV17" s="787"/>
      <c r="AW17" s="790"/>
      <c r="AX17" s="790"/>
      <c r="AY17" s="790"/>
      <c r="AZ17" s="790"/>
      <c r="BA17" s="790"/>
      <c r="BB17" s="790"/>
      <c r="BC17" s="790"/>
      <c r="BD17" s="790"/>
      <c r="BE17" s="790"/>
      <c r="BF17" s="790"/>
      <c r="BG17" s="790"/>
      <c r="BH17" s="790"/>
      <c r="BI17" s="790"/>
      <c r="BJ17" s="790"/>
      <c r="BK17" s="790"/>
      <c r="BL17" s="790"/>
      <c r="BM17" s="790"/>
      <c r="BN17" s="790"/>
      <c r="BO17" s="790"/>
      <c r="BP17" s="790"/>
      <c r="BQ17" s="790"/>
      <c r="BR17" s="790"/>
      <c r="BS17" s="790"/>
      <c r="BT17" s="790"/>
      <c r="BU17" s="790"/>
      <c r="BV17" s="790"/>
      <c r="BW17" s="790"/>
      <c r="BX17" s="790"/>
      <c r="BY17" s="790"/>
      <c r="BZ17" s="790"/>
      <c r="CA17" s="790"/>
      <c r="CB17" s="790"/>
      <c r="CC17" s="790"/>
      <c r="CD17" s="790"/>
      <c r="CE17" s="790"/>
      <c r="CF17" s="790"/>
      <c r="CG17" s="790"/>
      <c r="CH17" s="790"/>
      <c r="CI17" s="790"/>
      <c r="CJ17" s="790"/>
      <c r="CK17" s="790"/>
      <c r="CL17" s="790"/>
      <c r="CM17" s="790"/>
      <c r="CN17" s="790"/>
      <c r="CO17" s="790"/>
      <c r="CP17" s="790"/>
      <c r="CQ17" s="790"/>
      <c r="CR17" s="790"/>
      <c r="CS17" s="790"/>
      <c r="CT17" s="790"/>
      <c r="CU17" s="790"/>
      <c r="CV17" s="790"/>
      <c r="CW17" s="790"/>
      <c r="CX17" s="790"/>
      <c r="CY17" s="790"/>
      <c r="CZ17" s="790"/>
      <c r="DA17" s="790"/>
      <c r="DB17" s="797"/>
      <c r="DC17" s="797"/>
      <c r="DD17" s="797"/>
      <c r="DE17" s="797"/>
      <c r="DF17" s="797"/>
      <c r="DG17" s="797"/>
      <c r="DH17" s="797"/>
      <c r="DI17" s="797"/>
      <c r="DJ17" s="797"/>
      <c r="DK17" s="797"/>
      <c r="DL17" s="797"/>
      <c r="DM17" s="797"/>
      <c r="DN17" s="797"/>
      <c r="DO17" s="797"/>
      <c r="DP17" s="797"/>
      <c r="DQ17" s="797"/>
      <c r="DR17" s="797"/>
    </row>
    <row r="18" spans="1:122" ht="15.95" customHeight="1">
      <c r="A18" s="793" t="s">
        <v>2391</v>
      </c>
      <c r="B18" s="794">
        <v>6421.5669358070018</v>
      </c>
      <c r="C18" s="664">
        <v>6324.8184922919991</v>
      </c>
      <c r="D18" s="664">
        <v>6371.0477290004001</v>
      </c>
      <c r="E18" s="593">
        <v>6554.8259338320004</v>
      </c>
      <c r="F18" s="664">
        <v>6648.9115428212008</v>
      </c>
      <c r="G18" s="664">
        <v>6566.3850310941998</v>
      </c>
      <c r="H18" s="664">
        <v>6642.6921455748006</v>
      </c>
      <c r="I18" s="664">
        <v>6604.9865242252445</v>
      </c>
      <c r="J18" s="664">
        <v>6822.0359224335007</v>
      </c>
      <c r="K18" s="593">
        <v>6689.3096847376</v>
      </c>
      <c r="L18" s="664">
        <v>6721.9565971809998</v>
      </c>
      <c r="M18" s="664">
        <v>6862.5780050755002</v>
      </c>
      <c r="N18" s="664">
        <v>6820.5352194177094</v>
      </c>
      <c r="O18" s="593">
        <v>6819.1119500296691</v>
      </c>
      <c r="P18" s="664">
        <v>6886.3012160430526</v>
      </c>
      <c r="Q18" s="664">
        <v>6843.6949376955008</v>
      </c>
      <c r="R18" s="593">
        <v>6554.6688527165006</v>
      </c>
      <c r="S18" s="664">
        <v>6517.0629405798009</v>
      </c>
      <c r="T18" s="664">
        <v>6568.8573449567493</v>
      </c>
      <c r="U18" s="795">
        <v>6516.1230905130424</v>
      </c>
      <c r="V18" s="795">
        <v>6520.1931501356066</v>
      </c>
      <c r="W18" s="795">
        <v>6629.6218291027453</v>
      </c>
      <c r="X18" s="795">
        <v>6810.5689520588994</v>
      </c>
      <c r="Y18" s="795">
        <v>6700.0719927361843</v>
      </c>
      <c r="Z18" s="795">
        <v>6548.0026839607963</v>
      </c>
      <c r="AA18" s="795">
        <v>6314.7983003977479</v>
      </c>
      <c r="AB18" s="795">
        <v>6408.6252358217107</v>
      </c>
      <c r="AC18" s="795">
        <v>6255.3272419045661</v>
      </c>
      <c r="AD18" s="795">
        <v>6429.6105864651399</v>
      </c>
      <c r="AE18" s="795">
        <v>6357.2907393572859</v>
      </c>
      <c r="AF18" s="795">
        <v>7361.6034084000376</v>
      </c>
      <c r="AG18" s="795">
        <v>7270.1615865240356</v>
      </c>
      <c r="AH18" s="795">
        <v>7623.1731606270005</v>
      </c>
      <c r="AI18" s="795">
        <v>8037.3410016076441</v>
      </c>
      <c r="AJ18" s="795">
        <v>8212.9837632107647</v>
      </c>
      <c r="AK18" s="795">
        <v>8161.7759606005493</v>
      </c>
      <c r="AL18" s="795">
        <v>8152.5967676630316</v>
      </c>
      <c r="AM18" s="666">
        <v>8059.8936745689307</v>
      </c>
      <c r="AN18" s="666">
        <v>8031.350902160355</v>
      </c>
      <c r="AO18" s="666">
        <v>7974.3109327657749</v>
      </c>
      <c r="AP18" s="666">
        <v>7821.4871787800812</v>
      </c>
      <c r="AQ18" s="666">
        <v>7787.2960040641483</v>
      </c>
      <c r="AR18" s="794">
        <v>7867.5998575879366</v>
      </c>
      <c r="AS18" s="794">
        <v>8061.4666057450013</v>
      </c>
      <c r="AT18" s="794">
        <v>7780.0449218222884</v>
      </c>
      <c r="AU18" s="794">
        <v>8106.7174095898663</v>
      </c>
      <c r="AV18" s="794">
        <v>7937.2986054946632</v>
      </c>
      <c r="AW18" s="587">
        <v>8007.4023657049584</v>
      </c>
      <c r="AX18" s="587">
        <v>7529.9051182653884</v>
      </c>
      <c r="AY18" s="587">
        <v>7214.8248920225087</v>
      </c>
      <c r="AZ18" s="587">
        <v>6927.5923620349549</v>
      </c>
      <c r="BA18" s="587">
        <v>5994.527374635627</v>
      </c>
      <c r="BB18" s="587">
        <v>6045.0747059950345</v>
      </c>
      <c r="BC18" s="587">
        <v>6085.9102960288637</v>
      </c>
      <c r="BD18" s="587">
        <v>6405.9975328534301</v>
      </c>
      <c r="BE18" s="587">
        <v>6244.6843003303948</v>
      </c>
      <c r="BF18" s="587">
        <v>6397.8654384449483</v>
      </c>
      <c r="BG18" s="587">
        <v>6226.9517763919494</v>
      </c>
      <c r="BH18" s="587">
        <v>6190.4963562449038</v>
      </c>
      <c r="BI18" s="587">
        <v>6810.3479113568246</v>
      </c>
      <c r="BJ18" s="587">
        <v>6590.4276584183735</v>
      </c>
      <c r="BK18" s="587">
        <v>6442.2696922167615</v>
      </c>
      <c r="BL18" s="587">
        <v>6455.2528551067753</v>
      </c>
      <c r="BM18" s="587">
        <v>5759.2007563906336</v>
      </c>
      <c r="BN18" s="587">
        <v>5721.1899039115324</v>
      </c>
      <c r="BO18" s="587">
        <v>5817.4626954150817</v>
      </c>
      <c r="BP18" s="587">
        <v>5971.2514640402314</v>
      </c>
      <c r="BQ18" s="587">
        <v>5788.0685281992774</v>
      </c>
      <c r="BR18" s="587">
        <v>6156.854308899965</v>
      </c>
      <c r="BS18" s="587">
        <v>5401.1851574942084</v>
      </c>
      <c r="BT18" s="587">
        <v>5531.6975477769574</v>
      </c>
      <c r="BU18" s="587">
        <v>5626.458207612528</v>
      </c>
      <c r="BV18" s="587">
        <v>5766.7220968955589</v>
      </c>
      <c r="BW18" s="587">
        <v>5590.0182437192234</v>
      </c>
      <c r="BX18" s="587">
        <v>5567.5620432105006</v>
      </c>
      <c r="BY18" s="587">
        <v>5364.3451603548001</v>
      </c>
      <c r="BZ18" s="587">
        <v>5557.7</v>
      </c>
      <c r="CA18" s="587">
        <v>5629.8125112545495</v>
      </c>
      <c r="CB18" s="587">
        <v>5588.2290762989933</v>
      </c>
      <c r="CC18" s="587">
        <v>5999.9534053156622</v>
      </c>
      <c r="CD18" s="587">
        <v>6027.8838510367423</v>
      </c>
      <c r="CE18" s="587">
        <v>6017.9516201170054</v>
      </c>
      <c r="CF18" s="587">
        <v>5970.0875244988547</v>
      </c>
      <c r="CG18" s="587">
        <v>6078.982363871939</v>
      </c>
      <c r="CH18" s="587">
        <v>5906.6396216331241</v>
      </c>
      <c r="CI18" s="587">
        <v>5754.7191249039515</v>
      </c>
      <c r="CJ18" s="587">
        <v>5437.9036514713725</v>
      </c>
      <c r="CK18" s="587">
        <v>5522.3246382217003</v>
      </c>
      <c r="CL18" s="587">
        <v>5409.1874846480841</v>
      </c>
      <c r="CM18" s="587">
        <v>5621.3093491614281</v>
      </c>
      <c r="CN18" s="587">
        <v>5628.5579339821779</v>
      </c>
      <c r="CO18" s="587">
        <v>5577.9067141799442</v>
      </c>
      <c r="CP18" s="587">
        <v>5846.4138055297499</v>
      </c>
      <c r="CQ18" s="587">
        <v>5376.6466365788601</v>
      </c>
      <c r="CR18" s="587">
        <v>5268.9813880271158</v>
      </c>
      <c r="CS18" s="587">
        <v>5515.3447045863149</v>
      </c>
      <c r="CT18" s="587">
        <v>5332.0431792948821</v>
      </c>
      <c r="CU18" s="587">
        <v>5548.9957340258079</v>
      </c>
      <c r="CV18" s="587">
        <v>5240.8112366379055</v>
      </c>
      <c r="CW18" s="587">
        <v>5508.0639393387619</v>
      </c>
      <c r="CX18" s="587">
        <v>5845.6062411162366</v>
      </c>
      <c r="CY18" s="587">
        <v>5716.2689330805952</v>
      </c>
      <c r="CZ18" s="587">
        <v>5987.1794932808461</v>
      </c>
      <c r="DA18" s="587">
        <v>5943.3327978067628</v>
      </c>
      <c r="DB18" s="797">
        <v>6022.3232889861911</v>
      </c>
      <c r="DC18" s="797">
        <v>6014.3638641690941</v>
      </c>
      <c r="DD18" s="797">
        <v>5640.1668837138841</v>
      </c>
      <c r="DE18" s="797">
        <v>5477.9973898309509</v>
      </c>
      <c r="DF18" s="797">
        <v>5507.6387590288032</v>
      </c>
      <c r="DG18" s="797">
        <v>5475.6829797614246</v>
      </c>
      <c r="DH18" s="797">
        <v>5316.795482217678</v>
      </c>
      <c r="DI18" s="797">
        <v>5502.443078696213</v>
      </c>
      <c r="DJ18" s="797">
        <v>5700.9788599859075</v>
      </c>
      <c r="DK18" s="797">
        <v>5685.2054800530332</v>
      </c>
      <c r="DL18" s="797">
        <v>5691.5172930590652</v>
      </c>
      <c r="DM18" s="797">
        <v>5733.2722162396058</v>
      </c>
      <c r="DN18" s="797">
        <v>5736.2876202191928</v>
      </c>
      <c r="DO18" s="797">
        <v>6145.5599656222976</v>
      </c>
      <c r="DP18" s="797">
        <v>5626.3476017651483</v>
      </c>
      <c r="DQ18" s="797">
        <v>5736.8161179448589</v>
      </c>
      <c r="DR18" s="797">
        <v>5559.9406235019305</v>
      </c>
    </row>
    <row r="19" spans="1:122" ht="15.95" customHeight="1">
      <c r="A19" s="793" t="s">
        <v>2392</v>
      </c>
      <c r="B19" s="794">
        <v>138.85489210999998</v>
      </c>
      <c r="C19" s="664">
        <v>148.27613513999998</v>
      </c>
      <c r="D19" s="664">
        <v>134.61671380000001</v>
      </c>
      <c r="E19" s="593">
        <v>212.21990994000004</v>
      </c>
      <c r="F19" s="664">
        <v>203.86604867000003</v>
      </c>
      <c r="G19" s="664">
        <v>195.07282011000001</v>
      </c>
      <c r="H19" s="664">
        <v>194.46434327</v>
      </c>
      <c r="I19" s="664">
        <v>182.35921720000002</v>
      </c>
      <c r="J19" s="664">
        <v>187.11961367000001</v>
      </c>
      <c r="K19" s="593">
        <v>186.248871044634</v>
      </c>
      <c r="L19" s="664">
        <v>186.83081534621698</v>
      </c>
      <c r="M19" s="664">
        <v>261.26687662272701</v>
      </c>
      <c r="N19" s="664">
        <v>251.97590023405999</v>
      </c>
      <c r="O19" s="593">
        <v>250.42081688153598</v>
      </c>
      <c r="P19" s="664">
        <v>245.74961753455798</v>
      </c>
      <c r="Q19" s="664">
        <v>253.9876882717553</v>
      </c>
      <c r="R19" s="593">
        <v>246.27251674849072</v>
      </c>
      <c r="S19" s="664">
        <v>258.24201954692779</v>
      </c>
      <c r="T19" s="664">
        <v>285.54596537306321</v>
      </c>
      <c r="U19" s="795">
        <v>291.70370172516505</v>
      </c>
      <c r="V19" s="795">
        <v>289.30634968537498</v>
      </c>
      <c r="W19" s="795">
        <v>281.54203621612021</v>
      </c>
      <c r="X19" s="795">
        <v>277.71979933924433</v>
      </c>
      <c r="Y19" s="795">
        <v>273.06253809039998</v>
      </c>
      <c r="Z19" s="795">
        <v>275.55471638</v>
      </c>
      <c r="AA19" s="795">
        <v>279.48515727999995</v>
      </c>
      <c r="AB19" s="795">
        <v>273.79721754000002</v>
      </c>
      <c r="AC19" s="795">
        <v>274.85158557</v>
      </c>
      <c r="AD19" s="795">
        <v>277.61515961999999</v>
      </c>
      <c r="AE19" s="795">
        <v>280.64877481000002</v>
      </c>
      <c r="AF19" s="795">
        <v>259.23729545999998</v>
      </c>
      <c r="AG19" s="795">
        <v>263.80886972000002</v>
      </c>
      <c r="AH19" s="795">
        <v>278.75498353999996</v>
      </c>
      <c r="AI19" s="795">
        <v>272.14435952999997</v>
      </c>
      <c r="AJ19" s="795">
        <v>284.53463255999998</v>
      </c>
      <c r="AK19" s="795">
        <v>292.99033835</v>
      </c>
      <c r="AL19" s="795">
        <v>301.15040127000003</v>
      </c>
      <c r="AM19" s="666">
        <v>303.41409723999999</v>
      </c>
      <c r="AN19" s="666">
        <v>313.75466595999995</v>
      </c>
      <c r="AO19" s="666">
        <v>333.50107079999998</v>
      </c>
      <c r="AP19" s="666">
        <v>333.93883268000002</v>
      </c>
      <c r="AQ19" s="666">
        <v>336.66601273999999</v>
      </c>
      <c r="AR19" s="794">
        <v>347.86006934999995</v>
      </c>
      <c r="AS19" s="794">
        <v>343.27714986000001</v>
      </c>
      <c r="AT19" s="794">
        <v>351.28159313999998</v>
      </c>
      <c r="AU19" s="794">
        <v>353.17584396999996</v>
      </c>
      <c r="AV19" s="794">
        <v>329.26821924000001</v>
      </c>
      <c r="AW19" s="587">
        <v>319.52140267999999</v>
      </c>
      <c r="AX19" s="587">
        <v>318.31586227999998</v>
      </c>
      <c r="AY19" s="587">
        <v>299.70672017999999</v>
      </c>
      <c r="AZ19" s="587">
        <v>296.46223694999998</v>
      </c>
      <c r="BA19" s="587">
        <v>346.90650737999999</v>
      </c>
      <c r="BB19" s="587">
        <v>334.84625619000008</v>
      </c>
      <c r="BC19" s="587">
        <v>332.80006118000006</v>
      </c>
      <c r="BD19" s="587">
        <v>328.18962663000002</v>
      </c>
      <c r="BE19" s="587">
        <v>329.87078210999994</v>
      </c>
      <c r="BF19" s="587">
        <v>330.90261285000003</v>
      </c>
      <c r="BG19" s="587">
        <v>321.10917204000003</v>
      </c>
      <c r="BH19" s="587">
        <v>313.49613416000005</v>
      </c>
      <c r="BI19" s="587">
        <v>318.70521374000003</v>
      </c>
      <c r="BJ19" s="587">
        <v>319.53355345000006</v>
      </c>
      <c r="BK19" s="587">
        <v>323.04984411999999</v>
      </c>
      <c r="BL19" s="587">
        <v>316.07159110000003</v>
      </c>
      <c r="BM19" s="587">
        <v>312.38706424999998</v>
      </c>
      <c r="BN19" s="587">
        <v>304.43262015000005</v>
      </c>
      <c r="BO19" s="587">
        <v>319.20538561000001</v>
      </c>
      <c r="BP19" s="587">
        <v>313.23055116</v>
      </c>
      <c r="BQ19" s="587">
        <v>308.35861617</v>
      </c>
      <c r="BR19" s="587">
        <v>305.43852349000002</v>
      </c>
      <c r="BS19" s="587">
        <v>292.23232858999995</v>
      </c>
      <c r="BT19" s="587">
        <v>314.92990200999998</v>
      </c>
      <c r="BU19" s="587">
        <v>303.39258532999997</v>
      </c>
      <c r="BV19" s="587">
        <v>302.99810619000004</v>
      </c>
      <c r="BW19" s="587">
        <v>308.04860961000003</v>
      </c>
      <c r="BX19" s="587">
        <v>300.13066400000002</v>
      </c>
      <c r="BY19" s="587">
        <v>298.19146899999998</v>
      </c>
      <c r="BZ19" s="587">
        <v>300.2</v>
      </c>
      <c r="CA19" s="587">
        <v>290.87225574000001</v>
      </c>
      <c r="CB19" s="587">
        <v>298.00061706999998</v>
      </c>
      <c r="CC19" s="587">
        <v>308.50319135000007</v>
      </c>
      <c r="CD19" s="587">
        <v>280.54186390000007</v>
      </c>
      <c r="CE19" s="587">
        <v>277.91630965339851</v>
      </c>
      <c r="CF19" s="587">
        <v>280.25982320999998</v>
      </c>
      <c r="CG19" s="587">
        <v>287.12474550000007</v>
      </c>
      <c r="CH19" s="587">
        <v>290.47107575000001</v>
      </c>
      <c r="CI19" s="587">
        <v>280.67816888999999</v>
      </c>
      <c r="CJ19" s="587">
        <v>289.21275774999998</v>
      </c>
      <c r="CK19" s="587">
        <v>293.32046170000001</v>
      </c>
      <c r="CL19" s="587">
        <v>290.97091080000001</v>
      </c>
      <c r="CM19" s="587">
        <v>337.16702921000001</v>
      </c>
      <c r="CN19" s="587">
        <v>332.18999671</v>
      </c>
      <c r="CO19" s="587">
        <v>320.54604092999995</v>
      </c>
      <c r="CP19" s="587">
        <v>332.86818944999999</v>
      </c>
      <c r="CQ19" s="587">
        <v>336.57144024000002</v>
      </c>
      <c r="CR19" s="587">
        <v>335.99884419</v>
      </c>
      <c r="CS19" s="587">
        <v>328.35041749999999</v>
      </c>
      <c r="CT19" s="587">
        <v>333.62281708</v>
      </c>
      <c r="CU19" s="587">
        <v>343.08930430000004</v>
      </c>
      <c r="CV19" s="587">
        <v>341.66049967000004</v>
      </c>
      <c r="CW19" s="587">
        <v>421.73452457000002</v>
      </c>
      <c r="CX19" s="587">
        <v>396.39289667795003</v>
      </c>
      <c r="CY19" s="587">
        <v>360.80222709000077</v>
      </c>
      <c r="CZ19" s="587">
        <v>355.14369025999997</v>
      </c>
      <c r="DA19" s="587">
        <v>355.13411808999996</v>
      </c>
      <c r="DB19" s="797">
        <v>344.58496890999999</v>
      </c>
      <c r="DC19" s="797">
        <v>343.31268928999998</v>
      </c>
      <c r="DD19" s="797">
        <v>345.48150771999997</v>
      </c>
      <c r="DE19" s="797">
        <v>345.53046938</v>
      </c>
      <c r="DF19" s="797">
        <v>439.13224400809634</v>
      </c>
      <c r="DG19" s="797">
        <v>442.54314749936265</v>
      </c>
      <c r="DH19" s="797">
        <v>443.90767742808902</v>
      </c>
      <c r="DI19" s="797">
        <v>433.72441759523326</v>
      </c>
      <c r="DJ19" s="797">
        <v>441.12266202745661</v>
      </c>
      <c r="DK19" s="797">
        <v>438.34322847324336</v>
      </c>
      <c r="DL19" s="797">
        <v>421.1729382495663</v>
      </c>
      <c r="DM19" s="797">
        <v>407.23393486603999</v>
      </c>
      <c r="DN19" s="797">
        <v>395.86789376091997</v>
      </c>
      <c r="DO19" s="797">
        <v>257.68350261850395</v>
      </c>
      <c r="DP19" s="797">
        <v>306.81398545748505</v>
      </c>
      <c r="DQ19" s="797">
        <v>255.92058400706927</v>
      </c>
      <c r="DR19" s="797">
        <v>259.40996277034458</v>
      </c>
    </row>
    <row r="20" spans="1:122" ht="15.95" customHeight="1">
      <c r="A20" s="793" t="s">
        <v>2393</v>
      </c>
      <c r="B20" s="794">
        <v>276.44491083000003</v>
      </c>
      <c r="C20" s="664">
        <v>306.37750648000002</v>
      </c>
      <c r="D20" s="664">
        <v>243.57221333999999</v>
      </c>
      <c r="E20" s="593">
        <v>312.08794169000004</v>
      </c>
      <c r="F20" s="664">
        <v>257.62005626000001</v>
      </c>
      <c r="G20" s="664">
        <v>258.52928133999995</v>
      </c>
      <c r="H20" s="664">
        <v>241.98951268000002</v>
      </c>
      <c r="I20" s="664">
        <v>268.19179783999999</v>
      </c>
      <c r="J20" s="664">
        <v>271.56523262999997</v>
      </c>
      <c r="K20" s="593">
        <v>275.36472774999999</v>
      </c>
      <c r="L20" s="664">
        <v>273.00855947000002</v>
      </c>
      <c r="M20" s="664">
        <v>251.21573462999999</v>
      </c>
      <c r="N20" s="664">
        <v>261.69274497999999</v>
      </c>
      <c r="O20" s="593">
        <v>244.57882626999998</v>
      </c>
      <c r="P20" s="664">
        <v>247.15877481999999</v>
      </c>
      <c r="Q20" s="664">
        <v>242.4983488</v>
      </c>
      <c r="R20" s="593">
        <v>215.29967088999999</v>
      </c>
      <c r="S20" s="664">
        <v>231.59919538999998</v>
      </c>
      <c r="T20" s="664">
        <v>221.87802015</v>
      </c>
      <c r="U20" s="795">
        <v>221.94243396999997</v>
      </c>
      <c r="V20" s="795">
        <v>218.45564302999998</v>
      </c>
      <c r="W20" s="795">
        <v>225.60243971</v>
      </c>
      <c r="X20" s="795">
        <v>243.12970761999998</v>
      </c>
      <c r="Y20" s="795">
        <v>208.83149059000002</v>
      </c>
      <c r="Z20" s="795">
        <v>213.14265925999999</v>
      </c>
      <c r="AA20" s="795">
        <v>193.02688688999999</v>
      </c>
      <c r="AB20" s="795">
        <v>184.71315658999998</v>
      </c>
      <c r="AC20" s="795">
        <v>184.38120856</v>
      </c>
      <c r="AD20" s="795">
        <v>196.54537557</v>
      </c>
      <c r="AE20" s="795">
        <v>175.26371760000001</v>
      </c>
      <c r="AF20" s="795">
        <v>180.53157415999999</v>
      </c>
      <c r="AG20" s="795">
        <v>176.39680085000001</v>
      </c>
      <c r="AH20" s="795">
        <v>161.96219213000001</v>
      </c>
      <c r="AI20" s="795">
        <v>146.83943991000001</v>
      </c>
      <c r="AJ20" s="795">
        <v>140.25392563</v>
      </c>
      <c r="AK20" s="795">
        <v>169.75915180999999</v>
      </c>
      <c r="AL20" s="795">
        <v>122.29730456999999</v>
      </c>
      <c r="AM20" s="666">
        <v>129.57640012000002</v>
      </c>
      <c r="AN20" s="666">
        <v>138.44886511999999</v>
      </c>
      <c r="AO20" s="666">
        <v>131.93976994000002</v>
      </c>
      <c r="AP20" s="666">
        <v>190.75842560640001</v>
      </c>
      <c r="AQ20" s="666">
        <v>145.63941756559998</v>
      </c>
      <c r="AR20" s="794">
        <v>180.75238203399999</v>
      </c>
      <c r="AS20" s="794">
        <v>199.89060917</v>
      </c>
      <c r="AT20" s="794">
        <v>157.22392909279998</v>
      </c>
      <c r="AU20" s="794">
        <v>148.55100460719999</v>
      </c>
      <c r="AV20" s="794">
        <v>141.68522031500001</v>
      </c>
      <c r="AW20" s="587">
        <v>138.00797469919996</v>
      </c>
      <c r="AX20" s="587">
        <v>144.03070833840002</v>
      </c>
      <c r="AY20" s="587">
        <v>132.16810322700002</v>
      </c>
      <c r="AZ20" s="587">
        <v>132.93069107860001</v>
      </c>
      <c r="BA20" s="587">
        <v>120.0495119334</v>
      </c>
      <c r="BB20" s="587">
        <v>143.6611872606</v>
      </c>
      <c r="BC20" s="587">
        <v>125.2573348836</v>
      </c>
      <c r="BD20" s="587">
        <v>129.90427214179999</v>
      </c>
      <c r="BE20" s="587">
        <v>131.7232828464</v>
      </c>
      <c r="BF20" s="587">
        <v>138.23574976499998</v>
      </c>
      <c r="BG20" s="587">
        <v>134.48523317600001</v>
      </c>
      <c r="BH20" s="587">
        <v>131.6389728966</v>
      </c>
      <c r="BI20" s="587">
        <v>133.76119466109998</v>
      </c>
      <c r="BJ20" s="587">
        <v>132.67537961599999</v>
      </c>
      <c r="BK20" s="587">
        <v>122.1311442624</v>
      </c>
      <c r="BL20" s="587">
        <v>120.9588318551</v>
      </c>
      <c r="BM20" s="587">
        <v>165.34910955439997</v>
      </c>
      <c r="BN20" s="587">
        <v>127.77340628764999</v>
      </c>
      <c r="BO20" s="587">
        <v>141.08880407999999</v>
      </c>
      <c r="BP20" s="587">
        <v>133.22813752940002</v>
      </c>
      <c r="BQ20" s="587">
        <v>146.51341037620003</v>
      </c>
      <c r="BR20" s="587">
        <v>127.8827389123</v>
      </c>
      <c r="BS20" s="587">
        <v>105.11272488319999</v>
      </c>
      <c r="BT20" s="587">
        <v>136.940728540815</v>
      </c>
      <c r="BU20" s="587">
        <v>136.51535997118</v>
      </c>
      <c r="BV20" s="587">
        <v>106.550901257608</v>
      </c>
      <c r="BW20" s="587">
        <v>102.339795572185</v>
      </c>
      <c r="BX20" s="587">
        <v>155.47867213699999</v>
      </c>
      <c r="BY20" s="587">
        <v>91.68703838479999</v>
      </c>
      <c r="BZ20" s="587">
        <v>98.7</v>
      </c>
      <c r="CA20" s="587">
        <v>128.0294903315</v>
      </c>
      <c r="CB20" s="587">
        <v>137.38499084599999</v>
      </c>
      <c r="CC20" s="587">
        <v>114.37812670229999</v>
      </c>
      <c r="CD20" s="587">
        <v>117.72582863228601</v>
      </c>
      <c r="CE20" s="587">
        <v>172.62476131544253</v>
      </c>
      <c r="CF20" s="587">
        <v>175.64843573153996</v>
      </c>
      <c r="CG20" s="587">
        <v>181.36596354</v>
      </c>
      <c r="CH20" s="587">
        <v>170.23130646999999</v>
      </c>
      <c r="CI20" s="587">
        <v>184.36512755999996</v>
      </c>
      <c r="CJ20" s="587">
        <v>173.68868190999999</v>
      </c>
      <c r="CK20" s="587">
        <v>143.40061158999998</v>
      </c>
      <c r="CL20" s="587">
        <v>149.84601866</v>
      </c>
      <c r="CM20" s="587">
        <v>136.75497342</v>
      </c>
      <c r="CN20" s="587">
        <v>134.60706868</v>
      </c>
      <c r="CO20" s="587">
        <v>135.42411009</v>
      </c>
      <c r="CP20" s="587">
        <v>135.70315432000001</v>
      </c>
      <c r="CQ20" s="587">
        <v>136.04548943</v>
      </c>
      <c r="CR20" s="587">
        <v>137.84617222999998</v>
      </c>
      <c r="CS20" s="587">
        <v>124.14902909</v>
      </c>
      <c r="CT20" s="587">
        <v>41.954821370000005</v>
      </c>
      <c r="CU20" s="587">
        <v>38.448148930000002</v>
      </c>
      <c r="CV20" s="587">
        <v>43.288369060000001</v>
      </c>
      <c r="CW20" s="587">
        <v>49.770474329999999</v>
      </c>
      <c r="CX20" s="587">
        <v>39.737164829999998</v>
      </c>
      <c r="CY20" s="587">
        <v>44.202998799999996</v>
      </c>
      <c r="CZ20" s="587">
        <v>48.233946809999999</v>
      </c>
      <c r="DA20" s="587">
        <v>50.665850950000006</v>
      </c>
      <c r="DB20" s="797">
        <v>43.092771230000004</v>
      </c>
      <c r="DC20" s="797">
        <v>41.055546120000002</v>
      </c>
      <c r="DD20" s="797">
        <v>40.725070420000002</v>
      </c>
      <c r="DE20" s="797">
        <v>39.299167329999996</v>
      </c>
      <c r="DF20" s="797">
        <v>43.473477240000001</v>
      </c>
      <c r="DG20" s="797">
        <v>45.722003590000007</v>
      </c>
      <c r="DH20" s="797">
        <v>42.850456940000001</v>
      </c>
      <c r="DI20" s="797">
        <v>45.012002590000002</v>
      </c>
      <c r="DJ20" s="797">
        <v>46.455348220000005</v>
      </c>
      <c r="DK20" s="797">
        <v>48.546400900000009</v>
      </c>
      <c r="DL20" s="797">
        <v>49.771376500000002</v>
      </c>
      <c r="DM20" s="797">
        <v>51.029372330000001</v>
      </c>
      <c r="DN20" s="797">
        <v>44.618266010000006</v>
      </c>
      <c r="DO20" s="797">
        <v>41.573568359999996</v>
      </c>
      <c r="DP20" s="797">
        <v>40.741067739999991</v>
      </c>
      <c r="DQ20" s="797">
        <v>39.801693089999993</v>
      </c>
      <c r="DR20" s="797">
        <v>37.776185460000001</v>
      </c>
    </row>
    <row r="21" spans="1:122" ht="15.95" customHeight="1">
      <c r="A21" s="793" t="s">
        <v>2394</v>
      </c>
      <c r="B21" s="794">
        <v>104.40851929999999</v>
      </c>
      <c r="C21" s="664">
        <v>104.55040751</v>
      </c>
      <c r="D21" s="664">
        <v>99.609989259999992</v>
      </c>
      <c r="E21" s="593">
        <v>105.21279042999998</v>
      </c>
      <c r="F21" s="664">
        <v>106.52636661</v>
      </c>
      <c r="G21" s="664">
        <v>101.78248473000001</v>
      </c>
      <c r="H21" s="664">
        <v>88.594561300000009</v>
      </c>
      <c r="I21" s="664">
        <v>88.440827249999998</v>
      </c>
      <c r="J21" s="664">
        <v>93.159487220000003</v>
      </c>
      <c r="K21" s="593">
        <v>90.942473019999994</v>
      </c>
      <c r="L21" s="664">
        <v>92.302947590000002</v>
      </c>
      <c r="M21" s="664">
        <v>86.172839010000004</v>
      </c>
      <c r="N21" s="664">
        <v>89.038623099999995</v>
      </c>
      <c r="O21" s="593">
        <v>89.623108579999993</v>
      </c>
      <c r="P21" s="664">
        <v>90.958911860000001</v>
      </c>
      <c r="Q21" s="664">
        <v>92.694062560000006</v>
      </c>
      <c r="R21" s="593">
        <v>101.79013646000001</v>
      </c>
      <c r="S21" s="664">
        <v>105.82229007000001</v>
      </c>
      <c r="T21" s="664">
        <v>101.88911985999999</v>
      </c>
      <c r="U21" s="795">
        <v>103.65953629999998</v>
      </c>
      <c r="V21" s="795">
        <v>105.28219946000002</v>
      </c>
      <c r="W21" s="795">
        <v>103.44274334000001</v>
      </c>
      <c r="X21" s="795">
        <v>117.68621528999999</v>
      </c>
      <c r="Y21" s="795">
        <v>116.94500146999999</v>
      </c>
      <c r="Z21" s="795">
        <v>107.16600543000001</v>
      </c>
      <c r="AA21" s="795">
        <v>120.31747409011601</v>
      </c>
      <c r="AB21" s="795">
        <v>104.43781644999999</v>
      </c>
      <c r="AC21" s="795">
        <v>105.22339774000001</v>
      </c>
      <c r="AD21" s="795">
        <v>113.11469551999998</v>
      </c>
      <c r="AE21" s="795">
        <v>106.51552876</v>
      </c>
      <c r="AF21" s="795">
        <v>99.130529420000016</v>
      </c>
      <c r="AG21" s="795">
        <v>90.549549930000012</v>
      </c>
      <c r="AH21" s="795">
        <v>103.08974633</v>
      </c>
      <c r="AI21" s="795">
        <v>104.77013700000001</v>
      </c>
      <c r="AJ21" s="795">
        <v>103.78381627999998</v>
      </c>
      <c r="AK21" s="795">
        <v>106.40519684</v>
      </c>
      <c r="AL21" s="795">
        <v>110.62750362</v>
      </c>
      <c r="AM21" s="666">
        <v>109.99691215999999</v>
      </c>
      <c r="AN21" s="666">
        <v>119.24129906</v>
      </c>
      <c r="AO21" s="666">
        <v>126.19268574000002</v>
      </c>
      <c r="AP21" s="666">
        <v>130.19509137890003</v>
      </c>
      <c r="AQ21" s="666">
        <v>137.41955950100001</v>
      </c>
      <c r="AR21" s="794">
        <v>134.95348494439997</v>
      </c>
      <c r="AS21" s="794">
        <v>119.36787475999999</v>
      </c>
      <c r="AT21" s="794">
        <v>138.80503167159998</v>
      </c>
      <c r="AU21" s="794">
        <v>160.85609504920001</v>
      </c>
      <c r="AV21" s="794">
        <v>187.89963060700001</v>
      </c>
      <c r="AW21" s="587">
        <v>198.8907039792</v>
      </c>
      <c r="AX21" s="587">
        <v>208.31462698159999</v>
      </c>
      <c r="AY21" s="587">
        <v>214.79564748409999</v>
      </c>
      <c r="AZ21" s="587">
        <v>223.45061589190004</v>
      </c>
      <c r="BA21" s="587">
        <v>240.51518051020003</v>
      </c>
      <c r="BB21" s="587">
        <v>242.07196230279999</v>
      </c>
      <c r="BC21" s="587">
        <v>262.89564620319999</v>
      </c>
      <c r="BD21" s="587">
        <v>263.97111212239997</v>
      </c>
      <c r="BE21" s="587">
        <v>153.41545305390002</v>
      </c>
      <c r="BF21" s="587">
        <v>187.27949836500002</v>
      </c>
      <c r="BG21" s="587">
        <v>185.63011042000002</v>
      </c>
      <c r="BH21" s="587">
        <v>221.1950818848</v>
      </c>
      <c r="BI21" s="587">
        <v>233.47199871740003</v>
      </c>
      <c r="BJ21" s="587">
        <v>253.37233183610002</v>
      </c>
      <c r="BK21" s="587">
        <v>310.5742006365</v>
      </c>
      <c r="BL21" s="587">
        <v>339.23365504960003</v>
      </c>
      <c r="BM21" s="587">
        <v>328.87973178179999</v>
      </c>
      <c r="BN21" s="587">
        <v>302.32173629719995</v>
      </c>
      <c r="BO21" s="587">
        <v>293.95450070480001</v>
      </c>
      <c r="BP21" s="587">
        <v>297.48632536280002</v>
      </c>
      <c r="BQ21" s="587">
        <v>324.12527294900002</v>
      </c>
      <c r="BR21" s="587">
        <v>316.87560830360002</v>
      </c>
      <c r="BS21" s="587">
        <v>330.63767776919997</v>
      </c>
      <c r="BT21" s="587">
        <v>327.65265361113501</v>
      </c>
      <c r="BU21" s="587">
        <v>331.20310557582002</v>
      </c>
      <c r="BV21" s="587">
        <v>334.06467780099598</v>
      </c>
      <c r="BW21" s="587">
        <v>330.22554825527504</v>
      </c>
      <c r="BX21" s="587">
        <v>330.05576037399999</v>
      </c>
      <c r="BY21" s="587">
        <v>312.96608815159993</v>
      </c>
      <c r="BZ21" s="587">
        <v>297.39999999999998</v>
      </c>
      <c r="CA21" s="587">
        <v>299.28382770249993</v>
      </c>
      <c r="CB21" s="587">
        <v>199.54072833200001</v>
      </c>
      <c r="CC21" s="587">
        <v>194.22678723857496</v>
      </c>
      <c r="CD21" s="587">
        <v>200.81396609369997</v>
      </c>
      <c r="CE21" s="587">
        <v>282.79977310974158</v>
      </c>
      <c r="CF21" s="587">
        <v>288.90716723071398</v>
      </c>
      <c r="CG21" s="587">
        <v>284.26708552843002</v>
      </c>
      <c r="CH21" s="587">
        <v>285.86565267000003</v>
      </c>
      <c r="CI21" s="587">
        <v>316.78720421000003</v>
      </c>
      <c r="CJ21" s="587">
        <v>318.78490196999996</v>
      </c>
      <c r="CK21" s="587">
        <v>322.03550030999997</v>
      </c>
      <c r="CL21" s="587">
        <v>317.66498896000002</v>
      </c>
      <c r="CM21" s="587">
        <v>290.90532217999998</v>
      </c>
      <c r="CN21" s="587">
        <v>279.58508832000001</v>
      </c>
      <c r="CO21" s="587">
        <v>292.5331597</v>
      </c>
      <c r="CP21" s="587">
        <v>280.61683574</v>
      </c>
      <c r="CQ21" s="587">
        <v>283.48370676000002</v>
      </c>
      <c r="CR21" s="587">
        <v>283.52283692999998</v>
      </c>
      <c r="CS21" s="587">
        <v>269.65853236000004</v>
      </c>
      <c r="CT21" s="587">
        <v>260.40572817999998</v>
      </c>
      <c r="CU21" s="587">
        <v>283.00367335999999</v>
      </c>
      <c r="CV21" s="587">
        <v>280.90835049999998</v>
      </c>
      <c r="CW21" s="587">
        <v>313.37198799999999</v>
      </c>
      <c r="CX21" s="587">
        <v>276.44471893999997</v>
      </c>
      <c r="CY21" s="587">
        <v>240.29859966000004</v>
      </c>
      <c r="CZ21" s="587">
        <v>229.32059407999998</v>
      </c>
      <c r="DA21" s="587">
        <v>227.33415633000001</v>
      </c>
      <c r="DB21" s="797">
        <v>249.40577575999998</v>
      </c>
      <c r="DC21" s="797">
        <v>247.17154316000003</v>
      </c>
      <c r="DD21" s="797">
        <v>226.72742823999997</v>
      </c>
      <c r="DE21" s="797">
        <v>233.86841428000002</v>
      </c>
      <c r="DF21" s="797">
        <v>251.12313660999999</v>
      </c>
      <c r="DG21" s="797">
        <v>229.80023698999997</v>
      </c>
      <c r="DH21" s="797">
        <v>243.52353178999999</v>
      </c>
      <c r="DI21" s="797">
        <v>245.38884014000004</v>
      </c>
      <c r="DJ21" s="797">
        <v>243.96969350000001</v>
      </c>
      <c r="DK21" s="797">
        <v>250.17133093999999</v>
      </c>
      <c r="DL21" s="797">
        <v>253.95410601999998</v>
      </c>
      <c r="DM21" s="797">
        <v>238.99940998000002</v>
      </c>
      <c r="DN21" s="797">
        <v>240.78370261999999</v>
      </c>
      <c r="DO21" s="797">
        <v>261.42797278</v>
      </c>
      <c r="DP21" s="797">
        <v>299.81998456999997</v>
      </c>
      <c r="DQ21" s="797">
        <v>307.97452128999998</v>
      </c>
      <c r="DR21" s="797">
        <v>309.43285763</v>
      </c>
    </row>
    <row r="22" spans="1:122" ht="15.95" customHeight="1">
      <c r="A22" s="793" t="s">
        <v>2395</v>
      </c>
      <c r="B22" s="794">
        <v>0.80228100000000002</v>
      </c>
      <c r="C22" s="664">
        <v>30.47741418</v>
      </c>
      <c r="D22" s="664">
        <v>28.236809300000001</v>
      </c>
      <c r="E22" s="593">
        <v>34.175090300000001</v>
      </c>
      <c r="F22" s="664">
        <v>34.517989890000003</v>
      </c>
      <c r="G22" s="664">
        <v>30.331252599999999</v>
      </c>
      <c r="H22" s="664">
        <v>6.4989061799999996</v>
      </c>
      <c r="I22" s="664">
        <v>0.82735038000000005</v>
      </c>
      <c r="J22" s="664">
        <v>0.83010527000000001</v>
      </c>
      <c r="K22" s="593">
        <v>0.84329633999999998</v>
      </c>
      <c r="L22" s="664">
        <v>2.6548009999999997E-2</v>
      </c>
      <c r="M22" s="664">
        <v>0</v>
      </c>
      <c r="N22" s="664">
        <v>1.0000000000000001E-5</v>
      </c>
      <c r="O22" s="593">
        <v>1.0000000000000001E-5</v>
      </c>
      <c r="P22" s="664">
        <v>1.0000000000000001E-5</v>
      </c>
      <c r="Q22" s="664">
        <v>1.0000000000000001E-5</v>
      </c>
      <c r="R22" s="593">
        <v>1.0000000000000001E-5</v>
      </c>
      <c r="S22" s="664">
        <v>0</v>
      </c>
      <c r="T22" s="664">
        <v>0</v>
      </c>
      <c r="U22" s="795">
        <v>1.0000000000000001E-5</v>
      </c>
      <c r="V22" s="795">
        <v>0</v>
      </c>
      <c r="W22" s="795">
        <v>0</v>
      </c>
      <c r="X22" s="795">
        <v>1.9000000000000001E-5</v>
      </c>
      <c r="Y22" s="795">
        <v>4.5000000000000003E-5</v>
      </c>
      <c r="Z22" s="795">
        <v>1.0000000000000001E-5</v>
      </c>
      <c r="AA22" s="795">
        <v>1.0000000000000001E-5</v>
      </c>
      <c r="AB22" s="795">
        <v>1.0000000000000001E-5</v>
      </c>
      <c r="AC22" s="795">
        <v>1.0000000000000001E-5</v>
      </c>
      <c r="AD22" s="795">
        <v>6.0000000000000002E-5</v>
      </c>
      <c r="AE22" s="795">
        <v>1.0000000000000001E-5</v>
      </c>
      <c r="AF22" s="795">
        <v>1.0000000000000001E-5</v>
      </c>
      <c r="AG22" s="795">
        <v>1.3000100000000001</v>
      </c>
      <c r="AH22" s="795">
        <v>1.8382238500000001</v>
      </c>
      <c r="AI22" s="795">
        <v>1.7880243399999998</v>
      </c>
      <c r="AJ22" s="795">
        <v>1.8053049500000002</v>
      </c>
      <c r="AK22" s="795">
        <v>1.7497909599999999</v>
      </c>
      <c r="AL22" s="795">
        <v>1.7736643999999999</v>
      </c>
      <c r="AM22" s="666">
        <v>1.75069304</v>
      </c>
      <c r="AN22" s="666">
        <v>2.4556074100000003</v>
      </c>
      <c r="AO22" s="666">
        <v>1.6972376400000002</v>
      </c>
      <c r="AP22" s="666">
        <v>1.6654160999999998</v>
      </c>
      <c r="AQ22" s="666">
        <v>1.6799050499999999</v>
      </c>
      <c r="AR22" s="794">
        <v>1.63032793</v>
      </c>
      <c r="AS22" s="794">
        <v>1.59566527</v>
      </c>
      <c r="AT22" s="794">
        <v>3.4489414299999996</v>
      </c>
      <c r="AU22" s="794">
        <v>5.1512396599999999</v>
      </c>
      <c r="AV22" s="794">
        <v>5.2326767599999995</v>
      </c>
      <c r="AW22" s="587">
        <v>5.2159201699999995</v>
      </c>
      <c r="AX22" s="587">
        <v>5.04778196</v>
      </c>
      <c r="AY22" s="587">
        <v>5.0302559599999999</v>
      </c>
      <c r="AZ22" s="587">
        <v>4.765384870000001</v>
      </c>
      <c r="BA22" s="587">
        <v>4.8406996500000004</v>
      </c>
      <c r="BB22" s="587">
        <v>3.6540787400000001</v>
      </c>
      <c r="BC22" s="587">
        <v>3.2082282000000002</v>
      </c>
      <c r="BD22" s="587">
        <v>3.4738220000000002</v>
      </c>
      <c r="BE22" s="587">
        <v>3.8759674699999995</v>
      </c>
      <c r="BF22" s="587">
        <v>3.3882234799999997</v>
      </c>
      <c r="BG22" s="587">
        <v>2.5465515700000001</v>
      </c>
      <c r="BH22" s="587">
        <v>2.5474292000000003</v>
      </c>
      <c r="BI22" s="587">
        <v>2.56356121</v>
      </c>
      <c r="BJ22" s="587">
        <v>2.4115855900000001</v>
      </c>
      <c r="BK22" s="587">
        <v>3.73856067</v>
      </c>
      <c r="BL22" s="587">
        <v>2.7912285300000002</v>
      </c>
      <c r="BM22" s="587">
        <v>2.5167162800000002</v>
      </c>
      <c r="BN22" s="587">
        <v>2.2000520799999999</v>
      </c>
      <c r="BO22" s="587">
        <v>2.3533573399999996</v>
      </c>
      <c r="BP22" s="587">
        <v>1.7544579100000002</v>
      </c>
      <c r="BQ22" s="587">
        <v>2.2750947699999999</v>
      </c>
      <c r="BR22" s="587">
        <v>1.76657446</v>
      </c>
      <c r="BS22" s="587">
        <v>1.2005348900000001</v>
      </c>
      <c r="BT22" s="587">
        <v>1.19714582</v>
      </c>
      <c r="BU22" s="587">
        <v>1.2018406500000001</v>
      </c>
      <c r="BV22" s="587">
        <v>1.15193429</v>
      </c>
      <c r="BW22" s="587">
        <v>1.1729191800000001</v>
      </c>
      <c r="BX22" s="587">
        <v>1.1391100000000001</v>
      </c>
      <c r="BY22" s="587">
        <v>0.97723400000000005</v>
      </c>
      <c r="BZ22" s="587">
        <v>1</v>
      </c>
      <c r="CA22" s="587">
        <v>0.96363017000000006</v>
      </c>
      <c r="CB22" s="587">
        <v>5.1566000000000001E-2</v>
      </c>
      <c r="CC22" s="587">
        <v>2.5902000000000001E-2</v>
      </c>
      <c r="CD22" s="587">
        <v>0.65682448000000004</v>
      </c>
      <c r="CE22" s="587">
        <v>0.64907747999999998</v>
      </c>
      <c r="CF22" s="587">
        <v>0.64907747999999998</v>
      </c>
      <c r="CG22" s="587">
        <v>0.64907747999999998</v>
      </c>
      <c r="CH22" s="587">
        <v>9.9999999999999995E-7</v>
      </c>
      <c r="CI22" s="587">
        <v>9.9999999999999995E-7</v>
      </c>
      <c r="CJ22" s="587">
        <v>9.9999999999999995E-7</v>
      </c>
      <c r="CK22" s="587">
        <v>9.9999999999999995E-7</v>
      </c>
      <c r="CL22" s="587">
        <v>9.9999999999999995E-7</v>
      </c>
      <c r="CM22" s="587">
        <v>9.9999999999999995E-7</v>
      </c>
      <c r="CN22" s="587">
        <v>9.9999999999999995E-7</v>
      </c>
      <c r="CO22" s="587">
        <v>9.9999999999999995E-7</v>
      </c>
      <c r="CP22" s="587">
        <v>9.9999999999999995E-7</v>
      </c>
      <c r="CQ22" s="587">
        <v>9.9999999999999995E-7</v>
      </c>
      <c r="CR22" s="587">
        <v>9.9999999999999995E-7</v>
      </c>
      <c r="CS22" s="587">
        <v>9.9999999999999995E-7</v>
      </c>
      <c r="CT22" s="587">
        <v>9.9999999999999995E-7</v>
      </c>
      <c r="CU22" s="587">
        <v>9.9999999999999995E-7</v>
      </c>
      <c r="CV22" s="587">
        <v>9.9999999999999995E-7</v>
      </c>
      <c r="CW22" s="587">
        <v>0</v>
      </c>
      <c r="CX22" s="587">
        <v>0</v>
      </c>
      <c r="CY22" s="587">
        <v>0</v>
      </c>
      <c r="CZ22" s="587">
        <v>0</v>
      </c>
      <c r="DA22" s="587">
        <v>0</v>
      </c>
      <c r="DB22" s="797">
        <v>0</v>
      </c>
      <c r="DC22" s="797">
        <v>0</v>
      </c>
      <c r="DD22" s="797">
        <v>2.0100000000000001E-4</v>
      </c>
      <c r="DE22" s="797">
        <v>2.0100000000000001E-4</v>
      </c>
      <c r="DF22" s="797">
        <v>4.0099999999999999E-4</v>
      </c>
      <c r="DG22" s="797">
        <v>5.0100000000000003E-4</v>
      </c>
      <c r="DH22" s="797">
        <v>5.0100000000000003E-4</v>
      </c>
      <c r="DI22" s="797">
        <v>7.0100000000000002E-4</v>
      </c>
      <c r="DJ22" s="797">
        <v>8.0099999999999995E-4</v>
      </c>
      <c r="DK22" s="797">
        <v>8.0099999999999995E-4</v>
      </c>
      <c r="DL22" s="797">
        <v>1.0009999999999999E-3</v>
      </c>
      <c r="DM22" s="797">
        <v>1.0009999999999999E-3</v>
      </c>
      <c r="DN22" s="797">
        <v>1.101E-3</v>
      </c>
      <c r="DO22" s="797">
        <v>1.3010000000000001E-3</v>
      </c>
      <c r="DP22" s="797">
        <v>1.5009999999999999E-3</v>
      </c>
      <c r="DQ22" s="797">
        <v>1.5009999999999999E-3</v>
      </c>
      <c r="DR22" s="797">
        <v>1.9009999999999999E-3</v>
      </c>
    </row>
    <row r="23" spans="1:122" ht="15.95" customHeight="1">
      <c r="A23" s="793" t="s">
        <v>2396</v>
      </c>
      <c r="B23" s="794">
        <v>397.37325458999999</v>
      </c>
      <c r="C23" s="664">
        <v>440.0416755466</v>
      </c>
      <c r="D23" s="664">
        <v>416.84627105280003</v>
      </c>
      <c r="E23" s="593">
        <v>403.43990376530002</v>
      </c>
      <c r="F23" s="664">
        <v>389.61606318360003</v>
      </c>
      <c r="G23" s="664">
        <v>387.40364539940271</v>
      </c>
      <c r="H23" s="664">
        <v>380.80788193368005</v>
      </c>
      <c r="I23" s="664">
        <v>401.92548791999991</v>
      </c>
      <c r="J23" s="664">
        <v>417.49977844</v>
      </c>
      <c r="K23" s="593">
        <v>411.77040956999991</v>
      </c>
      <c r="L23" s="664">
        <v>421.01123243000001</v>
      </c>
      <c r="M23" s="664">
        <v>414.16137191000001</v>
      </c>
      <c r="N23" s="664">
        <v>406.80213193999998</v>
      </c>
      <c r="O23" s="593">
        <v>448.87123583999994</v>
      </c>
      <c r="P23" s="664">
        <v>434.71602054999994</v>
      </c>
      <c r="Q23" s="664">
        <v>439.26353495000001</v>
      </c>
      <c r="R23" s="593">
        <v>446.04778716999999</v>
      </c>
      <c r="S23" s="664">
        <v>424.80619050000007</v>
      </c>
      <c r="T23" s="664">
        <v>386.41341379999994</v>
      </c>
      <c r="U23" s="795">
        <v>404.75871373000001</v>
      </c>
      <c r="V23" s="795">
        <v>451.34536354999995</v>
      </c>
      <c r="W23" s="795">
        <v>432.90256550999999</v>
      </c>
      <c r="X23" s="795">
        <v>433.91339428000009</v>
      </c>
      <c r="Y23" s="795">
        <v>430.06845709000004</v>
      </c>
      <c r="Z23" s="795">
        <v>451.58788683000006</v>
      </c>
      <c r="AA23" s="795">
        <v>462.30552366000006</v>
      </c>
      <c r="AB23" s="795">
        <v>476.50485927999989</v>
      </c>
      <c r="AC23" s="795">
        <v>487.83124775000005</v>
      </c>
      <c r="AD23" s="795">
        <v>474.28347342000006</v>
      </c>
      <c r="AE23" s="795">
        <v>481.91130635000002</v>
      </c>
      <c r="AF23" s="795">
        <v>450.66651252000003</v>
      </c>
      <c r="AG23" s="795">
        <v>476.29153692999995</v>
      </c>
      <c r="AH23" s="795">
        <v>481.82690164999997</v>
      </c>
      <c r="AI23" s="795">
        <v>450.63480302999994</v>
      </c>
      <c r="AJ23" s="795">
        <v>456.31691065000007</v>
      </c>
      <c r="AK23" s="795">
        <v>442.74806686999995</v>
      </c>
      <c r="AL23" s="795">
        <v>435.75535047000011</v>
      </c>
      <c r="AM23" s="666">
        <v>434.12344214999996</v>
      </c>
      <c r="AN23" s="666">
        <v>392.83384061000004</v>
      </c>
      <c r="AO23" s="666">
        <v>300.06065562000009</v>
      </c>
      <c r="AP23" s="666">
        <v>313.47057155270005</v>
      </c>
      <c r="AQ23" s="666">
        <v>301.66235242680006</v>
      </c>
      <c r="AR23" s="794">
        <v>289.3890851868</v>
      </c>
      <c r="AS23" s="794">
        <v>299.20155597000002</v>
      </c>
      <c r="AT23" s="794">
        <v>307.84168060039997</v>
      </c>
      <c r="AU23" s="794">
        <v>315.39379493960013</v>
      </c>
      <c r="AV23" s="794">
        <v>329.30126683200001</v>
      </c>
      <c r="AW23" s="587">
        <v>288.9383625808</v>
      </c>
      <c r="AX23" s="587">
        <v>285.6641759904</v>
      </c>
      <c r="AY23" s="587">
        <v>285.52321575740001</v>
      </c>
      <c r="AZ23" s="587">
        <v>265.38096317279997</v>
      </c>
      <c r="BA23" s="587">
        <v>273.23339098180008</v>
      </c>
      <c r="BB23" s="587">
        <v>253.19607303139998</v>
      </c>
      <c r="BC23" s="587">
        <v>255.30524102480001</v>
      </c>
      <c r="BD23" s="587">
        <v>237.30354997120003</v>
      </c>
      <c r="BE23" s="587">
        <v>229.02613880929994</v>
      </c>
      <c r="BF23" s="587">
        <v>235.64916328749999</v>
      </c>
      <c r="BG23" s="587">
        <v>253.051802662</v>
      </c>
      <c r="BH23" s="587">
        <v>264.62823741969999</v>
      </c>
      <c r="BI23" s="587">
        <v>271.7334230427</v>
      </c>
      <c r="BJ23" s="587">
        <v>294.55360238010002</v>
      </c>
      <c r="BK23" s="587">
        <v>289.9087328201</v>
      </c>
      <c r="BL23" s="587">
        <v>274.11675496870004</v>
      </c>
      <c r="BM23" s="587">
        <v>271.40652114020003</v>
      </c>
      <c r="BN23" s="587">
        <v>285.87902104239998</v>
      </c>
      <c r="BO23" s="587">
        <v>293.76630642160001</v>
      </c>
      <c r="BP23" s="587">
        <v>265.2829050583</v>
      </c>
      <c r="BQ23" s="587">
        <v>275.26740752710003</v>
      </c>
      <c r="BR23" s="587">
        <v>270.47845282630004</v>
      </c>
      <c r="BS23" s="587">
        <v>271.17107371319997</v>
      </c>
      <c r="BT23" s="587">
        <v>266.89291761395998</v>
      </c>
      <c r="BU23" s="587">
        <v>260.05588035618399</v>
      </c>
      <c r="BV23" s="587">
        <v>246.45162972027003</v>
      </c>
      <c r="BW23" s="587">
        <v>236.05168733431498</v>
      </c>
      <c r="BX23" s="587">
        <v>229.08141812849999</v>
      </c>
      <c r="BY23" s="587">
        <v>212.44440123770002</v>
      </c>
      <c r="BZ23" s="587">
        <v>204.2</v>
      </c>
      <c r="CA23" s="587">
        <v>205.43826764050002</v>
      </c>
      <c r="CB23" s="587">
        <v>207.23729352519996</v>
      </c>
      <c r="CC23" s="587">
        <v>207.67818392268404</v>
      </c>
      <c r="CD23" s="587">
        <v>228.54023590715195</v>
      </c>
      <c r="CE23" s="587">
        <v>225.77899969316297</v>
      </c>
      <c r="CF23" s="587">
        <v>232.17427038175236</v>
      </c>
      <c r="CG23" s="587">
        <v>220.97420564333663</v>
      </c>
      <c r="CH23" s="587">
        <v>236.23857048615312</v>
      </c>
      <c r="CI23" s="587">
        <v>235.40662781709332</v>
      </c>
      <c r="CJ23" s="587">
        <v>219.78260889760602</v>
      </c>
      <c r="CK23" s="587">
        <v>231.18659102806001</v>
      </c>
      <c r="CL23" s="587">
        <v>232.779097414874</v>
      </c>
      <c r="CM23" s="587">
        <v>243.011401699998</v>
      </c>
      <c r="CN23" s="587">
        <v>224.30223216611734</v>
      </c>
      <c r="CO23" s="587">
        <v>249.46328228032903</v>
      </c>
      <c r="CP23" s="587">
        <v>240.853246802375</v>
      </c>
      <c r="CQ23" s="587">
        <v>234.42752488128596</v>
      </c>
      <c r="CR23" s="587">
        <v>232.81053519210499</v>
      </c>
      <c r="CS23" s="587">
        <v>225.98361406514533</v>
      </c>
      <c r="CT23" s="587">
        <v>225.7539971593485</v>
      </c>
      <c r="CU23" s="587">
        <v>217.62427764800339</v>
      </c>
      <c r="CV23" s="587">
        <v>215.38199068759542</v>
      </c>
      <c r="CW23" s="587">
        <v>211.58169805915267</v>
      </c>
      <c r="CX23" s="587">
        <v>221.3002667419012</v>
      </c>
      <c r="CY23" s="587">
        <v>265.31517758185714</v>
      </c>
      <c r="CZ23" s="587">
        <v>223.53915568379665</v>
      </c>
      <c r="DA23" s="587">
        <v>218.79633464507259</v>
      </c>
      <c r="DB23" s="797">
        <v>226.54181846133767</v>
      </c>
      <c r="DC23" s="797">
        <v>224.82256488914118</v>
      </c>
      <c r="DD23" s="797">
        <v>211.09492027164794</v>
      </c>
      <c r="DE23" s="797">
        <v>221.8107750668749</v>
      </c>
      <c r="DF23" s="797">
        <v>235.47768227692043</v>
      </c>
      <c r="DG23" s="797">
        <v>252.11700100580603</v>
      </c>
      <c r="DH23" s="797">
        <v>239.8205302032419</v>
      </c>
      <c r="DI23" s="797">
        <v>248.62359251307635</v>
      </c>
      <c r="DJ23" s="797">
        <v>238.42571844306445</v>
      </c>
      <c r="DK23" s="797">
        <v>231.80700658670455</v>
      </c>
      <c r="DL23" s="797">
        <v>237.26394013946205</v>
      </c>
      <c r="DM23" s="797">
        <v>291.32520541461258</v>
      </c>
      <c r="DN23" s="797">
        <v>281.89895708522806</v>
      </c>
      <c r="DO23" s="797">
        <v>283.80377589865128</v>
      </c>
      <c r="DP23" s="797">
        <v>281.59054073125907</v>
      </c>
      <c r="DQ23" s="797">
        <v>267.09574313314465</v>
      </c>
      <c r="DR23" s="797">
        <v>286.15104023893576</v>
      </c>
    </row>
    <row r="24" spans="1:122" ht="15.95" customHeight="1">
      <c r="A24" s="793" t="s">
        <v>2397</v>
      </c>
      <c r="B24" s="794">
        <v>910.52295066000011</v>
      </c>
      <c r="C24" s="664">
        <v>946.23703324999997</v>
      </c>
      <c r="D24" s="664">
        <v>946.07028086000003</v>
      </c>
      <c r="E24" s="593">
        <v>778.97302276999994</v>
      </c>
      <c r="F24" s="664">
        <v>780.76738892999992</v>
      </c>
      <c r="G24" s="664">
        <v>836.92314060000001</v>
      </c>
      <c r="H24" s="664">
        <v>853.03320702999997</v>
      </c>
      <c r="I24" s="664">
        <v>899.80568004999998</v>
      </c>
      <c r="J24" s="664">
        <v>913.01527264000015</v>
      </c>
      <c r="K24" s="593">
        <v>895.70124750000025</v>
      </c>
      <c r="L24" s="664">
        <v>879.75268698000014</v>
      </c>
      <c r="M24" s="664">
        <v>873.79155099000002</v>
      </c>
      <c r="N24" s="664">
        <v>854.11602243000004</v>
      </c>
      <c r="O24" s="593">
        <v>871.43537901000013</v>
      </c>
      <c r="P24" s="664">
        <v>836.13967690999993</v>
      </c>
      <c r="Q24" s="664">
        <v>807.90934457999992</v>
      </c>
      <c r="R24" s="593">
        <v>795.93072956000003</v>
      </c>
      <c r="S24" s="664">
        <v>769.29634325999996</v>
      </c>
      <c r="T24" s="664">
        <v>790.82085855000003</v>
      </c>
      <c r="U24" s="795">
        <v>813.43019205999997</v>
      </c>
      <c r="V24" s="795">
        <v>804.49209078000013</v>
      </c>
      <c r="W24" s="795">
        <v>772.5942690600001</v>
      </c>
      <c r="X24" s="795">
        <v>754.09949637999989</v>
      </c>
      <c r="Y24" s="795">
        <v>711.97998602999996</v>
      </c>
      <c r="Z24" s="795">
        <v>713.79004568000005</v>
      </c>
      <c r="AA24" s="795">
        <v>750.02149987999996</v>
      </c>
      <c r="AB24" s="795">
        <v>736.94564173999993</v>
      </c>
      <c r="AC24" s="795">
        <v>724.60248029999991</v>
      </c>
      <c r="AD24" s="795">
        <v>711.62751149999986</v>
      </c>
      <c r="AE24" s="795">
        <v>714.89963088999991</v>
      </c>
      <c r="AF24" s="795">
        <v>724.10077414</v>
      </c>
      <c r="AG24" s="795">
        <v>713.7732903399999</v>
      </c>
      <c r="AH24" s="795">
        <v>693.68404306000002</v>
      </c>
      <c r="AI24" s="795">
        <v>649.31595695999999</v>
      </c>
      <c r="AJ24" s="795">
        <v>658.43852566999999</v>
      </c>
      <c r="AK24" s="795">
        <v>616.49682905999987</v>
      </c>
      <c r="AL24" s="795">
        <v>614.57651317999978</v>
      </c>
      <c r="AM24" s="666">
        <v>602.62944450999998</v>
      </c>
      <c r="AN24" s="666">
        <v>626.56622527000002</v>
      </c>
      <c r="AO24" s="666">
        <v>641.2660831799999</v>
      </c>
      <c r="AP24" s="666">
        <v>814.35686249420007</v>
      </c>
      <c r="AQ24" s="666">
        <v>793.48873911499993</v>
      </c>
      <c r="AR24" s="794">
        <v>824.42682403920003</v>
      </c>
      <c r="AS24" s="794">
        <v>805.64309489999982</v>
      </c>
      <c r="AT24" s="794">
        <v>807.38785070400002</v>
      </c>
      <c r="AU24" s="794">
        <v>806.47307684359987</v>
      </c>
      <c r="AV24" s="794">
        <v>853.60913497000001</v>
      </c>
      <c r="AW24" s="587">
        <v>830.17530601880003</v>
      </c>
      <c r="AX24" s="587">
        <v>832.71961218279989</v>
      </c>
      <c r="AY24" s="587">
        <v>812.25391012479997</v>
      </c>
      <c r="AZ24" s="587">
        <v>807.95125932830001</v>
      </c>
      <c r="BA24" s="587">
        <v>817.13474315760004</v>
      </c>
      <c r="BB24" s="587">
        <v>790.40151680539998</v>
      </c>
      <c r="BC24" s="587">
        <v>819.53788119359979</v>
      </c>
      <c r="BD24" s="587">
        <v>971.62186614059999</v>
      </c>
      <c r="BE24" s="587">
        <v>982.66974293440001</v>
      </c>
      <c r="BF24" s="587">
        <v>990.1482344499999</v>
      </c>
      <c r="BG24" s="587">
        <v>955.79545839400009</v>
      </c>
      <c r="BH24" s="587">
        <v>1022.5976903499001</v>
      </c>
      <c r="BI24" s="587">
        <v>1038.2356263586</v>
      </c>
      <c r="BJ24" s="587">
        <v>1008.6153885551998</v>
      </c>
      <c r="BK24" s="587">
        <v>999.80705009930011</v>
      </c>
      <c r="BL24" s="587">
        <v>1033.5171342601004</v>
      </c>
      <c r="BM24" s="587">
        <v>1043.3940282200001</v>
      </c>
      <c r="BN24" s="587">
        <v>1023.3434777845001</v>
      </c>
      <c r="BO24" s="587">
        <v>1035.3106493512003</v>
      </c>
      <c r="BP24" s="587">
        <v>1031.3313668433</v>
      </c>
      <c r="BQ24" s="587">
        <v>1033.5339158576999</v>
      </c>
      <c r="BR24" s="587">
        <v>1015.1898079394</v>
      </c>
      <c r="BS24" s="587">
        <v>1011.87914269</v>
      </c>
      <c r="BT24" s="587">
        <v>1033.8272659149718</v>
      </c>
      <c r="BU24" s="587">
        <v>1018.5757075495941</v>
      </c>
      <c r="BV24" s="587">
        <v>1018.850536995846</v>
      </c>
      <c r="BW24" s="587">
        <v>1041.345205824035</v>
      </c>
      <c r="BX24" s="587">
        <v>1077.4130218140001</v>
      </c>
      <c r="BY24" s="587">
        <v>1065.3526947838</v>
      </c>
      <c r="BZ24" s="587">
        <v>1076.7</v>
      </c>
      <c r="CA24" s="587">
        <v>1053.2084324807001</v>
      </c>
      <c r="CB24" s="587">
        <v>1033.8153763808</v>
      </c>
      <c r="CC24" s="587">
        <v>1056.9001107786103</v>
      </c>
      <c r="CD24" s="587">
        <v>1053.8271978771359</v>
      </c>
      <c r="CE24" s="587">
        <v>1101.8588021599999</v>
      </c>
      <c r="CF24" s="587">
        <v>1101.7069342499999</v>
      </c>
      <c r="CG24" s="587">
        <v>1131.2434705999999</v>
      </c>
      <c r="CH24" s="587">
        <v>1139.5048297899996</v>
      </c>
      <c r="CI24" s="587">
        <v>1170.7630978100001</v>
      </c>
      <c r="CJ24" s="587">
        <v>1213.6160808700001</v>
      </c>
      <c r="CK24" s="587">
        <v>1243.3684314300003</v>
      </c>
      <c r="CL24" s="587">
        <v>1203.81601452</v>
      </c>
      <c r="CM24" s="587">
        <v>1119.0341412</v>
      </c>
      <c r="CN24" s="587">
        <v>1106.4422757700002</v>
      </c>
      <c r="CO24" s="587">
        <v>1109.2194839599999</v>
      </c>
      <c r="CP24" s="587">
        <v>1068.0377483500001</v>
      </c>
      <c r="CQ24" s="587">
        <v>1049.9934026000001</v>
      </c>
      <c r="CR24" s="587">
        <v>1052.3091175100001</v>
      </c>
      <c r="CS24" s="587">
        <v>1051.8807513100001</v>
      </c>
      <c r="CT24" s="587">
        <v>1040.2209888</v>
      </c>
      <c r="CU24" s="587">
        <v>1067.7482000000002</v>
      </c>
      <c r="CV24" s="587">
        <v>1193.76401728</v>
      </c>
      <c r="CW24" s="587">
        <v>1216.6512270200001</v>
      </c>
      <c r="CX24" s="587">
        <v>1196.33047756</v>
      </c>
      <c r="CY24" s="587">
        <v>1151.7621939100002</v>
      </c>
      <c r="CZ24" s="587">
        <v>1102.8077466399998</v>
      </c>
      <c r="DA24" s="587">
        <v>1115.8683898799998</v>
      </c>
      <c r="DB24" s="797">
        <v>1147.7219951100001</v>
      </c>
      <c r="DC24" s="797">
        <v>1120.0761980699999</v>
      </c>
      <c r="DD24" s="797">
        <v>1094.9677360900002</v>
      </c>
      <c r="DE24" s="797">
        <v>1109.09746969</v>
      </c>
      <c r="DF24" s="797">
        <v>1114.30152838</v>
      </c>
      <c r="DG24" s="797">
        <v>1124.7106745300002</v>
      </c>
      <c r="DH24" s="797">
        <v>1124.6005343799998</v>
      </c>
      <c r="DI24" s="797">
        <v>1108.7673913699998</v>
      </c>
      <c r="DJ24" s="797">
        <v>1037.69693983</v>
      </c>
      <c r="DK24" s="797">
        <v>1019.5419440699999</v>
      </c>
      <c r="DL24" s="797">
        <v>1030.6387722123</v>
      </c>
      <c r="DM24" s="797">
        <v>1049.4093345413501</v>
      </c>
      <c r="DN24" s="797">
        <v>1075.5484436628999</v>
      </c>
      <c r="DO24" s="797">
        <v>1113.2290759383002</v>
      </c>
      <c r="DP24" s="797">
        <v>962.56847029699998</v>
      </c>
      <c r="DQ24" s="797">
        <v>970.74857952000013</v>
      </c>
      <c r="DR24" s="797">
        <v>931.78617411999994</v>
      </c>
    </row>
    <row r="25" spans="1:122" ht="15.95" customHeight="1">
      <c r="A25" s="793" t="s">
        <v>2398</v>
      </c>
      <c r="B25" s="794">
        <v>349.5838636200001</v>
      </c>
      <c r="C25" s="664">
        <v>381.58419513000007</v>
      </c>
      <c r="D25" s="664">
        <v>345.22730449000005</v>
      </c>
      <c r="E25" s="593">
        <v>364.20730191000001</v>
      </c>
      <c r="F25" s="664">
        <v>392.64291809999997</v>
      </c>
      <c r="G25" s="664">
        <v>371.64065326000002</v>
      </c>
      <c r="H25" s="664">
        <v>386.69017022000003</v>
      </c>
      <c r="I25" s="664">
        <v>389.08370517999992</v>
      </c>
      <c r="J25" s="664">
        <v>388.04698978000005</v>
      </c>
      <c r="K25" s="593">
        <v>374.94031618000002</v>
      </c>
      <c r="L25" s="664">
        <v>387.34871066000011</v>
      </c>
      <c r="M25" s="664">
        <v>391.21954827000002</v>
      </c>
      <c r="N25" s="664">
        <v>394.95257374000005</v>
      </c>
      <c r="O25" s="593">
        <v>449.73408968000001</v>
      </c>
      <c r="P25" s="664">
        <v>425.44409610000002</v>
      </c>
      <c r="Q25" s="664">
        <v>419.98520794000001</v>
      </c>
      <c r="R25" s="593">
        <v>448.72128531999999</v>
      </c>
      <c r="S25" s="664">
        <v>499.72984506</v>
      </c>
      <c r="T25" s="664">
        <v>444.33647447999994</v>
      </c>
      <c r="U25" s="795">
        <v>476.79070765</v>
      </c>
      <c r="V25" s="795">
        <v>474.86611438000006</v>
      </c>
      <c r="W25" s="795">
        <v>434.19925030000007</v>
      </c>
      <c r="X25" s="795">
        <v>387.23735848999996</v>
      </c>
      <c r="Y25" s="795">
        <v>398.30967823999993</v>
      </c>
      <c r="Z25" s="795">
        <v>394.06549207</v>
      </c>
      <c r="AA25" s="795">
        <v>419.92197926999989</v>
      </c>
      <c r="AB25" s="795">
        <v>347.96323026000005</v>
      </c>
      <c r="AC25" s="795">
        <v>344.51752061000008</v>
      </c>
      <c r="AD25" s="795">
        <v>330.12536820000003</v>
      </c>
      <c r="AE25" s="795">
        <v>341.35883003999999</v>
      </c>
      <c r="AF25" s="795">
        <v>345.52169050999998</v>
      </c>
      <c r="AG25" s="795">
        <v>392.53185898999999</v>
      </c>
      <c r="AH25" s="795">
        <v>394.26805704999992</v>
      </c>
      <c r="AI25" s="795">
        <v>444.21185464000001</v>
      </c>
      <c r="AJ25" s="795">
        <v>440.41348549000003</v>
      </c>
      <c r="AK25" s="795">
        <v>452.15205901899998</v>
      </c>
      <c r="AL25" s="795">
        <v>449.38061389329999</v>
      </c>
      <c r="AM25" s="666">
        <v>459.80072096712502</v>
      </c>
      <c r="AN25" s="666">
        <v>446.795973086728</v>
      </c>
      <c r="AO25" s="666">
        <v>503.21548736248496</v>
      </c>
      <c r="AP25" s="666">
        <v>533.62951280253299</v>
      </c>
      <c r="AQ25" s="666">
        <v>560.89018828217399</v>
      </c>
      <c r="AR25" s="794">
        <v>634.15570742199998</v>
      </c>
      <c r="AS25" s="794">
        <v>627.16898501300011</v>
      </c>
      <c r="AT25" s="794">
        <v>674.09105965683204</v>
      </c>
      <c r="AU25" s="794">
        <v>640.58055344027207</v>
      </c>
      <c r="AV25" s="794">
        <v>629.07751012096014</v>
      </c>
      <c r="AW25" s="587">
        <v>575.82417927239999</v>
      </c>
      <c r="AX25" s="587">
        <v>575.22101026040002</v>
      </c>
      <c r="AY25" s="587">
        <v>661.61724320280007</v>
      </c>
      <c r="AZ25" s="587">
        <v>630.88827327939998</v>
      </c>
      <c r="BA25" s="587">
        <v>645.15228053479996</v>
      </c>
      <c r="BB25" s="587">
        <v>676.26767594210003</v>
      </c>
      <c r="BC25" s="587">
        <v>650.42292694159994</v>
      </c>
      <c r="BD25" s="587">
        <v>711.52481523260008</v>
      </c>
      <c r="BE25" s="587">
        <v>778.96898550130004</v>
      </c>
      <c r="BF25" s="587">
        <v>813.61437877499998</v>
      </c>
      <c r="BG25" s="587">
        <v>801.08239368400007</v>
      </c>
      <c r="BH25" s="587">
        <v>846.6308202936001</v>
      </c>
      <c r="BI25" s="587">
        <v>880.04170309370022</v>
      </c>
      <c r="BJ25" s="587">
        <v>916.31820387300002</v>
      </c>
      <c r="BK25" s="587">
        <v>847.34622856279998</v>
      </c>
      <c r="BL25" s="587">
        <v>858.13637922550004</v>
      </c>
      <c r="BM25" s="587">
        <v>865.50869905139996</v>
      </c>
      <c r="BN25" s="587">
        <v>838.35208333573848</v>
      </c>
      <c r="BO25" s="587">
        <v>840.41745006050007</v>
      </c>
      <c r="BP25" s="587">
        <v>786.84377799060007</v>
      </c>
      <c r="BQ25" s="587">
        <v>878.99880511160018</v>
      </c>
      <c r="BR25" s="587">
        <v>902.82385893909998</v>
      </c>
      <c r="BS25" s="587">
        <v>932.54664263200004</v>
      </c>
      <c r="BT25" s="587">
        <v>945.32580996797503</v>
      </c>
      <c r="BU25" s="587">
        <v>993.57863903124598</v>
      </c>
      <c r="BV25" s="587">
        <v>977.37493899353012</v>
      </c>
      <c r="BW25" s="587">
        <v>951.70568371354011</v>
      </c>
      <c r="BX25" s="587">
        <v>948.21345411100003</v>
      </c>
      <c r="BY25" s="587">
        <v>982.79033317299991</v>
      </c>
      <c r="BZ25" s="587">
        <v>997.9</v>
      </c>
      <c r="CA25" s="587">
        <v>999.75565409100011</v>
      </c>
      <c r="CB25" s="587">
        <v>998.83943063159995</v>
      </c>
      <c r="CC25" s="587">
        <v>1009.7262123204999</v>
      </c>
      <c r="CD25" s="587">
        <v>992.10993666511797</v>
      </c>
      <c r="CE25" s="587">
        <v>1153.702097918572</v>
      </c>
      <c r="CF25" s="587">
        <v>1160.0101035208684</v>
      </c>
      <c r="CG25" s="587">
        <v>1208.7401356203966</v>
      </c>
      <c r="CH25" s="587">
        <v>1342.8787727604213</v>
      </c>
      <c r="CI25" s="587">
        <v>1192.2574060846823</v>
      </c>
      <c r="CJ25" s="587">
        <v>1194.5438976470539</v>
      </c>
      <c r="CK25" s="587">
        <v>1193.9307357339412</v>
      </c>
      <c r="CL25" s="587">
        <v>1359.3799376390964</v>
      </c>
      <c r="CM25" s="587">
        <v>1341.8404377858965</v>
      </c>
      <c r="CN25" s="587">
        <v>1355.0331538285266</v>
      </c>
      <c r="CO25" s="587">
        <v>1403.395074962842</v>
      </c>
      <c r="CP25" s="587">
        <v>1372.7892620637001</v>
      </c>
      <c r="CQ25" s="587">
        <v>1351.5578419620574</v>
      </c>
      <c r="CR25" s="587">
        <v>1357.68229224014</v>
      </c>
      <c r="CS25" s="587">
        <v>1548.1253335600945</v>
      </c>
      <c r="CT25" s="587">
        <v>1561.7792182682738</v>
      </c>
      <c r="CU25" s="587">
        <v>1535.1447297524569</v>
      </c>
      <c r="CV25" s="587">
        <v>1524.9667740184552</v>
      </c>
      <c r="CW25" s="587">
        <v>1513.8188471687711</v>
      </c>
      <c r="CX25" s="587">
        <v>1596.0035096327615</v>
      </c>
      <c r="CY25" s="587">
        <v>1611.2110725925545</v>
      </c>
      <c r="CZ25" s="587">
        <v>1580.435413418664</v>
      </c>
      <c r="DA25" s="587">
        <v>1603.0743669590804</v>
      </c>
      <c r="DB25" s="797">
        <v>1545.7193157950067</v>
      </c>
      <c r="DC25" s="797">
        <v>1577.4558771907261</v>
      </c>
      <c r="DD25" s="797">
        <v>1616.0253295947994</v>
      </c>
      <c r="DE25" s="797">
        <v>1574.7389989473122</v>
      </c>
      <c r="DF25" s="797">
        <v>1701.9029612204668</v>
      </c>
      <c r="DG25" s="797">
        <v>1612.7876255358742</v>
      </c>
      <c r="DH25" s="797">
        <v>1541.7515389311986</v>
      </c>
      <c r="DI25" s="797">
        <v>1511.0818421079566</v>
      </c>
      <c r="DJ25" s="797">
        <v>1529.026986458651</v>
      </c>
      <c r="DK25" s="797">
        <v>1532.7701826212365</v>
      </c>
      <c r="DL25" s="797">
        <v>1516.1132513570849</v>
      </c>
      <c r="DM25" s="797">
        <v>1545.7152734518277</v>
      </c>
      <c r="DN25" s="797">
        <v>1713.8740349852628</v>
      </c>
      <c r="DO25" s="797">
        <v>1762.386245872565</v>
      </c>
      <c r="DP25" s="797">
        <v>1627.8640205633487</v>
      </c>
      <c r="DQ25" s="797">
        <v>1587.7692974319041</v>
      </c>
      <c r="DR25" s="797">
        <v>1577.5652863222695</v>
      </c>
    </row>
    <row r="26" spans="1:122" ht="15.95" customHeight="1">
      <c r="A26" s="793" t="s">
        <v>2399</v>
      </c>
      <c r="B26" s="794">
        <v>2363.6979685556757</v>
      </c>
      <c r="C26" s="664">
        <v>2490.2006593228002</v>
      </c>
      <c r="D26" s="664">
        <v>2384.9380532999999</v>
      </c>
      <c r="E26" s="593">
        <v>2443.5400831499996</v>
      </c>
      <c r="F26" s="664">
        <v>2562.59365411</v>
      </c>
      <c r="G26" s="664">
        <v>2515.3131755599998</v>
      </c>
      <c r="H26" s="664">
        <v>2857.7457099200001</v>
      </c>
      <c r="I26" s="664">
        <v>2727.07123512</v>
      </c>
      <c r="J26" s="664">
        <v>2572.29923285</v>
      </c>
      <c r="K26" s="593">
        <v>2523.8280641275001</v>
      </c>
      <c r="L26" s="664">
        <v>2714.2746140874997</v>
      </c>
      <c r="M26" s="664">
        <v>2690.15770634</v>
      </c>
      <c r="N26" s="664">
        <v>2779.1720238299999</v>
      </c>
      <c r="O26" s="593">
        <v>2758.4331251500003</v>
      </c>
      <c r="P26" s="664">
        <v>2663.0990472900003</v>
      </c>
      <c r="Q26" s="664">
        <v>2641.1541482299999</v>
      </c>
      <c r="R26" s="593">
        <v>2748.5789794799998</v>
      </c>
      <c r="S26" s="664">
        <v>2778.9492123799996</v>
      </c>
      <c r="T26" s="664">
        <v>2893.6518598800003</v>
      </c>
      <c r="U26" s="795">
        <v>2871.17907255</v>
      </c>
      <c r="V26" s="795">
        <v>2932.26702097</v>
      </c>
      <c r="W26" s="795">
        <v>2754.9733427299993</v>
      </c>
      <c r="X26" s="795">
        <v>2871.3124255999996</v>
      </c>
      <c r="Y26" s="795">
        <v>2711.0704768999999</v>
      </c>
      <c r="Z26" s="795">
        <v>2760.9661566299997</v>
      </c>
      <c r="AA26" s="795">
        <v>2454.5476632399996</v>
      </c>
      <c r="AB26" s="795">
        <v>2717.0946421299996</v>
      </c>
      <c r="AC26" s="795">
        <v>2681.1607323600001</v>
      </c>
      <c r="AD26" s="795">
        <v>3040.2554009700002</v>
      </c>
      <c r="AE26" s="795">
        <v>3101.2892397099999</v>
      </c>
      <c r="AF26" s="795">
        <v>3079.2995641399998</v>
      </c>
      <c r="AG26" s="795">
        <v>3400.1454348299999</v>
      </c>
      <c r="AH26" s="795">
        <v>3340.8715155300001</v>
      </c>
      <c r="AI26" s="795">
        <v>3483.7399008900002</v>
      </c>
      <c r="AJ26" s="795">
        <v>3433.9557724599999</v>
      </c>
      <c r="AK26" s="795">
        <v>3370.6981678899997</v>
      </c>
      <c r="AL26" s="795">
        <v>3418.6193387499993</v>
      </c>
      <c r="AM26" s="666">
        <v>3644.5871086299994</v>
      </c>
      <c r="AN26" s="666">
        <v>3768.7207680599995</v>
      </c>
      <c r="AO26" s="666">
        <v>3737.56939121</v>
      </c>
      <c r="AP26" s="666">
        <v>3941.5406501008006</v>
      </c>
      <c r="AQ26" s="666">
        <v>3536.4350238832008</v>
      </c>
      <c r="AR26" s="794">
        <v>3642.5338103963995</v>
      </c>
      <c r="AS26" s="794">
        <v>3493.7771045</v>
      </c>
      <c r="AT26" s="794">
        <v>3340.7957776932003</v>
      </c>
      <c r="AU26" s="794">
        <v>3203.9466502721998</v>
      </c>
      <c r="AV26" s="794">
        <v>3312.9222928489994</v>
      </c>
      <c r="AW26" s="587">
        <v>3211.3458633143996</v>
      </c>
      <c r="AX26" s="587">
        <v>3178.7274950044002</v>
      </c>
      <c r="AY26" s="587">
        <v>3599.6290979411001</v>
      </c>
      <c r="AZ26" s="587">
        <v>3441.4286314036003</v>
      </c>
      <c r="BA26" s="587">
        <v>3381.0350028454</v>
      </c>
      <c r="BB26" s="587">
        <v>3292.3944738406994</v>
      </c>
      <c r="BC26" s="587">
        <v>3237.7080664887999</v>
      </c>
      <c r="BD26" s="587">
        <v>3380.7336175388004</v>
      </c>
      <c r="BE26" s="587">
        <v>3206.1246475112002</v>
      </c>
      <c r="BF26" s="587">
        <v>2809.5316792800004</v>
      </c>
      <c r="BG26" s="587">
        <v>3048.3363028500003</v>
      </c>
      <c r="BH26" s="587">
        <v>2944.4484472599001</v>
      </c>
      <c r="BI26" s="587">
        <v>2888.7957699859999</v>
      </c>
      <c r="BJ26" s="587">
        <v>3219.7583810821002</v>
      </c>
      <c r="BK26" s="587">
        <v>3046.9909263137001</v>
      </c>
      <c r="BL26" s="587">
        <v>2938.3740002628997</v>
      </c>
      <c r="BM26" s="587">
        <v>2696.1059933732004</v>
      </c>
      <c r="BN26" s="587">
        <v>2804.6461911065003</v>
      </c>
      <c r="BO26" s="587">
        <v>3142.0902128212001</v>
      </c>
      <c r="BP26" s="587">
        <v>3583.8641318090999</v>
      </c>
      <c r="BQ26" s="587">
        <v>3358.4287600749003</v>
      </c>
      <c r="BR26" s="587">
        <v>3252.1962490735</v>
      </c>
      <c r="BS26" s="587">
        <v>3189.3708814188003</v>
      </c>
      <c r="BT26" s="587">
        <v>3330.9031613059201</v>
      </c>
      <c r="BU26" s="587">
        <v>2957.3563713709837</v>
      </c>
      <c r="BV26" s="587">
        <v>3671.0438955459963</v>
      </c>
      <c r="BW26" s="587">
        <v>3606.6569796742206</v>
      </c>
      <c r="BX26" s="587">
        <v>3521.8149184145</v>
      </c>
      <c r="BY26" s="587">
        <v>3594.8836878897991</v>
      </c>
      <c r="BZ26" s="587">
        <v>3544.1</v>
      </c>
      <c r="CA26" s="587">
        <v>3773.1625763252996</v>
      </c>
      <c r="CB26" s="587">
        <v>3865.0737581836001</v>
      </c>
      <c r="CC26" s="587">
        <v>3630.7657072709767</v>
      </c>
      <c r="CD26" s="587">
        <v>3369.4383622078481</v>
      </c>
      <c r="CE26" s="587">
        <v>3358.6691236622587</v>
      </c>
      <c r="CF26" s="587">
        <v>3647.6030256101285</v>
      </c>
      <c r="CG26" s="587">
        <v>3618.3747553283333</v>
      </c>
      <c r="CH26" s="587">
        <v>3995.4466879357951</v>
      </c>
      <c r="CI26" s="587">
        <v>3935.4932035916463</v>
      </c>
      <c r="CJ26" s="587">
        <v>3711.3314375502018</v>
      </c>
      <c r="CK26" s="587">
        <v>3370.778237534686</v>
      </c>
      <c r="CL26" s="587">
        <v>3663.2413532621367</v>
      </c>
      <c r="CM26" s="587">
        <v>3553.5031679239587</v>
      </c>
      <c r="CN26" s="587">
        <v>4054.7225420760014</v>
      </c>
      <c r="CO26" s="587">
        <v>3961.2851472260427</v>
      </c>
      <c r="CP26" s="587">
        <v>3514.6277913910003</v>
      </c>
      <c r="CQ26" s="587">
        <v>3395.0508909787372</v>
      </c>
      <c r="CR26" s="587">
        <v>3286.4115694819352</v>
      </c>
      <c r="CS26" s="587">
        <v>3284.5306978335675</v>
      </c>
      <c r="CT26" s="587">
        <v>3854.945034659464</v>
      </c>
      <c r="CU26" s="587">
        <v>3852.9279532701771</v>
      </c>
      <c r="CV26" s="587">
        <v>3862.3376215499575</v>
      </c>
      <c r="CW26" s="587">
        <v>3562.0088421948308</v>
      </c>
      <c r="CX26" s="587">
        <v>3314.0402051890119</v>
      </c>
      <c r="CY26" s="587">
        <v>3856.8173349844351</v>
      </c>
      <c r="CZ26" s="587">
        <v>3865.8997007998619</v>
      </c>
      <c r="DA26" s="587">
        <v>3435.0737026536722</v>
      </c>
      <c r="DB26" s="797">
        <v>3246.1208150499324</v>
      </c>
      <c r="DC26" s="797">
        <v>3381.2584374390499</v>
      </c>
      <c r="DD26" s="797">
        <v>3050.9555620400602</v>
      </c>
      <c r="DE26" s="797">
        <v>2889.8700172028862</v>
      </c>
      <c r="DF26" s="797">
        <v>3098.1481756435619</v>
      </c>
      <c r="DG26" s="797">
        <v>3105.1762265985735</v>
      </c>
      <c r="DH26" s="797">
        <v>3300.2915916613856</v>
      </c>
      <c r="DI26" s="797">
        <v>3481.7353471842739</v>
      </c>
      <c r="DJ26" s="797">
        <v>3448.5251477085753</v>
      </c>
      <c r="DK26" s="797">
        <v>3474.1193927422119</v>
      </c>
      <c r="DL26" s="797">
        <v>3595.5056784613625</v>
      </c>
      <c r="DM26" s="797">
        <v>3381.3036645910297</v>
      </c>
      <c r="DN26" s="797">
        <v>3230.4361388177213</v>
      </c>
      <c r="DO26" s="797">
        <v>4828.3798538658157</v>
      </c>
      <c r="DP26" s="797">
        <v>4808.0132349915993</v>
      </c>
      <c r="DQ26" s="797">
        <v>4439.4842631616639</v>
      </c>
      <c r="DR26" s="797">
        <v>4805.6545975926647</v>
      </c>
    </row>
    <row r="27" spans="1:122" ht="15.95" customHeight="1">
      <c r="A27" s="793" t="s">
        <v>2400</v>
      </c>
      <c r="B27" s="794">
        <v>176.59226850081083</v>
      </c>
      <c r="C27" s="664">
        <v>201.93284895424</v>
      </c>
      <c r="D27" s="664">
        <v>193.29467437603</v>
      </c>
      <c r="E27" s="593">
        <v>168.56809528800002</v>
      </c>
      <c r="F27" s="664">
        <v>189.21288308400003</v>
      </c>
      <c r="G27" s="664">
        <v>185.95629152000001</v>
      </c>
      <c r="H27" s="664">
        <v>183.29567885000003</v>
      </c>
      <c r="I27" s="664">
        <v>203.48886256660001</v>
      </c>
      <c r="J27" s="664">
        <v>207.32335457999997</v>
      </c>
      <c r="K27" s="593">
        <v>203.12131497559997</v>
      </c>
      <c r="L27" s="664">
        <v>179.06845641000001</v>
      </c>
      <c r="M27" s="664">
        <v>184.52059422899998</v>
      </c>
      <c r="N27" s="664">
        <v>172.58193402000001</v>
      </c>
      <c r="O27" s="593">
        <v>189.47010082</v>
      </c>
      <c r="P27" s="664">
        <v>182.45768701</v>
      </c>
      <c r="Q27" s="664">
        <v>189.07941648300002</v>
      </c>
      <c r="R27" s="593">
        <v>196.66622902899999</v>
      </c>
      <c r="S27" s="664">
        <v>209.51591063000001</v>
      </c>
      <c r="T27" s="664">
        <v>226.54121509000001</v>
      </c>
      <c r="U27" s="795">
        <v>210.21094289800001</v>
      </c>
      <c r="V27" s="795">
        <v>220.83309419999995</v>
      </c>
      <c r="W27" s="795">
        <v>207.80221347999998</v>
      </c>
      <c r="X27" s="795">
        <v>204.10965881999999</v>
      </c>
      <c r="Y27" s="795">
        <v>198.33765414999996</v>
      </c>
      <c r="Z27" s="795">
        <v>192.41302737999999</v>
      </c>
      <c r="AA27" s="795">
        <v>196.42294497</v>
      </c>
      <c r="AB27" s="795">
        <v>194.26834905000001</v>
      </c>
      <c r="AC27" s="795">
        <v>197.66117403000001</v>
      </c>
      <c r="AD27" s="795">
        <v>189.06569009999998</v>
      </c>
      <c r="AE27" s="795">
        <v>194.87130588999997</v>
      </c>
      <c r="AF27" s="795">
        <v>188.29923076000003</v>
      </c>
      <c r="AG27" s="795">
        <v>181.17597109999997</v>
      </c>
      <c r="AH27" s="795">
        <v>163.04760561000001</v>
      </c>
      <c r="AI27" s="795">
        <v>154.31566275999998</v>
      </c>
      <c r="AJ27" s="795">
        <v>150.55489198000001</v>
      </c>
      <c r="AK27" s="795">
        <v>149.15617316000004</v>
      </c>
      <c r="AL27" s="795">
        <v>150.49432431</v>
      </c>
      <c r="AM27" s="666">
        <v>139.38545445</v>
      </c>
      <c r="AN27" s="666">
        <v>151.17183906</v>
      </c>
      <c r="AO27" s="666">
        <v>175.53539634999998</v>
      </c>
      <c r="AP27" s="666">
        <v>180.67720570170002</v>
      </c>
      <c r="AQ27" s="666">
        <v>183.02640676960002</v>
      </c>
      <c r="AR27" s="794">
        <v>180.7005194756</v>
      </c>
      <c r="AS27" s="794">
        <v>192.51933147000003</v>
      </c>
      <c r="AT27" s="794">
        <v>182.59103222439998</v>
      </c>
      <c r="AU27" s="794">
        <v>197.28146025260003</v>
      </c>
      <c r="AV27" s="794">
        <v>190.64512558999996</v>
      </c>
      <c r="AW27" s="587">
        <v>191.7951092644</v>
      </c>
      <c r="AX27" s="587">
        <v>186.0658834372</v>
      </c>
      <c r="AY27" s="587">
        <v>198.6709644133</v>
      </c>
      <c r="AZ27" s="587">
        <v>195.74388839629998</v>
      </c>
      <c r="BA27" s="587">
        <v>190.36370776880003</v>
      </c>
      <c r="BB27" s="587">
        <v>192.79535142199998</v>
      </c>
      <c r="BC27" s="587">
        <v>190.22880498879999</v>
      </c>
      <c r="BD27" s="587">
        <v>199.1007554434</v>
      </c>
      <c r="BE27" s="587">
        <v>201.48615796489997</v>
      </c>
      <c r="BF27" s="587">
        <v>240.0386187</v>
      </c>
      <c r="BG27" s="587">
        <v>236.60507316599998</v>
      </c>
      <c r="BH27" s="587">
        <v>233.8183665544</v>
      </c>
      <c r="BI27" s="587">
        <v>232.86536036460001</v>
      </c>
      <c r="BJ27" s="587">
        <v>222.36638881499997</v>
      </c>
      <c r="BK27" s="587">
        <v>237.55416839999998</v>
      </c>
      <c r="BL27" s="587">
        <v>226.73996263000001</v>
      </c>
      <c r="BM27" s="587">
        <v>243.52150372</v>
      </c>
      <c r="BN27" s="587">
        <v>235.20743038524998</v>
      </c>
      <c r="BO27" s="587">
        <v>234.94317896000001</v>
      </c>
      <c r="BP27" s="587">
        <v>246.85239048</v>
      </c>
      <c r="BQ27" s="587">
        <v>238.83289897999995</v>
      </c>
      <c r="BR27" s="587">
        <v>238.23718378000001</v>
      </c>
      <c r="BS27" s="587">
        <v>242.02547070000003</v>
      </c>
      <c r="BT27" s="587">
        <v>281.36017123190999</v>
      </c>
      <c r="BU27" s="587">
        <v>233.26205171999999</v>
      </c>
      <c r="BV27" s="587">
        <v>223.61475667000002</v>
      </c>
      <c r="BW27" s="587">
        <v>224.39622494999998</v>
      </c>
      <c r="BX27" s="587">
        <v>235.83869653999997</v>
      </c>
      <c r="BY27" s="587">
        <v>232.04889793000001</v>
      </c>
      <c r="BZ27" s="587">
        <v>237.3</v>
      </c>
      <c r="CA27" s="587">
        <v>235.64973496999997</v>
      </c>
      <c r="CB27" s="587">
        <v>231.13577302000002</v>
      </c>
      <c r="CC27" s="587">
        <v>239.42636635000002</v>
      </c>
      <c r="CD27" s="587">
        <v>238.94853953280798</v>
      </c>
      <c r="CE27" s="587">
        <v>243.15800648000001</v>
      </c>
      <c r="CF27" s="587">
        <v>234.10488827270771</v>
      </c>
      <c r="CG27" s="587">
        <v>226.54181328858999</v>
      </c>
      <c r="CH27" s="587">
        <v>213.95242040521168</v>
      </c>
      <c r="CI27" s="587">
        <v>233.84193406841652</v>
      </c>
      <c r="CJ27" s="587">
        <v>235.38473750784399</v>
      </c>
      <c r="CK27" s="587">
        <v>247.05226537561902</v>
      </c>
      <c r="CL27" s="587">
        <v>238.09755187232236</v>
      </c>
      <c r="CM27" s="587">
        <v>244.24631655819704</v>
      </c>
      <c r="CN27" s="587">
        <v>240.59277677735736</v>
      </c>
      <c r="CO27" s="587">
        <v>240.18387720309801</v>
      </c>
      <c r="CP27" s="587">
        <v>237.31509417252502</v>
      </c>
      <c r="CQ27" s="587">
        <v>236.13402552341648</v>
      </c>
      <c r="CR27" s="587">
        <v>229.12621355739995</v>
      </c>
      <c r="CS27" s="587">
        <v>237.77774410023397</v>
      </c>
      <c r="CT27" s="587">
        <v>240.14683632467603</v>
      </c>
      <c r="CU27" s="587">
        <v>250.64360829185699</v>
      </c>
      <c r="CV27" s="587">
        <v>237.3238288733651</v>
      </c>
      <c r="CW27" s="587">
        <v>235.45631769599035</v>
      </c>
      <c r="CX27" s="587">
        <v>241.2083515181024</v>
      </c>
      <c r="CY27" s="587">
        <v>248.37719486737072</v>
      </c>
      <c r="CZ27" s="587">
        <v>248.777935416605</v>
      </c>
      <c r="DA27" s="587">
        <v>255.72849986560851</v>
      </c>
      <c r="DB27" s="797">
        <v>258.46664286352035</v>
      </c>
      <c r="DC27" s="797">
        <v>268.15224447709295</v>
      </c>
      <c r="DD27" s="797">
        <v>258.85357965145022</v>
      </c>
      <c r="DE27" s="797">
        <v>252.15356645662189</v>
      </c>
      <c r="DF27" s="797">
        <v>265.38474106099841</v>
      </c>
      <c r="DG27" s="797">
        <v>279.50727439680429</v>
      </c>
      <c r="DH27" s="797">
        <v>267.24002134032065</v>
      </c>
      <c r="DI27" s="797">
        <v>272.89562751600369</v>
      </c>
      <c r="DJ27" s="797">
        <v>303.88852701252961</v>
      </c>
      <c r="DK27" s="797">
        <v>307.765795164726</v>
      </c>
      <c r="DL27" s="797">
        <v>311.75583311421724</v>
      </c>
      <c r="DM27" s="797">
        <v>308.83849788305366</v>
      </c>
      <c r="DN27" s="797">
        <v>329.58059812951143</v>
      </c>
      <c r="DO27" s="797">
        <v>349.24091370234504</v>
      </c>
      <c r="DP27" s="797">
        <v>327.70410822192201</v>
      </c>
      <c r="DQ27" s="797">
        <v>324.54169016975857</v>
      </c>
      <c r="DR27" s="797">
        <v>318.46366263060986</v>
      </c>
    </row>
    <row r="28" spans="1:122" ht="15.95" customHeight="1">
      <c r="A28" s="793" t="s">
        <v>2401</v>
      </c>
      <c r="B28" s="794">
        <v>97.614408969999999</v>
      </c>
      <c r="C28" s="664">
        <v>102.61530317999998</v>
      </c>
      <c r="D28" s="664">
        <v>100.63026966999999</v>
      </c>
      <c r="E28" s="593">
        <v>102.4541332</v>
      </c>
      <c r="F28" s="664">
        <v>98.261361329999986</v>
      </c>
      <c r="G28" s="664">
        <v>104.39886517000001</v>
      </c>
      <c r="H28" s="664">
        <v>96.68848552</v>
      </c>
      <c r="I28" s="664">
        <v>94.396002659999994</v>
      </c>
      <c r="J28" s="664">
        <v>89.32269466999999</v>
      </c>
      <c r="K28" s="593">
        <v>81.484388158517987</v>
      </c>
      <c r="L28" s="664">
        <v>75.448553338173994</v>
      </c>
      <c r="M28" s="664">
        <v>81.411835095809991</v>
      </c>
      <c r="N28" s="664">
        <v>69.397369005400989</v>
      </c>
      <c r="O28" s="593">
        <v>68.996006079051995</v>
      </c>
      <c r="P28" s="664">
        <v>72.817767338860008</v>
      </c>
      <c r="Q28" s="664">
        <v>78.667016665579737</v>
      </c>
      <c r="R28" s="593">
        <v>97.081972062534604</v>
      </c>
      <c r="S28" s="664">
        <v>104.36980495326826</v>
      </c>
      <c r="T28" s="664">
        <v>115.9669075457704</v>
      </c>
      <c r="U28" s="795">
        <v>118.1064868258315</v>
      </c>
      <c r="V28" s="795">
        <v>115.329142452735</v>
      </c>
      <c r="W28" s="795">
        <v>112.71279911566002</v>
      </c>
      <c r="X28" s="795">
        <v>105.90337220691613</v>
      </c>
      <c r="Y28" s="795">
        <v>106.497880595642</v>
      </c>
      <c r="Z28" s="795">
        <v>119.02716917999999</v>
      </c>
      <c r="AA28" s="795">
        <v>125.65828155000001</v>
      </c>
      <c r="AB28" s="795">
        <v>126.07304412000001</v>
      </c>
      <c r="AC28" s="795">
        <v>148.01151609999999</v>
      </c>
      <c r="AD28" s="795">
        <v>155.50539436999998</v>
      </c>
      <c r="AE28" s="795">
        <v>147.91883977000001</v>
      </c>
      <c r="AF28" s="795">
        <v>137.37193866999999</v>
      </c>
      <c r="AG28" s="795">
        <v>138.02645962</v>
      </c>
      <c r="AH28" s="795">
        <v>120.93262728000001</v>
      </c>
      <c r="AI28" s="795">
        <v>115.23435868999999</v>
      </c>
      <c r="AJ28" s="795">
        <v>120.96642899</v>
      </c>
      <c r="AK28" s="795">
        <v>144.77964678999999</v>
      </c>
      <c r="AL28" s="795">
        <v>166.28851318</v>
      </c>
      <c r="AM28" s="666">
        <v>155.64705203</v>
      </c>
      <c r="AN28" s="666">
        <v>159.43504797000003</v>
      </c>
      <c r="AO28" s="666">
        <v>151.59736138999997</v>
      </c>
      <c r="AP28" s="666">
        <v>162.76476494720001</v>
      </c>
      <c r="AQ28" s="666">
        <v>175.5978102096</v>
      </c>
      <c r="AR28" s="794">
        <v>149.589691042</v>
      </c>
      <c r="AS28" s="794">
        <v>154.38243273</v>
      </c>
      <c r="AT28" s="794">
        <v>142.1745302052</v>
      </c>
      <c r="AU28" s="794">
        <v>142.09732212081599</v>
      </c>
      <c r="AV28" s="794">
        <v>146.78131220914</v>
      </c>
      <c r="AW28" s="587">
        <v>148.30031303519601</v>
      </c>
      <c r="AX28" s="587">
        <v>149.59228796914999</v>
      </c>
      <c r="AY28" s="587">
        <v>144.36546618389499</v>
      </c>
      <c r="AZ28" s="587">
        <v>145.10835226846902</v>
      </c>
      <c r="BA28" s="587">
        <v>151.332670290512</v>
      </c>
      <c r="BB28" s="587">
        <v>133.33978002792</v>
      </c>
      <c r="BC28" s="587">
        <v>166.03203548303097</v>
      </c>
      <c r="BD28" s="587">
        <v>178.78367809125101</v>
      </c>
      <c r="BE28" s="587">
        <v>225.96230681309402</v>
      </c>
      <c r="BF28" s="587">
        <v>227.16183024827802</v>
      </c>
      <c r="BG28" s="587">
        <v>228.466386159861</v>
      </c>
      <c r="BH28" s="587">
        <v>231.975137686571</v>
      </c>
      <c r="BI28" s="587">
        <v>220.78901456923998</v>
      </c>
      <c r="BJ28" s="587">
        <v>273.459613137948</v>
      </c>
      <c r="BK28" s="587">
        <v>242.30585754926801</v>
      </c>
      <c r="BL28" s="587">
        <v>241.97609148436001</v>
      </c>
      <c r="BM28" s="587">
        <v>264.13208734438797</v>
      </c>
      <c r="BN28" s="587">
        <v>321.51504282691394</v>
      </c>
      <c r="BO28" s="587">
        <v>312.21540729697</v>
      </c>
      <c r="BP28" s="587">
        <v>311.20258982125802</v>
      </c>
      <c r="BQ28" s="587">
        <v>155.43094604219999</v>
      </c>
      <c r="BR28" s="587">
        <v>234.17691871757603</v>
      </c>
      <c r="BS28" s="587">
        <v>176.49389632339202</v>
      </c>
      <c r="BT28" s="587">
        <v>158.48801209582498</v>
      </c>
      <c r="BU28" s="587">
        <v>192.56512307616799</v>
      </c>
      <c r="BV28" s="587">
        <v>182.60654381780202</v>
      </c>
      <c r="BW28" s="587">
        <v>239.76565439396501</v>
      </c>
      <c r="BX28" s="587">
        <v>233.75830020199999</v>
      </c>
      <c r="BY28" s="587">
        <v>228.1199880129</v>
      </c>
      <c r="BZ28" s="587">
        <v>307.10000000000002</v>
      </c>
      <c r="CA28" s="587">
        <v>279.69326941025304</v>
      </c>
      <c r="CB28" s="587">
        <v>163.05112389999999</v>
      </c>
      <c r="CC28" s="587">
        <v>157.77436983561</v>
      </c>
      <c r="CD28" s="587">
        <v>101.504619756536</v>
      </c>
      <c r="CE28" s="587">
        <v>94.444437270082744</v>
      </c>
      <c r="CF28" s="587">
        <v>103.94835462019299</v>
      </c>
      <c r="CG28" s="587">
        <v>90.655576233880012</v>
      </c>
      <c r="CH28" s="587">
        <v>106.57304295735817</v>
      </c>
      <c r="CI28" s="587">
        <v>219.18467607100317</v>
      </c>
      <c r="CJ28" s="587">
        <v>100.46505482277</v>
      </c>
      <c r="CK28" s="587">
        <v>89.28311561999999</v>
      </c>
      <c r="CL28" s="587">
        <v>89.054852999999994</v>
      </c>
      <c r="CM28" s="587">
        <v>92.464651038802998</v>
      </c>
      <c r="CN28" s="587">
        <v>91.468189580000001</v>
      </c>
      <c r="CO28" s="587">
        <v>91.641846270000002</v>
      </c>
      <c r="CP28" s="587">
        <v>88.927837643325006</v>
      </c>
      <c r="CQ28" s="587">
        <v>83.293491148742987</v>
      </c>
      <c r="CR28" s="587">
        <v>86.37146728148501</v>
      </c>
      <c r="CS28" s="587">
        <v>84.604642524098864</v>
      </c>
      <c r="CT28" s="587">
        <v>78.325160029454892</v>
      </c>
      <c r="CU28" s="587">
        <v>76.659233949262713</v>
      </c>
      <c r="CV28" s="587">
        <v>95.28988166783536</v>
      </c>
      <c r="CW28" s="587">
        <v>80.692297490560861</v>
      </c>
      <c r="CX28" s="587">
        <v>75.559578036523376</v>
      </c>
      <c r="CY28" s="587">
        <v>74.012151978450106</v>
      </c>
      <c r="CZ28" s="587">
        <v>77.740551126647702</v>
      </c>
      <c r="DA28" s="587">
        <v>74.174897989999991</v>
      </c>
      <c r="DB28" s="797">
        <v>74.180511122816867</v>
      </c>
      <c r="DC28" s="797">
        <v>74.911465481918825</v>
      </c>
      <c r="DD28" s="797">
        <v>78.385737314623597</v>
      </c>
      <c r="DE28" s="797">
        <v>77.681668107964796</v>
      </c>
      <c r="DF28" s="797">
        <v>170.95752902302027</v>
      </c>
      <c r="DG28" s="797">
        <v>197.09340777883978</v>
      </c>
      <c r="DH28" s="797">
        <v>241.77566960492067</v>
      </c>
      <c r="DI28" s="797">
        <v>270.47061073999998</v>
      </c>
      <c r="DJ28" s="797">
        <v>260.31001548</v>
      </c>
      <c r="DK28" s="797">
        <v>252.42348912</v>
      </c>
      <c r="DL28" s="797">
        <v>235.5096548767338</v>
      </c>
      <c r="DM28" s="797">
        <v>241.15517149633391</v>
      </c>
      <c r="DN28" s="797">
        <v>239.36306235795448</v>
      </c>
      <c r="DO28" s="797">
        <v>223.90959444652412</v>
      </c>
      <c r="DP28" s="797">
        <v>222.83760097908254</v>
      </c>
      <c r="DQ28" s="797">
        <v>215.3263150130874</v>
      </c>
      <c r="DR28" s="797">
        <v>212.00304744132853</v>
      </c>
    </row>
    <row r="29" spans="1:122" ht="15.95" customHeight="1">
      <c r="A29" s="793" t="s">
        <v>2402</v>
      </c>
      <c r="B29" s="794">
        <v>166.19704274497298</v>
      </c>
      <c r="C29" s="664">
        <v>172.17080784207999</v>
      </c>
      <c r="D29" s="664">
        <v>179.12270492087004</v>
      </c>
      <c r="E29" s="593">
        <v>180.71681740500003</v>
      </c>
      <c r="F29" s="664">
        <v>170.08206123760999</v>
      </c>
      <c r="G29" s="664">
        <v>168.39414530846761</v>
      </c>
      <c r="H29" s="664">
        <v>175.04574935152002</v>
      </c>
      <c r="I29" s="664">
        <v>142.68633977999997</v>
      </c>
      <c r="J29" s="664">
        <v>149.98749404</v>
      </c>
      <c r="K29" s="593">
        <v>167.39403020999998</v>
      </c>
      <c r="L29" s="664">
        <v>173.93170000999999</v>
      </c>
      <c r="M29" s="664">
        <v>166.93003911000002</v>
      </c>
      <c r="N29" s="664">
        <v>164.45018951000003</v>
      </c>
      <c r="O29" s="593">
        <v>169.52541997999998</v>
      </c>
      <c r="P29" s="664">
        <v>164.11554416999999</v>
      </c>
      <c r="Q29" s="664">
        <v>158.92107231</v>
      </c>
      <c r="R29" s="593">
        <v>157.57832245000003</v>
      </c>
      <c r="S29" s="664">
        <v>159.66678271999999</v>
      </c>
      <c r="T29" s="664">
        <v>158.43417059000001</v>
      </c>
      <c r="U29" s="795">
        <v>148.98419639999997</v>
      </c>
      <c r="V29" s="795">
        <v>145.69541749000001</v>
      </c>
      <c r="W29" s="795">
        <v>151.70839975999999</v>
      </c>
      <c r="X29" s="795">
        <v>154.88993690999999</v>
      </c>
      <c r="Y29" s="795">
        <v>156.73571521</v>
      </c>
      <c r="Z29" s="795">
        <v>158.66221405999997</v>
      </c>
      <c r="AA29" s="795">
        <v>166.25601868999999</v>
      </c>
      <c r="AB29" s="795">
        <v>203.69923205000001</v>
      </c>
      <c r="AC29" s="795">
        <v>222.09392018</v>
      </c>
      <c r="AD29" s="795">
        <v>221.21474542000001</v>
      </c>
      <c r="AE29" s="795">
        <v>229.97076128999998</v>
      </c>
      <c r="AF29" s="795">
        <v>219.86278774000002</v>
      </c>
      <c r="AG29" s="795">
        <v>206.73097761</v>
      </c>
      <c r="AH29" s="795">
        <v>207.45089675</v>
      </c>
      <c r="AI29" s="795">
        <v>228.74573941999998</v>
      </c>
      <c r="AJ29" s="795">
        <v>235.40451213999998</v>
      </c>
      <c r="AK29" s="795">
        <v>248.82441001000001</v>
      </c>
      <c r="AL29" s="795">
        <v>240.50498970999999</v>
      </c>
      <c r="AM29" s="666">
        <v>237.53441811000002</v>
      </c>
      <c r="AN29" s="666">
        <v>237.93872151160198</v>
      </c>
      <c r="AO29" s="666">
        <v>234.29789789324701</v>
      </c>
      <c r="AP29" s="666">
        <v>236.76174675454897</v>
      </c>
      <c r="AQ29" s="666">
        <v>232.39989971261201</v>
      </c>
      <c r="AR29" s="794">
        <v>234.41904848554404</v>
      </c>
      <c r="AS29" s="794">
        <v>226.38333418600001</v>
      </c>
      <c r="AT29" s="794">
        <v>234.40558189483201</v>
      </c>
      <c r="AU29" s="794">
        <v>228.90864242174399</v>
      </c>
      <c r="AV29" s="794">
        <v>242.15599978544</v>
      </c>
      <c r="AW29" s="587">
        <v>237.31196294</v>
      </c>
      <c r="AX29" s="587">
        <v>222.030499754</v>
      </c>
      <c r="AY29" s="587">
        <v>210.6999863307</v>
      </c>
      <c r="AZ29" s="587">
        <v>210.64698154450002</v>
      </c>
      <c r="BA29" s="587">
        <v>214.69306681180001</v>
      </c>
      <c r="BB29" s="587">
        <v>211.62983704960001</v>
      </c>
      <c r="BC29" s="587">
        <v>212.70703092239998</v>
      </c>
      <c r="BD29" s="587">
        <v>203.26102331419997</v>
      </c>
      <c r="BE29" s="587">
        <v>196.8062958955</v>
      </c>
      <c r="BF29" s="587">
        <v>196.95560420499999</v>
      </c>
      <c r="BG29" s="587">
        <v>203.14865280199999</v>
      </c>
      <c r="BH29" s="587">
        <v>205.22739991490002</v>
      </c>
      <c r="BI29" s="587">
        <v>203.74167113570002</v>
      </c>
      <c r="BJ29" s="587">
        <v>201.1387947593</v>
      </c>
      <c r="BK29" s="587">
        <v>199.17181670080001</v>
      </c>
      <c r="BL29" s="587">
        <v>203.9138402696</v>
      </c>
      <c r="BM29" s="587">
        <v>204.63651916440003</v>
      </c>
      <c r="BN29" s="587">
        <v>187.30917504936059</v>
      </c>
      <c r="BO29" s="587">
        <v>197.30556455520002</v>
      </c>
      <c r="BP29" s="587">
        <v>190.96195821379999</v>
      </c>
      <c r="BQ29" s="587">
        <v>190.21708224679998</v>
      </c>
      <c r="BR29" s="587">
        <v>204.50356904449998</v>
      </c>
      <c r="BS29" s="587">
        <v>204.16064116319998</v>
      </c>
      <c r="BT29" s="587">
        <v>202.40325971591045</v>
      </c>
      <c r="BU29" s="587">
        <v>191.91422424306998</v>
      </c>
      <c r="BV29" s="587">
        <v>198.93572764233602</v>
      </c>
      <c r="BW29" s="587">
        <v>186.67733187299996</v>
      </c>
      <c r="BX29" s="587">
        <v>186.13670978050001</v>
      </c>
      <c r="BY29" s="587">
        <v>170.72531497759999</v>
      </c>
      <c r="BZ29" s="587">
        <v>174.2</v>
      </c>
      <c r="CA29" s="587">
        <v>175.72022050890001</v>
      </c>
      <c r="CB29" s="587">
        <v>172.9238295376</v>
      </c>
      <c r="CC29" s="587">
        <v>151.24261553140002</v>
      </c>
      <c r="CD29" s="587">
        <v>147.76887805701799</v>
      </c>
      <c r="CE29" s="587">
        <v>150.49005479997493</v>
      </c>
      <c r="CF29" s="587">
        <v>151.04853066215151</v>
      </c>
      <c r="CG29" s="587">
        <v>153.8064803165</v>
      </c>
      <c r="CH29" s="587">
        <v>147.176259327541</v>
      </c>
      <c r="CI29" s="587">
        <v>154.8723973091775</v>
      </c>
      <c r="CJ29" s="587">
        <v>152.72713881596999</v>
      </c>
      <c r="CK29" s="587">
        <v>144.51623770646103</v>
      </c>
      <c r="CL29" s="587">
        <v>144.85359327990568</v>
      </c>
      <c r="CM29" s="587">
        <v>146.01853128330151</v>
      </c>
      <c r="CN29" s="587">
        <v>149.53044461211601</v>
      </c>
      <c r="CO29" s="587">
        <v>143.01418972859099</v>
      </c>
      <c r="CP29" s="587">
        <v>146.05616104077501</v>
      </c>
      <c r="CQ29" s="587">
        <v>153.39006734371299</v>
      </c>
      <c r="CR29" s="587">
        <v>157.48527970151002</v>
      </c>
      <c r="CS29" s="587">
        <v>154.73402935232829</v>
      </c>
      <c r="CT29" s="587">
        <v>156.30114293017243</v>
      </c>
      <c r="CU29" s="587">
        <v>153.12732666375427</v>
      </c>
      <c r="CV29" s="587">
        <v>153.20968241351756</v>
      </c>
      <c r="CW29" s="587">
        <v>154.62467975861063</v>
      </c>
      <c r="CX29" s="587">
        <v>153.88933391233158</v>
      </c>
      <c r="CY29" s="587">
        <v>149.91052194756287</v>
      </c>
      <c r="CZ29" s="587">
        <v>147.61246405443111</v>
      </c>
      <c r="DA29" s="587">
        <v>147.46936847641601</v>
      </c>
      <c r="DB29" s="797">
        <v>146.0543154212904</v>
      </c>
      <c r="DC29" s="797">
        <v>147.20626726667223</v>
      </c>
      <c r="DD29" s="797">
        <v>149.97467618072361</v>
      </c>
      <c r="DE29" s="797">
        <v>149.20641940096641</v>
      </c>
      <c r="DF29" s="797">
        <v>148.79178085881293</v>
      </c>
      <c r="DG29" s="797">
        <v>152.68437142358493</v>
      </c>
      <c r="DH29" s="797">
        <v>148.72149711194263</v>
      </c>
      <c r="DI29" s="797">
        <v>150.45792386767334</v>
      </c>
      <c r="DJ29" s="797">
        <v>155.25069889884332</v>
      </c>
      <c r="DK29" s="797">
        <v>152.61133205235384</v>
      </c>
      <c r="DL29" s="797">
        <v>148.57791865215898</v>
      </c>
      <c r="DM29" s="797">
        <v>149.5826498072424</v>
      </c>
      <c r="DN29" s="797">
        <v>155.27922484997799</v>
      </c>
      <c r="DO29" s="797">
        <v>157.90602460664417</v>
      </c>
      <c r="DP29" s="797">
        <v>153.25886968801376</v>
      </c>
      <c r="DQ29" s="797">
        <v>156.11862083206591</v>
      </c>
      <c r="DR29" s="797">
        <v>148.46452964585009</v>
      </c>
    </row>
    <row r="30" spans="1:122" ht="15.95" customHeight="1">
      <c r="A30" s="793" t="s">
        <v>2403</v>
      </c>
      <c r="B30" s="794">
        <v>107.05617068000001</v>
      </c>
      <c r="C30" s="664">
        <v>108.93011505999999</v>
      </c>
      <c r="D30" s="664">
        <v>113.39572072</v>
      </c>
      <c r="E30" s="593">
        <v>113.43588736000001</v>
      </c>
      <c r="F30" s="664">
        <v>112.66284388</v>
      </c>
      <c r="G30" s="664">
        <v>100.35393292999997</v>
      </c>
      <c r="H30" s="664">
        <v>90.524277550000008</v>
      </c>
      <c r="I30" s="664">
        <v>90.827012930000009</v>
      </c>
      <c r="J30" s="664">
        <v>88.998793969999994</v>
      </c>
      <c r="K30" s="593">
        <v>93.634986659999996</v>
      </c>
      <c r="L30" s="664">
        <v>95.818290009999984</v>
      </c>
      <c r="M30" s="664">
        <v>90.924419810000003</v>
      </c>
      <c r="N30" s="664">
        <v>89.465531080000019</v>
      </c>
      <c r="O30" s="593">
        <v>87.017192260000002</v>
      </c>
      <c r="P30" s="664">
        <v>97.94841670000001</v>
      </c>
      <c r="Q30" s="664">
        <v>94.414618800000014</v>
      </c>
      <c r="R30" s="593">
        <v>103.72423058</v>
      </c>
      <c r="S30" s="664">
        <v>104.63281302999999</v>
      </c>
      <c r="T30" s="664">
        <v>104.79314769</v>
      </c>
      <c r="U30" s="795">
        <v>107.6631656</v>
      </c>
      <c r="V30" s="795">
        <v>111.43260396000001</v>
      </c>
      <c r="W30" s="795">
        <v>114.40807389999999</v>
      </c>
      <c r="X30" s="795">
        <v>115.29542647999999</v>
      </c>
      <c r="Y30" s="795">
        <v>115.11089678</v>
      </c>
      <c r="Z30" s="795">
        <v>118.30599309</v>
      </c>
      <c r="AA30" s="795">
        <v>121.27700214000002</v>
      </c>
      <c r="AB30" s="795">
        <v>135.58144806999999</v>
      </c>
      <c r="AC30" s="795">
        <v>142.86493009999998</v>
      </c>
      <c r="AD30" s="795">
        <v>169.72970027</v>
      </c>
      <c r="AE30" s="795">
        <v>175.88312285000001</v>
      </c>
      <c r="AF30" s="795">
        <v>173.10405279</v>
      </c>
      <c r="AG30" s="795">
        <v>170.34762260000002</v>
      </c>
      <c r="AH30" s="795">
        <v>160.21634463000001</v>
      </c>
      <c r="AI30" s="795">
        <v>69.774889770000016</v>
      </c>
      <c r="AJ30" s="795">
        <v>68.284423019999991</v>
      </c>
      <c r="AK30" s="795">
        <v>71.220660969999997</v>
      </c>
      <c r="AL30" s="795">
        <v>69.166733960000002</v>
      </c>
      <c r="AM30" s="666">
        <v>70.189227939999995</v>
      </c>
      <c r="AN30" s="666">
        <v>72.921444230000006</v>
      </c>
      <c r="AO30" s="666">
        <v>72.971721670000008</v>
      </c>
      <c r="AP30" s="666">
        <v>73.985624639999997</v>
      </c>
      <c r="AQ30" s="666">
        <v>94.544895410000009</v>
      </c>
      <c r="AR30" s="794">
        <v>126.34180978000001</v>
      </c>
      <c r="AS30" s="794">
        <v>128.09277563000001</v>
      </c>
      <c r="AT30" s="794">
        <v>129.84127587</v>
      </c>
      <c r="AU30" s="794">
        <v>132.82563729</v>
      </c>
      <c r="AV30" s="794">
        <v>135.14218713</v>
      </c>
      <c r="AW30" s="587">
        <v>137.93477261000001</v>
      </c>
      <c r="AX30" s="587">
        <v>136.91163017000002</v>
      </c>
      <c r="AY30" s="587">
        <v>148.69408185000003</v>
      </c>
      <c r="AZ30" s="587">
        <v>142.45097073000002</v>
      </c>
      <c r="BA30" s="587">
        <v>123.94744793</v>
      </c>
      <c r="BB30" s="587">
        <v>121.95530051000001</v>
      </c>
      <c r="BC30" s="587">
        <v>122.74004037</v>
      </c>
      <c r="BD30" s="587">
        <v>134.92717345</v>
      </c>
      <c r="BE30" s="587">
        <v>145.6838238</v>
      </c>
      <c r="BF30" s="587">
        <v>150.76304543000001</v>
      </c>
      <c r="BG30" s="587">
        <v>148.29760101999997</v>
      </c>
      <c r="BH30" s="587">
        <v>143.33968397000004</v>
      </c>
      <c r="BI30" s="587">
        <v>141.68004776999999</v>
      </c>
      <c r="BJ30" s="587">
        <v>145.97479647000003</v>
      </c>
      <c r="BK30" s="587">
        <v>140.78666691000001</v>
      </c>
      <c r="BL30" s="587">
        <v>134.30451740999999</v>
      </c>
      <c r="BM30" s="587">
        <v>101.19061445</v>
      </c>
      <c r="BN30" s="587">
        <v>95.298990035000003</v>
      </c>
      <c r="BO30" s="587">
        <v>93.261003739999992</v>
      </c>
      <c r="BP30" s="587">
        <v>101.6658759645</v>
      </c>
      <c r="BQ30" s="587">
        <v>106.93296581</v>
      </c>
      <c r="BR30" s="587">
        <v>107.00747396509999</v>
      </c>
      <c r="BS30" s="587">
        <v>106.97144995279999</v>
      </c>
      <c r="BT30" s="587">
        <v>99.167376590000003</v>
      </c>
      <c r="BU30" s="587">
        <v>101.09709640999999</v>
      </c>
      <c r="BV30" s="587">
        <v>119.36422509293199</v>
      </c>
      <c r="BW30" s="587">
        <v>140.93557837685498</v>
      </c>
      <c r="BX30" s="587">
        <v>135.07382787749998</v>
      </c>
      <c r="BY30" s="587">
        <v>122.99443790000001</v>
      </c>
      <c r="BZ30" s="587">
        <v>128.1</v>
      </c>
      <c r="CA30" s="587">
        <v>137.3546411996</v>
      </c>
      <c r="CB30" s="587">
        <v>169.12147708320001</v>
      </c>
      <c r="CC30" s="587">
        <v>190.72459717737001</v>
      </c>
      <c r="CD30" s="587">
        <v>180.44956415000001</v>
      </c>
      <c r="CE30" s="587">
        <v>174.68730865236961</v>
      </c>
      <c r="CF30" s="587">
        <v>190.66209004645998</v>
      </c>
      <c r="CG30" s="587">
        <v>184.70920149082335</v>
      </c>
      <c r="CH30" s="587">
        <v>183.93004421749197</v>
      </c>
      <c r="CI30" s="587">
        <v>162.67965234715564</v>
      </c>
      <c r="CJ30" s="587">
        <v>185.53134688473202</v>
      </c>
      <c r="CK30" s="587">
        <v>189.60304870303099</v>
      </c>
      <c r="CL30" s="587">
        <v>180.33724069675984</v>
      </c>
      <c r="CM30" s="587">
        <v>171.552213982414</v>
      </c>
      <c r="CN30" s="587">
        <v>200.69722438833335</v>
      </c>
      <c r="CO30" s="587">
        <v>189.94621802061098</v>
      </c>
      <c r="CP30" s="587">
        <v>212.01689140925001</v>
      </c>
      <c r="CQ30" s="587">
        <v>230.7074109253555</v>
      </c>
      <c r="CR30" s="587">
        <v>219.75381403593502</v>
      </c>
      <c r="CS30" s="587">
        <v>207.3773747911886</v>
      </c>
      <c r="CT30" s="587">
        <v>212.71430301606202</v>
      </c>
      <c r="CU30" s="587">
        <v>204.04919331571153</v>
      </c>
      <c r="CV30" s="587">
        <v>208.85902242130322</v>
      </c>
      <c r="CW30" s="587">
        <v>203.35630842974692</v>
      </c>
      <c r="CX30" s="587">
        <v>216.33333592894729</v>
      </c>
      <c r="CY30" s="587">
        <v>217.50065759838878</v>
      </c>
      <c r="CZ30" s="587">
        <v>204.99283890157344</v>
      </c>
      <c r="DA30" s="587">
        <v>201.56493766462546</v>
      </c>
      <c r="DB30" s="797">
        <v>191.37446692838139</v>
      </c>
      <c r="DC30" s="797">
        <v>195.9792965428056</v>
      </c>
      <c r="DD30" s="797">
        <v>191.17219434187692</v>
      </c>
      <c r="DE30" s="797">
        <v>183.483586938624</v>
      </c>
      <c r="DF30" s="797">
        <v>195.84589353909578</v>
      </c>
      <c r="DG30" s="797">
        <v>194.90484247874761</v>
      </c>
      <c r="DH30" s="797">
        <v>191.32610357999999</v>
      </c>
      <c r="DI30" s="797">
        <v>175.49887980645335</v>
      </c>
      <c r="DJ30" s="797">
        <v>192.75273477815125</v>
      </c>
      <c r="DK30" s="797">
        <v>71.701365969114747</v>
      </c>
      <c r="DL30" s="797">
        <v>70.596200430875257</v>
      </c>
      <c r="DM30" s="797">
        <v>69.268624629999991</v>
      </c>
      <c r="DN30" s="797">
        <v>71.9164691</v>
      </c>
      <c r="DO30" s="797">
        <v>70.646511236210813</v>
      </c>
      <c r="DP30" s="797">
        <v>73.515980659730019</v>
      </c>
      <c r="DQ30" s="797">
        <v>72.5125025047642</v>
      </c>
      <c r="DR30" s="797">
        <v>72.815012122797555</v>
      </c>
    </row>
    <row r="31" spans="1:122" ht="15.95" customHeight="1">
      <c r="A31" s="793" t="s">
        <v>2404</v>
      </c>
      <c r="B31" s="794">
        <v>51.244430170000001</v>
      </c>
      <c r="C31" s="664">
        <v>52.259572419999991</v>
      </c>
      <c r="D31" s="664">
        <v>55.850058779999998</v>
      </c>
      <c r="E31" s="593">
        <v>64.938542740000003</v>
      </c>
      <c r="F31" s="664">
        <v>57.690338689999997</v>
      </c>
      <c r="G31" s="664">
        <v>60.792891959999999</v>
      </c>
      <c r="H31" s="664">
        <v>57.187647950000006</v>
      </c>
      <c r="I31" s="664">
        <v>57.002124610000003</v>
      </c>
      <c r="J31" s="664">
        <v>52.75685172</v>
      </c>
      <c r="K31" s="593">
        <v>50.617907880000004</v>
      </c>
      <c r="L31" s="664">
        <v>50.973789340000003</v>
      </c>
      <c r="M31" s="664">
        <v>53.15350952</v>
      </c>
      <c r="N31" s="664">
        <v>52.918427860000001</v>
      </c>
      <c r="O31" s="593">
        <v>51.789400890000003</v>
      </c>
      <c r="P31" s="664">
        <v>54.673898159999993</v>
      </c>
      <c r="Q31" s="664">
        <v>58.030201310000002</v>
      </c>
      <c r="R31" s="593">
        <v>52.78444219</v>
      </c>
      <c r="S31" s="664">
        <v>50.81987359</v>
      </c>
      <c r="T31" s="664">
        <v>50.275459620000007</v>
      </c>
      <c r="U31" s="795">
        <v>52.116784420000002</v>
      </c>
      <c r="V31" s="795">
        <v>70.011760819999992</v>
      </c>
      <c r="W31" s="795">
        <v>72.804523000000003</v>
      </c>
      <c r="X31" s="795">
        <v>71.0182681</v>
      </c>
      <c r="Y31" s="795">
        <v>75.792336219999996</v>
      </c>
      <c r="Z31" s="795">
        <v>74.007369260000004</v>
      </c>
      <c r="AA31" s="795">
        <v>75.371005949999997</v>
      </c>
      <c r="AB31" s="795">
        <v>75.791591480000008</v>
      </c>
      <c r="AC31" s="795">
        <v>76.099601019999994</v>
      </c>
      <c r="AD31" s="795">
        <v>80.89745090000001</v>
      </c>
      <c r="AE31" s="795">
        <v>84.26285489</v>
      </c>
      <c r="AF31" s="795">
        <v>79.066404750000004</v>
      </c>
      <c r="AG31" s="795">
        <v>76.952264539999987</v>
      </c>
      <c r="AH31" s="795">
        <v>73.470780099999999</v>
      </c>
      <c r="AI31" s="795">
        <v>72.317518210000003</v>
      </c>
      <c r="AJ31" s="795">
        <v>71.387064080000002</v>
      </c>
      <c r="AK31" s="795">
        <v>77.403741479999994</v>
      </c>
      <c r="AL31" s="795">
        <v>80.801302740000011</v>
      </c>
      <c r="AM31" s="666">
        <v>103.04885627050001</v>
      </c>
      <c r="AN31" s="666">
        <v>101.03159974</v>
      </c>
      <c r="AO31" s="666">
        <v>101.11206374805001</v>
      </c>
      <c r="AP31" s="666">
        <v>99.920416457800002</v>
      </c>
      <c r="AQ31" s="666">
        <v>103.72492347599999</v>
      </c>
      <c r="AR31" s="794">
        <v>100.04347389719999</v>
      </c>
      <c r="AS31" s="794">
        <v>97.498390549999982</v>
      </c>
      <c r="AT31" s="794">
        <v>88.57160101720001</v>
      </c>
      <c r="AU31" s="794">
        <v>85.758259624899992</v>
      </c>
      <c r="AV31" s="794">
        <v>88.088845417999991</v>
      </c>
      <c r="AW31" s="587">
        <v>83.108534426000006</v>
      </c>
      <c r="AX31" s="587">
        <v>81.602117080399992</v>
      </c>
      <c r="AY31" s="587">
        <v>96.570214322500007</v>
      </c>
      <c r="AZ31" s="587">
        <v>100.32021284420001</v>
      </c>
      <c r="BA31" s="587">
        <v>103.4731487116</v>
      </c>
      <c r="BB31" s="587">
        <v>106.7594048097</v>
      </c>
      <c r="BC31" s="587">
        <v>101.09695687239999</v>
      </c>
      <c r="BD31" s="587">
        <v>89.513401830199996</v>
      </c>
      <c r="BE31" s="587">
        <v>90.987898324099987</v>
      </c>
      <c r="BF31" s="587">
        <v>73.457811110000009</v>
      </c>
      <c r="BG31" s="587">
        <v>81.837080082</v>
      </c>
      <c r="BH31" s="587">
        <v>87.269428949000002</v>
      </c>
      <c r="BI31" s="587">
        <v>94.546593384399998</v>
      </c>
      <c r="BJ31" s="587">
        <v>97.070399299599998</v>
      </c>
      <c r="BK31" s="587">
        <v>88.831011635099998</v>
      </c>
      <c r="BL31" s="587">
        <v>111.79761309450001</v>
      </c>
      <c r="BM31" s="587">
        <v>83.810003458400004</v>
      </c>
      <c r="BN31" s="587">
        <v>72.488846315455191</v>
      </c>
      <c r="BO31" s="587">
        <v>65.051982602799995</v>
      </c>
      <c r="BP31" s="587">
        <v>62.706798494200001</v>
      </c>
      <c r="BQ31" s="587">
        <v>56.307619406699999</v>
      </c>
      <c r="BR31" s="587">
        <v>55.847667190599999</v>
      </c>
      <c r="BS31" s="587">
        <v>60.101927183999997</v>
      </c>
      <c r="BT31" s="587">
        <v>59.37408370464</v>
      </c>
      <c r="BU31" s="587">
        <v>58.578465504831996</v>
      </c>
      <c r="BV31" s="587">
        <v>58.771804737976005</v>
      </c>
      <c r="BW31" s="587">
        <v>56.812968732910008</v>
      </c>
      <c r="BX31" s="587">
        <v>53.268025104499998</v>
      </c>
      <c r="BY31" s="587">
        <v>63.678511868399994</v>
      </c>
      <c r="BZ31" s="587">
        <v>60.8</v>
      </c>
      <c r="CA31" s="587">
        <v>63.449577165699992</v>
      </c>
      <c r="CB31" s="587">
        <v>65.775833495599997</v>
      </c>
      <c r="CC31" s="587">
        <v>55.707913117559997</v>
      </c>
      <c r="CD31" s="587">
        <v>55.460364584503999</v>
      </c>
      <c r="CE31" s="587">
        <v>57.715432643515427</v>
      </c>
      <c r="CF31" s="587">
        <v>65.822877396079335</v>
      </c>
      <c r="CG31" s="587">
        <v>61.149913132750001</v>
      </c>
      <c r="CH31" s="587">
        <v>62.690629086446492</v>
      </c>
      <c r="CI31" s="587">
        <v>59.540902473701507</v>
      </c>
      <c r="CJ31" s="587">
        <v>60.721167989892002</v>
      </c>
      <c r="CK31" s="587">
        <v>61.232735219925999</v>
      </c>
      <c r="CL31" s="587">
        <v>56.305574611556999</v>
      </c>
      <c r="CM31" s="587">
        <v>59.155351571200001</v>
      </c>
      <c r="CN31" s="587">
        <v>61.881898985633335</v>
      </c>
      <c r="CO31" s="587">
        <v>59.018678339357997</v>
      </c>
      <c r="CP31" s="587">
        <v>61.782659743824993</v>
      </c>
      <c r="CQ31" s="587">
        <v>59.376520035877576</v>
      </c>
      <c r="CR31" s="587">
        <v>57.075425318355158</v>
      </c>
      <c r="CS31" s="587">
        <v>56.524977312472998</v>
      </c>
      <c r="CT31" s="587">
        <v>58.02565279372849</v>
      </c>
      <c r="CU31" s="587">
        <v>61.08911059853363</v>
      </c>
      <c r="CV31" s="587">
        <v>57.740576343036395</v>
      </c>
      <c r="CW31" s="587">
        <v>66.188946406192088</v>
      </c>
      <c r="CX31" s="587">
        <v>57.945527815372387</v>
      </c>
      <c r="CY31" s="587">
        <v>63.953598953473104</v>
      </c>
      <c r="CZ31" s="587">
        <v>66.558794424839789</v>
      </c>
      <c r="DA31" s="587">
        <v>64.627054264546928</v>
      </c>
      <c r="DB31" s="797">
        <v>71.116894091025685</v>
      </c>
      <c r="DC31" s="797">
        <v>71.378071404544997</v>
      </c>
      <c r="DD31" s="797">
        <v>70.375754979827093</v>
      </c>
      <c r="DE31" s="797">
        <v>74.329612756589114</v>
      </c>
      <c r="DF31" s="797">
        <v>74.541864790504505</v>
      </c>
      <c r="DG31" s="797">
        <v>75.63880394290095</v>
      </c>
      <c r="DH31" s="797">
        <v>81.837586041798872</v>
      </c>
      <c r="DI31" s="797">
        <v>76.890252947610648</v>
      </c>
      <c r="DJ31" s="797">
        <v>85.494191749348232</v>
      </c>
      <c r="DK31" s="797">
        <v>90.937781435718975</v>
      </c>
      <c r="DL31" s="797">
        <v>78.675503694750489</v>
      </c>
      <c r="DM31" s="797">
        <v>72.96462862718171</v>
      </c>
      <c r="DN31" s="797">
        <v>77.688579810000007</v>
      </c>
      <c r="DO31" s="797">
        <v>83.925388949999999</v>
      </c>
      <c r="DP31" s="797">
        <v>81.843995339999992</v>
      </c>
      <c r="DQ31" s="797">
        <v>83.275110204200004</v>
      </c>
      <c r="DR31" s="797">
        <v>90.325263011520008</v>
      </c>
    </row>
    <row r="32" spans="1:122" ht="15.95" customHeight="1">
      <c r="A32" s="793" t="s">
        <v>2405</v>
      </c>
      <c r="B32" s="794">
        <v>137.22029699999999</v>
      </c>
      <c r="C32" s="664">
        <v>150.77954341</v>
      </c>
      <c r="D32" s="664">
        <v>155.00799566000001</v>
      </c>
      <c r="E32" s="593">
        <v>147.51578659</v>
      </c>
      <c r="F32" s="664">
        <v>138.49188716</v>
      </c>
      <c r="G32" s="664">
        <v>139.75762038000002</v>
      </c>
      <c r="H32" s="664">
        <v>146.47286763</v>
      </c>
      <c r="I32" s="664">
        <v>160.47393908999999</v>
      </c>
      <c r="J32" s="664">
        <v>152.11909307999997</v>
      </c>
      <c r="K32" s="593">
        <v>150.24947868999999</v>
      </c>
      <c r="L32" s="664">
        <v>145.54792584</v>
      </c>
      <c r="M32" s="664">
        <v>145.53761368000002</v>
      </c>
      <c r="N32" s="664">
        <v>131.09612285</v>
      </c>
      <c r="O32" s="593">
        <v>135.01779162</v>
      </c>
      <c r="P32" s="664">
        <v>186.80955642739201</v>
      </c>
      <c r="Q32" s="664">
        <v>191.99598179079999</v>
      </c>
      <c r="R32" s="593">
        <v>198.23690170609999</v>
      </c>
      <c r="S32" s="664">
        <v>196.62209035220002</v>
      </c>
      <c r="T32" s="664">
        <v>192.70914635999998</v>
      </c>
      <c r="U32" s="795">
        <v>208.26788869524802</v>
      </c>
      <c r="V32" s="795">
        <v>208.90080498292198</v>
      </c>
      <c r="W32" s="795">
        <v>214.59797326069997</v>
      </c>
      <c r="X32" s="795">
        <v>205.83065559184203</v>
      </c>
      <c r="Y32" s="795">
        <v>204.08373970267499</v>
      </c>
      <c r="Z32" s="795">
        <v>198.62210499682402</v>
      </c>
      <c r="AA32" s="795">
        <v>204.67757639345797</v>
      </c>
      <c r="AB32" s="795">
        <v>197.09025105275003</v>
      </c>
      <c r="AC32" s="795">
        <v>196.51090954755301</v>
      </c>
      <c r="AD32" s="795">
        <v>202.63536832102901</v>
      </c>
      <c r="AE32" s="795">
        <v>201.05450663677868</v>
      </c>
      <c r="AF32" s="795">
        <v>206.01312511168751</v>
      </c>
      <c r="AG32" s="795">
        <v>214.68709359682001</v>
      </c>
      <c r="AH32" s="795">
        <v>199.77982239619999</v>
      </c>
      <c r="AI32" s="795">
        <v>218.47805708356799</v>
      </c>
      <c r="AJ32" s="795">
        <v>205.72549899401599</v>
      </c>
      <c r="AK32" s="795">
        <v>205.96792474167</v>
      </c>
      <c r="AL32" s="795">
        <v>198.92989336639999</v>
      </c>
      <c r="AM32" s="666">
        <v>198.35554558512001</v>
      </c>
      <c r="AN32" s="666">
        <v>202.11933296262799</v>
      </c>
      <c r="AO32" s="666">
        <v>189.88258895100404</v>
      </c>
      <c r="AP32" s="666">
        <v>178.39323592220498</v>
      </c>
      <c r="AQ32" s="666">
        <v>181.692723829774</v>
      </c>
      <c r="AR32" s="794">
        <v>188.77173291461997</v>
      </c>
      <c r="AS32" s="794">
        <v>197.94253344000001</v>
      </c>
      <c r="AT32" s="794">
        <v>188.270279378016</v>
      </c>
      <c r="AU32" s="794">
        <v>196.19810038999998</v>
      </c>
      <c r="AV32" s="794">
        <v>180.07128118</v>
      </c>
      <c r="AW32" s="587">
        <v>172.62117612</v>
      </c>
      <c r="AX32" s="587">
        <v>166.05414146999999</v>
      </c>
      <c r="AY32" s="587">
        <v>170.11233213</v>
      </c>
      <c r="AZ32" s="587">
        <v>178.84907192000003</v>
      </c>
      <c r="BA32" s="587">
        <v>171.59122252999998</v>
      </c>
      <c r="BB32" s="587">
        <v>169.97594788999999</v>
      </c>
      <c r="BC32" s="587">
        <v>167.26369274000001</v>
      </c>
      <c r="BD32" s="587">
        <v>176.57161114000002</v>
      </c>
      <c r="BE32" s="587">
        <v>164.85178373000002</v>
      </c>
      <c r="BF32" s="587">
        <v>169.87015441999998</v>
      </c>
      <c r="BG32" s="587">
        <v>158.78019934392</v>
      </c>
      <c r="BH32" s="587">
        <v>162.19544779000003</v>
      </c>
      <c r="BI32" s="587">
        <v>168.97571375999999</v>
      </c>
      <c r="BJ32" s="587">
        <v>177.64796829000002</v>
      </c>
      <c r="BK32" s="587">
        <v>177.23504173000001</v>
      </c>
      <c r="BL32" s="587">
        <v>173.6722761</v>
      </c>
      <c r="BM32" s="587">
        <v>162.47436128999999</v>
      </c>
      <c r="BN32" s="587">
        <v>160.43448423000001</v>
      </c>
      <c r="BO32" s="587">
        <v>161.53261053999998</v>
      </c>
      <c r="BP32" s="587">
        <v>128.07402870000001</v>
      </c>
      <c r="BQ32" s="587">
        <v>125.85005543</v>
      </c>
      <c r="BR32" s="587">
        <v>121.80793532000003</v>
      </c>
      <c r="BS32" s="587">
        <v>130.39338036000001</v>
      </c>
      <c r="BT32" s="587">
        <v>138.66813169999998</v>
      </c>
      <c r="BU32" s="587">
        <v>138.07241931000002</v>
      </c>
      <c r="BV32" s="587">
        <v>158.78189895</v>
      </c>
      <c r="BW32" s="587">
        <v>132.5531411</v>
      </c>
      <c r="BX32" s="587">
        <v>124.66669349999998</v>
      </c>
      <c r="BY32" s="587">
        <v>113.60830847</v>
      </c>
      <c r="BZ32" s="587">
        <v>123.5</v>
      </c>
      <c r="CA32" s="587">
        <v>164.95755005999999</v>
      </c>
      <c r="CB32" s="587">
        <v>177.2015864</v>
      </c>
      <c r="CC32" s="587">
        <v>193.26253732000001</v>
      </c>
      <c r="CD32" s="587">
        <v>192.88159967999997</v>
      </c>
      <c r="CE32" s="587">
        <v>184.51640113999997</v>
      </c>
      <c r="CF32" s="587">
        <v>198.47289294392198</v>
      </c>
      <c r="CG32" s="587">
        <v>199.83347336999998</v>
      </c>
      <c r="CH32" s="587">
        <v>192.72449817999996</v>
      </c>
      <c r="CI32" s="587">
        <v>216.83481277000001</v>
      </c>
      <c r="CJ32" s="587">
        <v>210.47897127999997</v>
      </c>
      <c r="CK32" s="587">
        <v>194.58624557000002</v>
      </c>
      <c r="CL32" s="587">
        <v>199.75987399000002</v>
      </c>
      <c r="CM32" s="587">
        <v>203.09809205000002</v>
      </c>
      <c r="CN32" s="587">
        <v>204.64999940999999</v>
      </c>
      <c r="CO32" s="587">
        <v>221.03937699000002</v>
      </c>
      <c r="CP32" s="587">
        <v>221.95142896999999</v>
      </c>
      <c r="CQ32" s="587">
        <v>224.63160335000001</v>
      </c>
      <c r="CR32" s="587">
        <v>255.37537333200001</v>
      </c>
      <c r="CS32" s="587">
        <v>243.13694783</v>
      </c>
      <c r="CT32" s="587">
        <v>254.88248366999997</v>
      </c>
      <c r="CU32" s="587">
        <v>229.26020974000002</v>
      </c>
      <c r="CV32" s="587">
        <v>223.86129384999998</v>
      </c>
      <c r="CW32" s="587">
        <v>218.31627356999999</v>
      </c>
      <c r="CX32" s="587">
        <v>243.72593791000003</v>
      </c>
      <c r="CY32" s="587">
        <v>230.09221882</v>
      </c>
      <c r="CZ32" s="587">
        <v>217.97998961000002</v>
      </c>
      <c r="DA32" s="587">
        <v>227.18946084999999</v>
      </c>
      <c r="DB32" s="797">
        <v>225.41342435000001</v>
      </c>
      <c r="DC32" s="797">
        <v>229.84339907999998</v>
      </c>
      <c r="DD32" s="797">
        <v>219.78456971</v>
      </c>
      <c r="DE32" s="797">
        <v>229.35001772000004</v>
      </c>
      <c r="DF32" s="797">
        <v>218.35158142000003</v>
      </c>
      <c r="DG32" s="797">
        <v>136.84479168000001</v>
      </c>
      <c r="DH32" s="797">
        <v>113.54816340000001</v>
      </c>
      <c r="DI32" s="797">
        <v>114.42968809</v>
      </c>
      <c r="DJ32" s="797">
        <v>147.18651021999997</v>
      </c>
      <c r="DK32" s="797">
        <v>123.86807395</v>
      </c>
      <c r="DL32" s="797">
        <v>104.30948324000001</v>
      </c>
      <c r="DM32" s="797">
        <v>116.28419409</v>
      </c>
      <c r="DN32" s="797">
        <v>114.05336359</v>
      </c>
      <c r="DO32" s="797">
        <v>76.192870389999996</v>
      </c>
      <c r="DP32" s="797">
        <v>100.06703791</v>
      </c>
      <c r="DQ32" s="797">
        <v>107.21346042</v>
      </c>
      <c r="DR32" s="797">
        <v>112.57178802000001</v>
      </c>
    </row>
    <row r="33" spans="1:122" ht="15.95" customHeight="1">
      <c r="A33" s="793" t="s">
        <v>2406</v>
      </c>
      <c r="B33" s="794">
        <v>114.45344073000001</v>
      </c>
      <c r="C33" s="664">
        <v>99.704000000000008</v>
      </c>
      <c r="D33" s="664">
        <v>86.748277700000003</v>
      </c>
      <c r="E33" s="593">
        <v>82.708195869999997</v>
      </c>
      <c r="F33" s="664">
        <v>98.616503129999998</v>
      </c>
      <c r="G33" s="664">
        <v>72.055042009999994</v>
      </c>
      <c r="H33" s="664">
        <v>43.372793119999997</v>
      </c>
      <c r="I33" s="664">
        <v>90.011262909999999</v>
      </c>
      <c r="J33" s="664">
        <v>105.01609831</v>
      </c>
      <c r="K33" s="593">
        <v>71.645405640000007</v>
      </c>
      <c r="L33" s="664">
        <v>86.211463520000009</v>
      </c>
      <c r="M33" s="664">
        <v>56.909129269999994</v>
      </c>
      <c r="N33" s="664">
        <v>41.822000000000003</v>
      </c>
      <c r="O33" s="593">
        <v>50.652037480000004</v>
      </c>
      <c r="P33" s="664">
        <v>55.632497480000005</v>
      </c>
      <c r="Q33" s="664">
        <v>57.427219749999999</v>
      </c>
      <c r="R33" s="593">
        <v>116.56919108</v>
      </c>
      <c r="S33" s="664">
        <v>49.010033799999995</v>
      </c>
      <c r="T33" s="664">
        <v>35.470640850000002</v>
      </c>
      <c r="U33" s="795">
        <v>69.31536444999999</v>
      </c>
      <c r="V33" s="795">
        <v>64.461098680000006</v>
      </c>
      <c r="W33" s="795">
        <v>40.931335730000001</v>
      </c>
      <c r="X33" s="795">
        <v>48.409954450000001</v>
      </c>
      <c r="Y33" s="795">
        <v>33.191553720000002</v>
      </c>
      <c r="Z33" s="795">
        <v>117.00602423000001</v>
      </c>
      <c r="AA33" s="795">
        <v>139.04881968000001</v>
      </c>
      <c r="AB33" s="795">
        <v>44.717543369999994</v>
      </c>
      <c r="AC33" s="795">
        <v>72.287639599999991</v>
      </c>
      <c r="AD33" s="795">
        <v>22.558524139999999</v>
      </c>
      <c r="AE33" s="795">
        <v>42.715292739999995</v>
      </c>
      <c r="AF33" s="795">
        <v>85.7283233</v>
      </c>
      <c r="AG33" s="795">
        <v>110.01511720000001</v>
      </c>
      <c r="AH33" s="795">
        <v>80.515078219999992</v>
      </c>
      <c r="AI33" s="795">
        <v>87.519785420000005</v>
      </c>
      <c r="AJ33" s="795">
        <v>107.78356589000001</v>
      </c>
      <c r="AK33" s="795">
        <v>136.71970745000002</v>
      </c>
      <c r="AL33" s="795">
        <v>117.87130501999999</v>
      </c>
      <c r="AM33" s="666">
        <v>137.54589321</v>
      </c>
      <c r="AN33" s="666">
        <v>104.18372838000001</v>
      </c>
      <c r="AO33" s="666">
        <v>107.08101313000002</v>
      </c>
      <c r="AP33" s="666">
        <v>111.35514560999999</v>
      </c>
      <c r="AQ33" s="666">
        <v>118.06027586999998</v>
      </c>
      <c r="AR33" s="794">
        <v>106.88014185</v>
      </c>
      <c r="AS33" s="794">
        <v>104.64156715</v>
      </c>
      <c r="AT33" s="794">
        <v>102.31124568999999</v>
      </c>
      <c r="AU33" s="794">
        <v>118.17537926999999</v>
      </c>
      <c r="AV33" s="794">
        <v>100.572051836</v>
      </c>
      <c r="AW33" s="587">
        <v>101.0723290116</v>
      </c>
      <c r="AX33" s="587">
        <v>101.48423714</v>
      </c>
      <c r="AY33" s="587">
        <v>200.88283938000001</v>
      </c>
      <c r="AZ33" s="587">
        <v>101.39260682</v>
      </c>
      <c r="BA33" s="587">
        <v>98.940275439999994</v>
      </c>
      <c r="BB33" s="587">
        <v>106.68135240000001</v>
      </c>
      <c r="BC33" s="587">
        <v>99.991705420000002</v>
      </c>
      <c r="BD33" s="587">
        <v>100.63581572</v>
      </c>
      <c r="BE33" s="587">
        <v>101.26156373000001</v>
      </c>
      <c r="BF33" s="587">
        <v>102.27182934999999</v>
      </c>
      <c r="BG33" s="587">
        <v>101.06587696000001</v>
      </c>
      <c r="BH33" s="587">
        <v>100.36830617</v>
      </c>
      <c r="BI33" s="587">
        <v>99.469764060000003</v>
      </c>
      <c r="BJ33" s="587">
        <v>105.04198081</v>
      </c>
      <c r="BK33" s="587">
        <v>105.77165236000002</v>
      </c>
      <c r="BL33" s="587">
        <v>110.50747477</v>
      </c>
      <c r="BM33" s="587">
        <v>110.77199189999999</v>
      </c>
      <c r="BN33" s="587">
        <v>104.68397661000002</v>
      </c>
      <c r="BO33" s="587">
        <v>179.63714135999999</v>
      </c>
      <c r="BP33" s="587">
        <v>179.14162669000001</v>
      </c>
      <c r="BQ33" s="587">
        <v>191.25821807</v>
      </c>
      <c r="BR33" s="587">
        <v>177.85861935000003</v>
      </c>
      <c r="BS33" s="587">
        <v>176.03233316000001</v>
      </c>
      <c r="BT33" s="587">
        <v>173.98821156</v>
      </c>
      <c r="BU33" s="587">
        <v>173.79330754000003</v>
      </c>
      <c r="BV33" s="587">
        <v>186.29218322</v>
      </c>
      <c r="BW33" s="587">
        <v>166.32805578</v>
      </c>
      <c r="BX33" s="587">
        <v>96.300700399999997</v>
      </c>
      <c r="BY33" s="587">
        <v>96.555892209999996</v>
      </c>
      <c r="BZ33" s="587">
        <v>117</v>
      </c>
      <c r="CA33" s="587">
        <v>327.16980612190002</v>
      </c>
      <c r="CB33" s="587">
        <v>315.83441252520004</v>
      </c>
      <c r="CC33" s="587">
        <v>97.244355690000006</v>
      </c>
      <c r="CD33" s="587">
        <v>97.144225640000016</v>
      </c>
      <c r="CE33" s="587">
        <v>130.09404003999998</v>
      </c>
      <c r="CF33" s="587">
        <v>148.77235172000002</v>
      </c>
      <c r="CG33" s="587">
        <v>105.11936122</v>
      </c>
      <c r="CH33" s="587">
        <v>121.50673423000001</v>
      </c>
      <c r="CI33" s="587">
        <v>124.21850848</v>
      </c>
      <c r="CJ33" s="587">
        <v>122.63656034</v>
      </c>
      <c r="CK33" s="587">
        <v>140.47484263999999</v>
      </c>
      <c r="CL33" s="587">
        <v>105.70575474</v>
      </c>
      <c r="CM33" s="587">
        <v>114.89270558</v>
      </c>
      <c r="CN33" s="587">
        <v>126.83694008999998</v>
      </c>
      <c r="CO33" s="587">
        <v>110.64921754</v>
      </c>
      <c r="CP33" s="587">
        <v>99.145994840000014</v>
      </c>
      <c r="CQ33" s="587">
        <v>179.94994226999998</v>
      </c>
      <c r="CR33" s="587">
        <v>160.92463586999997</v>
      </c>
      <c r="CS33" s="587">
        <v>135.09033431999998</v>
      </c>
      <c r="CT33" s="587">
        <v>140.67405260999999</v>
      </c>
      <c r="CU33" s="587">
        <v>151.003748</v>
      </c>
      <c r="CV33" s="587">
        <v>146.03221798000001</v>
      </c>
      <c r="CW33" s="587">
        <v>203.79691233000003</v>
      </c>
      <c r="CX33" s="587">
        <v>151.72788442000001</v>
      </c>
      <c r="CY33" s="587">
        <v>143.42008215999999</v>
      </c>
      <c r="CZ33" s="587">
        <v>102.26512584000001</v>
      </c>
      <c r="DA33" s="587">
        <v>119.23910370000002</v>
      </c>
      <c r="DB33" s="797">
        <v>86.268810970000004</v>
      </c>
      <c r="DC33" s="797">
        <v>80.582246189999992</v>
      </c>
      <c r="DD33" s="797">
        <v>86.03819999000001</v>
      </c>
      <c r="DE33" s="797">
        <v>149.34097087000001</v>
      </c>
      <c r="DF33" s="797">
        <v>126.11912100000001</v>
      </c>
      <c r="DG33" s="797">
        <v>110.53387240000001</v>
      </c>
      <c r="DH33" s="797">
        <v>59.015373770000004</v>
      </c>
      <c r="DI33" s="797">
        <v>92.048594280000003</v>
      </c>
      <c r="DJ33" s="797">
        <v>62.764448790000003</v>
      </c>
      <c r="DK33" s="797">
        <v>126.25569025</v>
      </c>
      <c r="DL33" s="797">
        <v>74.628025680000007</v>
      </c>
      <c r="DM33" s="797">
        <v>65.917897359999998</v>
      </c>
      <c r="DN33" s="797">
        <v>112.38806081000001</v>
      </c>
      <c r="DO33" s="797">
        <v>91.573648689999999</v>
      </c>
      <c r="DP33" s="797">
        <v>73.369487679999992</v>
      </c>
      <c r="DQ33" s="797">
        <v>41.788475520000006</v>
      </c>
      <c r="DR33" s="797">
        <v>65.313737979999999</v>
      </c>
    </row>
    <row r="34" spans="1:122" ht="15.95" customHeight="1">
      <c r="A34" s="793" t="s">
        <v>2389</v>
      </c>
      <c r="B34" s="794">
        <v>2584.0691234332435</v>
      </c>
      <c r="C34" s="664">
        <v>2502.5072279668798</v>
      </c>
      <c r="D34" s="664">
        <v>2618.2954970914407</v>
      </c>
      <c r="E34" s="593">
        <v>2405.7028710025006</v>
      </c>
      <c r="F34" s="664">
        <v>2434.2028871593898</v>
      </c>
      <c r="G34" s="664">
        <v>2433.7696518176899</v>
      </c>
      <c r="H34" s="664">
        <v>2307.3440869599999</v>
      </c>
      <c r="I34" s="664">
        <v>2364.1858472471995</v>
      </c>
      <c r="J34" s="664">
        <v>2401.484966</v>
      </c>
      <c r="K34" s="593">
        <v>2415.7989406988281</v>
      </c>
      <c r="L34" s="664">
        <v>2398.59363089</v>
      </c>
      <c r="M34" s="664">
        <v>2440.5669922362563</v>
      </c>
      <c r="N34" s="664">
        <v>2395.8200874511281</v>
      </c>
      <c r="O34" s="593">
        <v>2449.2566982579679</v>
      </c>
      <c r="P34" s="664">
        <v>2478.0919903911681</v>
      </c>
      <c r="Q34" s="664">
        <v>2507.9984458537829</v>
      </c>
      <c r="R34" s="593">
        <v>2545.2617323390746</v>
      </c>
      <c r="S34" s="664">
        <v>2581.279009063604</v>
      </c>
      <c r="T34" s="664">
        <v>2639.4203197248521</v>
      </c>
      <c r="U34" s="795">
        <v>2627.3473755171958</v>
      </c>
      <c r="V34" s="795">
        <v>2765.5933041577105</v>
      </c>
      <c r="W34" s="795">
        <v>2720.3057713025714</v>
      </c>
      <c r="X34" s="795">
        <v>2814.8598975876303</v>
      </c>
      <c r="Y34" s="795">
        <v>2784.6080039760236</v>
      </c>
      <c r="Z34" s="795">
        <v>2502.6274114717762</v>
      </c>
      <c r="AA34" s="795">
        <v>2525.5556401726199</v>
      </c>
      <c r="AB34" s="795">
        <v>2694.1426267412303</v>
      </c>
      <c r="AC34" s="795">
        <v>2494.1741218903121</v>
      </c>
      <c r="AD34" s="795">
        <v>2675.2977028743107</v>
      </c>
      <c r="AE34" s="795">
        <v>2531.7372881548072</v>
      </c>
      <c r="AF34" s="795">
        <v>2501.9437331199874</v>
      </c>
      <c r="AG34" s="795">
        <v>2673.2929988378964</v>
      </c>
      <c r="AH34" s="795">
        <v>2709.54130890744</v>
      </c>
      <c r="AI34" s="795">
        <v>2518.3126664581964</v>
      </c>
      <c r="AJ34" s="795">
        <v>2592.0647094128644</v>
      </c>
      <c r="AK34" s="795">
        <v>2591.8862847660598</v>
      </c>
      <c r="AL34" s="795">
        <v>2673.6402237064299</v>
      </c>
      <c r="AM34" s="666">
        <v>2778.5381851616107</v>
      </c>
      <c r="AN34" s="666">
        <v>2875.209174307608</v>
      </c>
      <c r="AO34" s="666">
        <v>3031.1043445189084</v>
      </c>
      <c r="AP34" s="666">
        <v>3048.5302861297232</v>
      </c>
      <c r="AQ34" s="666">
        <v>3019.9528259975668</v>
      </c>
      <c r="AR34" s="794">
        <v>3302.4105886041725</v>
      </c>
      <c r="AS34" s="794">
        <v>3309.5826069479999</v>
      </c>
      <c r="AT34" s="794">
        <v>3411.5961864697115</v>
      </c>
      <c r="AU34" s="794">
        <v>3490.7335543008844</v>
      </c>
      <c r="AV34" s="794">
        <v>3608.9346765320006</v>
      </c>
      <c r="AW34" s="587">
        <v>3656.6279004192002</v>
      </c>
      <c r="AX34" s="587">
        <v>3920.8016715332169</v>
      </c>
      <c r="AY34" s="587">
        <v>3984.822853867201</v>
      </c>
      <c r="AZ34" s="587">
        <v>3884.3129099927596</v>
      </c>
      <c r="BA34" s="587">
        <v>3916.9496417009495</v>
      </c>
      <c r="BB34" s="587">
        <v>3838.476218883</v>
      </c>
      <c r="BC34" s="587">
        <v>3999.696298738349</v>
      </c>
      <c r="BD34" s="587">
        <v>4126.3830231343045</v>
      </c>
      <c r="BE34" s="587">
        <v>4149.8841865626473</v>
      </c>
      <c r="BF34" s="587">
        <v>3960.0629855249244</v>
      </c>
      <c r="BG34" s="587">
        <v>4121.63582510792</v>
      </c>
      <c r="BH34" s="587">
        <v>4226.890925644444</v>
      </c>
      <c r="BI34" s="587">
        <v>3992.5112830776552</v>
      </c>
      <c r="BJ34" s="587">
        <v>3706.9053025522962</v>
      </c>
      <c r="BK34" s="587">
        <v>3790.9021296137357</v>
      </c>
      <c r="BL34" s="587">
        <v>3898.3213439115116</v>
      </c>
      <c r="BM34" s="587">
        <v>3956.278062564772</v>
      </c>
      <c r="BN34" s="587">
        <v>3994.268365413086</v>
      </c>
      <c r="BO34" s="587">
        <v>4189.313796861722</v>
      </c>
      <c r="BP34" s="587">
        <v>4284.5490874570824</v>
      </c>
      <c r="BQ34" s="587">
        <v>4485.9378921075404</v>
      </c>
      <c r="BR34" s="587">
        <v>4408.9237224656945</v>
      </c>
      <c r="BS34" s="587">
        <v>4608.1733101818927</v>
      </c>
      <c r="BT34" s="587">
        <v>4686.9736283341472</v>
      </c>
      <c r="BU34" s="587">
        <v>4653.0649879088678</v>
      </c>
      <c r="BV34" s="587">
        <v>4633.4331871187578</v>
      </c>
      <c r="BW34" s="587">
        <v>4653.9778186011654</v>
      </c>
      <c r="BX34" s="587">
        <v>4698.3504031965003</v>
      </c>
      <c r="BY34" s="587">
        <v>4936.2206234471996</v>
      </c>
      <c r="BZ34" s="587">
        <v>4504.8999999999996</v>
      </c>
      <c r="CA34" s="587">
        <v>4473.7121715940957</v>
      </c>
      <c r="CB34" s="587">
        <v>4576.9378655364262</v>
      </c>
      <c r="CC34" s="587">
        <v>4617.7249940811307</v>
      </c>
      <c r="CD34" s="587">
        <v>4625.8396103387422</v>
      </c>
      <c r="CE34" s="587">
        <v>4709.4976142422802</v>
      </c>
      <c r="CF34" s="587">
        <v>4910.9788726282986</v>
      </c>
      <c r="CG34" s="587">
        <v>4690.746654579365</v>
      </c>
      <c r="CH34" s="587">
        <v>4597.9984281177312</v>
      </c>
      <c r="CI34" s="587">
        <v>4614.4393789309843</v>
      </c>
      <c r="CJ34" s="587">
        <v>4599.4399279357258</v>
      </c>
      <c r="CK34" s="587">
        <v>4534.9156943326952</v>
      </c>
      <c r="CL34" s="587">
        <v>4808.2402846302748</v>
      </c>
      <c r="CM34" s="587">
        <v>4731.7891083057284</v>
      </c>
      <c r="CN34" s="587">
        <v>4660.2725908522871</v>
      </c>
      <c r="CO34" s="587">
        <v>4715.511403845906</v>
      </c>
      <c r="CP34" s="587">
        <v>4834.0856087451948</v>
      </c>
      <c r="CQ34" s="587">
        <v>4852.7324877344299</v>
      </c>
      <c r="CR34" s="587">
        <v>4756.0766773243795</v>
      </c>
      <c r="CS34" s="587">
        <v>4356.1605687254214</v>
      </c>
      <c r="CT34" s="587">
        <v>4560.0350648851509</v>
      </c>
      <c r="CU34" s="587">
        <v>4586.0337356784257</v>
      </c>
      <c r="CV34" s="587">
        <v>4553.9093444831387</v>
      </c>
      <c r="CW34" s="587">
        <v>4370.8053132127534</v>
      </c>
      <c r="CX34" s="587">
        <v>4414.112776287132</v>
      </c>
      <c r="CY34" s="587">
        <v>4520.2382485368289</v>
      </c>
      <c r="CZ34" s="587">
        <v>4801.2743753836294</v>
      </c>
      <c r="DA34" s="587">
        <v>4957.7581408468159</v>
      </c>
      <c r="DB34" s="797">
        <v>5020.0848936221382</v>
      </c>
      <c r="DC34" s="797">
        <v>4928.0467187170652</v>
      </c>
      <c r="DD34" s="797">
        <v>4631.5355443207081</v>
      </c>
      <c r="DE34" s="797">
        <v>4489.0790226495164</v>
      </c>
      <c r="DF34" s="797">
        <v>4517.5566947531479</v>
      </c>
      <c r="DG34" s="797">
        <v>4498.8856054008156</v>
      </c>
      <c r="DH34" s="797">
        <v>4481.1123959399729</v>
      </c>
      <c r="DI34" s="797">
        <v>4403.4969460716084</v>
      </c>
      <c r="DJ34" s="797">
        <v>4555.4384073198817</v>
      </c>
      <c r="DK34" s="797">
        <v>4686.7859283755261</v>
      </c>
      <c r="DL34" s="797">
        <v>5015.9983491151324</v>
      </c>
      <c r="DM34" s="797">
        <v>5146.4015723533857</v>
      </c>
      <c r="DN34" s="797">
        <v>5181.5018734402993</v>
      </c>
      <c r="DO34" s="797">
        <v>5387.0593270309428</v>
      </c>
      <c r="DP34" s="797">
        <v>4957.5420081963885</v>
      </c>
      <c r="DQ34" s="797">
        <v>4889.6510353684507</v>
      </c>
      <c r="DR34" s="797">
        <v>5164.8123622297144</v>
      </c>
    </row>
    <row r="35" spans="1:122" ht="7.7" customHeight="1">
      <c r="A35" s="793"/>
      <c r="B35" s="787"/>
      <c r="C35" s="584"/>
      <c r="D35" s="584"/>
      <c r="E35" s="596"/>
      <c r="F35" s="584"/>
      <c r="G35" s="584"/>
      <c r="H35" s="664"/>
      <c r="I35" s="664"/>
      <c r="J35" s="664"/>
      <c r="K35" s="593"/>
      <c r="L35" s="664"/>
      <c r="M35" s="664"/>
      <c r="N35" s="664"/>
      <c r="O35" s="593"/>
      <c r="P35" s="664"/>
      <c r="Q35" s="664"/>
      <c r="R35" s="593"/>
      <c r="S35" s="664"/>
      <c r="T35" s="664"/>
      <c r="U35" s="795"/>
      <c r="V35" s="795"/>
      <c r="W35" s="795"/>
      <c r="X35" s="795"/>
      <c r="Y35" s="795"/>
      <c r="Z35" s="795"/>
      <c r="AA35" s="795"/>
      <c r="AB35" s="795"/>
      <c r="AC35" s="795"/>
      <c r="AD35" s="795"/>
      <c r="AE35" s="795"/>
      <c r="AF35" s="795"/>
      <c r="AG35" s="795"/>
      <c r="AH35" s="795"/>
      <c r="AI35" s="795"/>
      <c r="AJ35" s="795"/>
      <c r="AK35" s="795"/>
      <c r="AL35" s="795"/>
      <c r="AM35" s="665"/>
      <c r="AN35" s="665"/>
      <c r="AO35" s="665"/>
      <c r="AP35" s="665"/>
      <c r="AQ35" s="665"/>
      <c r="AR35" s="787"/>
      <c r="AS35" s="787"/>
      <c r="AT35" s="787"/>
      <c r="AU35" s="787"/>
      <c r="AV35" s="787"/>
      <c r="AW35" s="790"/>
      <c r="AX35" s="790"/>
      <c r="AY35" s="790"/>
      <c r="AZ35" s="790"/>
      <c r="BA35" s="790"/>
      <c r="BB35" s="790"/>
      <c r="BC35" s="790"/>
      <c r="BD35" s="790"/>
      <c r="BE35" s="790"/>
      <c r="BF35" s="790"/>
      <c r="BG35" s="790"/>
      <c r="BH35" s="790"/>
      <c r="BI35" s="790"/>
      <c r="BJ35" s="790"/>
      <c r="BK35" s="790"/>
      <c r="BL35" s="790"/>
      <c r="BM35" s="790"/>
      <c r="BN35" s="790"/>
      <c r="BO35" s="790"/>
      <c r="BP35" s="790"/>
      <c r="BQ35" s="790"/>
      <c r="BR35" s="790"/>
      <c r="BS35" s="790"/>
      <c r="BT35" s="790"/>
      <c r="BU35" s="790"/>
      <c r="BV35" s="790"/>
      <c r="BW35" s="790"/>
      <c r="BX35" s="790"/>
      <c r="BY35" s="790"/>
      <c r="BZ35" s="790"/>
      <c r="CA35" s="790"/>
      <c r="CB35" s="790"/>
      <c r="CC35" s="790"/>
      <c r="CD35" s="790"/>
      <c r="CE35" s="790"/>
      <c r="CF35" s="790"/>
      <c r="CG35" s="790"/>
      <c r="CH35" s="790"/>
      <c r="CI35" s="790"/>
      <c r="CJ35" s="790"/>
      <c r="CK35" s="790"/>
      <c r="CL35" s="790"/>
      <c r="CM35" s="790"/>
      <c r="CN35" s="790"/>
      <c r="CO35" s="790"/>
      <c r="CP35" s="790"/>
      <c r="CQ35" s="790"/>
      <c r="CR35" s="790"/>
      <c r="CS35" s="790"/>
      <c r="CT35" s="790"/>
      <c r="CU35" s="790"/>
      <c r="CV35" s="790"/>
      <c r="CW35" s="790"/>
      <c r="CX35" s="790"/>
      <c r="CY35" s="790"/>
      <c r="CZ35" s="790"/>
      <c r="DA35" s="790"/>
      <c r="DB35" s="797"/>
      <c r="DC35" s="797"/>
      <c r="DD35" s="797"/>
      <c r="DE35" s="797"/>
      <c r="DF35" s="797"/>
      <c r="DG35" s="797"/>
      <c r="DH35" s="797"/>
      <c r="DI35" s="797"/>
      <c r="DJ35" s="797"/>
      <c r="DK35" s="797"/>
      <c r="DL35" s="797"/>
      <c r="DM35" s="797"/>
      <c r="DN35" s="797"/>
      <c r="DO35" s="797"/>
      <c r="DP35" s="797"/>
      <c r="DQ35" s="797"/>
      <c r="DR35" s="797"/>
    </row>
    <row r="36" spans="1:122">
      <c r="A36" s="786" t="s">
        <v>2407</v>
      </c>
      <c r="B36" s="787">
        <f>SUM(B38:B44)</f>
        <v>15116.942524435231</v>
      </c>
      <c r="C36" s="584">
        <f>SUM(C38:C44)</f>
        <v>15340.222457769232</v>
      </c>
      <c r="D36" s="584">
        <f>SUM(D38:D44)</f>
        <v>15436.7207706386</v>
      </c>
      <c r="E36" s="596">
        <f>SUM(E38:E44)</f>
        <v>15692.966629632501</v>
      </c>
      <c r="F36" s="584">
        <v>15896.994440702552</v>
      </c>
      <c r="G36" s="584">
        <v>15813.534849207481</v>
      </c>
      <c r="H36" s="584">
        <v>16155.643936807443</v>
      </c>
      <c r="I36" s="584">
        <v>15698.908377838319</v>
      </c>
      <c r="J36" s="584">
        <v>15609.721732529999</v>
      </c>
      <c r="K36" s="596">
        <v>15277.935578577499</v>
      </c>
      <c r="L36" s="584">
        <v>15313.442857202497</v>
      </c>
      <c r="M36" s="584">
        <v>15684.186930290001</v>
      </c>
      <c r="N36" s="584">
        <v>15340.489823020771</v>
      </c>
      <c r="O36" s="596">
        <v>15862.4246946275</v>
      </c>
      <c r="P36" s="584">
        <v>15831.258217189999</v>
      </c>
      <c r="Q36" s="584">
        <v>16036.405133759001</v>
      </c>
      <c r="R36" s="596">
        <v>16714.162621351337</v>
      </c>
      <c r="S36" s="584">
        <v>16902.897127363605</v>
      </c>
      <c r="T36" s="584">
        <v>17958.848678855</v>
      </c>
      <c r="U36" s="586">
        <v>17862.567996480313</v>
      </c>
      <c r="V36" s="586">
        <v>18648.170724910793</v>
      </c>
      <c r="W36" s="586">
        <v>18184.048520572302</v>
      </c>
      <c r="X36" s="586">
        <v>17971.699280649998</v>
      </c>
      <c r="Y36" s="586">
        <v>17763.138895170996</v>
      </c>
      <c r="Z36" s="586">
        <v>17882.814975919999</v>
      </c>
      <c r="AA36" s="586">
        <v>17333.195110600001</v>
      </c>
      <c r="AB36" s="586">
        <v>19013.070763780001</v>
      </c>
      <c r="AC36" s="586">
        <v>18597.881258420002</v>
      </c>
      <c r="AD36" s="586">
        <v>20126.91926720001</v>
      </c>
      <c r="AE36" s="586">
        <v>20737.70626599</v>
      </c>
      <c r="AF36" s="586">
        <v>21339.073223082003</v>
      </c>
      <c r="AG36" s="586">
        <v>21726.624711916276</v>
      </c>
      <c r="AH36" s="586">
        <v>21976.713323428557</v>
      </c>
      <c r="AI36" s="586">
        <v>22073.532365816147</v>
      </c>
      <c r="AJ36" s="586">
        <v>22743.688729123929</v>
      </c>
      <c r="AK36" s="586">
        <v>23623.890787420289</v>
      </c>
      <c r="AL36" s="586">
        <v>24037.577134998959</v>
      </c>
      <c r="AM36" s="665">
        <v>24911.486120716982</v>
      </c>
      <c r="AN36" s="665">
        <v>25441.509448169909</v>
      </c>
      <c r="AO36" s="665">
        <v>26831.381436573607</v>
      </c>
      <c r="AP36" s="665">
        <v>27969.412402886199</v>
      </c>
      <c r="AQ36" s="665">
        <v>29204.06130761261</v>
      </c>
      <c r="AR36" s="787">
        <v>30061.478746890338</v>
      </c>
      <c r="AS36" s="787">
        <v>30013.07777618412</v>
      </c>
      <c r="AT36" s="787">
        <v>30240.192163557422</v>
      </c>
      <c r="AU36" s="787">
        <v>30493.290275353091</v>
      </c>
      <c r="AV36" s="787">
        <v>29986.643425269827</v>
      </c>
      <c r="AW36" s="790">
        <v>30192.637866626181</v>
      </c>
      <c r="AX36" s="790">
        <v>30133.677872429409</v>
      </c>
      <c r="AY36" s="790">
        <v>30471.485060851031</v>
      </c>
      <c r="AZ36" s="790">
        <v>30814.396110226819</v>
      </c>
      <c r="BA36" s="790">
        <v>31102.514827486215</v>
      </c>
      <c r="BB36" s="790">
        <v>31324.312980510891</v>
      </c>
      <c r="BC36" s="790">
        <v>31735.331435496766</v>
      </c>
      <c r="BD36" s="790">
        <v>32669.055944429387</v>
      </c>
      <c r="BE36" s="790">
        <v>32063.951929540497</v>
      </c>
      <c r="BF36" s="790">
        <v>32456.412352301537</v>
      </c>
      <c r="BG36" s="790">
        <v>32873.883856290136</v>
      </c>
      <c r="BH36" s="790">
        <v>33648.244522643181</v>
      </c>
      <c r="BI36" s="790">
        <v>34850.645398997061</v>
      </c>
      <c r="BJ36" s="790">
        <v>35310.939554479104</v>
      </c>
      <c r="BK36" s="790">
        <v>36406.38836048833</v>
      </c>
      <c r="BL36" s="790">
        <v>37340.338138703453</v>
      </c>
      <c r="BM36" s="790">
        <v>38538.254944416709</v>
      </c>
      <c r="BN36" s="790">
        <v>39024.947403573518</v>
      </c>
      <c r="BO36" s="790">
        <v>39583.737789667422</v>
      </c>
      <c r="BP36" s="790">
        <v>40380.426747892197</v>
      </c>
      <c r="BQ36" s="790">
        <v>40096.49645331646</v>
      </c>
      <c r="BR36" s="790">
        <v>40715.427971786092</v>
      </c>
      <c r="BS36" s="790">
        <v>40250.810220386367</v>
      </c>
      <c r="BT36" s="790">
        <v>40391.272727638607</v>
      </c>
      <c r="BU36" s="790">
        <v>40962.521936381578</v>
      </c>
      <c r="BV36" s="790">
        <v>42205.435526976828</v>
      </c>
      <c r="BW36" s="790">
        <v>42550.799013972035</v>
      </c>
      <c r="BX36" s="790">
        <v>43118.261591039991</v>
      </c>
      <c r="BY36" s="790">
        <v>43289.48516640289</v>
      </c>
      <c r="BZ36" s="790">
        <v>43572</v>
      </c>
      <c r="CA36" s="790">
        <v>43444.522447301875</v>
      </c>
      <c r="CB36" s="790">
        <v>43029.902938804204</v>
      </c>
      <c r="CC36" s="790">
        <v>42472.792006511074</v>
      </c>
      <c r="CD36" s="790">
        <v>42379.602888459645</v>
      </c>
      <c r="CE36" s="790">
        <v>42130.619052599061</v>
      </c>
      <c r="CF36" s="790">
        <v>41879.675503155711</v>
      </c>
      <c r="CG36" s="790">
        <v>42072.724455766023</v>
      </c>
      <c r="CH36" s="790">
        <v>43325.198968531164</v>
      </c>
      <c r="CI36" s="790">
        <v>43253.540572116843</v>
      </c>
      <c r="CJ36" s="790">
        <v>43570.095512344735</v>
      </c>
      <c r="CK36" s="790">
        <v>43992.604062785947</v>
      </c>
      <c r="CL36" s="790">
        <v>44659.551017516926</v>
      </c>
      <c r="CM36" s="790">
        <v>44737.278299508798</v>
      </c>
      <c r="CN36" s="790">
        <v>44805.743884943127</v>
      </c>
      <c r="CO36" s="790">
        <v>45123.066840000254</v>
      </c>
      <c r="CP36" s="790">
        <v>45279.146631420466</v>
      </c>
      <c r="CQ36" s="790">
        <v>44971.320502872113</v>
      </c>
      <c r="CR36" s="790">
        <v>45202.129109198577</v>
      </c>
      <c r="CS36" s="790">
        <v>44989.868385167581</v>
      </c>
      <c r="CT36" s="790">
        <v>45940.266697205188</v>
      </c>
      <c r="CU36" s="790">
        <v>45591.969206117072</v>
      </c>
      <c r="CV36" s="790">
        <v>46371.272110202131</v>
      </c>
      <c r="CW36" s="790">
        <v>48123.760424358501</v>
      </c>
      <c r="CX36" s="790">
        <v>47365.641809494336</v>
      </c>
      <c r="CY36" s="790">
        <v>46953.146010267134</v>
      </c>
      <c r="CZ36" s="790">
        <v>48756.074992337381</v>
      </c>
      <c r="DA36" s="790">
        <v>48370.2747426356</v>
      </c>
      <c r="DB36" s="799">
        <v>48262.782983742021</v>
      </c>
      <c r="DC36" s="799">
        <v>48080.005765923037</v>
      </c>
      <c r="DD36" s="799">
        <v>47946.41567659648</v>
      </c>
      <c r="DE36" s="799">
        <v>47011.860843169496</v>
      </c>
      <c r="DF36" s="799">
        <v>48211.463707805138</v>
      </c>
      <c r="DG36" s="799">
        <v>47451.245688336901</v>
      </c>
      <c r="DH36" s="799">
        <v>47074.766595301735</v>
      </c>
      <c r="DI36" s="799">
        <v>47308.654934858081</v>
      </c>
      <c r="DJ36" s="799">
        <v>47230.104163937431</v>
      </c>
      <c r="DK36" s="799">
        <v>47233.082972101809</v>
      </c>
      <c r="DL36" s="799">
        <v>47561.8531385553</v>
      </c>
      <c r="DM36" s="799">
        <v>46295.188279658156</v>
      </c>
      <c r="DN36" s="799">
        <v>46208.976783235143</v>
      </c>
      <c r="DO36" s="799">
        <v>46396.32935767922</v>
      </c>
      <c r="DP36" s="799">
        <v>45966.468991512796</v>
      </c>
      <c r="DQ36" s="799">
        <v>46806.99148102005</v>
      </c>
      <c r="DR36" s="799">
        <v>47536.385280782612</v>
      </c>
    </row>
    <row r="37" spans="1:122">
      <c r="A37" s="793" t="s">
        <v>2380</v>
      </c>
      <c r="B37" s="794"/>
      <c r="C37" s="664"/>
      <c r="D37" s="664"/>
      <c r="E37" s="593"/>
      <c r="F37" s="664"/>
      <c r="G37" s="664"/>
      <c r="H37" s="664"/>
      <c r="I37" s="664"/>
      <c r="J37" s="664"/>
      <c r="K37" s="593"/>
      <c r="L37" s="664"/>
      <c r="M37" s="664"/>
      <c r="N37" s="664"/>
      <c r="O37" s="593"/>
      <c r="P37" s="664"/>
      <c r="Q37" s="664"/>
      <c r="R37" s="593"/>
      <c r="S37" s="664"/>
      <c r="T37" s="664"/>
      <c r="U37" s="795"/>
      <c r="V37" s="795"/>
      <c r="W37" s="795"/>
      <c r="X37" s="795"/>
      <c r="Y37" s="795"/>
      <c r="Z37" s="795"/>
      <c r="AA37" s="795"/>
      <c r="AB37" s="795"/>
      <c r="AC37" s="795"/>
      <c r="AD37" s="795"/>
      <c r="AE37" s="795"/>
      <c r="AF37" s="795"/>
      <c r="AG37" s="795"/>
      <c r="AH37" s="795"/>
      <c r="AI37" s="795"/>
      <c r="AJ37" s="795"/>
      <c r="AK37" s="795"/>
      <c r="AL37" s="795"/>
      <c r="AM37" s="665"/>
      <c r="AN37" s="665"/>
      <c r="AO37" s="665"/>
      <c r="AP37" s="665"/>
      <c r="AQ37" s="665"/>
      <c r="AR37" s="794"/>
      <c r="AS37" s="794"/>
      <c r="AT37" s="794"/>
      <c r="AU37" s="794"/>
      <c r="AV37" s="794"/>
      <c r="AW37" s="587"/>
      <c r="AX37" s="587"/>
      <c r="AY37" s="587"/>
      <c r="AZ37" s="587"/>
      <c r="BA37" s="587"/>
      <c r="BB37" s="587"/>
      <c r="BC37" s="587"/>
      <c r="BD37" s="587"/>
      <c r="BE37" s="587"/>
      <c r="BF37" s="587"/>
      <c r="BG37" s="587"/>
      <c r="BH37" s="587"/>
      <c r="BI37" s="587"/>
      <c r="BJ37" s="587"/>
      <c r="BK37" s="587"/>
      <c r="BL37" s="790"/>
      <c r="BM37" s="790"/>
      <c r="BN37" s="790"/>
      <c r="BO37" s="790"/>
      <c r="BP37" s="790"/>
      <c r="BQ37" s="790"/>
      <c r="BR37" s="790"/>
      <c r="BS37" s="790"/>
      <c r="BT37" s="790"/>
      <c r="BU37" s="790"/>
      <c r="BV37" s="790"/>
      <c r="BW37" s="790"/>
      <c r="BX37" s="790"/>
      <c r="BY37" s="790"/>
      <c r="BZ37" s="790"/>
      <c r="CA37" s="790"/>
      <c r="CB37" s="790"/>
      <c r="CC37" s="790"/>
      <c r="CD37" s="790"/>
      <c r="CE37" s="790"/>
      <c r="CF37" s="790"/>
      <c r="CG37" s="790"/>
      <c r="CH37" s="790"/>
      <c r="CI37" s="790"/>
      <c r="CJ37" s="790"/>
      <c r="CK37" s="790"/>
      <c r="CL37" s="790"/>
      <c r="CM37" s="790"/>
      <c r="CN37" s="790"/>
      <c r="CO37" s="790"/>
      <c r="CP37" s="790"/>
      <c r="CQ37" s="790"/>
      <c r="CR37" s="790"/>
      <c r="CS37" s="790">
        <v>0</v>
      </c>
      <c r="CT37" s="790"/>
      <c r="CU37" s="790"/>
      <c r="CV37" s="790"/>
      <c r="CW37" s="790"/>
      <c r="CX37" s="790"/>
      <c r="CY37" s="790"/>
      <c r="CZ37" s="790"/>
      <c r="DA37" s="790"/>
      <c r="DB37" s="797"/>
      <c r="DC37" s="797"/>
      <c r="DD37" s="797"/>
      <c r="DE37" s="797"/>
      <c r="DF37" s="797"/>
      <c r="DG37" s="797"/>
      <c r="DH37" s="797"/>
      <c r="DI37" s="797"/>
      <c r="DJ37" s="797"/>
      <c r="DK37" s="797"/>
      <c r="DL37" s="797"/>
      <c r="DM37" s="797"/>
      <c r="DN37" s="797"/>
      <c r="DO37" s="797"/>
      <c r="DP37" s="797"/>
      <c r="DQ37" s="797"/>
      <c r="DR37" s="797"/>
    </row>
    <row r="38" spans="1:122" ht="15.95" customHeight="1">
      <c r="A38" s="793" t="s">
        <v>2408</v>
      </c>
      <c r="B38" s="794">
        <v>6444.7886749252302</v>
      </c>
      <c r="C38" s="664">
        <v>6305.295456699233</v>
      </c>
      <c r="D38" s="664">
        <v>6304.5127371385997</v>
      </c>
      <c r="E38" s="593">
        <v>6633.5494685125004</v>
      </c>
      <c r="F38" s="664">
        <v>6802.7288730225509</v>
      </c>
      <c r="G38" s="664">
        <v>6864.8700624874791</v>
      </c>
      <c r="H38" s="664">
        <v>6978.3594197274397</v>
      </c>
      <c r="I38" s="664">
        <v>6987.2388921083193</v>
      </c>
      <c r="J38" s="664">
        <v>6761.2236051799991</v>
      </c>
      <c r="K38" s="593">
        <v>6734.2435406175</v>
      </c>
      <c r="L38" s="664">
        <v>6713.6977799124988</v>
      </c>
      <c r="M38" s="664">
        <v>6979.0847059800008</v>
      </c>
      <c r="N38" s="664">
        <v>6742.9449578507702</v>
      </c>
      <c r="O38" s="593">
        <v>7096.4184074800014</v>
      </c>
      <c r="P38" s="664">
        <v>6874.2981054499996</v>
      </c>
      <c r="Q38" s="664">
        <v>7106.2051660289999</v>
      </c>
      <c r="R38" s="593">
        <v>7294.6279957313354</v>
      </c>
      <c r="S38" s="664">
        <v>7911.1575664936008</v>
      </c>
      <c r="T38" s="664">
        <v>8601.8289462249995</v>
      </c>
      <c r="U38" s="795">
        <v>8680.0621483603136</v>
      </c>
      <c r="V38" s="795">
        <v>9125.3628209747385</v>
      </c>
      <c r="W38" s="795">
        <v>8643.6008820922998</v>
      </c>
      <c r="X38" s="795">
        <v>9004.5649159299992</v>
      </c>
      <c r="Y38" s="795">
        <v>8562.4102878900012</v>
      </c>
      <c r="Z38" s="795">
        <v>9077.0496576200003</v>
      </c>
      <c r="AA38" s="795">
        <v>8186.5770525300004</v>
      </c>
      <c r="AB38" s="795">
        <v>10182.628594440001</v>
      </c>
      <c r="AC38" s="795">
        <v>9753.3952551399998</v>
      </c>
      <c r="AD38" s="795">
        <v>11114.291857820001</v>
      </c>
      <c r="AE38" s="795">
        <v>11580.200298870001</v>
      </c>
      <c r="AF38" s="795">
        <v>12269.380826312001</v>
      </c>
      <c r="AG38" s="795">
        <v>12691.389133246279</v>
      </c>
      <c r="AH38" s="795">
        <v>12567.320152738559</v>
      </c>
      <c r="AI38" s="795">
        <v>12600.402771576149</v>
      </c>
      <c r="AJ38" s="795">
        <v>12635.541921993929</v>
      </c>
      <c r="AK38" s="795">
        <v>13169.436488200285</v>
      </c>
      <c r="AL38" s="795">
        <v>13628.700497694255</v>
      </c>
      <c r="AM38" s="666">
        <v>13485.89982990036</v>
      </c>
      <c r="AN38" s="666">
        <v>13978.265567046956</v>
      </c>
      <c r="AO38" s="666">
        <v>14770.230000431471</v>
      </c>
      <c r="AP38" s="666">
        <v>15384.684646477044</v>
      </c>
      <c r="AQ38" s="666">
        <v>16418.186102116582</v>
      </c>
      <c r="AR38" s="794">
        <v>16819.744095303337</v>
      </c>
      <c r="AS38" s="794">
        <v>16483.991348237902</v>
      </c>
      <c r="AT38" s="794">
        <v>16997.548346971635</v>
      </c>
      <c r="AU38" s="794">
        <v>17113.250938400091</v>
      </c>
      <c r="AV38" s="794">
        <v>17171.710921446</v>
      </c>
      <c r="AW38" s="587">
        <v>17073.678888538001</v>
      </c>
      <c r="AX38" s="587">
        <v>17095.034753902684</v>
      </c>
      <c r="AY38" s="587">
        <v>17817.152225681199</v>
      </c>
      <c r="AZ38" s="587">
        <v>17906.253474518988</v>
      </c>
      <c r="BA38" s="587">
        <v>17692.894974183557</v>
      </c>
      <c r="BB38" s="587">
        <v>17980.276590711997</v>
      </c>
      <c r="BC38" s="587">
        <v>18345.873784902757</v>
      </c>
      <c r="BD38" s="587">
        <v>18664.111806376735</v>
      </c>
      <c r="BE38" s="587">
        <v>18299.297011773768</v>
      </c>
      <c r="BF38" s="587">
        <v>18849.5629346938</v>
      </c>
      <c r="BG38" s="587">
        <v>18237.742267949303</v>
      </c>
      <c r="BH38" s="587">
        <v>18532.403376099646</v>
      </c>
      <c r="BI38" s="587">
        <v>20876.439979044691</v>
      </c>
      <c r="BJ38" s="587">
        <v>20612.104700710323</v>
      </c>
      <c r="BK38" s="587">
        <v>21015.164096153771</v>
      </c>
      <c r="BL38" s="587">
        <v>21812.39123293119</v>
      </c>
      <c r="BM38" s="587">
        <v>23286.924846593422</v>
      </c>
      <c r="BN38" s="587">
        <v>23244.365210886339</v>
      </c>
      <c r="BO38" s="587">
        <v>23903.763452114505</v>
      </c>
      <c r="BP38" s="587">
        <v>24311.55523149221</v>
      </c>
      <c r="BQ38" s="587">
        <v>24170.292192276418</v>
      </c>
      <c r="BR38" s="587">
        <v>24605.413468120329</v>
      </c>
      <c r="BS38" s="587">
        <v>24504.204618881635</v>
      </c>
      <c r="BT38" s="587">
        <v>24251.901324765495</v>
      </c>
      <c r="BU38" s="587">
        <v>24886.096967351834</v>
      </c>
      <c r="BV38" s="587">
        <v>25722.640854484063</v>
      </c>
      <c r="BW38" s="587">
        <v>26319.272506515608</v>
      </c>
      <c r="BX38" s="587">
        <v>26496.494134091485</v>
      </c>
      <c r="BY38" s="587">
        <v>26638.718733664795</v>
      </c>
      <c r="BZ38" s="587">
        <v>26592.3</v>
      </c>
      <c r="CA38" s="587">
        <v>26509.758805633959</v>
      </c>
      <c r="CB38" s="587">
        <v>26176.510753525828</v>
      </c>
      <c r="CC38" s="587">
        <v>25726.591426780855</v>
      </c>
      <c r="CD38" s="587">
        <v>25832.408048005036</v>
      </c>
      <c r="CE38" s="587">
        <v>25465.192956973882</v>
      </c>
      <c r="CF38" s="587">
        <v>25309.266102489641</v>
      </c>
      <c r="CG38" s="587">
        <v>25368.739889411077</v>
      </c>
      <c r="CH38" s="587">
        <v>26254.089162531789</v>
      </c>
      <c r="CI38" s="587">
        <v>26126.17752316855</v>
      </c>
      <c r="CJ38" s="587">
        <v>26059.490091299824</v>
      </c>
      <c r="CK38" s="587">
        <v>26240.89264214713</v>
      </c>
      <c r="CL38" s="587">
        <v>26830.54477783191</v>
      </c>
      <c r="CM38" s="587">
        <v>26935.095087198326</v>
      </c>
      <c r="CN38" s="587">
        <v>26758.256683495547</v>
      </c>
      <c r="CO38" s="587">
        <v>27000.954808954735</v>
      </c>
      <c r="CP38" s="587">
        <v>27169.520695239342</v>
      </c>
      <c r="CQ38" s="587">
        <v>26860.117312605362</v>
      </c>
      <c r="CR38" s="587">
        <v>26766.511737936911</v>
      </c>
      <c r="CS38" s="587">
        <v>27147.929035312554</v>
      </c>
      <c r="CT38" s="587">
        <v>28186.185109815851</v>
      </c>
      <c r="CU38" s="587">
        <v>28050.464175337242</v>
      </c>
      <c r="CV38" s="587">
        <v>28771.391896985078</v>
      </c>
      <c r="CW38" s="587">
        <v>28839.786654959</v>
      </c>
      <c r="CX38" s="587">
        <v>28854.741656711511</v>
      </c>
      <c r="CY38" s="587">
        <v>28577.440321043345</v>
      </c>
      <c r="CZ38" s="587">
        <v>28894.929750472991</v>
      </c>
      <c r="DA38" s="587">
        <v>28637.703148636876</v>
      </c>
      <c r="DB38" s="797">
        <v>28594.815648361047</v>
      </c>
      <c r="DC38" s="797">
        <v>28958.834719601771</v>
      </c>
      <c r="DD38" s="797">
        <v>28258.371856886795</v>
      </c>
      <c r="DE38" s="797">
        <v>28039.123374428847</v>
      </c>
      <c r="DF38" s="797">
        <v>28587.809284866391</v>
      </c>
      <c r="DG38" s="797">
        <v>27813.386176080621</v>
      </c>
      <c r="DH38" s="797">
        <v>28135.79659020765</v>
      </c>
      <c r="DI38" s="797">
        <v>27684.040180411594</v>
      </c>
      <c r="DJ38" s="797">
        <v>27720.801449251783</v>
      </c>
      <c r="DK38" s="797">
        <v>28078.089967427513</v>
      </c>
      <c r="DL38" s="797">
        <v>28198.470894678732</v>
      </c>
      <c r="DM38" s="797">
        <v>27834.960120266045</v>
      </c>
      <c r="DN38" s="797">
        <v>28411.561630678178</v>
      </c>
      <c r="DO38" s="797">
        <v>28381.759875903426</v>
      </c>
      <c r="DP38" s="797">
        <v>27948.293318443055</v>
      </c>
      <c r="DQ38" s="797">
        <v>27608.212119793006</v>
      </c>
      <c r="DR38" s="797">
        <v>27877.083280596609</v>
      </c>
    </row>
    <row r="39" spans="1:122" ht="15.95" customHeight="1">
      <c r="A39" s="793" t="s">
        <v>2409</v>
      </c>
      <c r="B39" s="794">
        <v>468.60798435999999</v>
      </c>
      <c r="C39" s="664">
        <v>470.24154758999998</v>
      </c>
      <c r="D39" s="664">
        <v>479.68038003999999</v>
      </c>
      <c r="E39" s="593">
        <v>479.50442501999999</v>
      </c>
      <c r="F39" s="664">
        <v>481.58261557000003</v>
      </c>
      <c r="G39" s="664">
        <v>466.51204041</v>
      </c>
      <c r="H39" s="664">
        <v>457.62590590999997</v>
      </c>
      <c r="I39" s="664">
        <v>472.24705354000002</v>
      </c>
      <c r="J39" s="664">
        <v>481.09773373000002</v>
      </c>
      <c r="K39" s="593">
        <v>472.07193341999999</v>
      </c>
      <c r="L39" s="664">
        <v>496.24646680000001</v>
      </c>
      <c r="M39" s="664">
        <v>511.45445789000007</v>
      </c>
      <c r="N39" s="664">
        <v>497.24813764999999</v>
      </c>
      <c r="O39" s="593">
        <v>528.41465094750004</v>
      </c>
      <c r="P39" s="664">
        <v>539.2068761700001</v>
      </c>
      <c r="Q39" s="664">
        <v>522.09401614000001</v>
      </c>
      <c r="R39" s="593">
        <v>526.45380634000003</v>
      </c>
      <c r="S39" s="664">
        <v>542.46389465000004</v>
      </c>
      <c r="T39" s="664">
        <v>526.12812516000008</v>
      </c>
      <c r="U39" s="795">
        <v>512.83819185000004</v>
      </c>
      <c r="V39" s="795">
        <v>551.53457698</v>
      </c>
      <c r="W39" s="795">
        <v>501.04487133999999</v>
      </c>
      <c r="X39" s="795">
        <v>538.73533246</v>
      </c>
      <c r="Y39" s="795">
        <v>498.29035831000004</v>
      </c>
      <c r="Z39" s="795">
        <v>466.64985055999995</v>
      </c>
      <c r="AA39" s="795">
        <v>456.69155274000002</v>
      </c>
      <c r="AB39" s="795">
        <v>465.46625001000001</v>
      </c>
      <c r="AC39" s="795">
        <v>468.15293301999992</v>
      </c>
      <c r="AD39" s="795">
        <v>484.50061353999996</v>
      </c>
      <c r="AE39" s="795">
        <v>434.89408147000006</v>
      </c>
      <c r="AF39" s="795">
        <v>442.82866725000002</v>
      </c>
      <c r="AG39" s="795">
        <v>454.39573581999997</v>
      </c>
      <c r="AH39" s="795">
        <v>458.74458886000002</v>
      </c>
      <c r="AI39" s="795">
        <v>550.66283559999988</v>
      </c>
      <c r="AJ39" s="795">
        <v>536.79151089000004</v>
      </c>
      <c r="AK39" s="795">
        <v>525.15368693000005</v>
      </c>
      <c r="AL39" s="795">
        <v>528.87499480999998</v>
      </c>
      <c r="AM39" s="666">
        <v>736.25263270507548</v>
      </c>
      <c r="AN39" s="666">
        <v>767.22931738944737</v>
      </c>
      <c r="AO39" s="666">
        <v>762.64465607813838</v>
      </c>
      <c r="AP39" s="666">
        <v>778.36642598808839</v>
      </c>
      <c r="AQ39" s="666">
        <v>828.78973730421194</v>
      </c>
      <c r="AR39" s="794">
        <v>814.34787147140003</v>
      </c>
      <c r="AS39" s="794">
        <v>821.1324246622188</v>
      </c>
      <c r="AT39" s="794">
        <v>845.13113745280009</v>
      </c>
      <c r="AU39" s="794">
        <v>843.87320631766488</v>
      </c>
      <c r="AV39" s="794">
        <v>780.63020521483008</v>
      </c>
      <c r="AW39" s="587">
        <v>835.71731479097934</v>
      </c>
      <c r="AX39" s="587">
        <v>808.23524528150836</v>
      </c>
      <c r="AY39" s="587">
        <v>864.52464495352797</v>
      </c>
      <c r="AZ39" s="587">
        <v>835.01464383940811</v>
      </c>
      <c r="BA39" s="587">
        <v>852.48664039232472</v>
      </c>
      <c r="BB39" s="587">
        <v>820.18542898882708</v>
      </c>
      <c r="BC39" s="587">
        <v>783.24904743539662</v>
      </c>
      <c r="BD39" s="587">
        <v>854.49531804243452</v>
      </c>
      <c r="BE39" s="587">
        <v>866.56678217700005</v>
      </c>
      <c r="BF39" s="587">
        <v>863.93197241999985</v>
      </c>
      <c r="BG39" s="587">
        <v>1163.252797892</v>
      </c>
      <c r="BH39" s="587">
        <v>935.63231437349998</v>
      </c>
      <c r="BI39" s="587">
        <v>960.24258202700014</v>
      </c>
      <c r="BJ39" s="587">
        <v>929.53932955300002</v>
      </c>
      <c r="BK39" s="587">
        <v>895.58478828299997</v>
      </c>
      <c r="BL39" s="587">
        <v>918.33535403909991</v>
      </c>
      <c r="BM39" s="587">
        <v>626.41958018500009</v>
      </c>
      <c r="BN39" s="587">
        <v>628.84846234835004</v>
      </c>
      <c r="BO39" s="587">
        <v>597.69785010359988</v>
      </c>
      <c r="BP39" s="587">
        <v>645.54345992879996</v>
      </c>
      <c r="BQ39" s="587">
        <v>655.9961158003</v>
      </c>
      <c r="BR39" s="587">
        <v>672.19210213769998</v>
      </c>
      <c r="BS39" s="587">
        <v>665.46477013560002</v>
      </c>
      <c r="BT39" s="587">
        <v>673.46223828982511</v>
      </c>
      <c r="BU39" s="587">
        <v>629.98539596748401</v>
      </c>
      <c r="BV39" s="587">
        <v>639.71141224889197</v>
      </c>
      <c r="BW39" s="587">
        <v>656.70469074235007</v>
      </c>
      <c r="BX39" s="587">
        <v>642.20342627750006</v>
      </c>
      <c r="BY39" s="587">
        <v>637.97542089280012</v>
      </c>
      <c r="BZ39" s="587">
        <v>660.6</v>
      </c>
      <c r="CA39" s="587">
        <v>670.19315308</v>
      </c>
      <c r="CB39" s="587">
        <v>641.55011064440009</v>
      </c>
      <c r="CC39" s="587">
        <v>628.59565935428998</v>
      </c>
      <c r="CD39" s="587">
        <v>587.39318120709595</v>
      </c>
      <c r="CE39" s="587">
        <v>529.7320594299124</v>
      </c>
      <c r="CF39" s="587">
        <v>577.35060364858953</v>
      </c>
      <c r="CG39" s="587">
        <v>620.21793431018</v>
      </c>
      <c r="CH39" s="587">
        <v>557.35959204843937</v>
      </c>
      <c r="CI39" s="587">
        <v>555.70872516225609</v>
      </c>
      <c r="CJ39" s="587">
        <v>567.088139485488</v>
      </c>
      <c r="CK39" s="587">
        <v>567.92160093380994</v>
      </c>
      <c r="CL39" s="587">
        <v>559.07335459969693</v>
      </c>
      <c r="CM39" s="587">
        <v>577.10916266942399</v>
      </c>
      <c r="CN39" s="587">
        <v>568.76678335682527</v>
      </c>
      <c r="CO39" s="587">
        <v>536.68980986636302</v>
      </c>
      <c r="CP39" s="587">
        <v>530.40994925872496</v>
      </c>
      <c r="CQ39" s="587">
        <v>503.35971517609994</v>
      </c>
      <c r="CR39" s="587">
        <v>893.4442050251148</v>
      </c>
      <c r="CS39" s="587">
        <v>525.79527575947463</v>
      </c>
      <c r="CT39" s="587">
        <v>526.75451270656254</v>
      </c>
      <c r="CU39" s="587">
        <v>559.72252891158973</v>
      </c>
      <c r="CV39" s="587">
        <v>535.2708489375608</v>
      </c>
      <c r="CW39" s="587">
        <v>606.2287633817183</v>
      </c>
      <c r="CX39" s="587">
        <v>527.37181324143694</v>
      </c>
      <c r="CY39" s="587">
        <v>538.04903418306469</v>
      </c>
      <c r="CZ39" s="587">
        <v>561.18108326248193</v>
      </c>
      <c r="DA39" s="587">
        <v>595.73253880975585</v>
      </c>
      <c r="DB39" s="797">
        <v>572.32306120790713</v>
      </c>
      <c r="DC39" s="797">
        <v>552.5160099109097</v>
      </c>
      <c r="DD39" s="797">
        <v>593.88835595285502</v>
      </c>
      <c r="DE39" s="797">
        <v>555.75434125584161</v>
      </c>
      <c r="DF39" s="797">
        <v>572.52122886067286</v>
      </c>
      <c r="DG39" s="797">
        <v>572.48772209297852</v>
      </c>
      <c r="DH39" s="797">
        <v>543.66750878321102</v>
      </c>
      <c r="DI39" s="797">
        <v>551.40942668385264</v>
      </c>
      <c r="DJ39" s="797">
        <v>558.34322405259184</v>
      </c>
      <c r="DK39" s="797">
        <v>537.61300739832973</v>
      </c>
      <c r="DL39" s="797">
        <v>562.08599884938053</v>
      </c>
      <c r="DM39" s="797">
        <v>507.76910443117595</v>
      </c>
      <c r="DN39" s="797">
        <v>532.29789359968618</v>
      </c>
      <c r="DO39" s="797">
        <v>508.98341436963398</v>
      </c>
      <c r="DP39" s="797">
        <v>514.80131731125937</v>
      </c>
      <c r="DQ39" s="797">
        <v>513.01671767011567</v>
      </c>
      <c r="DR39" s="797">
        <v>505.83727816239627</v>
      </c>
    </row>
    <row r="40" spans="1:122" ht="15.95" customHeight="1">
      <c r="A40" s="793" t="s">
        <v>2410</v>
      </c>
      <c r="B40" s="794">
        <v>1162.9356793799998</v>
      </c>
      <c r="C40" s="664">
        <v>1131.2907618199997</v>
      </c>
      <c r="D40" s="664">
        <v>1166.2176899599999</v>
      </c>
      <c r="E40" s="593">
        <v>1158.4819639699997</v>
      </c>
      <c r="F40" s="664">
        <v>1175.7612312900001</v>
      </c>
      <c r="G40" s="664">
        <v>941.65728150000007</v>
      </c>
      <c r="H40" s="664">
        <v>993.87810414</v>
      </c>
      <c r="I40" s="664">
        <v>1003.72506273</v>
      </c>
      <c r="J40" s="664">
        <v>1215.0490695599999</v>
      </c>
      <c r="K40" s="593">
        <v>972.94413888000008</v>
      </c>
      <c r="L40" s="664">
        <v>965.11932878000005</v>
      </c>
      <c r="M40" s="664">
        <v>916.70504654000001</v>
      </c>
      <c r="N40" s="664">
        <v>802.31248841000001</v>
      </c>
      <c r="O40" s="593">
        <v>872.13641170000005</v>
      </c>
      <c r="P40" s="664">
        <v>818.36552984999992</v>
      </c>
      <c r="Q40" s="664">
        <v>815.95914462000007</v>
      </c>
      <c r="R40" s="593">
        <v>861.96423044000005</v>
      </c>
      <c r="S40" s="664">
        <v>765.58609545000002</v>
      </c>
      <c r="T40" s="664">
        <v>853.47303348000003</v>
      </c>
      <c r="U40" s="795">
        <v>787.78583042999992</v>
      </c>
      <c r="V40" s="795">
        <v>785.84849853000014</v>
      </c>
      <c r="W40" s="795">
        <v>753.37836473999994</v>
      </c>
      <c r="X40" s="795">
        <v>662.78097652999998</v>
      </c>
      <c r="Y40" s="795">
        <v>981.96627690000003</v>
      </c>
      <c r="Z40" s="795">
        <v>1062.5459337100001</v>
      </c>
      <c r="AA40" s="795">
        <v>1204.6879438000001</v>
      </c>
      <c r="AB40" s="795">
        <v>797.69432051000001</v>
      </c>
      <c r="AC40" s="795">
        <v>774.26449505999994</v>
      </c>
      <c r="AD40" s="795">
        <v>782.88061094000011</v>
      </c>
      <c r="AE40" s="795">
        <v>1094.8615553599998</v>
      </c>
      <c r="AF40" s="795">
        <v>977.44120275000012</v>
      </c>
      <c r="AG40" s="795">
        <v>1001.5621306699999</v>
      </c>
      <c r="AH40" s="795">
        <v>933.60571980999998</v>
      </c>
      <c r="AI40" s="795">
        <v>635.71753233000004</v>
      </c>
      <c r="AJ40" s="795">
        <v>766.06467996999993</v>
      </c>
      <c r="AK40" s="795">
        <v>746.91647439999997</v>
      </c>
      <c r="AL40" s="795">
        <v>897.7234989399999</v>
      </c>
      <c r="AM40" s="666">
        <v>1213.30374869</v>
      </c>
      <c r="AN40" s="666">
        <v>1192.29668277</v>
      </c>
      <c r="AO40" s="666">
        <v>1131.4506496000001</v>
      </c>
      <c r="AP40" s="666">
        <v>967.05194824000012</v>
      </c>
      <c r="AQ40" s="666">
        <v>949.13341641739999</v>
      </c>
      <c r="AR40" s="794">
        <v>984.64917747160007</v>
      </c>
      <c r="AS40" s="794">
        <v>1308.4414925600001</v>
      </c>
      <c r="AT40" s="794">
        <v>927.91836048920004</v>
      </c>
      <c r="AU40" s="794">
        <v>865.270856181</v>
      </c>
      <c r="AV40" s="794">
        <v>844.4362185760001</v>
      </c>
      <c r="AW40" s="587">
        <v>902.59995982999988</v>
      </c>
      <c r="AX40" s="587">
        <v>870.88403972080005</v>
      </c>
      <c r="AY40" s="587">
        <v>869.90900274839998</v>
      </c>
      <c r="AZ40" s="587">
        <v>647.2437888157001</v>
      </c>
      <c r="BA40" s="587">
        <v>659.70122256280001</v>
      </c>
      <c r="BB40" s="587">
        <v>649.53919179190007</v>
      </c>
      <c r="BC40" s="587">
        <v>657.1281703308</v>
      </c>
      <c r="BD40" s="587">
        <v>721.66498546460014</v>
      </c>
      <c r="BE40" s="587">
        <v>619.60441126160003</v>
      </c>
      <c r="BF40" s="587">
        <v>689.23127576000002</v>
      </c>
      <c r="BG40" s="587">
        <v>746.58323857000005</v>
      </c>
      <c r="BH40" s="587">
        <v>816.38891534779998</v>
      </c>
      <c r="BI40" s="587">
        <v>822.91521183569989</v>
      </c>
      <c r="BJ40" s="587">
        <v>660.33382583529999</v>
      </c>
      <c r="BK40" s="587">
        <v>890.3417324400001</v>
      </c>
      <c r="BL40" s="587">
        <v>912.81419984490014</v>
      </c>
      <c r="BM40" s="587">
        <v>907.34752255759997</v>
      </c>
      <c r="BN40" s="587">
        <v>1103.4293905640002</v>
      </c>
      <c r="BO40" s="587">
        <v>1098.8190824791998</v>
      </c>
      <c r="BP40" s="587">
        <v>1086.2779939989002</v>
      </c>
      <c r="BQ40" s="587">
        <v>1102.7416683502001</v>
      </c>
      <c r="BR40" s="587">
        <v>1017.9662629621</v>
      </c>
      <c r="BS40" s="587">
        <v>1047.2683423904</v>
      </c>
      <c r="BT40" s="587">
        <v>1222.7016199096752</v>
      </c>
      <c r="BU40" s="587">
        <v>1038.192572284026</v>
      </c>
      <c r="BV40" s="587">
        <v>1070.0801470244</v>
      </c>
      <c r="BW40" s="587">
        <v>1050.290249135955</v>
      </c>
      <c r="BX40" s="587">
        <v>1023.9510717104999</v>
      </c>
      <c r="BY40" s="587">
        <v>1025.6176749312001</v>
      </c>
      <c r="BZ40" s="587">
        <v>1102.7</v>
      </c>
      <c r="CA40" s="587">
        <v>1173.2575775100001</v>
      </c>
      <c r="CB40" s="587">
        <v>1229.0083955999999</v>
      </c>
      <c r="CC40" s="587">
        <v>1241.0590705384</v>
      </c>
      <c r="CD40" s="587">
        <v>1160.4138999592342</v>
      </c>
      <c r="CE40" s="587">
        <v>1114.8627421571664</v>
      </c>
      <c r="CF40" s="587">
        <v>1151.6871802734861</v>
      </c>
      <c r="CG40" s="587">
        <v>1215.5913640822532</v>
      </c>
      <c r="CH40" s="587">
        <v>1156.1124858719008</v>
      </c>
      <c r="CI40" s="587">
        <v>1166.4370581979306</v>
      </c>
      <c r="CJ40" s="587">
        <v>1187.873294201248</v>
      </c>
      <c r="CK40" s="587">
        <v>1227.9908151867189</v>
      </c>
      <c r="CL40" s="587">
        <v>1212.3295438793812</v>
      </c>
      <c r="CM40" s="587">
        <v>1113.2806808999999</v>
      </c>
      <c r="CN40" s="587">
        <v>1246.6045088000001</v>
      </c>
      <c r="CO40" s="587">
        <v>1282.6906904670659</v>
      </c>
      <c r="CP40" s="587">
        <v>1251.0547616700001</v>
      </c>
      <c r="CQ40" s="587">
        <v>1290.3787855500002</v>
      </c>
      <c r="CR40" s="587">
        <v>1284.99398152</v>
      </c>
      <c r="CS40" s="587">
        <v>1257.0662896100002</v>
      </c>
      <c r="CT40" s="587">
        <v>1203.95263019</v>
      </c>
      <c r="CU40" s="587">
        <v>1227.5464195999998</v>
      </c>
      <c r="CV40" s="587">
        <v>1231.8452086700001</v>
      </c>
      <c r="CW40" s="587">
        <v>1253.55208881</v>
      </c>
      <c r="CX40" s="587">
        <v>1245.5277986599999</v>
      </c>
      <c r="CY40" s="587">
        <v>1252.1333085700003</v>
      </c>
      <c r="CZ40" s="587">
        <v>1254.5425171500001</v>
      </c>
      <c r="DA40" s="587">
        <v>1237.0136824099998</v>
      </c>
      <c r="DB40" s="797">
        <v>1261.8882919499999</v>
      </c>
      <c r="DC40" s="797">
        <v>1098.98831421</v>
      </c>
      <c r="DD40" s="797">
        <v>1108.71473808</v>
      </c>
      <c r="DE40" s="797">
        <v>1131.55235146</v>
      </c>
      <c r="DF40" s="797">
        <v>1213.81598981</v>
      </c>
      <c r="DG40" s="797">
        <v>1084.14678626</v>
      </c>
      <c r="DH40" s="797">
        <v>1023.7717210300001</v>
      </c>
      <c r="DI40" s="797">
        <v>1038.11641773</v>
      </c>
      <c r="DJ40" s="797">
        <v>1078.24625874</v>
      </c>
      <c r="DK40" s="797">
        <v>1095.8367682999999</v>
      </c>
      <c r="DL40" s="797">
        <v>1160.0948921900001</v>
      </c>
      <c r="DM40" s="797">
        <v>1038.98491782</v>
      </c>
      <c r="DN40" s="797">
        <v>1008.1067244299999</v>
      </c>
      <c r="DO40" s="797">
        <v>1036.5537718799999</v>
      </c>
      <c r="DP40" s="797">
        <v>1051.03016372</v>
      </c>
      <c r="DQ40" s="797">
        <v>1029.0173099600001</v>
      </c>
      <c r="DR40" s="797">
        <v>1087.07250673</v>
      </c>
    </row>
    <row r="41" spans="1:122" ht="15.95" customHeight="1">
      <c r="A41" s="793" t="s">
        <v>2411</v>
      </c>
      <c r="B41" s="794">
        <v>6302.0155715999999</v>
      </c>
      <c r="C41" s="664">
        <v>6680.7657261099994</v>
      </c>
      <c r="D41" s="664">
        <v>6724.97390103</v>
      </c>
      <c r="E41" s="593">
        <v>6641.7870406299999</v>
      </c>
      <c r="F41" s="664">
        <v>6619.2726597399997</v>
      </c>
      <c r="G41" s="664">
        <v>6682.9836608900005</v>
      </c>
      <c r="H41" s="664">
        <v>7002.9131673500005</v>
      </c>
      <c r="I41" s="664">
        <v>6496.2261887800005</v>
      </c>
      <c r="J41" s="664">
        <v>6387.5204919999996</v>
      </c>
      <c r="K41" s="593">
        <v>6324.3398256299997</v>
      </c>
      <c r="L41" s="664">
        <v>6275.8983495599996</v>
      </c>
      <c r="M41" s="664">
        <v>6446.1536180599996</v>
      </c>
      <c r="N41" s="664">
        <v>6381.1979789400002</v>
      </c>
      <c r="O41" s="593">
        <v>6373.0213946099993</v>
      </c>
      <c r="P41" s="664">
        <v>6637.4945316800004</v>
      </c>
      <c r="Q41" s="664">
        <v>6604.8001880299998</v>
      </c>
      <c r="R41" s="593">
        <v>7131.5605834400003</v>
      </c>
      <c r="S41" s="664">
        <v>6885.8107046000005</v>
      </c>
      <c r="T41" s="664">
        <v>6880.0402745700003</v>
      </c>
      <c r="U41" s="795">
        <v>6897.9790052099988</v>
      </c>
      <c r="V41" s="795">
        <v>7111.6080771899997</v>
      </c>
      <c r="W41" s="795">
        <v>7272.3038766100008</v>
      </c>
      <c r="X41" s="795">
        <v>6765.3666168500004</v>
      </c>
      <c r="Y41" s="795">
        <v>6613.9897949399983</v>
      </c>
      <c r="Z41" s="795">
        <v>6511.3408801600008</v>
      </c>
      <c r="AA41" s="795">
        <v>6720.2382139600013</v>
      </c>
      <c r="AB41" s="795">
        <v>6799.8022695700001</v>
      </c>
      <c r="AC41" s="795">
        <v>6831.4908400600007</v>
      </c>
      <c r="AD41" s="795">
        <v>6968.8469247900011</v>
      </c>
      <c r="AE41" s="795">
        <v>6848.1601100899998</v>
      </c>
      <c r="AF41" s="795">
        <v>6873.1524102100011</v>
      </c>
      <c r="AG41" s="795">
        <v>6801.7794347700001</v>
      </c>
      <c r="AH41" s="795">
        <v>7214.9492784000004</v>
      </c>
      <c r="AI41" s="795">
        <v>7402.2263905499995</v>
      </c>
      <c r="AJ41" s="795">
        <v>7896.7884714799993</v>
      </c>
      <c r="AK41" s="795">
        <v>8124.274790559999</v>
      </c>
      <c r="AL41" s="795">
        <v>7858.4080253399998</v>
      </c>
      <c r="AM41" s="666">
        <v>8373.366120409999</v>
      </c>
      <c r="AN41" s="666">
        <v>8360.8378858800006</v>
      </c>
      <c r="AO41" s="666">
        <v>8991.8658315800003</v>
      </c>
      <c r="AP41" s="666">
        <v>9712.5298214499999</v>
      </c>
      <c r="AQ41" s="666">
        <v>9883.7314959899995</v>
      </c>
      <c r="AR41" s="794">
        <v>10251.246496</v>
      </c>
      <c r="AS41" s="794">
        <v>10210.12844561</v>
      </c>
      <c r="AT41" s="794">
        <v>10274.11542903</v>
      </c>
      <c r="AU41" s="794">
        <v>10468.837709490001</v>
      </c>
      <c r="AV41" s="794">
        <v>9958.9733252599981</v>
      </c>
      <c r="AW41" s="587">
        <v>10147.86294008</v>
      </c>
      <c r="AX41" s="587">
        <v>10126.988990459999</v>
      </c>
      <c r="AY41" s="587">
        <v>9803.2966179199993</v>
      </c>
      <c r="AZ41" s="587">
        <v>10097.500459539999</v>
      </c>
      <c r="BA41" s="587">
        <v>10765.053340660001</v>
      </c>
      <c r="BB41" s="587">
        <v>10735.642151260001</v>
      </c>
      <c r="BC41" s="587">
        <v>10856.389915900001</v>
      </c>
      <c r="BD41" s="587">
        <v>11348.335393660002</v>
      </c>
      <c r="BE41" s="587">
        <v>11034.58892355</v>
      </c>
      <c r="BF41" s="587">
        <v>10951.950675990001</v>
      </c>
      <c r="BG41" s="587">
        <v>11418.877000849998</v>
      </c>
      <c r="BH41" s="587">
        <v>11740.11639187</v>
      </c>
      <c r="BI41" s="587">
        <v>10661.107172099999</v>
      </c>
      <c r="BJ41" s="587">
        <v>11233.356511910002</v>
      </c>
      <c r="BK41" s="587">
        <v>11698.912610020001</v>
      </c>
      <c r="BL41" s="587">
        <v>11690.901640940001</v>
      </c>
      <c r="BM41" s="587">
        <v>11656.34252584</v>
      </c>
      <c r="BN41" s="587">
        <v>11898.459281705294</v>
      </c>
      <c r="BO41" s="587">
        <v>11841.779248340001</v>
      </c>
      <c r="BP41" s="587">
        <v>12119.461163170001</v>
      </c>
      <c r="BQ41" s="587">
        <v>11959.263320089998</v>
      </c>
      <c r="BR41" s="587">
        <v>12033.299451299999</v>
      </c>
      <c r="BS41" s="587">
        <v>11849.029915270001</v>
      </c>
      <c r="BT41" s="587">
        <v>12049.735481350001</v>
      </c>
      <c r="BU41" s="587">
        <v>12237.623585720001</v>
      </c>
      <c r="BV41" s="587">
        <v>12771.87269471</v>
      </c>
      <c r="BW41" s="587">
        <v>12604.712873370001</v>
      </c>
      <c r="BX41" s="587">
        <v>13016.858134540002</v>
      </c>
      <c r="BY41" s="587">
        <v>12913.63105928</v>
      </c>
      <c r="BZ41" s="587">
        <v>13147</v>
      </c>
      <c r="CA41" s="587">
        <v>13118.937917528101</v>
      </c>
      <c r="CB41" s="587">
        <v>12808.987533569998</v>
      </c>
      <c r="CC41" s="587">
        <v>12699.294463599999</v>
      </c>
      <c r="CD41" s="587">
        <v>12887.268928355456</v>
      </c>
      <c r="CE41" s="587">
        <v>13032.068816149102</v>
      </c>
      <c r="CF41" s="587">
        <v>12804.429970065301</v>
      </c>
      <c r="CG41" s="587">
        <v>12694.494009423945</v>
      </c>
      <c r="CH41" s="587">
        <v>13143.762891464403</v>
      </c>
      <c r="CI41" s="587">
        <v>13157.813962058814</v>
      </c>
      <c r="CJ41" s="587">
        <v>13578.577021504259</v>
      </c>
      <c r="CK41" s="587">
        <v>13771.555092289998</v>
      </c>
      <c r="CL41" s="587">
        <v>13816.512786643209</v>
      </c>
      <c r="CM41" s="587">
        <v>13818.975094050335</v>
      </c>
      <c r="CN41" s="587">
        <v>14040.205881303198</v>
      </c>
      <c r="CO41" s="587">
        <v>13791.420592661387</v>
      </c>
      <c r="CP41" s="587">
        <v>13684.788208897575</v>
      </c>
      <c r="CQ41" s="587">
        <v>13653.218557851666</v>
      </c>
      <c r="CR41" s="587">
        <v>13819.905715428018</v>
      </c>
      <c r="CS41" s="587">
        <v>13578.924258505071</v>
      </c>
      <c r="CT41" s="587">
        <v>13540.770921264202</v>
      </c>
      <c r="CU41" s="587">
        <v>13252.521961602872</v>
      </c>
      <c r="CV41" s="587">
        <v>13339.61738405</v>
      </c>
      <c r="CW41" s="587">
        <v>14916.01824416616</v>
      </c>
      <c r="CX41" s="587">
        <v>14210.609696606305</v>
      </c>
      <c r="CY41" s="587">
        <v>14041.001154581307</v>
      </c>
      <c r="CZ41" s="587">
        <v>15296.923382857789</v>
      </c>
      <c r="DA41" s="587">
        <v>15173.13869887598</v>
      </c>
      <c r="DB41" s="797">
        <v>15018.263919378927</v>
      </c>
      <c r="DC41" s="797">
        <v>14742.938335681563</v>
      </c>
      <c r="DD41" s="797">
        <v>14956.65082925991</v>
      </c>
      <c r="DE41" s="797">
        <v>14510.333934833619</v>
      </c>
      <c r="DF41" s="797">
        <v>15056.144897588718</v>
      </c>
      <c r="DG41" s="797">
        <v>15171.647123741199</v>
      </c>
      <c r="DH41" s="797">
        <v>14684.66835321</v>
      </c>
      <c r="DI41" s="797">
        <v>14947.0771968399</v>
      </c>
      <c r="DJ41" s="797">
        <v>14747.006277055696</v>
      </c>
      <c r="DK41" s="797">
        <v>14524.393285685514</v>
      </c>
      <c r="DL41" s="797">
        <v>14876.722076687709</v>
      </c>
      <c r="DM41" s="797">
        <v>14133.162113865214</v>
      </c>
      <c r="DN41" s="797">
        <v>13722.938397867038</v>
      </c>
      <c r="DO41" s="797">
        <v>13658.474553252863</v>
      </c>
      <c r="DP41" s="797">
        <v>13713.560803010605</v>
      </c>
      <c r="DQ41" s="797">
        <v>14901.813395452662</v>
      </c>
      <c r="DR41" s="797">
        <v>15284.337361634822</v>
      </c>
    </row>
    <row r="42" spans="1:122" ht="15.95" customHeight="1">
      <c r="A42" s="793" t="s">
        <v>2412</v>
      </c>
      <c r="B42" s="794">
        <v>189.6872918</v>
      </c>
      <c r="C42" s="664">
        <v>192.32956038000003</v>
      </c>
      <c r="D42" s="664">
        <v>187.63579283999997</v>
      </c>
      <c r="E42" s="593">
        <v>186.83519117999998</v>
      </c>
      <c r="F42" s="664">
        <v>190.58374953999999</v>
      </c>
      <c r="G42" s="664">
        <v>189.64591591999999</v>
      </c>
      <c r="H42" s="664">
        <v>186.66834541000003</v>
      </c>
      <c r="I42" s="664">
        <v>187.36985098000002</v>
      </c>
      <c r="J42" s="664">
        <v>185.50251247999998</v>
      </c>
      <c r="K42" s="593">
        <v>189.50261290999995</v>
      </c>
      <c r="L42" s="664">
        <v>245.97233521000004</v>
      </c>
      <c r="M42" s="664">
        <v>236.67397958000001</v>
      </c>
      <c r="N42" s="664">
        <v>240.47186411999999</v>
      </c>
      <c r="O42" s="593">
        <v>237.13085701</v>
      </c>
      <c r="P42" s="664">
        <v>240.56629139000003</v>
      </c>
      <c r="Q42" s="664">
        <v>232.90897743999994</v>
      </c>
      <c r="R42" s="593">
        <v>233.20169378999998</v>
      </c>
      <c r="S42" s="664">
        <v>228.62220969000003</v>
      </c>
      <c r="T42" s="664">
        <v>230.02197689000002</v>
      </c>
      <c r="U42" s="795">
        <v>224.88639358999998</v>
      </c>
      <c r="V42" s="795">
        <v>223.13200476</v>
      </c>
      <c r="W42" s="795">
        <v>229.63675009000002</v>
      </c>
      <c r="X42" s="795">
        <v>230.63354143999996</v>
      </c>
      <c r="Y42" s="795">
        <v>231.76835582999999</v>
      </c>
      <c r="Z42" s="795">
        <v>232.92954629000002</v>
      </c>
      <c r="AA42" s="795">
        <v>227.12856425000001</v>
      </c>
      <c r="AB42" s="795">
        <v>225.40608684999998</v>
      </c>
      <c r="AC42" s="795">
        <v>222.93032299000001</v>
      </c>
      <c r="AD42" s="795">
        <v>225.67875407999998</v>
      </c>
      <c r="AE42" s="795">
        <v>220.07457709000002</v>
      </c>
      <c r="AF42" s="795">
        <v>217.45503998000001</v>
      </c>
      <c r="AG42" s="795">
        <v>212.09023410000003</v>
      </c>
      <c r="AH42" s="795">
        <v>216.46422154999999</v>
      </c>
      <c r="AI42" s="795">
        <v>262.10546948000001</v>
      </c>
      <c r="AJ42" s="795">
        <v>250.27184975</v>
      </c>
      <c r="AK42" s="795">
        <v>246.37631425000006</v>
      </c>
      <c r="AL42" s="795">
        <v>252.57374556470003</v>
      </c>
      <c r="AM42" s="666">
        <v>266.12989082154002</v>
      </c>
      <c r="AN42" s="666">
        <v>262.62759897350799</v>
      </c>
      <c r="AO42" s="666">
        <v>258.93287238400001</v>
      </c>
      <c r="AP42" s="666">
        <v>258.21758849066197</v>
      </c>
      <c r="AQ42" s="666">
        <v>259.120777493216</v>
      </c>
      <c r="AR42" s="794">
        <v>254.30588637480002</v>
      </c>
      <c r="AS42" s="794">
        <v>266.04407790399995</v>
      </c>
      <c r="AT42" s="794">
        <v>274.803833884992</v>
      </c>
      <c r="AU42" s="794">
        <v>272.57093989853598</v>
      </c>
      <c r="AV42" s="794">
        <v>267.98756963200003</v>
      </c>
      <c r="AW42" s="587">
        <v>264.32966434080004</v>
      </c>
      <c r="AX42" s="587">
        <v>265.01099268001599</v>
      </c>
      <c r="AY42" s="587">
        <v>271.85899290409992</v>
      </c>
      <c r="AZ42" s="587">
        <v>274.65470752433197</v>
      </c>
      <c r="BA42" s="587">
        <v>279.41477370823003</v>
      </c>
      <c r="BB42" s="587">
        <v>277.1825085653</v>
      </c>
      <c r="BC42" s="587">
        <v>277.09952837940563</v>
      </c>
      <c r="BD42" s="587">
        <v>275.55134261480589</v>
      </c>
      <c r="BE42" s="587">
        <v>273.70802355509903</v>
      </c>
      <c r="BF42" s="587">
        <v>268.14331030472505</v>
      </c>
      <c r="BG42" s="587">
        <v>269.02164397112</v>
      </c>
      <c r="BH42" s="587">
        <v>731.10729746381207</v>
      </c>
      <c r="BI42" s="587">
        <v>791.4426735720939</v>
      </c>
      <c r="BJ42" s="587">
        <v>831.26537429648999</v>
      </c>
      <c r="BK42" s="587">
        <v>830.56692355338316</v>
      </c>
      <c r="BL42" s="587">
        <v>837.41173247365589</v>
      </c>
      <c r="BM42" s="587">
        <v>889.69365506415386</v>
      </c>
      <c r="BN42" s="587">
        <v>902.07250825924405</v>
      </c>
      <c r="BO42" s="587">
        <v>964.38526821359596</v>
      </c>
      <c r="BP42" s="587">
        <v>952.33906185976116</v>
      </c>
      <c r="BQ42" s="587">
        <v>934.85561663628698</v>
      </c>
      <c r="BR42" s="587">
        <v>930.74407377235798</v>
      </c>
      <c r="BS42" s="587">
        <v>896.93220265692787</v>
      </c>
      <c r="BT42" s="587">
        <v>891.44318436327978</v>
      </c>
      <c r="BU42" s="587">
        <v>872.35668540845006</v>
      </c>
      <c r="BV42" s="587">
        <v>883.20447421792983</v>
      </c>
      <c r="BW42" s="587">
        <v>855.66444331264495</v>
      </c>
      <c r="BX42" s="587">
        <v>852.46329929900003</v>
      </c>
      <c r="BY42" s="587">
        <v>850.37503405889993</v>
      </c>
      <c r="BZ42" s="587">
        <v>842.7</v>
      </c>
      <c r="CA42" s="587">
        <v>843.82739237395106</v>
      </c>
      <c r="CB42" s="587">
        <v>823.68528307794395</v>
      </c>
      <c r="CC42" s="587">
        <v>835.41973142809604</v>
      </c>
      <c r="CD42" s="587">
        <v>806.93081357865594</v>
      </c>
      <c r="CE42" s="587">
        <v>826.45568050751604</v>
      </c>
      <c r="CF42" s="587">
        <v>829.50856398211704</v>
      </c>
      <c r="CG42" s="587">
        <v>841.19152755898278</v>
      </c>
      <c r="CH42" s="587">
        <v>828.68114600926219</v>
      </c>
      <c r="CI42" s="587">
        <v>836.14533475577196</v>
      </c>
      <c r="CJ42" s="587">
        <v>832.7422997703361</v>
      </c>
      <c r="CK42" s="587">
        <v>829.79129939327083</v>
      </c>
      <c r="CL42" s="587">
        <v>826.88951937407182</v>
      </c>
      <c r="CM42" s="587">
        <v>808.0384836316731</v>
      </c>
      <c r="CN42" s="587">
        <v>849.70204623608936</v>
      </c>
      <c r="CO42" s="587">
        <v>1019.243693077647</v>
      </c>
      <c r="CP42" s="587">
        <v>992.75879927492508</v>
      </c>
      <c r="CQ42" s="587">
        <v>1011.2587461904056</v>
      </c>
      <c r="CR42" s="587">
        <v>1010.3461376177301</v>
      </c>
      <c r="CS42" s="587">
        <v>1055.8751111770673</v>
      </c>
      <c r="CT42" s="587">
        <v>1089.1370878063594</v>
      </c>
      <c r="CU42" s="587">
        <v>1089.0781982112446</v>
      </c>
      <c r="CV42" s="587">
        <v>1076.6301543840375</v>
      </c>
      <c r="CW42" s="587">
        <v>1071.6646437035176</v>
      </c>
      <c r="CX42" s="587">
        <v>1073.0638386189773</v>
      </c>
      <c r="CY42" s="587">
        <v>1080.2455569395288</v>
      </c>
      <c r="CZ42" s="587">
        <v>1058.4495861952448</v>
      </c>
      <c r="DA42" s="587">
        <v>1075.185473917325</v>
      </c>
      <c r="DB42" s="797">
        <v>1086.4122225771741</v>
      </c>
      <c r="DC42" s="797">
        <v>1065.1949677377149</v>
      </c>
      <c r="DD42" s="797">
        <v>1053.1878796096657</v>
      </c>
      <c r="DE42" s="797">
        <v>1056.691897941708</v>
      </c>
      <c r="DF42" s="797">
        <v>1041.954267578139</v>
      </c>
      <c r="DG42" s="797">
        <v>1055.6092499684667</v>
      </c>
      <c r="DH42" s="797">
        <v>1053.4909313176813</v>
      </c>
      <c r="DI42" s="797">
        <v>1069.2609083370446</v>
      </c>
      <c r="DJ42" s="797">
        <v>1074.5658869293459</v>
      </c>
      <c r="DK42" s="797">
        <v>1030.2013596104518</v>
      </c>
      <c r="DL42" s="797">
        <v>1019.7488581844905</v>
      </c>
      <c r="DM42" s="797">
        <v>1030.8291177600097</v>
      </c>
      <c r="DN42" s="797">
        <v>1045.0473905015949</v>
      </c>
      <c r="DO42" s="797">
        <v>1089.0937252589822</v>
      </c>
      <c r="DP42" s="797">
        <v>1059.8335857086604</v>
      </c>
      <c r="DQ42" s="797">
        <v>1064.4531311722003</v>
      </c>
      <c r="DR42" s="797">
        <v>1050.7963260873644</v>
      </c>
    </row>
    <row r="43" spans="1:122" ht="15.95" customHeight="1">
      <c r="A43" s="793" t="s">
        <v>2413</v>
      </c>
      <c r="B43" s="794">
        <v>9.1179679999999994</v>
      </c>
      <c r="C43" s="664">
        <v>11.717330350000001</v>
      </c>
      <c r="D43" s="664">
        <v>7.9930430399999999</v>
      </c>
      <c r="E43" s="593">
        <v>11.861389920000001</v>
      </c>
      <c r="F43" s="664">
        <v>9.7494911799999997</v>
      </c>
      <c r="G43" s="664">
        <v>10.30769705</v>
      </c>
      <c r="H43" s="664">
        <v>9.1355911999999986</v>
      </c>
      <c r="I43" s="664">
        <v>9.0528145999999996</v>
      </c>
      <c r="J43" s="664">
        <v>10.624908900000001</v>
      </c>
      <c r="K43" s="593">
        <v>10.878828310000001</v>
      </c>
      <c r="L43" s="664">
        <v>11.046060539999999</v>
      </c>
      <c r="M43" s="664">
        <v>11.032120429999997</v>
      </c>
      <c r="N43" s="664">
        <v>11.822817200000003</v>
      </c>
      <c r="O43" s="593">
        <v>10.679816880000001</v>
      </c>
      <c r="P43" s="664">
        <v>10.692720060000001</v>
      </c>
      <c r="Q43" s="664">
        <v>11.146156640000001</v>
      </c>
      <c r="R43" s="593">
        <v>8.5388528500000014</v>
      </c>
      <c r="S43" s="664">
        <v>8.4781432800000012</v>
      </c>
      <c r="T43" s="664">
        <v>8.530895189999999</v>
      </c>
      <c r="U43" s="795">
        <v>7.4263485899999999</v>
      </c>
      <c r="V43" s="795">
        <v>13.55000566</v>
      </c>
      <c r="W43" s="795">
        <v>13.858574460000002</v>
      </c>
      <c r="X43" s="795">
        <v>14.853204540000002</v>
      </c>
      <c r="Y43" s="795">
        <v>15.98460249</v>
      </c>
      <c r="Z43" s="795">
        <v>16.775565620000002</v>
      </c>
      <c r="AA43" s="795">
        <v>21.351797350000002</v>
      </c>
      <c r="AB43" s="795">
        <v>18.04752336</v>
      </c>
      <c r="AC43" s="795">
        <v>17.801968250000002</v>
      </c>
      <c r="AD43" s="795">
        <v>23.587131700000004</v>
      </c>
      <c r="AE43" s="795">
        <v>23.747023110000001</v>
      </c>
      <c r="AF43" s="795">
        <v>24.5029425</v>
      </c>
      <c r="AG43" s="795">
        <v>28.635337280000002</v>
      </c>
      <c r="AH43" s="795">
        <v>28.349896670000003</v>
      </c>
      <c r="AI43" s="795">
        <v>27.042128439999999</v>
      </c>
      <c r="AJ43" s="795">
        <v>27.353368019999998</v>
      </c>
      <c r="AK43" s="795">
        <v>29.129719699999999</v>
      </c>
      <c r="AL43" s="795">
        <v>54.231304629999997</v>
      </c>
      <c r="AM43" s="666">
        <v>36.303846450000002</v>
      </c>
      <c r="AN43" s="666">
        <v>34.53936684</v>
      </c>
      <c r="AO43" s="666">
        <v>35.051417840000006</v>
      </c>
      <c r="AP43" s="666">
        <v>34.887700359999997</v>
      </c>
      <c r="AQ43" s="666">
        <v>34.210978850000004</v>
      </c>
      <c r="AR43" s="794">
        <v>40.022331689999987</v>
      </c>
      <c r="AS43" s="794">
        <v>32.492058</v>
      </c>
      <c r="AT43" s="794">
        <v>31.745576939999992</v>
      </c>
      <c r="AU43" s="794">
        <v>31.953326220000005</v>
      </c>
      <c r="AV43" s="794">
        <v>31.040383429999999</v>
      </c>
      <c r="AW43" s="587">
        <v>30.791606260000005</v>
      </c>
      <c r="AX43" s="587">
        <v>31.402356489999995</v>
      </c>
      <c r="AY43" s="587">
        <v>30.432792489999997</v>
      </c>
      <c r="AZ43" s="587">
        <v>30.363027689999999</v>
      </c>
      <c r="BA43" s="587">
        <v>30.000618639999995</v>
      </c>
      <c r="BB43" s="587">
        <v>29.035494579999998</v>
      </c>
      <c r="BC43" s="587">
        <v>28.41835571</v>
      </c>
      <c r="BD43" s="587">
        <v>26.344219199999994</v>
      </c>
      <c r="BE43" s="587">
        <v>26.544093340000003</v>
      </c>
      <c r="BF43" s="587">
        <v>27.0836316</v>
      </c>
      <c r="BG43" s="587">
        <v>28.204045580000003</v>
      </c>
      <c r="BH43" s="587">
        <v>27.007360149999993</v>
      </c>
      <c r="BI43" s="587">
        <v>25.730599300000002</v>
      </c>
      <c r="BJ43" s="587">
        <v>24.559592890000001</v>
      </c>
      <c r="BK43" s="587">
        <v>25.746821460000003</v>
      </c>
      <c r="BL43" s="587">
        <v>25.202615220000002</v>
      </c>
      <c r="BM43" s="587">
        <v>25.036359859999994</v>
      </c>
      <c r="BN43" s="587">
        <v>25.760922540000006</v>
      </c>
      <c r="BO43" s="587">
        <v>25.63661763</v>
      </c>
      <c r="BP43" s="587">
        <v>33.795003980000004</v>
      </c>
      <c r="BQ43" s="587">
        <v>34.978401329999997</v>
      </c>
      <c r="BR43" s="587">
        <v>34.664465499999999</v>
      </c>
      <c r="BS43" s="587">
        <v>34.285675879999992</v>
      </c>
      <c r="BT43" s="587">
        <v>33.907771889999999</v>
      </c>
      <c r="BU43" s="587">
        <v>34.581127389999992</v>
      </c>
      <c r="BV43" s="587">
        <v>53.388415217228001</v>
      </c>
      <c r="BW43" s="587">
        <v>34.210427230000001</v>
      </c>
      <c r="BX43" s="587">
        <v>33.95963038</v>
      </c>
      <c r="BY43" s="587">
        <v>34.358752379999999</v>
      </c>
      <c r="BZ43" s="587">
        <v>33.200000000000003</v>
      </c>
      <c r="CA43" s="587">
        <v>34.69655899</v>
      </c>
      <c r="CB43" s="587">
        <v>11.339506000000002</v>
      </c>
      <c r="CC43" s="587">
        <v>14.406287180000001</v>
      </c>
      <c r="CD43" s="587">
        <v>27.876087310000003</v>
      </c>
      <c r="CE43" s="587">
        <v>37.507127600000011</v>
      </c>
      <c r="CF43" s="587">
        <v>36.770421140000003</v>
      </c>
      <c r="CG43" s="587">
        <v>36.755045270000004</v>
      </c>
      <c r="CH43" s="587">
        <v>36.217659510000004</v>
      </c>
      <c r="CI43" s="587">
        <v>36.527300359999998</v>
      </c>
      <c r="CJ43" s="587">
        <v>37.783368440000004</v>
      </c>
      <c r="CK43" s="587">
        <v>39.791675770000005</v>
      </c>
      <c r="CL43" s="587">
        <v>40.09645939</v>
      </c>
      <c r="CM43" s="587">
        <v>39.640578560000009</v>
      </c>
      <c r="CN43" s="587">
        <v>38.382180340000005</v>
      </c>
      <c r="CO43" s="587">
        <v>36.287515649999996</v>
      </c>
      <c r="CP43" s="587">
        <v>37.44355109</v>
      </c>
      <c r="CQ43" s="587">
        <v>36.432409760000006</v>
      </c>
      <c r="CR43" s="587">
        <v>34.820023059999997</v>
      </c>
      <c r="CS43" s="587">
        <v>35.05335419</v>
      </c>
      <c r="CT43" s="587">
        <v>33.86718071</v>
      </c>
      <c r="CU43" s="587">
        <v>31.920368870000001</v>
      </c>
      <c r="CV43" s="587">
        <v>30.837736710000001</v>
      </c>
      <c r="CW43" s="587">
        <v>31.309508759999996</v>
      </c>
      <c r="CX43" s="587">
        <v>30.176052100000003</v>
      </c>
      <c r="CY43" s="587">
        <v>30.069471799999999</v>
      </c>
      <c r="CZ43" s="587">
        <v>29.548265860000004</v>
      </c>
      <c r="DA43" s="587">
        <v>20.06854435</v>
      </c>
      <c r="DB43" s="797">
        <v>20.878156080000004</v>
      </c>
      <c r="DC43" s="797">
        <v>23.398656950000003</v>
      </c>
      <c r="DD43" s="797">
        <v>22.655865349999999</v>
      </c>
      <c r="DE43" s="797">
        <v>21.614540089999998</v>
      </c>
      <c r="DF43" s="797">
        <v>23.019424740000002</v>
      </c>
      <c r="DG43" s="797">
        <v>22.647824300000003</v>
      </c>
      <c r="DH43" s="797">
        <v>22.115520080000003</v>
      </c>
      <c r="DI43" s="797">
        <v>20.775751170000003</v>
      </c>
      <c r="DJ43" s="797">
        <v>21.204948660000003</v>
      </c>
      <c r="DK43" s="797">
        <v>21.575062930000001</v>
      </c>
      <c r="DL43" s="797">
        <v>20.594526470000002</v>
      </c>
      <c r="DM43" s="797">
        <v>21.167052450000003</v>
      </c>
      <c r="DN43" s="797">
        <v>21.115338100000002</v>
      </c>
      <c r="DO43" s="797">
        <v>21.578165970000004</v>
      </c>
      <c r="DP43" s="797">
        <v>21.695333580000003</v>
      </c>
      <c r="DQ43" s="797">
        <v>21.669164370000001</v>
      </c>
      <c r="DR43" s="797">
        <v>23.04923586</v>
      </c>
    </row>
    <row r="44" spans="1:122" ht="15.95" customHeight="1">
      <c r="A44" s="793" t="s">
        <v>2389</v>
      </c>
      <c r="B44" s="794">
        <v>539.78935437000007</v>
      </c>
      <c r="C44" s="664">
        <v>548.58207482</v>
      </c>
      <c r="D44" s="664">
        <v>565.70722658999989</v>
      </c>
      <c r="E44" s="593">
        <v>580.94715040000006</v>
      </c>
      <c r="F44" s="664">
        <v>617.31582035999998</v>
      </c>
      <c r="G44" s="664">
        <v>657.55819094999993</v>
      </c>
      <c r="H44" s="664">
        <v>527.06340307000005</v>
      </c>
      <c r="I44" s="664">
        <v>543.04851510000003</v>
      </c>
      <c r="J44" s="664">
        <v>568.70341068000005</v>
      </c>
      <c r="K44" s="593">
        <v>573.9546988100002</v>
      </c>
      <c r="L44" s="664">
        <v>605.46253640000009</v>
      </c>
      <c r="M44" s="664">
        <v>583.08300181000004</v>
      </c>
      <c r="N44" s="664">
        <v>664.49157885</v>
      </c>
      <c r="O44" s="593">
        <v>744.62315599999999</v>
      </c>
      <c r="P44" s="664">
        <v>710.63416259000007</v>
      </c>
      <c r="Q44" s="664">
        <v>743.29148486000008</v>
      </c>
      <c r="R44" s="593">
        <v>657.81545875999996</v>
      </c>
      <c r="S44" s="664">
        <v>560.77851320000002</v>
      </c>
      <c r="T44" s="664">
        <v>858.82542734000003</v>
      </c>
      <c r="U44" s="795">
        <v>751.59007845000008</v>
      </c>
      <c r="V44" s="795">
        <v>837.13474081605693</v>
      </c>
      <c r="W44" s="795">
        <v>770.22520124000005</v>
      </c>
      <c r="X44" s="795">
        <v>754.7646929</v>
      </c>
      <c r="Y44" s="795">
        <v>858.72921881100001</v>
      </c>
      <c r="Z44" s="795">
        <v>515.52354195999999</v>
      </c>
      <c r="AA44" s="795">
        <v>516.51998596999988</v>
      </c>
      <c r="AB44" s="795">
        <v>524.02571904000001</v>
      </c>
      <c r="AC44" s="795">
        <v>529.84544390000008</v>
      </c>
      <c r="AD44" s="795">
        <v>527.13337433000004</v>
      </c>
      <c r="AE44" s="795">
        <v>535.76862000000017</v>
      </c>
      <c r="AF44" s="795">
        <v>534.31213407999996</v>
      </c>
      <c r="AG44" s="795">
        <v>536.77270602999999</v>
      </c>
      <c r="AH44" s="795">
        <v>557.27946539999994</v>
      </c>
      <c r="AI44" s="795">
        <v>595.37523784000018</v>
      </c>
      <c r="AJ44" s="795">
        <v>630.87692701999993</v>
      </c>
      <c r="AK44" s="795">
        <v>782.60331338000015</v>
      </c>
      <c r="AL44" s="795">
        <v>817.06506802000013</v>
      </c>
      <c r="AM44" s="666">
        <v>800.23005174000002</v>
      </c>
      <c r="AN44" s="666">
        <v>845.71302927000011</v>
      </c>
      <c r="AO44" s="666">
        <v>881.20600865999984</v>
      </c>
      <c r="AP44" s="666">
        <v>833.67427188040006</v>
      </c>
      <c r="AQ44" s="666">
        <v>830.88879944120004</v>
      </c>
      <c r="AR44" s="794">
        <v>897.16288857920006</v>
      </c>
      <c r="AS44" s="794">
        <v>890.84792920999996</v>
      </c>
      <c r="AT44" s="794">
        <v>888.9294787888</v>
      </c>
      <c r="AU44" s="794">
        <v>897.53329884579978</v>
      </c>
      <c r="AV44" s="794">
        <v>931.86480171099993</v>
      </c>
      <c r="AW44" s="587">
        <v>937.65749278639987</v>
      </c>
      <c r="AX44" s="587">
        <v>936.12149389440003</v>
      </c>
      <c r="AY44" s="587">
        <v>814.3107841538</v>
      </c>
      <c r="AZ44" s="587">
        <v>1023.3660082983939</v>
      </c>
      <c r="BA44" s="587">
        <v>822.96325733930382</v>
      </c>
      <c r="BB44" s="587">
        <v>832.45161461286375</v>
      </c>
      <c r="BC44" s="587">
        <v>787.17263283840714</v>
      </c>
      <c r="BD44" s="587">
        <v>778.55287907080799</v>
      </c>
      <c r="BE44" s="587">
        <v>943.64268388303014</v>
      </c>
      <c r="BF44" s="587">
        <v>806.508551533012</v>
      </c>
      <c r="BG44" s="587">
        <v>1010.202861477715</v>
      </c>
      <c r="BH44" s="587">
        <v>865.58886733841814</v>
      </c>
      <c r="BI44" s="587">
        <v>712.76718111757691</v>
      </c>
      <c r="BJ44" s="587">
        <v>1019.780219283983</v>
      </c>
      <c r="BK44" s="587">
        <v>1050.0713885781711</v>
      </c>
      <c r="BL44" s="587">
        <v>1143.281363254599</v>
      </c>
      <c r="BM44" s="587">
        <v>1146.490454316526</v>
      </c>
      <c r="BN44" s="587">
        <v>1222.0116272702887</v>
      </c>
      <c r="BO44" s="587">
        <v>1151.6562707865241</v>
      </c>
      <c r="BP44" s="587">
        <v>1231.4548334625169</v>
      </c>
      <c r="BQ44" s="587">
        <v>1238.36913883326</v>
      </c>
      <c r="BR44" s="587">
        <v>1421.1481479936172</v>
      </c>
      <c r="BS44" s="587">
        <v>1253.6246951718081</v>
      </c>
      <c r="BT44" s="587">
        <v>1268.1211070703273</v>
      </c>
      <c r="BU44" s="587">
        <v>1263.6856022597819</v>
      </c>
      <c r="BV44" s="587">
        <v>1064.5375290743139</v>
      </c>
      <c r="BW44" s="587">
        <v>1029.9438236654751</v>
      </c>
      <c r="BX44" s="587">
        <v>1052.3318947415</v>
      </c>
      <c r="BY44" s="587">
        <v>1188.8084911952001</v>
      </c>
      <c r="BZ44" s="587">
        <v>1193.5</v>
      </c>
      <c r="CA44" s="587">
        <v>1093.851042185868</v>
      </c>
      <c r="CB44" s="587">
        <v>1338.8213563860361</v>
      </c>
      <c r="CC44" s="587">
        <v>1327.4253676294302</v>
      </c>
      <c r="CD44" s="587">
        <v>1077.311930044164</v>
      </c>
      <c r="CE44" s="587">
        <v>1124.7996697814765</v>
      </c>
      <c r="CF44" s="587">
        <v>1170.6626615565724</v>
      </c>
      <c r="CG44" s="587">
        <v>1295.7346857095865</v>
      </c>
      <c r="CH44" s="587">
        <v>1348.9760310953716</v>
      </c>
      <c r="CI44" s="587">
        <v>1374.7306684135169</v>
      </c>
      <c r="CJ44" s="587">
        <v>1306.5412976435859</v>
      </c>
      <c r="CK44" s="587">
        <v>1314.6609370650281</v>
      </c>
      <c r="CL44" s="587">
        <v>1374.1045757986594</v>
      </c>
      <c r="CM44" s="587">
        <v>1445.1392124990352</v>
      </c>
      <c r="CN44" s="587">
        <v>1303.8258014114747</v>
      </c>
      <c r="CO44" s="587">
        <v>1455.7797293230619</v>
      </c>
      <c r="CP44" s="587">
        <v>1613.1706659899</v>
      </c>
      <c r="CQ44" s="587">
        <v>1616.5549757385822</v>
      </c>
      <c r="CR44" s="587">
        <v>1392.1073086108049</v>
      </c>
      <c r="CS44" s="587">
        <v>1389.2250606134035</v>
      </c>
      <c r="CT44" s="587">
        <v>1359.5992547122089</v>
      </c>
      <c r="CU44" s="587">
        <v>1380.7155535841237</v>
      </c>
      <c r="CV44" s="587">
        <v>1385.6788804654577</v>
      </c>
      <c r="CW44" s="587">
        <v>1405.2005205780999</v>
      </c>
      <c r="CX44" s="587">
        <v>1424.1509535561054</v>
      </c>
      <c r="CY44" s="587">
        <v>1434.2071631498834</v>
      </c>
      <c r="CZ44" s="587">
        <v>1660.5004065388732</v>
      </c>
      <c r="DA44" s="587">
        <v>1631.4326556356568</v>
      </c>
      <c r="DB44" s="797">
        <v>1708.2016841869631</v>
      </c>
      <c r="DC44" s="797">
        <v>1638.1347618310799</v>
      </c>
      <c r="DD44" s="797">
        <v>1952.9461514572563</v>
      </c>
      <c r="DE44" s="797">
        <v>1696.790403159481</v>
      </c>
      <c r="DF44" s="797">
        <v>1716.1986143612187</v>
      </c>
      <c r="DG44" s="797">
        <v>1731.320805893633</v>
      </c>
      <c r="DH44" s="797">
        <v>1611.2559706731968</v>
      </c>
      <c r="DI44" s="797">
        <v>1997.9750536856909</v>
      </c>
      <c r="DJ44" s="797">
        <v>2029.9361192480214</v>
      </c>
      <c r="DK44" s="797">
        <v>1945.3735207500033</v>
      </c>
      <c r="DL44" s="797">
        <v>1724.1358914949783</v>
      </c>
      <c r="DM44" s="797">
        <v>1728.3158530657181</v>
      </c>
      <c r="DN44" s="797">
        <v>1467.9094080586544</v>
      </c>
      <c r="DO44" s="797">
        <v>1699.8858510443158</v>
      </c>
      <c r="DP44" s="797">
        <v>1657.2544697392059</v>
      </c>
      <c r="DQ44" s="797">
        <v>1668.8096426020575</v>
      </c>
      <c r="DR44" s="797">
        <v>1708.209291711418</v>
      </c>
    </row>
    <row r="45" spans="1:122" ht="7.7" customHeight="1">
      <c r="A45" s="793"/>
      <c r="B45" s="787"/>
      <c r="C45" s="584"/>
      <c r="D45" s="584"/>
      <c r="E45" s="596"/>
      <c r="F45" s="584"/>
      <c r="G45" s="584"/>
      <c r="H45" s="664"/>
      <c r="I45" s="664"/>
      <c r="J45" s="664"/>
      <c r="K45" s="593"/>
      <c r="L45" s="664"/>
      <c r="M45" s="664"/>
      <c r="N45" s="664"/>
      <c r="O45" s="593"/>
      <c r="P45" s="664"/>
      <c r="Q45" s="664"/>
      <c r="R45" s="593"/>
      <c r="S45" s="664"/>
      <c r="T45" s="664"/>
      <c r="U45" s="795"/>
      <c r="V45" s="795"/>
      <c r="W45" s="795"/>
      <c r="X45" s="795"/>
      <c r="Y45" s="795"/>
      <c r="Z45" s="795"/>
      <c r="AA45" s="795"/>
      <c r="AB45" s="795"/>
      <c r="AC45" s="795"/>
      <c r="AD45" s="795"/>
      <c r="AE45" s="795"/>
      <c r="AF45" s="795"/>
      <c r="AG45" s="795"/>
      <c r="AH45" s="795"/>
      <c r="AI45" s="795"/>
      <c r="AJ45" s="795"/>
      <c r="AK45" s="795"/>
      <c r="AL45" s="795"/>
      <c r="AM45" s="665"/>
      <c r="AN45" s="665"/>
      <c r="AO45" s="665"/>
      <c r="AP45" s="665"/>
      <c r="AQ45" s="665"/>
      <c r="AR45" s="787"/>
      <c r="AS45" s="787"/>
      <c r="AT45" s="787"/>
      <c r="AU45" s="787"/>
      <c r="AV45" s="787"/>
      <c r="AW45" s="790"/>
      <c r="AX45" s="790"/>
      <c r="AY45" s="790"/>
      <c r="AZ45" s="790"/>
      <c r="BA45" s="790"/>
      <c r="BB45" s="790"/>
      <c r="BC45" s="790"/>
      <c r="BD45" s="790"/>
      <c r="BE45" s="790"/>
      <c r="BF45" s="790"/>
      <c r="BG45" s="790"/>
      <c r="BH45" s="790"/>
      <c r="BI45" s="790"/>
      <c r="BJ45" s="790"/>
      <c r="BK45" s="790"/>
      <c r="BL45" s="790"/>
      <c r="BM45" s="790"/>
      <c r="BN45" s="790"/>
      <c r="BO45" s="790"/>
      <c r="BP45" s="790"/>
      <c r="BQ45" s="790"/>
      <c r="BR45" s="790"/>
      <c r="BS45" s="790"/>
      <c r="BT45" s="790"/>
      <c r="BU45" s="790"/>
      <c r="BV45" s="790"/>
      <c r="BW45" s="790"/>
      <c r="BX45" s="790"/>
      <c r="BY45" s="790"/>
      <c r="BZ45" s="790"/>
      <c r="CA45" s="790"/>
      <c r="CB45" s="790"/>
      <c r="CC45" s="790"/>
      <c r="CD45" s="790"/>
      <c r="CE45" s="790"/>
      <c r="CF45" s="790"/>
      <c r="CG45" s="790"/>
      <c r="CH45" s="790"/>
      <c r="CI45" s="790"/>
      <c r="CJ45" s="790"/>
      <c r="CK45" s="790"/>
      <c r="CL45" s="790"/>
      <c r="CM45" s="790"/>
      <c r="CN45" s="790"/>
      <c r="CO45" s="790"/>
      <c r="CP45" s="790"/>
      <c r="CQ45" s="790"/>
      <c r="CR45" s="790"/>
      <c r="CS45" s="790"/>
      <c r="CT45" s="790"/>
      <c r="CU45" s="790"/>
      <c r="CV45" s="790"/>
      <c r="CW45" s="790"/>
      <c r="CX45" s="790"/>
      <c r="CY45" s="790"/>
      <c r="CZ45" s="790"/>
      <c r="DA45" s="790"/>
      <c r="DB45" s="797"/>
      <c r="DC45" s="797"/>
      <c r="DD45" s="797"/>
      <c r="DE45" s="797"/>
      <c r="DF45" s="797"/>
      <c r="DG45" s="797"/>
      <c r="DH45" s="797"/>
      <c r="DI45" s="797"/>
      <c r="DJ45" s="797"/>
      <c r="DK45" s="797"/>
      <c r="DL45" s="797"/>
      <c r="DM45" s="797"/>
      <c r="DN45" s="797"/>
      <c r="DO45" s="797"/>
      <c r="DP45" s="797"/>
      <c r="DQ45" s="797"/>
      <c r="DR45" s="797"/>
    </row>
    <row r="46" spans="1:122">
      <c r="A46" s="786" t="s">
        <v>2414</v>
      </c>
      <c r="B46" s="787">
        <f>SUM(B48:B51)</f>
        <v>1507.9093747049999</v>
      </c>
      <c r="C46" s="584">
        <f>SUM(C48:C51)</f>
        <v>1542.6106689406001</v>
      </c>
      <c r="D46" s="584">
        <f>SUM(D48:D51)</f>
        <v>1583.4084174880493</v>
      </c>
      <c r="E46" s="596">
        <f>SUM(E48:E51)</f>
        <v>1626.3693852657998</v>
      </c>
      <c r="F46" s="584">
        <v>1663.8525117079998</v>
      </c>
      <c r="G46" s="584">
        <v>1614.8310764131245</v>
      </c>
      <c r="H46" s="584">
        <v>1667.2594229967999</v>
      </c>
      <c r="I46" s="584">
        <v>1769.0401730732001</v>
      </c>
      <c r="J46" s="584">
        <v>1804.5943364356999</v>
      </c>
      <c r="K46" s="596">
        <v>1678.8298993211999</v>
      </c>
      <c r="L46" s="584">
        <v>1662.1322985980821</v>
      </c>
      <c r="M46" s="584">
        <v>1785.5782674136215</v>
      </c>
      <c r="N46" s="584">
        <v>1681.4720079152601</v>
      </c>
      <c r="O46" s="596">
        <v>1820.0241912598135</v>
      </c>
      <c r="P46" s="584">
        <v>1812.3416303069812</v>
      </c>
      <c r="Q46" s="584">
        <v>1827.0150746129</v>
      </c>
      <c r="R46" s="596">
        <v>1919.5849163169003</v>
      </c>
      <c r="S46" s="584">
        <v>1952.2230894799998</v>
      </c>
      <c r="T46" s="584">
        <v>1856.6156807300003</v>
      </c>
      <c r="U46" s="586">
        <v>1977.1131353615121</v>
      </c>
      <c r="V46" s="586">
        <v>1861.3632187131373</v>
      </c>
      <c r="W46" s="586">
        <v>1956.3038161931001</v>
      </c>
      <c r="X46" s="586">
        <v>1792.8484450167871</v>
      </c>
      <c r="Y46" s="586">
        <v>1725.8792000850983</v>
      </c>
      <c r="Z46" s="586">
        <v>1771.6303483495999</v>
      </c>
      <c r="AA46" s="586">
        <v>1737.0364231145425</v>
      </c>
      <c r="AB46" s="586">
        <v>1830.4835457123991</v>
      </c>
      <c r="AC46" s="586">
        <v>1724.685240899641</v>
      </c>
      <c r="AD46" s="586">
        <v>1617.174472785402</v>
      </c>
      <c r="AE46" s="586">
        <v>1777.4779295824446</v>
      </c>
      <c r="AF46" s="586">
        <v>1694.0516297244874</v>
      </c>
      <c r="AG46" s="586">
        <v>1654.2610520060198</v>
      </c>
      <c r="AH46" s="586">
        <v>1658.2851287218</v>
      </c>
      <c r="AI46" s="586">
        <v>938.44709902960005</v>
      </c>
      <c r="AJ46" s="586">
        <v>963.12456160599993</v>
      </c>
      <c r="AK46" s="586">
        <v>941.76839496353796</v>
      </c>
      <c r="AL46" s="586">
        <v>955.7033265435</v>
      </c>
      <c r="AM46" s="665">
        <v>980.575431761</v>
      </c>
      <c r="AN46" s="665">
        <v>1001.0715535640001</v>
      </c>
      <c r="AO46" s="665">
        <v>927.05793905559995</v>
      </c>
      <c r="AP46" s="665">
        <v>921.34814051230001</v>
      </c>
      <c r="AQ46" s="665">
        <v>892.4363466512001</v>
      </c>
      <c r="AR46" s="787">
        <v>923.02037885880009</v>
      </c>
      <c r="AS46" s="787">
        <v>916.22181783999986</v>
      </c>
      <c r="AT46" s="787">
        <v>905.41333493799993</v>
      </c>
      <c r="AU46" s="787">
        <v>949.14829496160007</v>
      </c>
      <c r="AV46" s="787">
        <v>939.06861706099983</v>
      </c>
      <c r="AW46" s="790">
        <v>912.93765191879993</v>
      </c>
      <c r="AX46" s="790">
        <v>925.995011342</v>
      </c>
      <c r="AY46" s="790">
        <v>960.29696690539993</v>
      </c>
      <c r="AZ46" s="790">
        <v>934.98670990359994</v>
      </c>
      <c r="BA46" s="790">
        <v>908.54786906720017</v>
      </c>
      <c r="BB46" s="790">
        <v>880.95928618500011</v>
      </c>
      <c r="BC46" s="790">
        <v>1182.3216355915999</v>
      </c>
      <c r="BD46" s="790">
        <v>1291.5596564333998</v>
      </c>
      <c r="BE46" s="790">
        <v>1459.6132228096001</v>
      </c>
      <c r="BF46" s="790">
        <v>1508.6980156499999</v>
      </c>
      <c r="BG46" s="790">
        <v>1576.4000073539999</v>
      </c>
      <c r="BH46" s="790">
        <v>1669.276943266</v>
      </c>
      <c r="BI46" s="790">
        <v>1714.2501894193999</v>
      </c>
      <c r="BJ46" s="790">
        <v>2130.3798480984001</v>
      </c>
      <c r="BK46" s="790">
        <v>2130.9766963754</v>
      </c>
      <c r="BL46" s="790">
        <v>2124.7131121046</v>
      </c>
      <c r="BM46" s="790">
        <v>1919.7031620385999</v>
      </c>
      <c r="BN46" s="790">
        <v>2139.9908942567999</v>
      </c>
      <c r="BO46" s="790">
        <v>1979.6257813911996</v>
      </c>
      <c r="BP46" s="790">
        <v>1929.9581157287002</v>
      </c>
      <c r="BQ46" s="790">
        <v>1917.0757610645003</v>
      </c>
      <c r="BR46" s="790">
        <v>2110.1857642009995</v>
      </c>
      <c r="BS46" s="790">
        <v>2153.995801178</v>
      </c>
      <c r="BT46" s="790">
        <v>2221.6448039146399</v>
      </c>
      <c r="BU46" s="790">
        <v>2123.0465997910583</v>
      </c>
      <c r="BV46" s="790">
        <v>2185.3274773613061</v>
      </c>
      <c r="BW46" s="790">
        <v>2268.61197455911</v>
      </c>
      <c r="BX46" s="790">
        <v>2319.2034742375004</v>
      </c>
      <c r="BY46" s="790">
        <v>3297.2032739027004</v>
      </c>
      <c r="BZ46" s="790">
        <v>3265.6</v>
      </c>
      <c r="CA46" s="790">
        <v>3336.5099523131139</v>
      </c>
      <c r="CB46" s="790">
        <v>3505.6020483344705</v>
      </c>
      <c r="CC46" s="790">
        <v>3459.5745631502427</v>
      </c>
      <c r="CD46" s="790">
        <v>3567.9617293124252</v>
      </c>
      <c r="CE46" s="790">
        <v>3705.6423364928482</v>
      </c>
      <c r="CF46" s="790">
        <v>3768.1641562168265</v>
      </c>
      <c r="CG46" s="790">
        <v>4007.778879563331</v>
      </c>
      <c r="CH46" s="790">
        <v>4015.5889194642682</v>
      </c>
      <c r="CI46" s="790">
        <v>4043.8246799860426</v>
      </c>
      <c r="CJ46" s="790">
        <v>4300.7694414525959</v>
      </c>
      <c r="CK46" s="790">
        <v>4278.0939740936938</v>
      </c>
      <c r="CL46" s="790">
        <v>4438.2500715873912</v>
      </c>
      <c r="CM46" s="790">
        <v>4434.0652768987893</v>
      </c>
      <c r="CN46" s="790">
        <v>4421.5741084767305</v>
      </c>
      <c r="CO46" s="790">
        <v>4840.7333554418246</v>
      </c>
      <c r="CP46" s="790">
        <v>4840.4834598963689</v>
      </c>
      <c r="CQ46" s="790">
        <v>5221.2109160230448</v>
      </c>
      <c r="CR46" s="790">
        <v>5285.6659995523341</v>
      </c>
      <c r="CS46" s="790">
        <v>5546.0505323107327</v>
      </c>
      <c r="CT46" s="790">
        <v>5742.7612063646493</v>
      </c>
      <c r="CU46" s="790">
        <v>5763.4106785542881</v>
      </c>
      <c r="CV46" s="790">
        <v>5952.4672051919415</v>
      </c>
      <c r="CW46" s="790">
        <v>5407.5054550513532</v>
      </c>
      <c r="CX46" s="790">
        <v>5076.4188202309106</v>
      </c>
      <c r="CY46" s="790">
        <v>5069.4760642529491</v>
      </c>
      <c r="CZ46" s="790">
        <v>5073.6850784515491</v>
      </c>
      <c r="DA46" s="790">
        <v>5037.2817862240263</v>
      </c>
      <c r="DB46" s="799">
        <v>5062.0853891866773</v>
      </c>
      <c r="DC46" s="799">
        <v>4934.7934899748871</v>
      </c>
      <c r="DD46" s="799">
        <v>4888.697599094513</v>
      </c>
      <c r="DE46" s="799">
        <v>4866.6009464590852</v>
      </c>
      <c r="DF46" s="799">
        <v>4873.2559770024518</v>
      </c>
      <c r="DG46" s="799">
        <v>4859.6898492807641</v>
      </c>
      <c r="DH46" s="799">
        <v>4857.2830702823103</v>
      </c>
      <c r="DI46" s="799">
        <v>5072.3364803462009</v>
      </c>
      <c r="DJ46" s="799">
        <v>4853.2962917835976</v>
      </c>
      <c r="DK46" s="799">
        <v>5176.9814997007852</v>
      </c>
      <c r="DL46" s="799">
        <v>5119.1796923904722</v>
      </c>
      <c r="DM46" s="799">
        <v>5094.0095550088708</v>
      </c>
      <c r="DN46" s="799">
        <v>5142.2198042987156</v>
      </c>
      <c r="DO46" s="799">
        <v>5155.0729298079068</v>
      </c>
      <c r="DP46" s="799">
        <v>4735.6512792034227</v>
      </c>
      <c r="DQ46" s="799">
        <v>4968.4990040309185</v>
      </c>
      <c r="DR46" s="799">
        <v>4924.9213877894263</v>
      </c>
    </row>
    <row r="47" spans="1:122" ht="15.95" customHeight="1">
      <c r="A47" s="793" t="s">
        <v>2380</v>
      </c>
      <c r="B47" s="787"/>
      <c r="C47" s="584"/>
      <c r="D47" s="584"/>
      <c r="E47" s="596"/>
      <c r="F47" s="584"/>
      <c r="G47" s="584"/>
      <c r="H47" s="664"/>
      <c r="I47" s="664"/>
      <c r="J47" s="664"/>
      <c r="K47" s="593"/>
      <c r="L47" s="664"/>
      <c r="M47" s="664"/>
      <c r="N47" s="664"/>
      <c r="O47" s="593"/>
      <c r="P47" s="664"/>
      <c r="Q47" s="664"/>
      <c r="R47" s="593"/>
      <c r="S47" s="664"/>
      <c r="T47" s="664"/>
      <c r="U47" s="795"/>
      <c r="V47" s="795"/>
      <c r="W47" s="795"/>
      <c r="X47" s="795"/>
      <c r="Y47" s="795"/>
      <c r="Z47" s="795"/>
      <c r="AA47" s="795"/>
      <c r="AB47" s="795"/>
      <c r="AC47" s="795"/>
      <c r="AD47" s="795"/>
      <c r="AE47" s="795"/>
      <c r="AF47" s="795"/>
      <c r="AG47" s="795"/>
      <c r="AH47" s="795"/>
      <c r="AI47" s="795"/>
      <c r="AJ47" s="795"/>
      <c r="AK47" s="795"/>
      <c r="AL47" s="795"/>
      <c r="AM47" s="665"/>
      <c r="AN47" s="665"/>
      <c r="AO47" s="665"/>
      <c r="AP47" s="665"/>
      <c r="AQ47" s="665"/>
      <c r="AR47" s="787"/>
      <c r="AS47" s="787"/>
      <c r="AT47" s="787"/>
      <c r="AU47" s="787"/>
      <c r="AV47" s="787"/>
      <c r="AW47" s="790"/>
      <c r="AX47" s="790"/>
      <c r="AY47" s="790"/>
      <c r="AZ47" s="790"/>
      <c r="BA47" s="790"/>
      <c r="BB47" s="790"/>
      <c r="BC47" s="790"/>
      <c r="BD47" s="790"/>
      <c r="BE47" s="790"/>
      <c r="BF47" s="790"/>
      <c r="BG47" s="790"/>
      <c r="BH47" s="790"/>
      <c r="BI47" s="790"/>
      <c r="BJ47" s="790"/>
      <c r="BK47" s="790"/>
      <c r="BL47" s="790"/>
      <c r="BM47" s="790"/>
      <c r="BN47" s="790"/>
      <c r="BO47" s="790"/>
      <c r="BP47" s="790"/>
      <c r="BQ47" s="790"/>
      <c r="BR47" s="790"/>
      <c r="BS47" s="790"/>
      <c r="BT47" s="790"/>
      <c r="BU47" s="790"/>
      <c r="BV47" s="790"/>
      <c r="BW47" s="790"/>
      <c r="BX47" s="790"/>
      <c r="BY47" s="790"/>
      <c r="BZ47" s="790"/>
      <c r="CA47" s="790"/>
      <c r="CB47" s="790"/>
      <c r="CC47" s="790"/>
      <c r="CD47" s="790"/>
      <c r="CE47" s="790"/>
      <c r="CF47" s="790"/>
      <c r="CG47" s="790"/>
      <c r="CH47" s="790"/>
      <c r="CI47" s="790"/>
      <c r="CJ47" s="790"/>
      <c r="CK47" s="790"/>
      <c r="CL47" s="790"/>
      <c r="CM47" s="790"/>
      <c r="CN47" s="790"/>
      <c r="CO47" s="790"/>
      <c r="CP47" s="790"/>
      <c r="CQ47" s="790"/>
      <c r="CR47" s="790"/>
      <c r="CS47" s="790">
        <v>0</v>
      </c>
      <c r="CT47" s="790"/>
      <c r="CU47" s="790"/>
      <c r="CV47" s="790"/>
      <c r="CW47" s="790"/>
      <c r="CX47" s="790"/>
      <c r="CY47" s="790"/>
      <c r="CZ47" s="790"/>
      <c r="DA47" s="790"/>
      <c r="DB47" s="797"/>
      <c r="DC47" s="797"/>
      <c r="DD47" s="797"/>
      <c r="DE47" s="797"/>
      <c r="DF47" s="797"/>
      <c r="DG47" s="797"/>
      <c r="DH47" s="797"/>
      <c r="DI47" s="797"/>
      <c r="DJ47" s="797"/>
      <c r="DK47" s="797"/>
      <c r="DL47" s="797"/>
      <c r="DM47" s="797"/>
      <c r="DN47" s="797"/>
      <c r="DO47" s="797"/>
      <c r="DP47" s="797"/>
      <c r="DQ47" s="797"/>
      <c r="DR47" s="797"/>
    </row>
    <row r="48" spans="1:122" ht="15.95" customHeight="1">
      <c r="A48" s="793" t="s">
        <v>2415</v>
      </c>
      <c r="B48" s="794">
        <v>121.17322364500001</v>
      </c>
      <c r="C48" s="664">
        <v>117.4633105006</v>
      </c>
      <c r="D48" s="664">
        <v>125.03939343804929</v>
      </c>
      <c r="E48" s="593">
        <v>125.54506668579999</v>
      </c>
      <c r="F48" s="664">
        <v>125.27401128799998</v>
      </c>
      <c r="G48" s="664">
        <v>126.67563216312438</v>
      </c>
      <c r="H48" s="664">
        <v>151.48260432680001</v>
      </c>
      <c r="I48" s="664">
        <v>201.16842844319999</v>
      </c>
      <c r="J48" s="664">
        <v>128.35201362570001</v>
      </c>
      <c r="K48" s="593">
        <v>193.9740906712</v>
      </c>
      <c r="L48" s="664">
        <v>123.26249872808201</v>
      </c>
      <c r="M48" s="664">
        <v>127.12964537362157</v>
      </c>
      <c r="N48" s="664">
        <v>126.43328192526</v>
      </c>
      <c r="O48" s="593">
        <v>128.60003137981329</v>
      </c>
      <c r="P48" s="664">
        <v>129.88669074698112</v>
      </c>
      <c r="Q48" s="664">
        <v>126.5889943529</v>
      </c>
      <c r="R48" s="593">
        <v>132.5971678249</v>
      </c>
      <c r="S48" s="664">
        <v>134.28707810999998</v>
      </c>
      <c r="T48" s="664">
        <v>127.003450035</v>
      </c>
      <c r="U48" s="795">
        <v>128.7248377288123</v>
      </c>
      <c r="V48" s="795">
        <v>133.41657370083729</v>
      </c>
      <c r="W48" s="795">
        <v>126.26888202410001</v>
      </c>
      <c r="X48" s="795">
        <v>126.77286703278709</v>
      </c>
      <c r="Y48" s="795">
        <v>119.06022324409828</v>
      </c>
      <c r="Z48" s="795">
        <v>113.976159647</v>
      </c>
      <c r="AA48" s="795">
        <v>112.30709044309702</v>
      </c>
      <c r="AB48" s="795">
        <v>0.38184947786950002</v>
      </c>
      <c r="AC48" s="795">
        <v>0.31743612524099996</v>
      </c>
      <c r="AD48" s="795">
        <v>0.16328285000000001</v>
      </c>
      <c r="AE48" s="795">
        <v>0.23409455000000001</v>
      </c>
      <c r="AF48" s="795">
        <v>19.876087868512499</v>
      </c>
      <c r="AG48" s="795">
        <v>20.314017166020001</v>
      </c>
      <c r="AH48" s="795">
        <v>19.613877931800001</v>
      </c>
      <c r="AI48" s="795">
        <v>68.625680779599989</v>
      </c>
      <c r="AJ48" s="795">
        <v>17.311338226</v>
      </c>
      <c r="AK48" s="795">
        <v>19.431968013538</v>
      </c>
      <c r="AL48" s="795">
        <v>15.825867713500001</v>
      </c>
      <c r="AM48" s="666">
        <v>15.555103070999998</v>
      </c>
      <c r="AN48" s="666">
        <v>16.552579523999999</v>
      </c>
      <c r="AO48" s="666">
        <v>14.2012344556</v>
      </c>
      <c r="AP48" s="666">
        <v>16.1156662305</v>
      </c>
      <c r="AQ48" s="666">
        <v>16.309751422800002</v>
      </c>
      <c r="AR48" s="794">
        <v>13.330433422799999</v>
      </c>
      <c r="AS48" s="794">
        <v>13.632782760000001</v>
      </c>
      <c r="AT48" s="794">
        <v>14.344382147200001</v>
      </c>
      <c r="AU48" s="794">
        <v>11.2572636052</v>
      </c>
      <c r="AV48" s="794">
        <v>11.377227720999999</v>
      </c>
      <c r="AW48" s="587">
        <v>11.028664036</v>
      </c>
      <c r="AX48" s="587">
        <v>8.2448177095999995</v>
      </c>
      <c r="AY48" s="587">
        <v>8.1846173972000003</v>
      </c>
      <c r="AZ48" s="587">
        <v>8.1574042544999994</v>
      </c>
      <c r="BA48" s="587">
        <v>5.2947322399999992</v>
      </c>
      <c r="BB48" s="587">
        <v>5.2175274803000002</v>
      </c>
      <c r="BC48" s="587">
        <v>5.1230328963999998</v>
      </c>
      <c r="BD48" s="587">
        <v>4.2031622136000006</v>
      </c>
      <c r="BE48" s="587">
        <v>4.2523481134000001</v>
      </c>
      <c r="BF48" s="587">
        <v>3.2048692549999998</v>
      </c>
      <c r="BG48" s="587">
        <v>0.49862291999999997</v>
      </c>
      <c r="BH48" s="587">
        <v>0.48834907</v>
      </c>
      <c r="BI48" s="587">
        <v>0.47792414</v>
      </c>
      <c r="BJ48" s="587">
        <v>0.46863289999999996</v>
      </c>
      <c r="BK48" s="587">
        <v>0.45917784</v>
      </c>
      <c r="BL48" s="587">
        <v>0.44613126000000003</v>
      </c>
      <c r="BM48" s="587">
        <v>0.43413981000000001</v>
      </c>
      <c r="BN48" s="587">
        <v>0.43844742000000003</v>
      </c>
      <c r="BO48" s="587">
        <v>0.42529168000000001</v>
      </c>
      <c r="BP48" s="587">
        <v>0.40273591999999997</v>
      </c>
      <c r="BQ48" s="587">
        <v>0.39130946</v>
      </c>
      <c r="BR48" s="587">
        <v>0.38013506999999996</v>
      </c>
      <c r="BS48" s="587">
        <v>0.37314378000000004</v>
      </c>
      <c r="BT48" s="587">
        <v>0.39314418000000001</v>
      </c>
      <c r="BU48" s="587">
        <v>0.35357022999999999</v>
      </c>
      <c r="BV48" s="587">
        <v>0.34247577000000001</v>
      </c>
      <c r="BW48" s="587">
        <v>0.44046540000000001</v>
      </c>
      <c r="BX48" s="587">
        <v>0.35170699999999999</v>
      </c>
      <c r="BY48" s="587">
        <v>0.31195299999999998</v>
      </c>
      <c r="BZ48" s="587">
        <v>0.3</v>
      </c>
      <c r="CA48" s="587">
        <v>0.32200321999999998</v>
      </c>
      <c r="CB48" s="587">
        <v>0.30612271999999996</v>
      </c>
      <c r="CC48" s="587">
        <v>0.27535892000000001</v>
      </c>
      <c r="CD48" s="587">
        <v>0.24302926000000002</v>
      </c>
      <c r="CE48" s="587">
        <v>0.23515056000000001</v>
      </c>
      <c r="CF48" s="587">
        <v>0.55016276999999991</v>
      </c>
      <c r="CG48" s="587">
        <v>51.019435363900001</v>
      </c>
      <c r="CH48" s="587">
        <v>51.026158820537667</v>
      </c>
      <c r="CI48" s="587">
        <v>50.676937289999991</v>
      </c>
      <c r="CJ48" s="587">
        <v>306.95244534159997</v>
      </c>
      <c r="CK48" s="587">
        <v>200.32280321999997</v>
      </c>
      <c r="CL48" s="587">
        <v>200.22235778999999</v>
      </c>
      <c r="CM48" s="587">
        <v>188.22624014000002</v>
      </c>
      <c r="CN48" s="587">
        <v>142.18418964000003</v>
      </c>
      <c r="CO48" s="587">
        <v>400.78878169000001</v>
      </c>
      <c r="CP48" s="587">
        <v>376.48303644999999</v>
      </c>
      <c r="CQ48" s="587">
        <v>653.16252959000008</v>
      </c>
      <c r="CR48" s="587">
        <v>520.60099739999998</v>
      </c>
      <c r="CS48" s="587">
        <v>739.61699841000006</v>
      </c>
      <c r="CT48" s="587">
        <v>736.02888789658198</v>
      </c>
      <c r="CU48" s="587">
        <v>735.45134996352795</v>
      </c>
      <c r="CV48" s="587">
        <v>883.35165545927293</v>
      </c>
      <c r="CW48" s="587">
        <v>306.28056159571702</v>
      </c>
      <c r="CX48" s="587">
        <v>0.80499456124799995</v>
      </c>
      <c r="CY48" s="587">
        <v>0.82229567064600007</v>
      </c>
      <c r="CZ48" s="587">
        <v>4.3952242890160003</v>
      </c>
      <c r="DA48" s="587">
        <v>0.78059800724200001</v>
      </c>
      <c r="DB48" s="797">
        <v>13.826349221184</v>
      </c>
      <c r="DC48" s="797">
        <v>27.341703737713999</v>
      </c>
      <c r="DD48" s="797">
        <v>27.263662261935004</v>
      </c>
      <c r="DE48" s="797">
        <v>29.856411870000002</v>
      </c>
      <c r="DF48" s="797">
        <v>39.215129560000001</v>
      </c>
      <c r="DG48" s="797">
        <v>39.408166239999993</v>
      </c>
      <c r="DH48" s="797">
        <v>39.548095650000008</v>
      </c>
      <c r="DI48" s="797">
        <v>196.45556246999999</v>
      </c>
      <c r="DJ48" s="797">
        <v>37.276421929999998</v>
      </c>
      <c r="DK48" s="797">
        <v>36.819299640000004</v>
      </c>
      <c r="DL48" s="797">
        <v>120.79901968999999</v>
      </c>
      <c r="DM48" s="797">
        <v>46.826453069999999</v>
      </c>
      <c r="DN48" s="797">
        <v>47.09912568</v>
      </c>
      <c r="DO48" s="797">
        <v>49.657724269999996</v>
      </c>
      <c r="DP48" s="797">
        <v>48.417031350000002</v>
      </c>
      <c r="DQ48" s="797">
        <v>48.094671420000005</v>
      </c>
      <c r="DR48" s="797">
        <v>48.009040090000006</v>
      </c>
    </row>
    <row r="49" spans="1:122" ht="15.95" customHeight="1">
      <c r="A49" s="793" t="s">
        <v>2416</v>
      </c>
      <c r="B49" s="794">
        <v>507.54847455999999</v>
      </c>
      <c r="C49" s="664">
        <v>534.38730736000002</v>
      </c>
      <c r="D49" s="664">
        <v>533.10752549999995</v>
      </c>
      <c r="E49" s="593">
        <v>535.68649546999995</v>
      </c>
      <c r="F49" s="664">
        <v>514.11718714999995</v>
      </c>
      <c r="G49" s="664">
        <v>510.21445197000003</v>
      </c>
      <c r="H49" s="664">
        <v>515.92904474999989</v>
      </c>
      <c r="I49" s="664">
        <v>531.06953074</v>
      </c>
      <c r="J49" s="664">
        <v>543.76172939000014</v>
      </c>
      <c r="K49" s="593">
        <v>510.86398545999998</v>
      </c>
      <c r="L49" s="664">
        <v>518.80954241000006</v>
      </c>
      <c r="M49" s="664">
        <v>524.67912213999989</v>
      </c>
      <c r="N49" s="664">
        <v>530.07749957999999</v>
      </c>
      <c r="O49" s="593">
        <v>512.89938427000004</v>
      </c>
      <c r="P49" s="664">
        <v>508.17511687000001</v>
      </c>
      <c r="Q49" s="664">
        <v>529.87699651000003</v>
      </c>
      <c r="R49" s="593">
        <v>524.11147857200001</v>
      </c>
      <c r="S49" s="664">
        <v>548.23914734999994</v>
      </c>
      <c r="T49" s="664">
        <v>527.57176253500006</v>
      </c>
      <c r="U49" s="795">
        <v>532.58436669269997</v>
      </c>
      <c r="V49" s="795">
        <v>525.28818061230004</v>
      </c>
      <c r="W49" s="795">
        <v>516.972804709</v>
      </c>
      <c r="X49" s="795">
        <v>519.45464767400006</v>
      </c>
      <c r="Y49" s="795">
        <v>510.53690606099997</v>
      </c>
      <c r="Z49" s="795">
        <v>507.48219906999992</v>
      </c>
      <c r="AA49" s="795">
        <v>497.80900733000004</v>
      </c>
      <c r="AB49" s="795">
        <v>514.77851161000001</v>
      </c>
      <c r="AC49" s="795">
        <v>513.01341176999995</v>
      </c>
      <c r="AD49" s="795">
        <v>441.82454226999999</v>
      </c>
      <c r="AE49" s="795">
        <v>433.79901856999999</v>
      </c>
      <c r="AF49" s="795">
        <v>439.86383197000004</v>
      </c>
      <c r="AG49" s="795">
        <v>462.33400525000002</v>
      </c>
      <c r="AH49" s="795">
        <v>437.10574437000002</v>
      </c>
      <c r="AI49" s="795">
        <v>425.35228107</v>
      </c>
      <c r="AJ49" s="795">
        <v>495.45644657999992</v>
      </c>
      <c r="AK49" s="795">
        <v>480.65615361999994</v>
      </c>
      <c r="AL49" s="795">
        <v>494.05869306</v>
      </c>
      <c r="AM49" s="666">
        <v>440.11755986000003</v>
      </c>
      <c r="AN49" s="666">
        <v>450.12266341000003</v>
      </c>
      <c r="AO49" s="666">
        <v>472.33017360999992</v>
      </c>
      <c r="AP49" s="666">
        <v>487.41348440210004</v>
      </c>
      <c r="AQ49" s="666">
        <v>477.56983896459997</v>
      </c>
      <c r="AR49" s="794">
        <v>487.50161368160002</v>
      </c>
      <c r="AS49" s="794">
        <v>474.14054139000001</v>
      </c>
      <c r="AT49" s="794">
        <v>470.93412921440006</v>
      </c>
      <c r="AU49" s="794">
        <v>532.00935312900003</v>
      </c>
      <c r="AV49" s="794">
        <v>545.45349353300003</v>
      </c>
      <c r="AW49" s="587">
        <v>508.91583365839995</v>
      </c>
      <c r="AX49" s="587">
        <v>502.35672048040004</v>
      </c>
      <c r="AY49" s="587">
        <v>510.1608699139</v>
      </c>
      <c r="AZ49" s="587">
        <v>507.93466959810002</v>
      </c>
      <c r="BA49" s="587">
        <v>483.90914832900006</v>
      </c>
      <c r="BB49" s="587">
        <v>451.96586207109993</v>
      </c>
      <c r="BC49" s="587">
        <v>502.69084410839997</v>
      </c>
      <c r="BD49" s="587">
        <v>627.32506972660008</v>
      </c>
      <c r="BE49" s="587">
        <v>650.23067224890008</v>
      </c>
      <c r="BF49" s="587">
        <v>703.43716654499997</v>
      </c>
      <c r="BG49" s="587">
        <v>705.85525806400005</v>
      </c>
      <c r="BH49" s="587">
        <v>738.44342374580003</v>
      </c>
      <c r="BI49" s="587">
        <v>738.07546235560005</v>
      </c>
      <c r="BJ49" s="587">
        <v>995.65472151299991</v>
      </c>
      <c r="BK49" s="587">
        <v>1021.0162897853002</v>
      </c>
      <c r="BL49" s="587">
        <v>1045.7498007909999</v>
      </c>
      <c r="BM49" s="587">
        <v>1214.2437328763999</v>
      </c>
      <c r="BN49" s="587">
        <v>1057.185312476</v>
      </c>
      <c r="BO49" s="587">
        <v>1027.8132620667998</v>
      </c>
      <c r="BP49" s="587">
        <v>994.70713553430016</v>
      </c>
      <c r="BQ49" s="587">
        <v>964.54613446280018</v>
      </c>
      <c r="BR49" s="587">
        <v>1010.8161767218999</v>
      </c>
      <c r="BS49" s="587">
        <v>1046.9849281648001</v>
      </c>
      <c r="BT49" s="587">
        <v>1051.71683088242</v>
      </c>
      <c r="BU49" s="587">
        <v>1043.98467572241</v>
      </c>
      <c r="BV49" s="587">
        <v>1064.1954917062517</v>
      </c>
      <c r="BW49" s="587">
        <v>1203.1556141887897</v>
      </c>
      <c r="BX49" s="587">
        <v>1246.9945894355001</v>
      </c>
      <c r="BY49" s="587">
        <v>1207.0229809558</v>
      </c>
      <c r="BZ49" s="587">
        <v>1227.2</v>
      </c>
      <c r="CA49" s="587">
        <v>1234.2619580675021</v>
      </c>
      <c r="CB49" s="587">
        <v>1407.6981253471899</v>
      </c>
      <c r="CC49" s="587">
        <v>1376.7455781905799</v>
      </c>
      <c r="CD49" s="587">
        <v>1465.1711743046449</v>
      </c>
      <c r="CE49" s="587">
        <v>1421.1265655754539</v>
      </c>
      <c r="CF49" s="587">
        <v>1437.3370094740815</v>
      </c>
      <c r="CG49" s="587">
        <v>1435.5787284728158</v>
      </c>
      <c r="CH49" s="587">
        <v>1446.7812150210457</v>
      </c>
      <c r="CI49" s="587">
        <v>1539.6543685586546</v>
      </c>
      <c r="CJ49" s="587">
        <v>1530.143122406836</v>
      </c>
      <c r="CK49" s="587">
        <v>1566.1568176581829</v>
      </c>
      <c r="CL49" s="587">
        <v>1518.9516153316176</v>
      </c>
      <c r="CM49" s="587">
        <v>1523.3226632283763</v>
      </c>
      <c r="CN49" s="587">
        <v>1594.8239741814821</v>
      </c>
      <c r="CO49" s="587">
        <v>1582.5900338316658</v>
      </c>
      <c r="CP49" s="587">
        <v>1561.1155162008929</v>
      </c>
      <c r="CQ49" s="587">
        <v>1602.8477377866013</v>
      </c>
      <c r="CR49" s="587">
        <v>1568.9197283952069</v>
      </c>
      <c r="CS49" s="587">
        <v>1574.4628411982783</v>
      </c>
      <c r="CT49" s="587">
        <v>1741.3783405595595</v>
      </c>
      <c r="CU49" s="587">
        <v>1766.4894027804448</v>
      </c>
      <c r="CV49" s="587">
        <v>1744.111531855699</v>
      </c>
      <c r="CW49" s="587">
        <v>1773.5621450337817</v>
      </c>
      <c r="CX49" s="587">
        <v>1785.1847942973798</v>
      </c>
      <c r="CY49" s="587">
        <v>1759.5876124095553</v>
      </c>
      <c r="CZ49" s="587">
        <v>1797.2836353513669</v>
      </c>
      <c r="DA49" s="587">
        <v>1825.2113814627276</v>
      </c>
      <c r="DB49" s="797">
        <v>1904.7842322961994</v>
      </c>
      <c r="DC49" s="797">
        <v>1779.787398695061</v>
      </c>
      <c r="DD49" s="797">
        <v>1715.1109499809329</v>
      </c>
      <c r="DE49" s="797">
        <v>1665.9679205892053</v>
      </c>
      <c r="DF49" s="797">
        <v>1710.7035326637899</v>
      </c>
      <c r="DG49" s="797">
        <v>1700.3940898348667</v>
      </c>
      <c r="DH49" s="797">
        <v>1684.5649433549015</v>
      </c>
      <c r="DI49" s="797">
        <v>1631.0804196436736</v>
      </c>
      <c r="DJ49" s="797">
        <v>1583.7513705658564</v>
      </c>
      <c r="DK49" s="797">
        <v>1491.7975057960125</v>
      </c>
      <c r="DL49" s="797">
        <v>1536.2057367729608</v>
      </c>
      <c r="DM49" s="797">
        <v>1532.3433994929321</v>
      </c>
      <c r="DN49" s="797">
        <v>1551.556082833564</v>
      </c>
      <c r="DO49" s="797">
        <v>1526.2430831784322</v>
      </c>
      <c r="DP49" s="797">
        <v>1488.5816115394373</v>
      </c>
      <c r="DQ49" s="797">
        <v>1445.4032294796743</v>
      </c>
      <c r="DR49" s="797">
        <v>1445.1018567370006</v>
      </c>
    </row>
    <row r="50" spans="1:122" ht="15.95" customHeight="1">
      <c r="A50" s="793" t="s">
        <v>2417</v>
      </c>
      <c r="B50" s="794">
        <v>800.67035246</v>
      </c>
      <c r="C50" s="664">
        <v>808.56296842000006</v>
      </c>
      <c r="D50" s="664">
        <v>841.41922830999988</v>
      </c>
      <c r="E50" s="593">
        <v>873.47965551999994</v>
      </c>
      <c r="F50" s="664">
        <v>925.60352292999994</v>
      </c>
      <c r="G50" s="664">
        <v>879.11398844999997</v>
      </c>
      <c r="H50" s="664">
        <v>897.57070291000002</v>
      </c>
      <c r="I50" s="664">
        <v>934.35997793999991</v>
      </c>
      <c r="J50" s="664">
        <v>1011.65965513</v>
      </c>
      <c r="K50" s="593">
        <v>863.23549319000006</v>
      </c>
      <c r="L50" s="664">
        <v>908.08296893000011</v>
      </c>
      <c r="M50" s="664">
        <v>1016.49113919</v>
      </c>
      <c r="N50" s="664">
        <v>908.87572714999999</v>
      </c>
      <c r="O50" s="593">
        <v>1047.9109509100001</v>
      </c>
      <c r="P50" s="664">
        <v>1028.6153852699999</v>
      </c>
      <c r="Q50" s="664">
        <v>1030.30544897</v>
      </c>
      <c r="R50" s="593">
        <v>1133.06177123</v>
      </c>
      <c r="S50" s="664">
        <v>1142.2191067000001</v>
      </c>
      <c r="T50" s="664">
        <v>1075.4286125900001</v>
      </c>
      <c r="U50" s="795">
        <v>1181.3909853800001</v>
      </c>
      <c r="V50" s="795">
        <v>1076.16600954</v>
      </c>
      <c r="W50" s="795">
        <v>1142.6851542200002</v>
      </c>
      <c r="X50" s="795">
        <v>1000.69624092</v>
      </c>
      <c r="Y50" s="795">
        <v>953.33285511999998</v>
      </c>
      <c r="Z50" s="795">
        <v>1011.7812152825999</v>
      </c>
      <c r="AA50" s="795">
        <v>997.46350264144542</v>
      </c>
      <c r="AB50" s="795">
        <v>999.30777877452942</v>
      </c>
      <c r="AC50" s="795">
        <v>1030.3537023644001</v>
      </c>
      <c r="AD50" s="795">
        <v>986.48503761000006</v>
      </c>
      <c r="AE50" s="795">
        <v>973.07567543999994</v>
      </c>
      <c r="AF50" s="795">
        <v>1030.4855312499999</v>
      </c>
      <c r="AG50" s="795">
        <v>982.09662201000003</v>
      </c>
      <c r="AH50" s="795">
        <v>1012.27234241</v>
      </c>
      <c r="AI50" s="795">
        <v>234.65022605999999</v>
      </c>
      <c r="AJ50" s="795">
        <v>237.58207231</v>
      </c>
      <c r="AK50" s="795">
        <v>232.46548077</v>
      </c>
      <c r="AL50" s="795">
        <v>221.17238394</v>
      </c>
      <c r="AM50" s="666">
        <v>255.72488759000001</v>
      </c>
      <c r="AN50" s="666">
        <v>264.73567824000003</v>
      </c>
      <c r="AO50" s="666">
        <v>204.48534537999998</v>
      </c>
      <c r="AP50" s="666">
        <v>175.78601790020005</v>
      </c>
      <c r="AQ50" s="666">
        <v>171.52351467439999</v>
      </c>
      <c r="AR50" s="794">
        <v>192.96406364719999</v>
      </c>
      <c r="AS50" s="794">
        <v>200.56795803</v>
      </c>
      <c r="AT50" s="794">
        <v>198.12007794839997</v>
      </c>
      <c r="AU50" s="794">
        <v>197.68527840379997</v>
      </c>
      <c r="AV50" s="794">
        <v>193.00205201700001</v>
      </c>
      <c r="AW50" s="587">
        <v>201.92732059959999</v>
      </c>
      <c r="AX50" s="587">
        <v>211.41103093759997</v>
      </c>
      <c r="AY50" s="587">
        <v>217.41678958939997</v>
      </c>
      <c r="AZ50" s="587">
        <v>205.60549545969999</v>
      </c>
      <c r="BA50" s="587">
        <v>213.6180533166</v>
      </c>
      <c r="BB50" s="587">
        <v>213.45801860020003</v>
      </c>
      <c r="BC50" s="587">
        <v>446.21426186799999</v>
      </c>
      <c r="BD50" s="587">
        <v>457.19438025220001</v>
      </c>
      <c r="BE50" s="587">
        <v>592.54671001780002</v>
      </c>
      <c r="BF50" s="587">
        <v>586.01590018999991</v>
      </c>
      <c r="BG50" s="587">
        <v>648.75167599799988</v>
      </c>
      <c r="BH50" s="587">
        <v>638.07311253360012</v>
      </c>
      <c r="BI50" s="587">
        <v>668.26277533529992</v>
      </c>
      <c r="BJ50" s="587">
        <v>777.32772620410014</v>
      </c>
      <c r="BK50" s="587">
        <v>728.1921877402001</v>
      </c>
      <c r="BL50" s="587">
        <v>748.91507040400006</v>
      </c>
      <c r="BM50" s="587">
        <v>363.02680725260001</v>
      </c>
      <c r="BN50" s="587">
        <v>704.02618942799995</v>
      </c>
      <c r="BO50" s="587">
        <v>560.68545875399991</v>
      </c>
      <c r="BP50" s="587">
        <v>540.95918747689996</v>
      </c>
      <c r="BQ50" s="587">
        <v>533.54776136119995</v>
      </c>
      <c r="BR50" s="587">
        <v>661.91159293379997</v>
      </c>
      <c r="BS50" s="587">
        <v>658.25103103319998</v>
      </c>
      <c r="BT50" s="587">
        <v>746.66477259257999</v>
      </c>
      <c r="BU50" s="587">
        <v>748.94509818690801</v>
      </c>
      <c r="BV50" s="587">
        <v>755.38870356691586</v>
      </c>
      <c r="BW50" s="587">
        <v>753.49449337349984</v>
      </c>
      <c r="BX50" s="587">
        <v>757.70398554349993</v>
      </c>
      <c r="BY50" s="587">
        <v>1860.8561574349999</v>
      </c>
      <c r="BZ50" s="587">
        <v>1799.5</v>
      </c>
      <c r="CA50" s="587">
        <v>1802.1084911854118</v>
      </c>
      <c r="CB50" s="587">
        <v>1777.55624514448</v>
      </c>
      <c r="CC50" s="587">
        <v>1276.33308250242</v>
      </c>
      <c r="CD50" s="587">
        <v>1760.8075623621858</v>
      </c>
      <c r="CE50" s="587">
        <v>1423.2592570714698</v>
      </c>
      <c r="CF50" s="587">
        <v>1446.5895150786639</v>
      </c>
      <c r="CG50" s="587">
        <v>1491.922942845066</v>
      </c>
      <c r="CH50" s="587">
        <v>1500.702861273503</v>
      </c>
      <c r="CI50" s="587">
        <v>1492.965468468132</v>
      </c>
      <c r="CJ50" s="587">
        <v>1523.3779494401638</v>
      </c>
      <c r="CK50" s="587">
        <v>1551.4343488479062</v>
      </c>
      <c r="CL50" s="587">
        <v>1569.677375490515</v>
      </c>
      <c r="CM50" s="587">
        <v>1636.7278030446926</v>
      </c>
      <c r="CN50" s="587">
        <v>1635.7455231831848</v>
      </c>
      <c r="CO50" s="587">
        <v>1683.9972574357485</v>
      </c>
      <c r="CP50" s="587">
        <v>1720.0004798627012</v>
      </c>
      <c r="CQ50" s="587">
        <v>1763.9266837787245</v>
      </c>
      <c r="CR50" s="587">
        <v>1773.8872658459263</v>
      </c>
      <c r="CS50" s="587">
        <v>2196.38239387462</v>
      </c>
      <c r="CT50" s="587">
        <v>1777.2715546148031</v>
      </c>
      <c r="CU50" s="587">
        <v>1771.784704359962</v>
      </c>
      <c r="CV50" s="587">
        <v>1848.5128650750896</v>
      </c>
      <c r="CW50" s="587">
        <v>2444.7769641753816</v>
      </c>
      <c r="CX50" s="587">
        <v>2411.7553060800392</v>
      </c>
      <c r="CY50" s="587">
        <v>2438.7405000370663</v>
      </c>
      <c r="CZ50" s="587">
        <v>2438.1035085890198</v>
      </c>
      <c r="DA50" s="587">
        <v>2293.5998544851132</v>
      </c>
      <c r="DB50" s="797">
        <v>2301.3725390042932</v>
      </c>
      <c r="DC50" s="797">
        <v>2282.7547022879794</v>
      </c>
      <c r="DD50" s="797">
        <v>2265.4928805069912</v>
      </c>
      <c r="DE50" s="797">
        <v>2255.1160885064101</v>
      </c>
      <c r="DF50" s="797">
        <v>2256.5674218528316</v>
      </c>
      <c r="DG50" s="797">
        <v>2272.1863212247372</v>
      </c>
      <c r="DH50" s="797">
        <v>2679.0062713662651</v>
      </c>
      <c r="DI50" s="797">
        <v>2731.2983930693244</v>
      </c>
      <c r="DJ50" s="797">
        <v>2721.9094145378062</v>
      </c>
      <c r="DK50" s="797">
        <v>3066.9227058761662</v>
      </c>
      <c r="DL50" s="797">
        <v>3040.1083880265892</v>
      </c>
      <c r="DM50" s="797">
        <v>3092.6312256789179</v>
      </c>
      <c r="DN50" s="797">
        <v>3125.5486305173354</v>
      </c>
      <c r="DO50" s="797">
        <v>3163.1552251429252</v>
      </c>
      <c r="DP50" s="797">
        <v>2834.4182895510685</v>
      </c>
      <c r="DQ50" s="797">
        <v>3111.084586937136</v>
      </c>
      <c r="DR50" s="797">
        <v>3075.136553313122</v>
      </c>
    </row>
    <row r="51" spans="1:122" ht="15.95" customHeight="1">
      <c r="A51" s="793" t="s">
        <v>2389</v>
      </c>
      <c r="B51" s="794">
        <v>78.517324039999991</v>
      </c>
      <c r="C51" s="664">
        <v>82.197082660000007</v>
      </c>
      <c r="D51" s="664">
        <v>83.842270240000005</v>
      </c>
      <c r="E51" s="593">
        <v>91.658167589999991</v>
      </c>
      <c r="F51" s="664">
        <v>98.857790340000008</v>
      </c>
      <c r="G51" s="664">
        <v>98.827003829999995</v>
      </c>
      <c r="H51" s="664">
        <v>102.27707100999999</v>
      </c>
      <c r="I51" s="664">
        <v>102.44223595</v>
      </c>
      <c r="J51" s="664">
        <v>120.82093828999999</v>
      </c>
      <c r="K51" s="593">
        <v>110.75632999999999</v>
      </c>
      <c r="L51" s="664">
        <v>111.97728853</v>
      </c>
      <c r="M51" s="664">
        <v>117.27836070999997</v>
      </c>
      <c r="N51" s="664">
        <v>116.08549926000001</v>
      </c>
      <c r="O51" s="593">
        <v>130.61382469999998</v>
      </c>
      <c r="P51" s="664">
        <v>145.66443742000001</v>
      </c>
      <c r="Q51" s="664">
        <v>140.24363478000001</v>
      </c>
      <c r="R51" s="593">
        <v>129.81449869000002</v>
      </c>
      <c r="S51" s="664">
        <v>127.47775731999999</v>
      </c>
      <c r="T51" s="664">
        <v>126.61185557000002</v>
      </c>
      <c r="U51" s="795">
        <v>134.41294555999997</v>
      </c>
      <c r="V51" s="795">
        <v>126.49245486000001</v>
      </c>
      <c r="W51" s="795">
        <v>170.37697523999998</v>
      </c>
      <c r="X51" s="795">
        <v>145.92468939</v>
      </c>
      <c r="Y51" s="795">
        <v>142.94921565999996</v>
      </c>
      <c r="Z51" s="795">
        <v>138.39077434999999</v>
      </c>
      <c r="AA51" s="795">
        <v>129.4568227</v>
      </c>
      <c r="AB51" s="795">
        <v>316.01540585000004</v>
      </c>
      <c r="AC51" s="795">
        <v>181.00069063999999</v>
      </c>
      <c r="AD51" s="795">
        <v>188.701610055402</v>
      </c>
      <c r="AE51" s="795">
        <v>370.36914102244464</v>
      </c>
      <c r="AF51" s="795">
        <v>203.826178635975</v>
      </c>
      <c r="AG51" s="795">
        <v>189.51640757999999</v>
      </c>
      <c r="AH51" s="795">
        <v>189.29316401000003</v>
      </c>
      <c r="AI51" s="795">
        <v>209.81891111999997</v>
      </c>
      <c r="AJ51" s="795">
        <v>212.77470448999998</v>
      </c>
      <c r="AK51" s="795">
        <v>209.21479256000001</v>
      </c>
      <c r="AL51" s="795">
        <v>224.64638183</v>
      </c>
      <c r="AM51" s="666">
        <v>269.17788124000003</v>
      </c>
      <c r="AN51" s="666">
        <v>269.66063238999999</v>
      </c>
      <c r="AO51" s="666">
        <v>236.04118561000001</v>
      </c>
      <c r="AP51" s="666">
        <v>242.03297197949999</v>
      </c>
      <c r="AQ51" s="666">
        <v>227.03324158940001</v>
      </c>
      <c r="AR51" s="794">
        <v>229.22426810720003</v>
      </c>
      <c r="AS51" s="794">
        <v>227.88053565999996</v>
      </c>
      <c r="AT51" s="794">
        <v>222.01474562799999</v>
      </c>
      <c r="AU51" s="794">
        <v>208.19639982360002</v>
      </c>
      <c r="AV51" s="794">
        <v>189.23584379000002</v>
      </c>
      <c r="AW51" s="587">
        <v>191.06583362480004</v>
      </c>
      <c r="AX51" s="587">
        <v>203.98244221440001</v>
      </c>
      <c r="AY51" s="587">
        <v>224.5346900049</v>
      </c>
      <c r="AZ51" s="587">
        <v>213.2891405913</v>
      </c>
      <c r="BA51" s="587">
        <v>205.72593518160002</v>
      </c>
      <c r="BB51" s="587">
        <v>210.31787803340004</v>
      </c>
      <c r="BC51" s="587">
        <v>228.29349671880001</v>
      </c>
      <c r="BD51" s="587">
        <v>202.837044241</v>
      </c>
      <c r="BE51" s="587">
        <v>212.58349242950004</v>
      </c>
      <c r="BF51" s="587">
        <v>216.04007966</v>
      </c>
      <c r="BG51" s="587">
        <v>221.294450372</v>
      </c>
      <c r="BH51" s="587">
        <v>292.27205791659998</v>
      </c>
      <c r="BI51" s="587">
        <v>307.43402758849999</v>
      </c>
      <c r="BJ51" s="587">
        <v>356.92876748129999</v>
      </c>
      <c r="BK51" s="587">
        <v>381.3090410099</v>
      </c>
      <c r="BL51" s="587">
        <v>329.60210964959998</v>
      </c>
      <c r="BM51" s="587">
        <v>341.99848209960004</v>
      </c>
      <c r="BN51" s="587">
        <v>378.34094493279997</v>
      </c>
      <c r="BO51" s="587">
        <v>390.70176889039999</v>
      </c>
      <c r="BP51" s="587">
        <v>393.88905679750002</v>
      </c>
      <c r="BQ51" s="587">
        <v>418.59055578050004</v>
      </c>
      <c r="BR51" s="587">
        <v>437.07785947529993</v>
      </c>
      <c r="BS51" s="587">
        <v>448.38669820000001</v>
      </c>
      <c r="BT51" s="587">
        <v>422.87005625964002</v>
      </c>
      <c r="BU51" s="587">
        <v>329.76325565174</v>
      </c>
      <c r="BV51" s="587">
        <v>365.40080631813794</v>
      </c>
      <c r="BW51" s="587">
        <v>311.52140159682</v>
      </c>
      <c r="BX51" s="587">
        <v>314.15319225849998</v>
      </c>
      <c r="BY51" s="587">
        <v>229.01218251190002</v>
      </c>
      <c r="BZ51" s="587">
        <v>238.5</v>
      </c>
      <c r="CA51" s="587">
        <v>299.81749984019996</v>
      </c>
      <c r="CB51" s="587">
        <v>320.04155512280005</v>
      </c>
      <c r="CC51" s="587">
        <v>806.22054353724297</v>
      </c>
      <c r="CD51" s="587">
        <v>341.73996338559402</v>
      </c>
      <c r="CE51" s="587">
        <v>861.02136328592474</v>
      </c>
      <c r="CF51" s="587">
        <v>883.68746889408112</v>
      </c>
      <c r="CG51" s="587">
        <v>1029.2577728815495</v>
      </c>
      <c r="CH51" s="587">
        <v>1017.0786843491817</v>
      </c>
      <c r="CI51" s="587">
        <v>960.52790566925614</v>
      </c>
      <c r="CJ51" s="587">
        <v>940.29592426399608</v>
      </c>
      <c r="CK51" s="587">
        <v>960.18000436760508</v>
      </c>
      <c r="CL51" s="587">
        <v>1149.3987229752588</v>
      </c>
      <c r="CM51" s="587">
        <v>1085.7885704857206</v>
      </c>
      <c r="CN51" s="587">
        <v>1048.820421472064</v>
      </c>
      <c r="CO51" s="587">
        <v>1173.3572824844098</v>
      </c>
      <c r="CP51" s="587">
        <v>1182.8844273827749</v>
      </c>
      <c r="CQ51" s="587">
        <v>1201.2739648677184</v>
      </c>
      <c r="CR51" s="587">
        <v>1422.2580079112001</v>
      </c>
      <c r="CS51" s="587">
        <v>1035.5882988278338</v>
      </c>
      <c r="CT51" s="587">
        <v>1488.0824232937052</v>
      </c>
      <c r="CU51" s="587">
        <v>1489.6852214503531</v>
      </c>
      <c r="CV51" s="587">
        <v>1476.4911528018797</v>
      </c>
      <c r="CW51" s="587">
        <v>882.88578424647301</v>
      </c>
      <c r="CX51" s="587">
        <v>878.67372529224349</v>
      </c>
      <c r="CY51" s="587">
        <v>870.32565613568067</v>
      </c>
      <c r="CZ51" s="587">
        <v>833.90271022214733</v>
      </c>
      <c r="DA51" s="587">
        <v>917.68995226894356</v>
      </c>
      <c r="DB51" s="797">
        <v>842.10226866500022</v>
      </c>
      <c r="DC51" s="797">
        <v>844.90968525413223</v>
      </c>
      <c r="DD51" s="797">
        <v>880.83010634465325</v>
      </c>
      <c r="DE51" s="797">
        <v>915.66052549346966</v>
      </c>
      <c r="DF51" s="797">
        <v>866.76989292583062</v>
      </c>
      <c r="DG51" s="797">
        <v>847.70127198115927</v>
      </c>
      <c r="DH51" s="797">
        <v>454.16375991114364</v>
      </c>
      <c r="DI51" s="797">
        <v>513.50210516320237</v>
      </c>
      <c r="DJ51" s="797">
        <v>510.35908474993522</v>
      </c>
      <c r="DK51" s="797">
        <v>581.44198838860734</v>
      </c>
      <c r="DL51" s="797">
        <v>422.0665479009221</v>
      </c>
      <c r="DM51" s="797">
        <v>422.20847676702112</v>
      </c>
      <c r="DN51" s="797">
        <v>418.0159652678164</v>
      </c>
      <c r="DO51" s="797">
        <v>416.01689721654947</v>
      </c>
      <c r="DP51" s="797">
        <v>364.2343467629164</v>
      </c>
      <c r="DQ51" s="797">
        <v>363.91651619410754</v>
      </c>
      <c r="DR51" s="797">
        <v>356.67393764930307</v>
      </c>
    </row>
    <row r="52" spans="1:122" ht="7.7" customHeight="1">
      <c r="A52" s="793"/>
      <c r="B52" s="787"/>
      <c r="C52" s="584"/>
      <c r="D52" s="584"/>
      <c r="E52" s="596"/>
      <c r="F52" s="584"/>
      <c r="G52" s="584"/>
      <c r="H52" s="664"/>
      <c r="I52" s="664"/>
      <c r="J52" s="664"/>
      <c r="K52" s="593"/>
      <c r="L52" s="664"/>
      <c r="M52" s="664"/>
      <c r="N52" s="664"/>
      <c r="O52" s="593"/>
      <c r="P52" s="664"/>
      <c r="Q52" s="664"/>
      <c r="R52" s="593"/>
      <c r="S52" s="664"/>
      <c r="T52" s="664"/>
      <c r="U52" s="795"/>
      <c r="V52" s="795"/>
      <c r="W52" s="795"/>
      <c r="X52" s="795"/>
      <c r="Y52" s="795"/>
      <c r="Z52" s="795"/>
      <c r="AA52" s="795"/>
      <c r="AB52" s="795"/>
      <c r="AC52" s="795"/>
      <c r="AD52" s="795"/>
      <c r="AE52" s="795"/>
      <c r="AF52" s="795"/>
      <c r="AG52" s="795"/>
      <c r="AH52" s="795"/>
      <c r="AI52" s="795"/>
      <c r="AJ52" s="795"/>
      <c r="AK52" s="795"/>
      <c r="AL52" s="795"/>
      <c r="AM52" s="665"/>
      <c r="AN52" s="665"/>
      <c r="AO52" s="665"/>
      <c r="AP52" s="665"/>
      <c r="AQ52" s="665"/>
      <c r="AR52" s="787"/>
      <c r="AS52" s="787"/>
      <c r="AT52" s="787"/>
      <c r="AU52" s="787"/>
      <c r="AV52" s="787"/>
      <c r="AW52" s="790"/>
      <c r="AX52" s="790"/>
      <c r="AY52" s="790"/>
      <c r="AZ52" s="790"/>
      <c r="BA52" s="790"/>
      <c r="BB52" s="790"/>
      <c r="BC52" s="790"/>
      <c r="BD52" s="790"/>
      <c r="BE52" s="790"/>
      <c r="BF52" s="790"/>
      <c r="BG52" s="790"/>
      <c r="BH52" s="790"/>
      <c r="BI52" s="790"/>
      <c r="BJ52" s="790"/>
      <c r="BK52" s="790"/>
      <c r="BL52" s="790"/>
      <c r="BM52" s="790"/>
      <c r="BN52" s="790"/>
      <c r="BO52" s="790"/>
      <c r="BP52" s="790"/>
      <c r="BQ52" s="790"/>
      <c r="BR52" s="790"/>
      <c r="BS52" s="790"/>
      <c r="BT52" s="790"/>
      <c r="BU52" s="790"/>
      <c r="BV52" s="790"/>
      <c r="BW52" s="790"/>
      <c r="BX52" s="790"/>
      <c r="BY52" s="790"/>
      <c r="BZ52" s="790"/>
      <c r="CA52" s="790"/>
      <c r="CB52" s="790"/>
      <c r="CC52" s="790"/>
      <c r="CD52" s="790"/>
      <c r="CE52" s="790"/>
      <c r="CF52" s="790"/>
      <c r="CG52" s="790"/>
      <c r="CH52" s="790"/>
      <c r="CI52" s="790"/>
      <c r="CJ52" s="790"/>
      <c r="CK52" s="790"/>
      <c r="CL52" s="790"/>
      <c r="CM52" s="790"/>
      <c r="CN52" s="790"/>
      <c r="CO52" s="790"/>
      <c r="CP52" s="790"/>
      <c r="CQ52" s="790"/>
      <c r="CR52" s="790"/>
      <c r="CS52" s="790"/>
      <c r="CT52" s="790"/>
      <c r="CU52" s="790"/>
      <c r="CV52" s="790"/>
      <c r="CW52" s="790"/>
      <c r="CX52" s="790"/>
      <c r="CY52" s="790"/>
      <c r="CZ52" s="790"/>
      <c r="DA52" s="790"/>
      <c r="DB52" s="797"/>
      <c r="DC52" s="797"/>
      <c r="DD52" s="797"/>
      <c r="DE52" s="797"/>
      <c r="DF52" s="797"/>
      <c r="DG52" s="797"/>
      <c r="DH52" s="797"/>
      <c r="DI52" s="797"/>
      <c r="DJ52" s="797"/>
      <c r="DK52" s="797"/>
      <c r="DL52" s="797"/>
      <c r="DM52" s="797"/>
      <c r="DN52" s="797"/>
      <c r="DO52" s="797"/>
      <c r="DP52" s="797"/>
      <c r="DQ52" s="797"/>
      <c r="DR52" s="797"/>
    </row>
    <row r="53" spans="1:122">
      <c r="A53" s="786" t="s">
        <v>2418</v>
      </c>
      <c r="B53" s="787">
        <f>SUM(B55:B65)</f>
        <v>16990.770859912001</v>
      </c>
      <c r="C53" s="584">
        <f>SUM(C55:C65)</f>
        <v>17310.9315240588</v>
      </c>
      <c r="D53" s="584">
        <f>SUM(D55:D65)</f>
        <v>17346.032475530996</v>
      </c>
      <c r="E53" s="596">
        <f>SUM(E55:E65)</f>
        <v>17954.744655414204</v>
      </c>
      <c r="F53" s="584">
        <v>17976.906065687599</v>
      </c>
      <c r="G53" s="584">
        <v>18527.796913256403</v>
      </c>
      <c r="H53" s="584">
        <v>18645.6117551924</v>
      </c>
      <c r="I53" s="584">
        <v>18719.495500201701</v>
      </c>
      <c r="J53" s="584">
        <v>19091.433327080202</v>
      </c>
      <c r="K53" s="596">
        <v>18954.300387692128</v>
      </c>
      <c r="L53" s="584">
        <v>19085.768436934395</v>
      </c>
      <c r="M53" s="584">
        <v>19231.214198037494</v>
      </c>
      <c r="N53" s="584">
        <v>19474.871003599106</v>
      </c>
      <c r="O53" s="596">
        <v>19720.828944791039</v>
      </c>
      <c r="P53" s="584">
        <v>20013.660322607866</v>
      </c>
      <c r="Q53" s="584">
        <v>20150.930694602914</v>
      </c>
      <c r="R53" s="596">
        <v>20356.845855016498</v>
      </c>
      <c r="S53" s="584">
        <v>20624.320483097625</v>
      </c>
      <c r="T53" s="584">
        <v>20886.617807907493</v>
      </c>
      <c r="U53" s="586">
        <v>21041.873812462269</v>
      </c>
      <c r="V53" s="586">
        <v>21217.155206081181</v>
      </c>
      <c r="W53" s="586">
        <v>21283.659952479091</v>
      </c>
      <c r="X53" s="586">
        <v>21530.443758434369</v>
      </c>
      <c r="Y53" s="586">
        <v>22034.858371704075</v>
      </c>
      <c r="Z53" s="586">
        <v>22917.108495875229</v>
      </c>
      <c r="AA53" s="586">
        <v>23472.503346618119</v>
      </c>
      <c r="AB53" s="586">
        <v>23645.990745813444</v>
      </c>
      <c r="AC53" s="586">
        <v>23840.447057358597</v>
      </c>
      <c r="AD53" s="586">
        <v>24313.156131338932</v>
      </c>
      <c r="AE53" s="586">
        <v>24999.104064233412</v>
      </c>
      <c r="AF53" s="586">
        <v>25775.811589871726</v>
      </c>
      <c r="AG53" s="586">
        <v>25999.904792880436</v>
      </c>
      <c r="AH53" s="586">
        <v>26466.654325882209</v>
      </c>
      <c r="AI53" s="586">
        <v>28452.200095983248</v>
      </c>
      <c r="AJ53" s="586">
        <v>28825.492281500017</v>
      </c>
      <c r="AK53" s="586">
        <v>29506.865354146335</v>
      </c>
      <c r="AL53" s="586">
        <v>29957.044211511147</v>
      </c>
      <c r="AM53" s="665">
        <v>30427.232776953602</v>
      </c>
      <c r="AN53" s="665">
        <v>31689.037685944993</v>
      </c>
      <c r="AO53" s="665">
        <v>32176.055919459548</v>
      </c>
      <c r="AP53" s="665">
        <v>33669.468212295869</v>
      </c>
      <c r="AQ53" s="665">
        <v>34967.100029061112</v>
      </c>
      <c r="AR53" s="787">
        <v>36632.316590243208</v>
      </c>
      <c r="AS53" s="787">
        <v>36514.817651008794</v>
      </c>
      <c r="AT53" s="787">
        <v>37574.413266897463</v>
      </c>
      <c r="AU53" s="787">
        <v>37487.526267559617</v>
      </c>
      <c r="AV53" s="787">
        <v>37524.678754273329</v>
      </c>
      <c r="AW53" s="790">
        <v>37813.737107254747</v>
      </c>
      <c r="AX53" s="790">
        <v>38248.185484632231</v>
      </c>
      <c r="AY53" s="790">
        <v>38625.665272349353</v>
      </c>
      <c r="AZ53" s="790">
        <v>39326.578509166757</v>
      </c>
      <c r="BA53" s="790">
        <v>39477.443049147871</v>
      </c>
      <c r="BB53" s="790">
        <v>38496.869958017356</v>
      </c>
      <c r="BC53" s="790">
        <v>38818.603955031482</v>
      </c>
      <c r="BD53" s="790">
        <v>39707.824481412878</v>
      </c>
      <c r="BE53" s="790">
        <v>40087.577761240347</v>
      </c>
      <c r="BF53" s="790">
        <v>40564.75152945357</v>
      </c>
      <c r="BG53" s="790">
        <v>41542.602911537659</v>
      </c>
      <c r="BH53" s="790">
        <v>41925.274973629654</v>
      </c>
      <c r="BI53" s="790">
        <v>42568.812208498959</v>
      </c>
      <c r="BJ53" s="790">
        <v>43400.767533250699</v>
      </c>
      <c r="BK53" s="790">
        <v>44205.476697762111</v>
      </c>
      <c r="BL53" s="790">
        <v>44658.830570820232</v>
      </c>
      <c r="BM53" s="790">
        <v>44994.294556872803</v>
      </c>
      <c r="BN53" s="790">
        <v>45478.35091409093</v>
      </c>
      <c r="BO53" s="790">
        <v>46063.861643931567</v>
      </c>
      <c r="BP53" s="790">
        <v>46352.533114643666</v>
      </c>
      <c r="BQ53" s="790">
        <v>47256.197363090076</v>
      </c>
      <c r="BR53" s="790">
        <v>47704.437785278154</v>
      </c>
      <c r="BS53" s="790">
        <v>48100.15109016496</v>
      </c>
      <c r="BT53" s="790">
        <v>48940.006639378684</v>
      </c>
      <c r="BU53" s="790">
        <v>49393.226651524499</v>
      </c>
      <c r="BV53" s="790">
        <v>49696.47636815672</v>
      </c>
      <c r="BW53" s="790">
        <v>50625.741040967718</v>
      </c>
      <c r="BX53" s="790">
        <v>51407.415269239493</v>
      </c>
      <c r="BY53" s="790">
        <v>52129.049325204593</v>
      </c>
      <c r="BZ53" s="790">
        <v>53258.7</v>
      </c>
      <c r="CA53" s="790">
        <v>54230.565500798963</v>
      </c>
      <c r="CB53" s="790">
        <v>54835.496015499768</v>
      </c>
      <c r="CC53" s="790">
        <v>55042.507419952402</v>
      </c>
      <c r="CD53" s="790">
        <v>56438.492236593651</v>
      </c>
      <c r="CE53" s="790">
        <v>58842.130366483325</v>
      </c>
      <c r="CF53" s="790">
        <v>59883.057920301173</v>
      </c>
      <c r="CG53" s="790">
        <v>60939.928073488096</v>
      </c>
      <c r="CH53" s="790">
        <v>61872.251101487185</v>
      </c>
      <c r="CI53" s="790">
        <v>63054.157526923358</v>
      </c>
      <c r="CJ53" s="790">
        <v>64434.159200605187</v>
      </c>
      <c r="CK53" s="790">
        <v>65087.629544874522</v>
      </c>
      <c r="CL53" s="790">
        <v>65970.32982040316</v>
      </c>
      <c r="CM53" s="790">
        <v>66928.517470165854</v>
      </c>
      <c r="CN53" s="790">
        <v>67646.337440151518</v>
      </c>
      <c r="CO53" s="790">
        <v>68328.913047515409</v>
      </c>
      <c r="CP53" s="790">
        <v>69069.910154226716</v>
      </c>
      <c r="CQ53" s="790">
        <v>69791.405682801633</v>
      </c>
      <c r="CR53" s="790">
        <v>68890.581430815524</v>
      </c>
      <c r="CS53" s="790">
        <v>71226.076824215183</v>
      </c>
      <c r="CT53" s="790">
        <v>71988.501343857279</v>
      </c>
      <c r="CU53" s="790">
        <v>72446.428138634292</v>
      </c>
      <c r="CV53" s="790">
        <v>72750.85004516771</v>
      </c>
      <c r="CW53" s="790">
        <v>73445.915764452642</v>
      </c>
      <c r="CX53" s="790">
        <v>73829.917829877639</v>
      </c>
      <c r="CY53" s="790">
        <v>74371.000768151513</v>
      </c>
      <c r="CZ53" s="790">
        <v>75124.118767836087</v>
      </c>
      <c r="DA53" s="790">
        <v>74832.571626108052</v>
      </c>
      <c r="DB53" s="799">
        <v>75434.952415685373</v>
      </c>
      <c r="DC53" s="799">
        <v>75642.331594170639</v>
      </c>
      <c r="DD53" s="799">
        <v>75630.053600675426</v>
      </c>
      <c r="DE53" s="799">
        <v>75896.23943064679</v>
      </c>
      <c r="DF53" s="799">
        <v>76698.153910500507</v>
      </c>
      <c r="DG53" s="799">
        <v>77047.506473127782</v>
      </c>
      <c r="DH53" s="799">
        <v>77216.060722339971</v>
      </c>
      <c r="DI53" s="799">
        <v>77584.48499115408</v>
      </c>
      <c r="DJ53" s="799">
        <v>78101.025438796583</v>
      </c>
      <c r="DK53" s="799">
        <v>79120.695375713622</v>
      </c>
      <c r="DL53" s="799">
        <v>80201.711846030172</v>
      </c>
      <c r="DM53" s="799">
        <v>80732.300145706584</v>
      </c>
      <c r="DN53" s="799">
        <v>81559.639399055086</v>
      </c>
      <c r="DO53" s="799">
        <v>82170.016857585477</v>
      </c>
      <c r="DP53" s="799">
        <v>82309.96615366482</v>
      </c>
      <c r="DQ53" s="799">
        <v>82630.714379197845</v>
      </c>
      <c r="DR53" s="799">
        <v>83190.506574618776</v>
      </c>
    </row>
    <row r="54" spans="1:122" ht="15.95" customHeight="1">
      <c r="A54" s="793" t="s">
        <v>2380</v>
      </c>
      <c r="B54" s="787"/>
      <c r="C54" s="584"/>
      <c r="D54" s="584"/>
      <c r="E54" s="596"/>
      <c r="F54" s="584"/>
      <c r="G54" s="584"/>
      <c r="H54" s="664"/>
      <c r="I54" s="664"/>
      <c r="J54" s="664"/>
      <c r="K54" s="593"/>
      <c r="L54" s="664"/>
      <c r="M54" s="664"/>
      <c r="N54" s="664"/>
      <c r="O54" s="593"/>
      <c r="P54" s="664"/>
      <c r="Q54" s="664"/>
      <c r="R54" s="593"/>
      <c r="S54" s="664"/>
      <c r="T54" s="664"/>
      <c r="U54" s="795"/>
      <c r="V54" s="795"/>
      <c r="W54" s="795"/>
      <c r="X54" s="795"/>
      <c r="Y54" s="795"/>
      <c r="Z54" s="795"/>
      <c r="AA54" s="795"/>
      <c r="AB54" s="795"/>
      <c r="AC54" s="795"/>
      <c r="AD54" s="795"/>
      <c r="AE54" s="795"/>
      <c r="AF54" s="795"/>
      <c r="AG54" s="795"/>
      <c r="AH54" s="795"/>
      <c r="AI54" s="795"/>
      <c r="AJ54" s="795"/>
      <c r="AK54" s="795"/>
      <c r="AL54" s="795"/>
      <c r="AM54" s="665"/>
      <c r="AN54" s="665"/>
      <c r="AO54" s="665"/>
      <c r="AP54" s="665"/>
      <c r="AQ54" s="665"/>
      <c r="AR54" s="787"/>
      <c r="AS54" s="787"/>
      <c r="AT54" s="787"/>
      <c r="AU54" s="787"/>
      <c r="AV54" s="787"/>
      <c r="AW54" s="790"/>
      <c r="AX54" s="790"/>
      <c r="AY54" s="790"/>
      <c r="AZ54" s="790"/>
      <c r="BA54" s="790"/>
      <c r="BB54" s="790"/>
      <c r="BC54" s="790"/>
      <c r="BD54" s="790"/>
      <c r="BE54" s="790"/>
      <c r="BF54" s="790"/>
      <c r="BG54" s="790"/>
      <c r="BH54" s="790"/>
      <c r="BI54" s="790"/>
      <c r="BJ54" s="790"/>
      <c r="BK54" s="790"/>
      <c r="BL54" s="790"/>
      <c r="BM54" s="790"/>
      <c r="BN54" s="790"/>
      <c r="BO54" s="790"/>
      <c r="BP54" s="790"/>
      <c r="BQ54" s="790"/>
      <c r="BR54" s="790"/>
      <c r="BS54" s="790"/>
      <c r="BT54" s="790"/>
      <c r="BU54" s="790"/>
      <c r="BV54" s="790"/>
      <c r="BW54" s="790"/>
      <c r="BX54" s="790"/>
      <c r="BY54" s="790"/>
      <c r="BZ54" s="790"/>
      <c r="CA54" s="790"/>
      <c r="CB54" s="790"/>
      <c r="CC54" s="790"/>
      <c r="CD54" s="790"/>
      <c r="CE54" s="790"/>
      <c r="CF54" s="790"/>
      <c r="CG54" s="790"/>
      <c r="CH54" s="790"/>
      <c r="CI54" s="790"/>
      <c r="CJ54" s="790"/>
      <c r="CK54" s="790"/>
      <c r="CL54" s="790"/>
      <c r="CM54" s="790"/>
      <c r="CN54" s="790"/>
      <c r="CO54" s="790"/>
      <c r="CP54" s="790"/>
      <c r="CQ54" s="790"/>
      <c r="CR54" s="790"/>
      <c r="CS54" s="790"/>
      <c r="CT54" s="790"/>
      <c r="CU54" s="790"/>
      <c r="CV54" s="790"/>
      <c r="CW54" s="790"/>
      <c r="CX54" s="790"/>
      <c r="CY54" s="790"/>
      <c r="CZ54" s="790"/>
      <c r="DA54" s="790"/>
      <c r="DB54" s="797"/>
      <c r="DC54" s="797"/>
      <c r="DD54" s="797"/>
      <c r="DE54" s="797"/>
      <c r="DF54" s="797"/>
      <c r="DG54" s="797"/>
      <c r="DH54" s="797"/>
      <c r="DI54" s="797"/>
      <c r="DJ54" s="797"/>
      <c r="DK54" s="797"/>
      <c r="DL54" s="797"/>
      <c r="DM54" s="797"/>
      <c r="DN54" s="797"/>
      <c r="DO54" s="797"/>
      <c r="DP54" s="797"/>
      <c r="DQ54" s="797"/>
      <c r="DR54" s="797"/>
    </row>
    <row r="55" spans="1:122" ht="15.95" customHeight="1">
      <c r="A55" s="793" t="s">
        <v>2480</v>
      </c>
      <c r="B55" s="794">
        <v>1703.5168410699998</v>
      </c>
      <c r="C55" s="664">
        <v>1667.48697778</v>
      </c>
      <c r="D55" s="664">
        <v>1661.7562241699998</v>
      </c>
      <c r="E55" s="593">
        <v>1705.4120344800001</v>
      </c>
      <c r="F55" s="664">
        <v>1705.9493097899999</v>
      </c>
      <c r="G55" s="664">
        <v>1691.9955020999998</v>
      </c>
      <c r="H55" s="664">
        <v>1545.8629860100002</v>
      </c>
      <c r="I55" s="664">
        <v>1620.6617531099998</v>
      </c>
      <c r="J55" s="664">
        <v>1777.9612701199999</v>
      </c>
      <c r="K55" s="593">
        <v>1770.1400560500001</v>
      </c>
      <c r="L55" s="664">
        <v>1685.9139380800002</v>
      </c>
      <c r="M55" s="664">
        <v>1629.9566338300001</v>
      </c>
      <c r="N55" s="664">
        <v>1574.8059123</v>
      </c>
      <c r="O55" s="593">
        <v>1594.4855227099999</v>
      </c>
      <c r="P55" s="664">
        <v>1696.9955438699999</v>
      </c>
      <c r="Q55" s="664">
        <v>1694.69309795</v>
      </c>
      <c r="R55" s="593">
        <v>1697.4641178899999</v>
      </c>
      <c r="S55" s="664">
        <v>1670.7677218199999</v>
      </c>
      <c r="T55" s="664">
        <v>1681.42759907</v>
      </c>
      <c r="U55" s="795">
        <v>1645.7320682</v>
      </c>
      <c r="V55" s="795">
        <v>1706.4805101900001</v>
      </c>
      <c r="W55" s="795">
        <v>1684.9427416800002</v>
      </c>
      <c r="X55" s="795">
        <v>1690.6768397999999</v>
      </c>
      <c r="Y55" s="795">
        <v>1664.3503350000001</v>
      </c>
      <c r="Z55" s="795">
        <v>1540.4170351100001</v>
      </c>
      <c r="AA55" s="795">
        <v>1595.55022433</v>
      </c>
      <c r="AB55" s="795">
        <v>1594.0091191399999</v>
      </c>
      <c r="AC55" s="795">
        <v>1631.0120076300002</v>
      </c>
      <c r="AD55" s="795">
        <v>1538.7090692500001</v>
      </c>
      <c r="AE55" s="795">
        <v>1645.3291321000002</v>
      </c>
      <c r="AF55" s="795">
        <v>1572.7505806400002</v>
      </c>
      <c r="AG55" s="795">
        <v>1553.6544383000003</v>
      </c>
      <c r="AH55" s="795">
        <v>1632.5942457000001</v>
      </c>
      <c r="AI55" s="795">
        <v>1493.2156489099998</v>
      </c>
      <c r="AJ55" s="795">
        <v>1522.5460142600002</v>
      </c>
      <c r="AK55" s="795">
        <v>1617.1927430799999</v>
      </c>
      <c r="AL55" s="795">
        <v>1587.7562758499998</v>
      </c>
      <c r="AM55" s="666">
        <v>1607.9971628600001</v>
      </c>
      <c r="AN55" s="666">
        <v>1640.62458184</v>
      </c>
      <c r="AO55" s="666">
        <v>1708.74232667</v>
      </c>
      <c r="AP55" s="666">
        <v>1612.5914442467999</v>
      </c>
      <c r="AQ55" s="666">
        <v>1633.8267005505998</v>
      </c>
      <c r="AR55" s="794">
        <v>1519.4963002048</v>
      </c>
      <c r="AS55" s="794">
        <v>1470.5025475099999</v>
      </c>
      <c r="AT55" s="794">
        <v>1507.49048021</v>
      </c>
      <c r="AU55" s="794">
        <v>1485.9416241719998</v>
      </c>
      <c r="AV55" s="794">
        <v>1562.1708126570002</v>
      </c>
      <c r="AW55" s="587">
        <v>1568.3009001152</v>
      </c>
      <c r="AX55" s="587">
        <v>1609.4369561307999</v>
      </c>
      <c r="AY55" s="587">
        <v>1504.4555740129001</v>
      </c>
      <c r="AZ55" s="587">
        <v>1535.4914448654999</v>
      </c>
      <c r="BA55" s="587">
        <v>1549.7753377923998</v>
      </c>
      <c r="BB55" s="587">
        <v>1401.6678407822999</v>
      </c>
      <c r="BC55" s="587">
        <v>1546.0777856960001</v>
      </c>
      <c r="BD55" s="587">
        <v>1763.3919846222</v>
      </c>
      <c r="BE55" s="587">
        <v>1609.0982713096002</v>
      </c>
      <c r="BF55" s="587">
        <v>1569.9114551200003</v>
      </c>
      <c r="BG55" s="587">
        <v>1640.400353578</v>
      </c>
      <c r="BH55" s="587">
        <v>1645.4479065085</v>
      </c>
      <c r="BI55" s="587">
        <v>1619.6103379081999</v>
      </c>
      <c r="BJ55" s="587">
        <v>1705.9283776083003</v>
      </c>
      <c r="BK55" s="587">
        <v>1895.0080960635003</v>
      </c>
      <c r="BL55" s="587">
        <v>1802.8477726194001</v>
      </c>
      <c r="BM55" s="587">
        <v>1796.2621740450004</v>
      </c>
      <c r="BN55" s="587">
        <v>1918.4197671179998</v>
      </c>
      <c r="BO55" s="587">
        <v>1825.1166806228</v>
      </c>
      <c r="BP55" s="587">
        <v>1940.1952077745998</v>
      </c>
      <c r="BQ55" s="587">
        <v>2097.7048947519002</v>
      </c>
      <c r="BR55" s="587">
        <v>2243.2512883203003</v>
      </c>
      <c r="BS55" s="587">
        <v>2178.3100403208005</v>
      </c>
      <c r="BT55" s="587">
        <v>2167.8786704667496</v>
      </c>
      <c r="BU55" s="587">
        <v>2259.2301837479345</v>
      </c>
      <c r="BV55" s="587">
        <v>2251.733822091092</v>
      </c>
      <c r="BW55" s="587">
        <v>2198.2134562885003</v>
      </c>
      <c r="BX55" s="587">
        <v>2179.3626134329998</v>
      </c>
      <c r="BY55" s="587">
        <v>1851.8332938256001</v>
      </c>
      <c r="BZ55" s="587">
        <v>1834.9</v>
      </c>
      <c r="CA55" s="587">
        <v>1907.5042333698</v>
      </c>
      <c r="CB55" s="587">
        <v>1998.1906784936002</v>
      </c>
      <c r="CC55" s="587">
        <v>1987.8912893275999</v>
      </c>
      <c r="CD55" s="587">
        <v>2175.1036625325823</v>
      </c>
      <c r="CE55" s="587">
        <v>2080.2410300655492</v>
      </c>
      <c r="CF55" s="587">
        <v>2116.6489087231457</v>
      </c>
      <c r="CG55" s="587">
        <v>2217.4506931106234</v>
      </c>
      <c r="CH55" s="587">
        <v>2061.7262615651457</v>
      </c>
      <c r="CI55" s="587">
        <v>2068.0837510276742</v>
      </c>
      <c r="CJ55" s="587">
        <v>2087.081989396946</v>
      </c>
      <c r="CK55" s="587">
        <v>2064.0744169051222</v>
      </c>
      <c r="CL55" s="587">
        <v>2129.4509004205233</v>
      </c>
      <c r="CM55" s="587">
        <v>2212.5829138430254</v>
      </c>
      <c r="CN55" s="587">
        <v>2158.4389556632905</v>
      </c>
      <c r="CO55" s="587">
        <v>2172.2381578465443</v>
      </c>
      <c r="CP55" s="587">
        <v>2314.5718388532496</v>
      </c>
      <c r="CQ55" s="587">
        <v>2393.9210115383235</v>
      </c>
      <c r="CR55" s="587">
        <v>2363.7193288048102</v>
      </c>
      <c r="CS55" s="587">
        <v>2472.0645565760237</v>
      </c>
      <c r="CT55" s="587">
        <v>2330.9486906231959</v>
      </c>
      <c r="CU55" s="587">
        <v>2405.3084911562246</v>
      </c>
      <c r="CV55" s="587">
        <v>2299.8712997877337</v>
      </c>
      <c r="CW55" s="587">
        <v>2362.5635054950994</v>
      </c>
      <c r="CX55" s="587">
        <v>2406.5559122739919</v>
      </c>
      <c r="CY55" s="587">
        <v>2313.4998768566452</v>
      </c>
      <c r="CZ55" s="587">
        <v>2413.4560482765523</v>
      </c>
      <c r="DA55" s="587">
        <v>2416.7546667293614</v>
      </c>
      <c r="DB55" s="797">
        <v>2529.1695671177267</v>
      </c>
      <c r="DC55" s="797">
        <v>2703.1720937330688</v>
      </c>
      <c r="DD55" s="797">
        <v>2703.0615968835928</v>
      </c>
      <c r="DE55" s="797">
        <v>2657.9965599061861</v>
      </c>
      <c r="DF55" s="797">
        <v>2717.891853269799</v>
      </c>
      <c r="DG55" s="797">
        <v>2813.6684548588432</v>
      </c>
      <c r="DH55" s="797">
        <v>2721.4804944024791</v>
      </c>
      <c r="DI55" s="797">
        <v>2819.0677013645682</v>
      </c>
      <c r="DJ55" s="797">
        <v>2848.4187961458583</v>
      </c>
      <c r="DK55" s="797">
        <v>2958.0443370774833</v>
      </c>
      <c r="DL55" s="797">
        <v>2873.4968583843056</v>
      </c>
      <c r="DM55" s="797">
        <v>2850.44187463956</v>
      </c>
      <c r="DN55" s="797">
        <v>2995.2504491697746</v>
      </c>
      <c r="DO55" s="797">
        <v>2980.0682443515866</v>
      </c>
      <c r="DP55" s="797">
        <v>3052.9403663969783</v>
      </c>
      <c r="DQ55" s="797">
        <v>3037.5556252421438</v>
      </c>
      <c r="DR55" s="797">
        <v>3066.0706694065898</v>
      </c>
    </row>
    <row r="56" spans="1:122" ht="15.95" customHeight="1">
      <c r="A56" s="793" t="s">
        <v>2420</v>
      </c>
      <c r="B56" s="794">
        <v>1566.2622638099999</v>
      </c>
      <c r="C56" s="664">
        <v>1531.7355509000001</v>
      </c>
      <c r="D56" s="664">
        <v>1480.9899711300002</v>
      </c>
      <c r="E56" s="593">
        <v>1509.5370252</v>
      </c>
      <c r="F56" s="664">
        <v>1399.6322762400002</v>
      </c>
      <c r="G56" s="664">
        <v>1574.8851512800002</v>
      </c>
      <c r="H56" s="664">
        <v>1592.0664303799997</v>
      </c>
      <c r="I56" s="664">
        <v>1604.3418368000002</v>
      </c>
      <c r="J56" s="664">
        <v>1616.6536442600002</v>
      </c>
      <c r="K56" s="593">
        <v>1397.6034185000001</v>
      </c>
      <c r="L56" s="664">
        <v>1413.0447133499999</v>
      </c>
      <c r="M56" s="664">
        <v>1405.9051855599998</v>
      </c>
      <c r="N56" s="664">
        <v>1422.7458716399999</v>
      </c>
      <c r="O56" s="593">
        <v>1399.8823031900004</v>
      </c>
      <c r="P56" s="664">
        <v>1490.062487343072</v>
      </c>
      <c r="Q56" s="664">
        <v>1455.2937506486001</v>
      </c>
      <c r="R56" s="593">
        <v>1440.2298126000001</v>
      </c>
      <c r="S56" s="664">
        <v>1504.8786693673999</v>
      </c>
      <c r="T56" s="664">
        <v>1563.0391757350001</v>
      </c>
      <c r="U56" s="795">
        <v>1563.3051408258368</v>
      </c>
      <c r="V56" s="795">
        <v>1594.3383725296349</v>
      </c>
      <c r="W56" s="795">
        <v>1588.0825185805002</v>
      </c>
      <c r="X56" s="795">
        <v>1646.9043621899998</v>
      </c>
      <c r="Y56" s="795">
        <v>1884.9417942299999</v>
      </c>
      <c r="Z56" s="795">
        <v>1881.7743529000113</v>
      </c>
      <c r="AA56" s="795">
        <v>2134.2113199099999</v>
      </c>
      <c r="AB56" s="795">
        <v>2276.8956580296735</v>
      </c>
      <c r="AC56" s="795">
        <v>2325.8508313611242</v>
      </c>
      <c r="AD56" s="795">
        <v>2531.1441753206004</v>
      </c>
      <c r="AE56" s="795">
        <v>2626.164427995142</v>
      </c>
      <c r="AF56" s="795">
        <v>2753.4232723566643</v>
      </c>
      <c r="AG56" s="795">
        <v>2777.084564852049</v>
      </c>
      <c r="AH56" s="795">
        <v>2706.8398072124105</v>
      </c>
      <c r="AI56" s="795">
        <v>3792.0184282425444</v>
      </c>
      <c r="AJ56" s="795">
        <v>3829.6012439856991</v>
      </c>
      <c r="AK56" s="795">
        <v>4149.0226086412713</v>
      </c>
      <c r="AL56" s="795">
        <v>4165.0506336005756</v>
      </c>
      <c r="AM56" s="666">
        <v>4272.5715158456724</v>
      </c>
      <c r="AN56" s="666">
        <v>4562.3505181211121</v>
      </c>
      <c r="AO56" s="666">
        <v>4636.2372954465636</v>
      </c>
      <c r="AP56" s="666">
        <v>5010.4701210429675</v>
      </c>
      <c r="AQ56" s="666">
        <v>5748.2683752771691</v>
      </c>
      <c r="AR56" s="794">
        <v>5443.9517062232007</v>
      </c>
      <c r="AS56" s="794">
        <v>5450.8960268687988</v>
      </c>
      <c r="AT56" s="794">
        <v>5968.2017388641871</v>
      </c>
      <c r="AU56" s="794">
        <v>5961.7218153548183</v>
      </c>
      <c r="AV56" s="794">
        <v>5997.204256061339</v>
      </c>
      <c r="AW56" s="587">
        <v>5959.0393518775409</v>
      </c>
      <c r="AX56" s="587">
        <v>6402.8197630342129</v>
      </c>
      <c r="AY56" s="587">
        <v>6533.5225808880414</v>
      </c>
      <c r="AZ56" s="587">
        <v>6708.3524122662539</v>
      </c>
      <c r="BA56" s="587">
        <v>6837.3582112271397</v>
      </c>
      <c r="BB56" s="587">
        <v>6652.6271805244578</v>
      </c>
      <c r="BC56" s="587">
        <v>6617.8851017674579</v>
      </c>
      <c r="BD56" s="587">
        <v>6583.9676465180737</v>
      </c>
      <c r="BE56" s="587">
        <v>6631.2531014145152</v>
      </c>
      <c r="BF56" s="587">
        <v>6925.8505582460912</v>
      </c>
      <c r="BG56" s="587">
        <v>6751.9981268280999</v>
      </c>
      <c r="BH56" s="587">
        <v>6876.1655090733348</v>
      </c>
      <c r="BI56" s="587">
        <v>6946.1621289767763</v>
      </c>
      <c r="BJ56" s="587">
        <v>6846.2399812526864</v>
      </c>
      <c r="BK56" s="587">
        <v>7181.7258415506685</v>
      </c>
      <c r="BL56" s="587">
        <v>7304.9543537676909</v>
      </c>
      <c r="BM56" s="587">
        <v>7062.88359449575</v>
      </c>
      <c r="BN56" s="587">
        <v>7161.5564283267231</v>
      </c>
      <c r="BO56" s="587">
        <v>7183.794132799886</v>
      </c>
      <c r="BP56" s="587">
        <v>6812.7885968926239</v>
      </c>
      <c r="BQ56" s="587">
        <v>6666.6104976179295</v>
      </c>
      <c r="BR56" s="587">
        <v>6758.7563611538581</v>
      </c>
      <c r="BS56" s="587">
        <v>6852.0285764284181</v>
      </c>
      <c r="BT56" s="587">
        <v>6844.879226694723</v>
      </c>
      <c r="BU56" s="587">
        <v>6760.4413757508555</v>
      </c>
      <c r="BV56" s="587">
        <v>7001.649657477732</v>
      </c>
      <c r="BW56" s="587">
        <v>6972.0043839220643</v>
      </c>
      <c r="BX56" s="587">
        <v>7178.0116337104982</v>
      </c>
      <c r="BY56" s="587">
        <v>7129.9206409353001</v>
      </c>
      <c r="BZ56" s="587">
        <v>7202.3</v>
      </c>
      <c r="CA56" s="587">
        <v>7257.6438286813172</v>
      </c>
      <c r="CB56" s="587">
        <v>9231.2591131296867</v>
      </c>
      <c r="CC56" s="587">
        <v>8883.6745443411037</v>
      </c>
      <c r="CD56" s="587">
        <v>9470.6598835068762</v>
      </c>
      <c r="CE56" s="587">
        <v>11192.246052263228</v>
      </c>
      <c r="CF56" s="587">
        <v>11329.015390783961</v>
      </c>
      <c r="CG56" s="587">
        <v>11700.572314512288</v>
      </c>
      <c r="CH56" s="587">
        <v>11697.831977097459</v>
      </c>
      <c r="CI56" s="587">
        <v>11992.786581141494</v>
      </c>
      <c r="CJ56" s="587">
        <v>12208.284283884432</v>
      </c>
      <c r="CK56" s="587">
        <v>12457.029866708373</v>
      </c>
      <c r="CL56" s="587">
        <v>12728.823514301599</v>
      </c>
      <c r="CM56" s="587">
        <v>12827.465229980042</v>
      </c>
      <c r="CN56" s="587">
        <v>13037.736085659824</v>
      </c>
      <c r="CO56" s="587">
        <v>13235.864578678416</v>
      </c>
      <c r="CP56" s="587">
        <v>13498.855750430224</v>
      </c>
      <c r="CQ56" s="587">
        <v>13490.761829445366</v>
      </c>
      <c r="CR56" s="587">
        <v>13787.716057873602</v>
      </c>
      <c r="CS56" s="587">
        <v>14327.360273678913</v>
      </c>
      <c r="CT56" s="587">
        <v>14269.084939308781</v>
      </c>
      <c r="CU56" s="587">
        <v>14214.311252855296</v>
      </c>
      <c r="CV56" s="587">
        <v>14068.469117132332</v>
      </c>
      <c r="CW56" s="587">
        <v>14174.067024497041</v>
      </c>
      <c r="CX56" s="587">
        <v>14065.019300594067</v>
      </c>
      <c r="CY56" s="587">
        <v>14151.109350088293</v>
      </c>
      <c r="CZ56" s="587">
        <v>14228.70234031387</v>
      </c>
      <c r="DA56" s="587">
        <v>14104.770334073473</v>
      </c>
      <c r="DB56" s="797">
        <v>14283.255333046203</v>
      </c>
      <c r="DC56" s="797">
        <v>13989.018947829045</v>
      </c>
      <c r="DD56" s="797">
        <v>14003.35124109553</v>
      </c>
      <c r="DE56" s="797">
        <v>13535.784060306049</v>
      </c>
      <c r="DF56" s="797">
        <v>14023.347963637516</v>
      </c>
      <c r="DG56" s="797">
        <v>14151.250519593021</v>
      </c>
      <c r="DH56" s="797">
        <v>14038.437753419723</v>
      </c>
      <c r="DI56" s="797">
        <v>13969.679819357556</v>
      </c>
      <c r="DJ56" s="797">
        <v>13942.023416984321</v>
      </c>
      <c r="DK56" s="797">
        <v>14076.956671803824</v>
      </c>
      <c r="DL56" s="797">
        <v>14179.719330055588</v>
      </c>
      <c r="DM56" s="797">
        <v>14318.252459184703</v>
      </c>
      <c r="DN56" s="797">
        <v>14280.478116616074</v>
      </c>
      <c r="DO56" s="797">
        <v>14403.502797588842</v>
      </c>
      <c r="DP56" s="797">
        <v>14142.748051410535</v>
      </c>
      <c r="DQ56" s="797">
        <v>14190.261901405107</v>
      </c>
      <c r="DR56" s="797">
        <v>13967.64007949933</v>
      </c>
    </row>
    <row r="57" spans="1:122" ht="15.95" customHeight="1">
      <c r="A57" s="793" t="s">
        <v>2421</v>
      </c>
      <c r="B57" s="794">
        <v>365.25931791999994</v>
      </c>
      <c r="C57" s="664">
        <v>361.8610913</v>
      </c>
      <c r="D57" s="664">
        <v>330.61473683000003</v>
      </c>
      <c r="E57" s="593">
        <v>314.90546927999998</v>
      </c>
      <c r="F57" s="664">
        <v>464.41541280000001</v>
      </c>
      <c r="G57" s="664">
        <v>535.98596038000005</v>
      </c>
      <c r="H57" s="664">
        <v>507.23144483999999</v>
      </c>
      <c r="I57" s="664">
        <v>347.07756746000001</v>
      </c>
      <c r="J57" s="664">
        <v>353.24814714999997</v>
      </c>
      <c r="K57" s="593">
        <v>315.71153032999996</v>
      </c>
      <c r="L57" s="664">
        <v>286.45032800999996</v>
      </c>
      <c r="M57" s="664">
        <v>296.84140921999995</v>
      </c>
      <c r="N57" s="664">
        <v>373.34096868</v>
      </c>
      <c r="O57" s="593">
        <v>426.75881396000005</v>
      </c>
      <c r="P57" s="664">
        <v>438.14999667999996</v>
      </c>
      <c r="Q57" s="664">
        <v>411.17036044999998</v>
      </c>
      <c r="R57" s="593">
        <v>384.22773477999999</v>
      </c>
      <c r="S57" s="664">
        <v>418.06079294</v>
      </c>
      <c r="T57" s="664">
        <v>468.96860088000005</v>
      </c>
      <c r="U57" s="795">
        <v>502.07161587999997</v>
      </c>
      <c r="V57" s="795">
        <v>528.95760298000005</v>
      </c>
      <c r="W57" s="795">
        <v>526.10731516999999</v>
      </c>
      <c r="X57" s="795">
        <v>496.37015414000001</v>
      </c>
      <c r="Y57" s="795">
        <v>589.43051039000011</v>
      </c>
      <c r="Z57" s="795">
        <v>1156.8335474600001</v>
      </c>
      <c r="AA57" s="795">
        <v>1177.13001171</v>
      </c>
      <c r="AB57" s="795">
        <v>1113.1167142447498</v>
      </c>
      <c r="AC57" s="795">
        <v>969.76560168740593</v>
      </c>
      <c r="AD57" s="795">
        <v>973.69890130710792</v>
      </c>
      <c r="AE57" s="795">
        <v>1236.8878697847424</v>
      </c>
      <c r="AF57" s="795">
        <v>1602.1795898133626</v>
      </c>
      <c r="AG57" s="795">
        <v>1628.0579894203997</v>
      </c>
      <c r="AH57" s="795">
        <v>1773.3762698780004</v>
      </c>
      <c r="AI57" s="795">
        <v>2484.4017611039994</v>
      </c>
      <c r="AJ57" s="795">
        <v>2601.5383576075997</v>
      </c>
      <c r="AK57" s="795">
        <v>2602.822615416947</v>
      </c>
      <c r="AL57" s="795">
        <v>2653.6676484889003</v>
      </c>
      <c r="AM57" s="666">
        <v>2572.226221905501</v>
      </c>
      <c r="AN57" s="666">
        <v>2282.8665573268004</v>
      </c>
      <c r="AO57" s="666">
        <v>2243.6455807148996</v>
      </c>
      <c r="AP57" s="666">
        <v>2775.3329753995008</v>
      </c>
      <c r="AQ57" s="666">
        <v>2721.7722397025996</v>
      </c>
      <c r="AR57" s="794">
        <v>3140.2743375971995</v>
      </c>
      <c r="AS57" s="794">
        <v>3144.39203013</v>
      </c>
      <c r="AT57" s="794">
        <v>3374.4094140080006</v>
      </c>
      <c r="AU57" s="794">
        <v>3069.0888371211995</v>
      </c>
      <c r="AV57" s="794">
        <v>3175.7602510850002</v>
      </c>
      <c r="AW57" s="587">
        <v>3071.2505823612005</v>
      </c>
      <c r="AX57" s="587">
        <v>2829.7099757651999</v>
      </c>
      <c r="AY57" s="587">
        <v>2962.6516576695994</v>
      </c>
      <c r="AZ57" s="587">
        <v>3155.7950217121993</v>
      </c>
      <c r="BA57" s="587">
        <v>3083.3067973611996</v>
      </c>
      <c r="BB57" s="587">
        <v>3098.1781908583002</v>
      </c>
      <c r="BC57" s="587">
        <v>3080.8709042392561</v>
      </c>
      <c r="BD57" s="587">
        <v>3236.1291461471997</v>
      </c>
      <c r="BE57" s="587">
        <v>3200.0435941173</v>
      </c>
      <c r="BF57" s="587">
        <v>3406.4396988600001</v>
      </c>
      <c r="BG57" s="587">
        <v>4010.6163298287502</v>
      </c>
      <c r="BH57" s="587">
        <v>4048.8770797860002</v>
      </c>
      <c r="BI57" s="587">
        <v>4249.4890301041496</v>
      </c>
      <c r="BJ57" s="587">
        <v>4366.0857084736454</v>
      </c>
      <c r="BK57" s="587">
        <v>4196.8353017531881</v>
      </c>
      <c r="BL57" s="587">
        <v>4175.0032077067381</v>
      </c>
      <c r="BM57" s="587">
        <v>4318.9534405538288</v>
      </c>
      <c r="BN57" s="587">
        <v>4266.0638341539534</v>
      </c>
      <c r="BO57" s="587">
        <v>4273.167770528009</v>
      </c>
      <c r="BP57" s="587">
        <v>4680.1058535568773</v>
      </c>
      <c r="BQ57" s="587">
        <v>4755.0914769556639</v>
      </c>
      <c r="BR57" s="587">
        <v>4753.0898666692474</v>
      </c>
      <c r="BS57" s="587">
        <v>4584.9775715098785</v>
      </c>
      <c r="BT57" s="587">
        <v>4501.4529993351462</v>
      </c>
      <c r="BU57" s="587">
        <v>4521.3052740861467</v>
      </c>
      <c r="BV57" s="587">
        <v>3773.3878464071295</v>
      </c>
      <c r="BW57" s="587">
        <v>3768.8798634102004</v>
      </c>
      <c r="BX57" s="587">
        <v>3581.8004133934996</v>
      </c>
      <c r="BY57" s="587">
        <v>3436.5117452528002</v>
      </c>
      <c r="BZ57" s="587">
        <v>3628.3</v>
      </c>
      <c r="CA57" s="587">
        <v>3653.2146243049747</v>
      </c>
      <c r="CB57" s="587">
        <v>3679.6065133077082</v>
      </c>
      <c r="CC57" s="587">
        <v>3753.78241073139</v>
      </c>
      <c r="CD57" s="587">
        <v>3811.1887786942375</v>
      </c>
      <c r="CE57" s="587">
        <v>4216.3972755197501</v>
      </c>
      <c r="CF57" s="587">
        <v>4517.2079026743013</v>
      </c>
      <c r="CG57" s="587">
        <v>4321.9724095641668</v>
      </c>
      <c r="CH57" s="587">
        <v>4621.9124639954071</v>
      </c>
      <c r="CI57" s="587">
        <v>4583.5186320270868</v>
      </c>
      <c r="CJ57" s="587">
        <v>4936.0520529810428</v>
      </c>
      <c r="CK57" s="587">
        <v>4887.997586059988</v>
      </c>
      <c r="CL57" s="587">
        <v>4738.5123581679145</v>
      </c>
      <c r="CM57" s="587">
        <v>4787.6559034815509</v>
      </c>
      <c r="CN57" s="587">
        <v>4835.5571228939607</v>
      </c>
      <c r="CO57" s="587">
        <v>4782.5281280997242</v>
      </c>
      <c r="CP57" s="587">
        <v>4889.6314433460257</v>
      </c>
      <c r="CQ57" s="587">
        <v>4863.2096224159477</v>
      </c>
      <c r="CR57" s="587">
        <v>4868.1167274606532</v>
      </c>
      <c r="CS57" s="587">
        <v>5781.7471291037145</v>
      </c>
      <c r="CT57" s="587">
        <v>5946.3894674063804</v>
      </c>
      <c r="CU57" s="587">
        <v>6039.2969397134093</v>
      </c>
      <c r="CV57" s="587">
        <v>6127.3308193212852</v>
      </c>
      <c r="CW57" s="587">
        <v>6238.4139421177924</v>
      </c>
      <c r="CX57" s="587">
        <v>6295.2484385337111</v>
      </c>
      <c r="CY57" s="587">
        <v>6438.386264329908</v>
      </c>
      <c r="CZ57" s="587">
        <v>6614.641769967865</v>
      </c>
      <c r="DA57" s="587">
        <v>6709.3929162919712</v>
      </c>
      <c r="DB57" s="797">
        <v>6633.7018496885212</v>
      </c>
      <c r="DC57" s="797">
        <v>6629.0415436781104</v>
      </c>
      <c r="DD57" s="797">
        <v>6629.0532004636552</v>
      </c>
      <c r="DE57" s="797">
        <v>6914.0349647435132</v>
      </c>
      <c r="DF57" s="797">
        <v>7027.0305327276265</v>
      </c>
      <c r="DG57" s="797">
        <v>6971.8492813514613</v>
      </c>
      <c r="DH57" s="797">
        <v>6913.2915323759753</v>
      </c>
      <c r="DI57" s="797">
        <v>6951.0073782601421</v>
      </c>
      <c r="DJ57" s="797">
        <v>7096.0306372476562</v>
      </c>
      <c r="DK57" s="797">
        <v>7125.3008688811742</v>
      </c>
      <c r="DL57" s="797">
        <v>7260.7686894476356</v>
      </c>
      <c r="DM57" s="797">
        <v>7286.2241392485548</v>
      </c>
      <c r="DN57" s="797">
        <v>7288.3412067171312</v>
      </c>
      <c r="DO57" s="797">
        <v>7477.4503683619541</v>
      </c>
      <c r="DP57" s="797">
        <v>7617.8844568376935</v>
      </c>
      <c r="DQ57" s="797">
        <v>7541.6890427976532</v>
      </c>
      <c r="DR57" s="797">
        <v>7844.8428868799938</v>
      </c>
    </row>
    <row r="58" spans="1:122" ht="15.95" customHeight="1">
      <c r="A58" s="793" t="s">
        <v>2422</v>
      </c>
      <c r="B58" s="794">
        <v>185.01832108000002</v>
      </c>
      <c r="C58" s="664">
        <v>188.02759985999998</v>
      </c>
      <c r="D58" s="664">
        <v>185.79252209999999</v>
      </c>
      <c r="E58" s="593">
        <v>188.77633824999998</v>
      </c>
      <c r="F58" s="664">
        <v>173.52918373999998</v>
      </c>
      <c r="G58" s="664">
        <v>170.86455001999997</v>
      </c>
      <c r="H58" s="664">
        <v>177.21621038999999</v>
      </c>
      <c r="I58" s="664">
        <v>172.39015129999999</v>
      </c>
      <c r="J58" s="664">
        <v>163.98166129000001</v>
      </c>
      <c r="K58" s="593">
        <v>155.2508359</v>
      </c>
      <c r="L58" s="664">
        <v>157.08504078000001</v>
      </c>
      <c r="M58" s="664">
        <v>151.11976501000001</v>
      </c>
      <c r="N58" s="664">
        <v>149.10142345</v>
      </c>
      <c r="O58" s="593">
        <v>148.56610813</v>
      </c>
      <c r="P58" s="664">
        <v>147.10318639000002</v>
      </c>
      <c r="Q58" s="664">
        <v>147.99634651000002</v>
      </c>
      <c r="R58" s="593">
        <v>143.11690654999998</v>
      </c>
      <c r="S58" s="664">
        <v>138.49085228000001</v>
      </c>
      <c r="T58" s="664">
        <v>129.73006006</v>
      </c>
      <c r="U58" s="795">
        <v>115.05742584000001</v>
      </c>
      <c r="V58" s="795">
        <v>112.83151508</v>
      </c>
      <c r="W58" s="795">
        <v>111.92142265999999</v>
      </c>
      <c r="X58" s="795">
        <v>108.78448612000001</v>
      </c>
      <c r="Y58" s="795">
        <v>116.90564415999999</v>
      </c>
      <c r="Z58" s="795">
        <v>161.84540453000002</v>
      </c>
      <c r="AA58" s="795">
        <v>156.20870775</v>
      </c>
      <c r="AB58" s="795">
        <v>165.79524011000001</v>
      </c>
      <c r="AC58" s="795">
        <v>168.96227317999998</v>
      </c>
      <c r="AD58" s="795">
        <v>168.01764791999997</v>
      </c>
      <c r="AE58" s="795">
        <v>159.68267114000002</v>
      </c>
      <c r="AF58" s="795">
        <v>190.50501496999999</v>
      </c>
      <c r="AG58" s="795">
        <v>233.15144351999999</v>
      </c>
      <c r="AH58" s="795">
        <v>216.99954342000001</v>
      </c>
      <c r="AI58" s="795">
        <v>224.34562079000003</v>
      </c>
      <c r="AJ58" s="795">
        <v>230.09703388</v>
      </c>
      <c r="AK58" s="795">
        <v>233.99931191000002</v>
      </c>
      <c r="AL58" s="795">
        <v>233.34379166999997</v>
      </c>
      <c r="AM58" s="666">
        <v>237.02058398</v>
      </c>
      <c r="AN58" s="666">
        <v>235.18330778999999</v>
      </c>
      <c r="AO58" s="666">
        <v>243.87884038999999</v>
      </c>
      <c r="AP58" s="666">
        <v>245.6496106699</v>
      </c>
      <c r="AQ58" s="666">
        <v>300.94986768080003</v>
      </c>
      <c r="AR58" s="794">
        <v>284.67342759159999</v>
      </c>
      <c r="AS58" s="794">
        <v>295.83519516000001</v>
      </c>
      <c r="AT58" s="794">
        <v>343.10847842040005</v>
      </c>
      <c r="AU58" s="794">
        <v>348.44781476719999</v>
      </c>
      <c r="AV58" s="794">
        <v>366.56424704199998</v>
      </c>
      <c r="AW58" s="587">
        <v>370.25325306600007</v>
      </c>
      <c r="AX58" s="587">
        <v>341.53584922200002</v>
      </c>
      <c r="AY58" s="587">
        <v>301.03869963569997</v>
      </c>
      <c r="AZ58" s="587">
        <v>302.83691266939996</v>
      </c>
      <c r="BA58" s="587">
        <v>285.45340182220002</v>
      </c>
      <c r="BB58" s="587">
        <v>278.9340786994</v>
      </c>
      <c r="BC58" s="587">
        <v>387.72219233239997</v>
      </c>
      <c r="BD58" s="587">
        <v>399.49902651399998</v>
      </c>
      <c r="BE58" s="587">
        <v>387.53493809939999</v>
      </c>
      <c r="BF58" s="587">
        <v>372.10580253750004</v>
      </c>
      <c r="BG58" s="587">
        <v>354.61298036199997</v>
      </c>
      <c r="BH58" s="587">
        <v>338.5783693674</v>
      </c>
      <c r="BI58" s="587">
        <v>362.51120013490004</v>
      </c>
      <c r="BJ58" s="587">
        <v>372.89365641310002</v>
      </c>
      <c r="BK58" s="587">
        <v>373.49857941569996</v>
      </c>
      <c r="BL58" s="587">
        <v>383.47908149759996</v>
      </c>
      <c r="BM58" s="587">
        <v>400.63592047720005</v>
      </c>
      <c r="BN58" s="587">
        <v>382.30440203199998</v>
      </c>
      <c r="BO58" s="587">
        <v>385.29415467400003</v>
      </c>
      <c r="BP58" s="587">
        <v>382.37777938580001</v>
      </c>
      <c r="BQ58" s="587">
        <v>376.40373162290001</v>
      </c>
      <c r="BR58" s="587">
        <v>378.61753864740001</v>
      </c>
      <c r="BS58" s="587">
        <v>378.26848467960002</v>
      </c>
      <c r="BT58" s="587">
        <v>377.98667100259001</v>
      </c>
      <c r="BU58" s="587">
        <v>397.65755499401405</v>
      </c>
      <c r="BV58" s="587">
        <v>306.79572368844794</v>
      </c>
      <c r="BW58" s="587">
        <v>534.24886212453498</v>
      </c>
      <c r="BX58" s="587">
        <v>503.44883088400002</v>
      </c>
      <c r="BY58" s="587">
        <v>433.1538485035</v>
      </c>
      <c r="BZ58" s="587">
        <v>525.29999999999995</v>
      </c>
      <c r="CA58" s="587">
        <v>542.36689110520001</v>
      </c>
      <c r="CB58" s="587">
        <v>491.09251104545001</v>
      </c>
      <c r="CC58" s="587">
        <v>446.38961586896994</v>
      </c>
      <c r="CD58" s="587">
        <v>454.80505154457001</v>
      </c>
      <c r="CE58" s="587">
        <v>474.52672758221394</v>
      </c>
      <c r="CF58" s="587">
        <v>498.53803474263162</v>
      </c>
      <c r="CG58" s="587">
        <v>960.66736685659669</v>
      </c>
      <c r="CH58" s="587">
        <v>993.93150187717856</v>
      </c>
      <c r="CI58" s="587">
        <v>1130.2070446361984</v>
      </c>
      <c r="CJ58" s="587">
        <v>1208.549435976513</v>
      </c>
      <c r="CK58" s="587">
        <v>1237.9194519800601</v>
      </c>
      <c r="CL58" s="587">
        <v>1320.8475223581036</v>
      </c>
      <c r="CM58" s="587">
        <v>1394.5520880896916</v>
      </c>
      <c r="CN58" s="587">
        <v>1447.021055491567</v>
      </c>
      <c r="CO58" s="587">
        <v>1475.0202552448577</v>
      </c>
      <c r="CP58" s="587">
        <v>1562.380050573425</v>
      </c>
      <c r="CQ58" s="587">
        <v>1585.1295592091374</v>
      </c>
      <c r="CR58" s="587">
        <v>1581.5899117100548</v>
      </c>
      <c r="CS58" s="587">
        <v>1596.1008058982159</v>
      </c>
      <c r="CT58" s="587">
        <v>1584.2864089168208</v>
      </c>
      <c r="CU58" s="587">
        <v>1531.2978367070261</v>
      </c>
      <c r="CV58" s="587">
        <v>1422.6789150511049</v>
      </c>
      <c r="CW58" s="587">
        <v>1359.0071309955845</v>
      </c>
      <c r="CX58" s="587">
        <v>1273.2068672698365</v>
      </c>
      <c r="CY58" s="587">
        <v>1238.3095816902833</v>
      </c>
      <c r="CZ58" s="587">
        <v>1220.1803695549781</v>
      </c>
      <c r="DA58" s="587">
        <v>1161.1948348075357</v>
      </c>
      <c r="DB58" s="797">
        <v>1181.4424501755905</v>
      </c>
      <c r="DC58" s="797">
        <v>1434.3044549933954</v>
      </c>
      <c r="DD58" s="797">
        <v>1437.6126339054933</v>
      </c>
      <c r="DE58" s="797">
        <v>1469.1744700138879</v>
      </c>
      <c r="DF58" s="797">
        <v>1465.786055043181</v>
      </c>
      <c r="DG58" s="797">
        <v>1327.2655153438986</v>
      </c>
      <c r="DH58" s="797">
        <v>1460.0679870881681</v>
      </c>
      <c r="DI58" s="797">
        <v>1485.4333558033334</v>
      </c>
      <c r="DJ58" s="797">
        <v>1557.4034850834807</v>
      </c>
      <c r="DK58" s="797">
        <v>1732.2509636414379</v>
      </c>
      <c r="DL58" s="797">
        <v>1738.430130508719</v>
      </c>
      <c r="DM58" s="797">
        <v>1947.8348126454291</v>
      </c>
      <c r="DN58" s="797">
        <v>1976.7141045429548</v>
      </c>
      <c r="DO58" s="797">
        <v>2030.0560282009883</v>
      </c>
      <c r="DP58" s="797">
        <v>2033.83576062415</v>
      </c>
      <c r="DQ58" s="797">
        <v>2044.7451785450908</v>
      </c>
      <c r="DR58" s="797">
        <v>1972.8287922690022</v>
      </c>
    </row>
    <row r="59" spans="1:122" ht="15.95" customHeight="1">
      <c r="A59" s="793" t="s">
        <v>2423</v>
      </c>
      <c r="B59" s="794">
        <v>11010.618627710001</v>
      </c>
      <c r="C59" s="664">
        <v>11202.324978660003</v>
      </c>
      <c r="D59" s="664">
        <v>11392.66895213</v>
      </c>
      <c r="E59" s="593">
        <v>11612.441834360001</v>
      </c>
      <c r="F59" s="664">
        <v>11835.078289169998</v>
      </c>
      <c r="G59" s="664">
        <v>12010.31649066</v>
      </c>
      <c r="H59" s="664">
        <v>12223.067262169998</v>
      </c>
      <c r="I59" s="664">
        <v>12383.631140320003</v>
      </c>
      <c r="J59" s="664">
        <v>12495.888205270001</v>
      </c>
      <c r="K59" s="593">
        <v>12703.43300549</v>
      </c>
      <c r="L59" s="664">
        <v>12889.349938979996</v>
      </c>
      <c r="M59" s="664">
        <v>13057.569455209992</v>
      </c>
      <c r="N59" s="664">
        <v>13273.510894790004</v>
      </c>
      <c r="O59" s="593">
        <v>13386.098248070011</v>
      </c>
      <c r="P59" s="664">
        <v>13517.619478389994</v>
      </c>
      <c r="Q59" s="664">
        <v>13631.621207400012</v>
      </c>
      <c r="R59" s="593">
        <v>13790.01204564</v>
      </c>
      <c r="S59" s="664">
        <v>13962.252826749997</v>
      </c>
      <c r="T59" s="664">
        <v>14046.401857769995</v>
      </c>
      <c r="U59" s="795">
        <v>14128.511417380003</v>
      </c>
      <c r="V59" s="795">
        <v>14179.680991970003</v>
      </c>
      <c r="W59" s="795">
        <v>14332.369292889995</v>
      </c>
      <c r="X59" s="795">
        <v>14469.207694979992</v>
      </c>
      <c r="Y59" s="795">
        <v>14681.818957656398</v>
      </c>
      <c r="Z59" s="795">
        <v>14867.699041133901</v>
      </c>
      <c r="AA59" s="795">
        <v>15082.746113438385</v>
      </c>
      <c r="AB59" s="795">
        <v>15240.438459331968</v>
      </c>
      <c r="AC59" s="795">
        <v>15420.251653239993</v>
      </c>
      <c r="AD59" s="795">
        <v>15573.803864928304</v>
      </c>
      <c r="AE59" s="795">
        <v>15743.442259409143</v>
      </c>
      <c r="AF59" s="795">
        <v>15947.154507084686</v>
      </c>
      <c r="AG59" s="795">
        <v>16025.25354351721</v>
      </c>
      <c r="AH59" s="795">
        <v>16286.830751029996</v>
      </c>
      <c r="AI59" s="795">
        <v>16554.392915754779</v>
      </c>
      <c r="AJ59" s="795">
        <v>16762.523575996387</v>
      </c>
      <c r="AK59" s="795">
        <v>16989.085144613597</v>
      </c>
      <c r="AL59" s="795">
        <v>17189.504357741349</v>
      </c>
      <c r="AM59" s="666">
        <v>17458.849659500502</v>
      </c>
      <c r="AN59" s="666">
        <v>17531.998178534421</v>
      </c>
      <c r="AO59" s="666">
        <v>17706.625259815803</v>
      </c>
      <c r="AP59" s="666">
        <v>18343.053950757694</v>
      </c>
      <c r="AQ59" s="666">
        <v>18638.270237909608</v>
      </c>
      <c r="AR59" s="794">
        <v>19332.854220664809</v>
      </c>
      <c r="AS59" s="794">
        <v>19240.58847106</v>
      </c>
      <c r="AT59" s="794">
        <v>19478.913626610411</v>
      </c>
      <c r="AU59" s="794">
        <v>19650.556629893399</v>
      </c>
      <c r="AV59" s="794">
        <v>19719.546707906989</v>
      </c>
      <c r="AW59" s="587">
        <v>19725.976171224804</v>
      </c>
      <c r="AX59" s="587">
        <v>19860.443059875994</v>
      </c>
      <c r="AY59" s="587">
        <v>20053.6256522699</v>
      </c>
      <c r="AZ59" s="587">
        <v>20191.790771405998</v>
      </c>
      <c r="BA59" s="587">
        <v>20402.60927109421</v>
      </c>
      <c r="BB59" s="587">
        <v>20743.580143666008</v>
      </c>
      <c r="BC59" s="587">
        <v>20957.054775260396</v>
      </c>
      <c r="BD59" s="587">
        <v>21247.133820976604</v>
      </c>
      <c r="BE59" s="587">
        <v>21578.14483334959</v>
      </c>
      <c r="BF59" s="587">
        <v>21724.611324630001</v>
      </c>
      <c r="BG59" s="587">
        <v>21944.392615133998</v>
      </c>
      <c r="BH59" s="587">
        <v>22327.888310330909</v>
      </c>
      <c r="BI59" s="587">
        <v>22581.253492929201</v>
      </c>
      <c r="BJ59" s="587">
        <v>22928.326913878809</v>
      </c>
      <c r="BK59" s="587">
        <v>23372.214273920097</v>
      </c>
      <c r="BL59" s="587">
        <v>23809.493949092102</v>
      </c>
      <c r="BM59" s="587">
        <v>24204.688039687207</v>
      </c>
      <c r="BN59" s="587">
        <v>24518.506815144989</v>
      </c>
      <c r="BO59" s="587">
        <v>25009.841098352797</v>
      </c>
      <c r="BP59" s="587">
        <v>25330.8556352944</v>
      </c>
      <c r="BQ59" s="587">
        <v>25621.873178296599</v>
      </c>
      <c r="BR59" s="587">
        <v>25880.753915547804</v>
      </c>
      <c r="BS59" s="587">
        <v>26134.063912338792</v>
      </c>
      <c r="BT59" s="587">
        <v>26783.442174754564</v>
      </c>
      <c r="BU59" s="587">
        <v>27231.678537588177</v>
      </c>
      <c r="BV59" s="587">
        <v>27868.145133442464</v>
      </c>
      <c r="BW59" s="587">
        <v>28417.323148484262</v>
      </c>
      <c r="BX59" s="587">
        <v>29061.201910298005</v>
      </c>
      <c r="BY59" s="587">
        <v>30054.974832489399</v>
      </c>
      <c r="BZ59" s="587">
        <v>30466.1</v>
      </c>
      <c r="CA59" s="587">
        <v>30977.842405780913</v>
      </c>
      <c r="CB59" s="587">
        <v>31490.903773928971</v>
      </c>
      <c r="CC59" s="587">
        <v>31970.670609225093</v>
      </c>
      <c r="CD59" s="587">
        <v>32384.092497791309</v>
      </c>
      <c r="CE59" s="587">
        <v>32870.359955996508</v>
      </c>
      <c r="CF59" s="587">
        <v>33378.686694493044</v>
      </c>
      <c r="CG59" s="587">
        <v>33891.799166235971</v>
      </c>
      <c r="CH59" s="587">
        <v>34311.464803678777</v>
      </c>
      <c r="CI59" s="587">
        <v>34917.457011666367</v>
      </c>
      <c r="CJ59" s="587">
        <v>35605.307711334113</v>
      </c>
      <c r="CK59" s="587">
        <v>36025.001647723097</v>
      </c>
      <c r="CL59" s="587">
        <v>36562.461381562331</v>
      </c>
      <c r="CM59" s="587">
        <v>37169.659161722098</v>
      </c>
      <c r="CN59" s="587">
        <v>37592.635690536277</v>
      </c>
      <c r="CO59" s="587">
        <v>38009.922146942183</v>
      </c>
      <c r="CP59" s="587">
        <v>38360.681111363403</v>
      </c>
      <c r="CQ59" s="587">
        <v>38858.583398625604</v>
      </c>
      <c r="CR59" s="587">
        <v>37716.308529555099</v>
      </c>
      <c r="CS59" s="587">
        <v>38425.795412666463</v>
      </c>
      <c r="CT59" s="587">
        <v>39054.022377341382</v>
      </c>
      <c r="CU59" s="587">
        <v>39601.024353011329</v>
      </c>
      <c r="CV59" s="587">
        <v>40132.044547241152</v>
      </c>
      <c r="CW59" s="587">
        <v>40584.967509081253</v>
      </c>
      <c r="CX59" s="587">
        <v>41070.72339519221</v>
      </c>
      <c r="CY59" s="587">
        <v>41427.67088187582</v>
      </c>
      <c r="CZ59" s="587">
        <v>41810.227177622</v>
      </c>
      <c r="DA59" s="587">
        <v>41838.392578658539</v>
      </c>
      <c r="DB59" s="797">
        <v>42150.554228513916</v>
      </c>
      <c r="DC59" s="797">
        <v>42396.253214705474</v>
      </c>
      <c r="DD59" s="797">
        <v>42669.093034207937</v>
      </c>
      <c r="DE59" s="797">
        <v>42960.795226602189</v>
      </c>
      <c r="DF59" s="797">
        <v>43266.288489871513</v>
      </c>
      <c r="DG59" s="797">
        <v>43498.826902024579</v>
      </c>
      <c r="DH59" s="797">
        <v>43835.019040197796</v>
      </c>
      <c r="DI59" s="797">
        <v>44045.162786366738</v>
      </c>
      <c r="DJ59" s="797">
        <v>44436.816716778318</v>
      </c>
      <c r="DK59" s="797">
        <v>44830.796096489481</v>
      </c>
      <c r="DL59" s="797">
        <v>45708.302017336478</v>
      </c>
      <c r="DM59" s="797">
        <v>45877.212097420903</v>
      </c>
      <c r="DN59" s="797">
        <v>46492.754929999552</v>
      </c>
      <c r="DO59" s="797">
        <v>46789.340150542776</v>
      </c>
      <c r="DP59" s="797">
        <v>47019.353144610912</v>
      </c>
      <c r="DQ59" s="797">
        <v>47257.760953141238</v>
      </c>
      <c r="DR59" s="797">
        <v>47767.316920351652</v>
      </c>
    </row>
    <row r="60" spans="1:122" ht="15.95" customHeight="1">
      <c r="A60" s="793" t="s">
        <v>2424</v>
      </c>
      <c r="B60" s="794">
        <v>631.71260848199995</v>
      </c>
      <c r="C60" s="664">
        <v>637.00001189880004</v>
      </c>
      <c r="D60" s="664">
        <v>630.79652337100003</v>
      </c>
      <c r="E60" s="593">
        <v>918.9091715141999</v>
      </c>
      <c r="F60" s="664">
        <v>916.59575032760006</v>
      </c>
      <c r="G60" s="664">
        <v>913.59674971639993</v>
      </c>
      <c r="H60" s="664">
        <v>912.87297314240016</v>
      </c>
      <c r="I60" s="664">
        <v>911.02767978169993</v>
      </c>
      <c r="J60" s="664">
        <v>915.69908700020005</v>
      </c>
      <c r="K60" s="593">
        <v>918.71441057212007</v>
      </c>
      <c r="L60" s="664">
        <v>917.90057680439998</v>
      </c>
      <c r="M60" s="664">
        <v>949.32647059750002</v>
      </c>
      <c r="N60" s="664">
        <v>961.73905879910001</v>
      </c>
      <c r="O60" s="593">
        <v>963.09920581979998</v>
      </c>
      <c r="P60" s="664">
        <v>960.8066742348002</v>
      </c>
      <c r="Q60" s="664">
        <v>961.63381638429996</v>
      </c>
      <c r="R60" s="593">
        <v>970.66404638539996</v>
      </c>
      <c r="S60" s="664">
        <v>974.15898084960008</v>
      </c>
      <c r="T60" s="664">
        <v>993.93218605999994</v>
      </c>
      <c r="U60" s="795">
        <v>1012.3027969685002</v>
      </c>
      <c r="V60" s="795">
        <v>1020.202496649023</v>
      </c>
      <c r="W60" s="795">
        <v>1032.7421272022</v>
      </c>
      <c r="X60" s="795">
        <v>1049.0586421827602</v>
      </c>
      <c r="Y60" s="795">
        <v>1064.0716994639001</v>
      </c>
      <c r="Z60" s="795">
        <v>1098.9543632306334</v>
      </c>
      <c r="AA60" s="795">
        <v>1106.1971092105291</v>
      </c>
      <c r="AB60" s="795">
        <v>1136.9087957993979</v>
      </c>
      <c r="AC60" s="795">
        <v>1155.9041027123999</v>
      </c>
      <c r="AD60" s="795">
        <v>1180.3898544476001</v>
      </c>
      <c r="AE60" s="795">
        <v>1214.1712031896666</v>
      </c>
      <c r="AF60" s="795">
        <v>1248.4742800066417</v>
      </c>
      <c r="AG60" s="795">
        <v>1271.8292897569199</v>
      </c>
      <c r="AH60" s="795">
        <v>1298.9702330919999</v>
      </c>
      <c r="AI60" s="795">
        <v>1325.6868942647998</v>
      </c>
      <c r="AJ60" s="795">
        <v>1355.3092489564003</v>
      </c>
      <c r="AK60" s="795">
        <v>1403.1711733903994</v>
      </c>
      <c r="AL60" s="795">
        <v>1426.067926007825</v>
      </c>
      <c r="AM60" s="666">
        <v>1474.0650294185004</v>
      </c>
      <c r="AN60" s="666">
        <v>1527.1223110706208</v>
      </c>
      <c r="AO60" s="666">
        <v>1565.6830659072839</v>
      </c>
      <c r="AP60" s="666">
        <v>1681.4288204078998</v>
      </c>
      <c r="AQ60" s="666">
        <v>1745.9539638031999</v>
      </c>
      <c r="AR60" s="794">
        <v>1776.6598231776002</v>
      </c>
      <c r="AS60" s="794">
        <v>1791.6207647699996</v>
      </c>
      <c r="AT60" s="794">
        <v>1795.8939063324003</v>
      </c>
      <c r="AU60" s="794">
        <v>1820.4244094390001</v>
      </c>
      <c r="AV60" s="794">
        <v>1859.6791881839997</v>
      </c>
      <c r="AW60" s="587">
        <v>1903.1595622968</v>
      </c>
      <c r="AX60" s="587">
        <v>1929.2430072007999</v>
      </c>
      <c r="AY60" s="587">
        <v>1961.3788750359004</v>
      </c>
      <c r="AZ60" s="587">
        <v>2024.7393850504006</v>
      </c>
      <c r="BA60" s="587">
        <v>2079.1979434475998</v>
      </c>
      <c r="BB60" s="587">
        <v>2119.6187428467997</v>
      </c>
      <c r="BC60" s="587">
        <v>2153.1713852019989</v>
      </c>
      <c r="BD60" s="587">
        <v>2197.3523498787995</v>
      </c>
      <c r="BE60" s="587">
        <v>2228.5211790778994</v>
      </c>
      <c r="BF60" s="587">
        <v>2259.5613418749999</v>
      </c>
      <c r="BG60" s="587">
        <v>2294.9202719520013</v>
      </c>
      <c r="BH60" s="587">
        <v>2333.1617905786989</v>
      </c>
      <c r="BI60" s="587">
        <v>2375.0995313164995</v>
      </c>
      <c r="BJ60" s="587">
        <v>2448.5308218214</v>
      </c>
      <c r="BK60" s="587">
        <v>2487.9593940598998</v>
      </c>
      <c r="BL60" s="587">
        <v>2542.6851438756999</v>
      </c>
      <c r="BM60" s="587">
        <v>2637.156302199201</v>
      </c>
      <c r="BN60" s="587">
        <v>2659.6984717227997</v>
      </c>
      <c r="BO60" s="587">
        <v>2709.0022434984012</v>
      </c>
      <c r="BP60" s="587">
        <v>2910.2628512496999</v>
      </c>
      <c r="BQ60" s="587">
        <v>2917.9134025144999</v>
      </c>
      <c r="BR60" s="587">
        <v>2926.2977547710989</v>
      </c>
      <c r="BS60" s="587">
        <v>3018.2850252375993</v>
      </c>
      <c r="BT60" s="587">
        <v>3055.6996900502513</v>
      </c>
      <c r="BU60" s="587">
        <v>2914.6141085252052</v>
      </c>
      <c r="BV60" s="587">
        <v>2969.5485552010991</v>
      </c>
      <c r="BW60" s="587">
        <v>3001.1978016363205</v>
      </c>
      <c r="BX60" s="587">
        <v>3009.6356242064999</v>
      </c>
      <c r="BY60" s="587">
        <v>3052.7995709551001</v>
      </c>
      <c r="BZ60" s="587">
        <v>3082.6</v>
      </c>
      <c r="CA60" s="587">
        <v>3112.3396293357009</v>
      </c>
      <c r="CB60" s="587">
        <v>3142.4687992971985</v>
      </c>
      <c r="CC60" s="587">
        <v>3151.2523367216018</v>
      </c>
      <c r="CD60" s="587">
        <v>3199.9707890491995</v>
      </c>
      <c r="CE60" s="587">
        <v>3233.8724895027303</v>
      </c>
      <c r="CF60" s="587">
        <v>3267.1263667738085</v>
      </c>
      <c r="CG60" s="587">
        <v>3291.6696433701909</v>
      </c>
      <c r="CH60" s="587">
        <v>3291.9195893411443</v>
      </c>
      <c r="CI60" s="587">
        <v>3298.2474081800005</v>
      </c>
      <c r="CJ60" s="587">
        <v>3247.0803038599997</v>
      </c>
      <c r="CK60" s="587">
        <v>3273.5065260099987</v>
      </c>
      <c r="CL60" s="587">
        <v>3363.7515723800002</v>
      </c>
      <c r="CM60" s="587">
        <v>3333.9225746899988</v>
      </c>
      <c r="CN60" s="587">
        <v>3365.1635800800013</v>
      </c>
      <c r="CO60" s="587">
        <v>3370.533729530001</v>
      </c>
      <c r="CP60" s="587">
        <v>3389.4861993299996</v>
      </c>
      <c r="CQ60" s="587">
        <v>3415.4069981100006</v>
      </c>
      <c r="CR60" s="587">
        <v>3478.2671618199997</v>
      </c>
      <c r="CS60" s="587">
        <v>3535.3164877310041</v>
      </c>
      <c r="CT60" s="587">
        <v>3550.2310994156496</v>
      </c>
      <c r="CU60" s="587">
        <v>3569.4225351789082</v>
      </c>
      <c r="CV60" s="587">
        <v>3600.0251948350265</v>
      </c>
      <c r="CW60" s="587">
        <v>3633.4429546541187</v>
      </c>
      <c r="CX60" s="587">
        <v>3666.376880302822</v>
      </c>
      <c r="CY60" s="587">
        <v>3689.3286526572901</v>
      </c>
      <c r="CZ60" s="587">
        <v>3711.7613543658294</v>
      </c>
      <c r="DA60" s="587">
        <v>3698.2817866299997</v>
      </c>
      <c r="DB60" s="797">
        <v>3710.6487160171123</v>
      </c>
      <c r="DC60" s="797">
        <v>3722.2408185513746</v>
      </c>
      <c r="DD60" s="797">
        <v>3729.7986596067994</v>
      </c>
      <c r="DE60" s="797">
        <v>3742.1958524304314</v>
      </c>
      <c r="DF60" s="797">
        <v>3763.5478403285319</v>
      </c>
      <c r="DG60" s="797">
        <v>3765.4714972500005</v>
      </c>
      <c r="DH60" s="797">
        <v>3792.1831730811409</v>
      </c>
      <c r="DI60" s="797">
        <v>3816.5657022244991</v>
      </c>
      <c r="DJ60" s="797">
        <v>3836.4236609676232</v>
      </c>
      <c r="DK60" s="797">
        <v>3850.6431305508718</v>
      </c>
      <c r="DL60" s="797">
        <v>3879.1829208322661</v>
      </c>
      <c r="DM60" s="797">
        <v>3892.3074332544079</v>
      </c>
      <c r="DN60" s="797">
        <v>3868.4518267619737</v>
      </c>
      <c r="DO60" s="797">
        <v>3881.805659610583</v>
      </c>
      <c r="DP60" s="797">
        <v>3943.6747582254011</v>
      </c>
      <c r="DQ60" s="797">
        <v>3993.9968963578754</v>
      </c>
      <c r="DR60" s="797">
        <v>4010.447521586113</v>
      </c>
    </row>
    <row r="61" spans="1:122" ht="15.95" customHeight="1">
      <c r="A61" s="793" t="s">
        <v>2425</v>
      </c>
      <c r="B61" s="794">
        <v>9.9808426500000014</v>
      </c>
      <c r="C61" s="664">
        <v>9.8149648499999991</v>
      </c>
      <c r="D61" s="664">
        <v>9.7280374600000012</v>
      </c>
      <c r="E61" s="593">
        <v>8.1770788599999999</v>
      </c>
      <c r="F61" s="664">
        <v>7.89085693</v>
      </c>
      <c r="G61" s="664">
        <v>7.9313178000000004</v>
      </c>
      <c r="H61" s="664">
        <v>5.4065174000000003</v>
      </c>
      <c r="I61" s="664">
        <v>5.4201941600000003</v>
      </c>
      <c r="J61" s="664">
        <v>5.4044984700000009</v>
      </c>
      <c r="K61" s="593">
        <v>5.3770552399999998</v>
      </c>
      <c r="L61" s="664">
        <v>5.38715878</v>
      </c>
      <c r="M61" s="664">
        <v>5.3601309100000005</v>
      </c>
      <c r="N61" s="664">
        <v>5.33641407</v>
      </c>
      <c r="O61" s="593">
        <v>5.3114658800000001</v>
      </c>
      <c r="P61" s="664">
        <v>5.2709023200000003</v>
      </c>
      <c r="Q61" s="664">
        <v>8.7580862400000008</v>
      </c>
      <c r="R61" s="593">
        <v>5.2622938399999999</v>
      </c>
      <c r="S61" s="664">
        <v>8.7118640099999993</v>
      </c>
      <c r="T61" s="664">
        <v>8.6888613700000015</v>
      </c>
      <c r="U61" s="795">
        <v>8.6770204100000008</v>
      </c>
      <c r="V61" s="795">
        <v>8.6485261199999997</v>
      </c>
      <c r="W61" s="795">
        <v>8.8464252699999992</v>
      </c>
      <c r="X61" s="795">
        <v>8.2074176200000011</v>
      </c>
      <c r="Y61" s="795">
        <v>8.1960267700000013</v>
      </c>
      <c r="Z61" s="795">
        <v>8.399846890000001</v>
      </c>
      <c r="AA61" s="795">
        <v>8.3869613200000011</v>
      </c>
      <c r="AB61" s="795">
        <v>8.3944371999999987</v>
      </c>
      <c r="AC61" s="795">
        <v>8.4671845700000006</v>
      </c>
      <c r="AD61" s="795">
        <v>8.4482525299999995</v>
      </c>
      <c r="AE61" s="795">
        <v>4.9780152500000003</v>
      </c>
      <c r="AF61" s="795">
        <v>7.2950473499999999</v>
      </c>
      <c r="AG61" s="795">
        <v>7.672283199999999</v>
      </c>
      <c r="AH61" s="795">
        <v>4.9625663800000002</v>
      </c>
      <c r="AI61" s="795">
        <v>5.0275298199999989</v>
      </c>
      <c r="AJ61" s="795">
        <v>4.8951895499999996</v>
      </c>
      <c r="AK61" s="795">
        <v>8.3795621199999992</v>
      </c>
      <c r="AL61" s="795">
        <v>4.5342190700000007</v>
      </c>
      <c r="AM61" s="666">
        <v>7.5664676000000002</v>
      </c>
      <c r="AN61" s="666">
        <v>7.5585472100000004</v>
      </c>
      <c r="AO61" s="666">
        <v>3.1547836600000001</v>
      </c>
      <c r="AP61" s="666">
        <v>2.9795511999999995</v>
      </c>
      <c r="AQ61" s="666">
        <v>2.6668689900000002</v>
      </c>
      <c r="AR61" s="794">
        <v>2.8384443800000003</v>
      </c>
      <c r="AS61" s="794">
        <v>2.7407553500000001</v>
      </c>
      <c r="AT61" s="794">
        <v>2.3255312999999997</v>
      </c>
      <c r="AU61" s="794">
        <v>2.3075071199999999</v>
      </c>
      <c r="AV61" s="794">
        <v>2.3237800000000002</v>
      </c>
      <c r="AW61" s="587">
        <v>2.3132649199999999</v>
      </c>
      <c r="AX61" s="587">
        <v>2.3129326099999998</v>
      </c>
      <c r="AY61" s="587">
        <v>2.2579218299999999</v>
      </c>
      <c r="AZ61" s="587">
        <v>2.2117266200000003</v>
      </c>
      <c r="BA61" s="587">
        <v>2.2284190699999997</v>
      </c>
      <c r="BB61" s="587">
        <v>2.2283840000000001</v>
      </c>
      <c r="BC61" s="587">
        <v>2.2134575699999997</v>
      </c>
      <c r="BD61" s="587">
        <v>2.01994265</v>
      </c>
      <c r="BE61" s="587">
        <v>2.04378269</v>
      </c>
      <c r="BF61" s="587">
        <v>2.1678721899999998</v>
      </c>
      <c r="BG61" s="587">
        <v>3.1071423899999995</v>
      </c>
      <c r="BH61" s="587">
        <v>3.4835488300000002</v>
      </c>
      <c r="BI61" s="587">
        <v>3.6076444700000003</v>
      </c>
      <c r="BJ61" s="587">
        <v>3.4998180700000003</v>
      </c>
      <c r="BK61" s="587">
        <v>3.4727188900000003</v>
      </c>
      <c r="BL61" s="587">
        <v>3.4736296499999999</v>
      </c>
      <c r="BM61" s="587">
        <v>3.4559141900000001</v>
      </c>
      <c r="BN61" s="587">
        <v>3.4565265700000003</v>
      </c>
      <c r="BO61" s="587">
        <v>3.4388177099999999</v>
      </c>
      <c r="BP61" s="587">
        <v>0.94530492999999993</v>
      </c>
      <c r="BQ61" s="587">
        <v>0.69698305000000005</v>
      </c>
      <c r="BR61" s="587">
        <v>0.92583046000000013</v>
      </c>
      <c r="BS61" s="587">
        <v>1.0274726699999999</v>
      </c>
      <c r="BT61" s="587">
        <v>0.99933654000000005</v>
      </c>
      <c r="BU61" s="587">
        <v>1.00845549</v>
      </c>
      <c r="BV61" s="587">
        <v>1.0014700599999999</v>
      </c>
      <c r="BW61" s="587">
        <v>1.0112683599999999</v>
      </c>
      <c r="BX61" s="587">
        <v>1.004265</v>
      </c>
      <c r="BY61" s="587">
        <v>1.014052</v>
      </c>
      <c r="BZ61" s="587">
        <v>1</v>
      </c>
      <c r="CA61" s="587">
        <v>1.00649448</v>
      </c>
      <c r="CB61" s="587">
        <v>1.20555335</v>
      </c>
      <c r="CC61" s="587">
        <v>1.00547502</v>
      </c>
      <c r="CD61" s="587">
        <v>0.97817841999999999</v>
      </c>
      <c r="CE61" s="587">
        <v>1.4192554499999999</v>
      </c>
      <c r="CF61" s="587">
        <v>2.72232545</v>
      </c>
      <c r="CG61" s="587">
        <v>2.6961549000000002</v>
      </c>
      <c r="CH61" s="587">
        <v>2.6462249499999997</v>
      </c>
      <c r="CI61" s="587">
        <v>7.4809402800000004</v>
      </c>
      <c r="CJ61" s="587">
        <v>7.47466527</v>
      </c>
      <c r="CK61" s="587">
        <v>7.4792752100000008</v>
      </c>
      <c r="CL61" s="587">
        <v>9.8450686400000009</v>
      </c>
      <c r="CM61" s="587">
        <v>9.8834158899999984</v>
      </c>
      <c r="CN61" s="587">
        <v>10.577841759999998</v>
      </c>
      <c r="CO61" s="587">
        <v>10.606186959999999</v>
      </c>
      <c r="CP61" s="587">
        <v>11.113459800000001</v>
      </c>
      <c r="CQ61" s="587">
        <v>11.630131799999999</v>
      </c>
      <c r="CR61" s="587">
        <v>11.668199100000001</v>
      </c>
      <c r="CS61" s="587">
        <v>14.11259476</v>
      </c>
      <c r="CT61" s="587">
        <v>13.771408560000001</v>
      </c>
      <c r="CU61" s="587">
        <v>13.791556040000001</v>
      </c>
      <c r="CV61" s="587">
        <v>13.465634830000001</v>
      </c>
      <c r="CW61" s="587">
        <v>13.637862629999999</v>
      </c>
      <c r="CX61" s="587">
        <v>13.624181800000001</v>
      </c>
      <c r="CY61" s="587">
        <v>13.691553900000001</v>
      </c>
      <c r="CZ61" s="587">
        <v>13.754211829999997</v>
      </c>
      <c r="DA61" s="587">
        <v>13.840621050000001</v>
      </c>
      <c r="DB61" s="797">
        <v>13.898299640000001</v>
      </c>
      <c r="DC61" s="797">
        <v>14.355154859999999</v>
      </c>
      <c r="DD61" s="797">
        <v>14.43653331</v>
      </c>
      <c r="DE61" s="797">
        <v>14.526087310000001</v>
      </c>
      <c r="DF61" s="797">
        <v>14.68507235</v>
      </c>
      <c r="DG61" s="797">
        <v>14.850357089999999</v>
      </c>
      <c r="DH61" s="797">
        <v>1.0195993400000001</v>
      </c>
      <c r="DI61" s="797">
        <v>1.0408702999999999</v>
      </c>
      <c r="DJ61" s="797">
        <v>1.1129144599999998</v>
      </c>
      <c r="DK61" s="797">
        <v>1.5396999999999999E-4</v>
      </c>
      <c r="DL61" s="797">
        <v>2.0297999999999998E-4</v>
      </c>
      <c r="DM61" s="797">
        <v>3.5261E-4</v>
      </c>
      <c r="DN61" s="797">
        <v>2E-8</v>
      </c>
      <c r="DO61" s="797">
        <v>2E-8</v>
      </c>
      <c r="DP61" s="797">
        <v>3.6757000000000001E-4</v>
      </c>
      <c r="DQ61" s="797">
        <v>22.760017780000002</v>
      </c>
      <c r="DR61" s="797">
        <v>23.148707759999997</v>
      </c>
    </row>
    <row r="62" spans="1:122" ht="15.95" customHeight="1">
      <c r="A62" s="793" t="s">
        <v>2426</v>
      </c>
      <c r="B62" s="794">
        <v>294.50537011</v>
      </c>
      <c r="C62" s="664">
        <v>309.22604920999999</v>
      </c>
      <c r="D62" s="664">
        <v>307.83309158000003</v>
      </c>
      <c r="E62" s="593">
        <v>306.58122959999997</v>
      </c>
      <c r="F62" s="664">
        <v>306.58356157999998</v>
      </c>
      <c r="G62" s="664">
        <v>306.90930859999997</v>
      </c>
      <c r="H62" s="664">
        <v>292.20769429999996</v>
      </c>
      <c r="I62" s="664">
        <v>291.44275493999993</v>
      </c>
      <c r="J62" s="664">
        <v>287.71508945000005</v>
      </c>
      <c r="K62" s="593">
        <v>286.11354533000002</v>
      </c>
      <c r="L62" s="664">
        <v>284.09246360000003</v>
      </c>
      <c r="M62" s="664">
        <v>288.90431547000003</v>
      </c>
      <c r="N62" s="664">
        <v>289.67582743000003</v>
      </c>
      <c r="O62" s="593">
        <v>285.62669486999999</v>
      </c>
      <c r="P62" s="664">
        <v>282.00744011</v>
      </c>
      <c r="Q62" s="664">
        <v>284.71647494000001</v>
      </c>
      <c r="R62" s="593">
        <v>286.71388327999995</v>
      </c>
      <c r="S62" s="664">
        <v>282.67293098000005</v>
      </c>
      <c r="T62" s="664">
        <v>270.42824202999998</v>
      </c>
      <c r="U62" s="795">
        <v>279.42851538999997</v>
      </c>
      <c r="V62" s="795">
        <v>280.20051742999999</v>
      </c>
      <c r="W62" s="795">
        <v>279.26243044</v>
      </c>
      <c r="X62" s="795">
        <v>278.66283408000004</v>
      </c>
      <c r="Y62" s="795">
        <v>276.25474016999999</v>
      </c>
      <c r="Z62" s="795">
        <v>292.25515937</v>
      </c>
      <c r="AA62" s="795">
        <v>297.73404515999999</v>
      </c>
      <c r="AB62" s="795">
        <v>324.86315264999996</v>
      </c>
      <c r="AC62" s="795">
        <v>340.37277509000006</v>
      </c>
      <c r="AD62" s="795">
        <v>427.51742122000002</v>
      </c>
      <c r="AE62" s="795">
        <v>440.68611987000003</v>
      </c>
      <c r="AF62" s="795">
        <v>415.26327158000004</v>
      </c>
      <c r="AG62" s="795">
        <v>407.08002520000002</v>
      </c>
      <c r="AH62" s="795">
        <v>403.79710920000002</v>
      </c>
      <c r="AI62" s="795">
        <v>405.45311278999998</v>
      </c>
      <c r="AJ62" s="795">
        <v>406.04402293999993</v>
      </c>
      <c r="AK62" s="795">
        <v>426.74817350000001</v>
      </c>
      <c r="AL62" s="795">
        <v>505.87953292999998</v>
      </c>
      <c r="AM62" s="666">
        <v>485.03210646000002</v>
      </c>
      <c r="AN62" s="666">
        <v>1558.2646258699999</v>
      </c>
      <c r="AO62" s="666">
        <v>1589.7636474600001</v>
      </c>
      <c r="AP62" s="666">
        <v>1494.6753104200002</v>
      </c>
      <c r="AQ62" s="666">
        <v>1499.8570238099999</v>
      </c>
      <c r="AR62" s="794">
        <v>2393.90315057</v>
      </c>
      <c r="AS62" s="794">
        <v>2340.9249284499997</v>
      </c>
      <c r="AT62" s="794">
        <v>2326.9402252</v>
      </c>
      <c r="AU62" s="794">
        <v>2327.8791736200001</v>
      </c>
      <c r="AV62" s="794">
        <v>2059.5995445500002</v>
      </c>
      <c r="AW62" s="587">
        <v>2446.6309702100002</v>
      </c>
      <c r="AX62" s="587">
        <v>2497.6059817300002</v>
      </c>
      <c r="AY62" s="587">
        <v>2480.5561823799994</v>
      </c>
      <c r="AZ62" s="587">
        <v>2482.2471686399999</v>
      </c>
      <c r="BA62" s="587">
        <v>2543.9018218299998</v>
      </c>
      <c r="BB62" s="587">
        <v>1322.3910939599998</v>
      </c>
      <c r="BC62" s="587">
        <v>1322.19017633</v>
      </c>
      <c r="BD62" s="587">
        <v>1348.0704138599999</v>
      </c>
      <c r="BE62" s="587">
        <v>1402.46238877</v>
      </c>
      <c r="BF62" s="587">
        <v>1440.7662939900001</v>
      </c>
      <c r="BG62" s="587">
        <v>1373.0354699</v>
      </c>
      <c r="BH62" s="587">
        <v>1373.0519666299999</v>
      </c>
      <c r="BI62" s="587">
        <v>1439.0419675099997</v>
      </c>
      <c r="BJ62" s="587">
        <v>1445.6863327900001</v>
      </c>
      <c r="BK62" s="587">
        <v>1444.1156218800002</v>
      </c>
      <c r="BL62" s="587">
        <v>1355.31208773</v>
      </c>
      <c r="BM62" s="587">
        <v>1383.47868221</v>
      </c>
      <c r="BN62" s="587">
        <v>1385.4216584799999</v>
      </c>
      <c r="BO62" s="587">
        <v>1384.8326780499999</v>
      </c>
      <c r="BP62" s="587">
        <v>1384.0214552899999</v>
      </c>
      <c r="BQ62" s="587">
        <v>1380.7156107399999</v>
      </c>
      <c r="BR62" s="587">
        <v>1359.9752064500001</v>
      </c>
      <c r="BS62" s="587">
        <v>1366.1160118599998</v>
      </c>
      <c r="BT62" s="587">
        <v>1364.8385442499998</v>
      </c>
      <c r="BU62" s="587">
        <v>1365.6719042499999</v>
      </c>
      <c r="BV62" s="587">
        <v>1370.8775303800003</v>
      </c>
      <c r="BW62" s="587">
        <v>1373.10277232</v>
      </c>
      <c r="BX62" s="587">
        <v>1372.4082202300001</v>
      </c>
      <c r="BY62" s="587">
        <v>1379.5487195599999</v>
      </c>
      <c r="BZ62" s="587">
        <v>1378.3</v>
      </c>
      <c r="CA62" s="587">
        <v>1379.76744214</v>
      </c>
      <c r="CB62" s="587">
        <v>1380.1239040200001</v>
      </c>
      <c r="CC62" s="587">
        <v>1391.0661241199998</v>
      </c>
      <c r="CD62" s="587">
        <v>1389.9123051515003</v>
      </c>
      <c r="CE62" s="587">
        <v>1388.8680658599999</v>
      </c>
      <c r="CF62" s="587">
        <v>1391.1056217500002</v>
      </c>
      <c r="CG62" s="587">
        <v>1392.4293216400004</v>
      </c>
      <c r="CH62" s="587">
        <v>1395.1148538914999</v>
      </c>
      <c r="CI62" s="587">
        <v>1395.2045185099</v>
      </c>
      <c r="CJ62" s="587">
        <v>1419.2337149098998</v>
      </c>
      <c r="CK62" s="587">
        <v>1420.5669980799998</v>
      </c>
      <c r="CL62" s="587">
        <v>1419.2120360900001</v>
      </c>
      <c r="CM62" s="587">
        <v>1415.7956043400002</v>
      </c>
      <c r="CN62" s="587">
        <v>1417.2814561599998</v>
      </c>
      <c r="CO62" s="587">
        <v>1416.991272</v>
      </c>
      <c r="CP62" s="587">
        <v>1415.86874719</v>
      </c>
      <c r="CQ62" s="587">
        <v>1415.2641105599998</v>
      </c>
      <c r="CR62" s="587">
        <v>1414.5041604899998</v>
      </c>
      <c r="CS62" s="587">
        <v>1414.34517274</v>
      </c>
      <c r="CT62" s="587">
        <v>1414.1375922699999</v>
      </c>
      <c r="CU62" s="587">
        <v>1396.59802132</v>
      </c>
      <c r="CV62" s="587">
        <v>1396.5538977799999</v>
      </c>
      <c r="CW62" s="587">
        <v>1394.39272974</v>
      </c>
      <c r="CX62" s="587">
        <v>1397.9757551</v>
      </c>
      <c r="CY62" s="587">
        <v>1397.65335224</v>
      </c>
      <c r="CZ62" s="587">
        <v>1505.0988326500001</v>
      </c>
      <c r="DA62" s="587">
        <v>1400.7483568</v>
      </c>
      <c r="DB62" s="797">
        <v>1401.3853642700001</v>
      </c>
      <c r="DC62" s="797">
        <v>1396.8052459999999</v>
      </c>
      <c r="DD62" s="797">
        <v>1093.8735589999999</v>
      </c>
      <c r="DE62" s="797">
        <v>1093.3909699999999</v>
      </c>
      <c r="DF62" s="797">
        <v>1093.6664270000001</v>
      </c>
      <c r="DG62" s="797">
        <v>1093.3610409999999</v>
      </c>
      <c r="DH62" s="797">
        <v>1092.9022299999999</v>
      </c>
      <c r="DI62" s="797">
        <v>1091.370197</v>
      </c>
      <c r="DJ62" s="797">
        <v>1092.0035129999999</v>
      </c>
      <c r="DK62" s="797">
        <v>1090.647729</v>
      </c>
      <c r="DL62" s="797">
        <v>1091.4013950000001</v>
      </c>
      <c r="DM62" s="797">
        <v>1088.0948920000001</v>
      </c>
      <c r="DN62" s="797">
        <v>1085.602789</v>
      </c>
      <c r="DO62" s="797">
        <v>1073.946416</v>
      </c>
      <c r="DP62" s="797">
        <v>1071.9176910000001</v>
      </c>
      <c r="DQ62" s="797">
        <v>1200.443988</v>
      </c>
      <c r="DR62" s="797">
        <v>1072.1712849999999</v>
      </c>
    </row>
    <row r="63" spans="1:122" ht="15.95" customHeight="1">
      <c r="A63" s="793" t="s">
        <v>2427</v>
      </c>
      <c r="B63" s="794">
        <v>0</v>
      </c>
      <c r="C63" s="664">
        <v>0</v>
      </c>
      <c r="D63" s="664">
        <v>0</v>
      </c>
      <c r="E63" s="593">
        <v>0</v>
      </c>
      <c r="F63" s="664">
        <v>0</v>
      </c>
      <c r="G63" s="664">
        <v>0</v>
      </c>
      <c r="H63" s="664">
        <v>0</v>
      </c>
      <c r="I63" s="664">
        <v>0</v>
      </c>
      <c r="J63" s="664">
        <v>0.20513799999999999</v>
      </c>
      <c r="K63" s="593">
        <v>0.2</v>
      </c>
      <c r="L63" s="664">
        <v>0.395428</v>
      </c>
      <c r="M63" s="664">
        <v>0.39283400000000002</v>
      </c>
      <c r="N63" s="664">
        <v>0.39283400000000002</v>
      </c>
      <c r="O63" s="593">
        <v>0.38978099999999999</v>
      </c>
      <c r="P63" s="664">
        <v>1.1624669999999999</v>
      </c>
      <c r="Q63" s="664">
        <v>2.1069800000000001</v>
      </c>
      <c r="R63" s="593">
        <v>0.71001499999999995</v>
      </c>
      <c r="S63" s="664">
        <v>46.532303450629996</v>
      </c>
      <c r="T63" s="664">
        <v>45.416089142500006</v>
      </c>
      <c r="U63" s="795">
        <v>45.697390117930006</v>
      </c>
      <c r="V63" s="795">
        <v>45.854682412525001</v>
      </c>
      <c r="W63" s="795">
        <v>46.653371876400001</v>
      </c>
      <c r="X63" s="795">
        <v>47.848470621609991</v>
      </c>
      <c r="Y63" s="795">
        <v>48.277402693775997</v>
      </c>
      <c r="Z63" s="795">
        <v>67.329248030683999</v>
      </c>
      <c r="AA63" s="795">
        <v>67.488079579203344</v>
      </c>
      <c r="AB63" s="795">
        <v>70.492799647650003</v>
      </c>
      <c r="AC63" s="795">
        <v>69.551865608000014</v>
      </c>
      <c r="AD63" s="795">
        <v>132.20860703531503</v>
      </c>
      <c r="AE63" s="795">
        <v>105.88370750471934</v>
      </c>
      <c r="AF63" s="795">
        <v>107.670793580375</v>
      </c>
      <c r="AG63" s="795">
        <v>104.81736885385999</v>
      </c>
      <c r="AH63" s="795">
        <v>105.5450898898</v>
      </c>
      <c r="AI63" s="795">
        <v>232.64868494712002</v>
      </c>
      <c r="AJ63" s="795">
        <v>230.82875473394</v>
      </c>
      <c r="AK63" s="795">
        <v>235.08344324411999</v>
      </c>
      <c r="AL63" s="795">
        <v>216.1114739425</v>
      </c>
      <c r="AM63" s="666">
        <v>228.49271256343002</v>
      </c>
      <c r="AN63" s="666">
        <v>231.99992283203798</v>
      </c>
      <c r="AO63" s="666">
        <v>240.880553185</v>
      </c>
      <c r="AP63" s="666">
        <v>260.02803533600098</v>
      </c>
      <c r="AQ63" s="666">
        <v>236.27924863472998</v>
      </c>
      <c r="AR63" s="794">
        <v>247.27114239359997</v>
      </c>
      <c r="AS63" s="794">
        <v>237.46919503000004</v>
      </c>
      <c r="AT63" s="794">
        <v>292.92546086686394</v>
      </c>
      <c r="AU63" s="794">
        <v>305.225745824</v>
      </c>
      <c r="AV63" s="794">
        <v>307.643986477</v>
      </c>
      <c r="AW63" s="587">
        <v>297.10204076880001</v>
      </c>
      <c r="AX63" s="587">
        <v>250.42772057763196</v>
      </c>
      <c r="AY63" s="587">
        <v>270.51253293860009</v>
      </c>
      <c r="AZ63" s="587">
        <v>282.52861379639995</v>
      </c>
      <c r="BA63" s="587">
        <v>243.24641008452002</v>
      </c>
      <c r="BB63" s="587">
        <v>239.28703368490002</v>
      </c>
      <c r="BC63" s="587">
        <v>245.07685800317304</v>
      </c>
      <c r="BD63" s="587">
        <v>240.2716544996</v>
      </c>
      <c r="BE63" s="587">
        <v>298.59197900605301</v>
      </c>
      <c r="BF63" s="587">
        <v>256.12390377997502</v>
      </c>
      <c r="BG63" s="587">
        <v>259.88479059079998</v>
      </c>
      <c r="BH63" s="587">
        <v>255.41131892890596</v>
      </c>
      <c r="BI63" s="587">
        <v>266.76454516393204</v>
      </c>
      <c r="BJ63" s="587">
        <v>279.52291911155703</v>
      </c>
      <c r="BK63" s="587">
        <v>293.71030543915901</v>
      </c>
      <c r="BL63" s="587">
        <v>289.75037822088899</v>
      </c>
      <c r="BM63" s="587">
        <v>277.455306652204</v>
      </c>
      <c r="BN63" s="587">
        <v>343.447145507264</v>
      </c>
      <c r="BO63" s="587">
        <v>273.87357951407199</v>
      </c>
      <c r="BP63" s="587">
        <v>398.72208677236495</v>
      </c>
      <c r="BQ63" s="587">
        <v>637.82022482507693</v>
      </c>
      <c r="BR63" s="587">
        <v>816.22195751804202</v>
      </c>
      <c r="BS63" s="587">
        <v>1017.4135711990721</v>
      </c>
      <c r="BT63" s="587">
        <v>1189.2738507081549</v>
      </c>
      <c r="BU63" s="587">
        <v>1188.075049111598</v>
      </c>
      <c r="BV63" s="587">
        <v>1342.4756343356039</v>
      </c>
      <c r="BW63" s="587">
        <v>1646.6930746732751</v>
      </c>
      <c r="BX63" s="587">
        <v>2004.533338615</v>
      </c>
      <c r="BY63" s="587">
        <v>2355.5691974860001</v>
      </c>
      <c r="BZ63" s="587">
        <v>2422.1</v>
      </c>
      <c r="CA63" s="587">
        <v>2697.408163623033</v>
      </c>
      <c r="CB63" s="587">
        <v>691.15808217716403</v>
      </c>
      <c r="CC63" s="587">
        <v>717.11172945798</v>
      </c>
      <c r="CD63" s="587">
        <v>719.78197362128196</v>
      </c>
      <c r="CE63" s="587">
        <v>720.98173912270659</v>
      </c>
      <c r="CF63" s="587">
        <v>723.46041874714194</v>
      </c>
      <c r="CG63" s="587">
        <v>733.45360677763665</v>
      </c>
      <c r="CH63" s="587">
        <v>832.72349062846331</v>
      </c>
      <c r="CI63" s="587">
        <v>801.48684113467868</v>
      </c>
      <c r="CJ63" s="587">
        <v>879.02064366914192</v>
      </c>
      <c r="CK63" s="587">
        <v>899.08549744400193</v>
      </c>
      <c r="CL63" s="587">
        <v>906.8845209212102</v>
      </c>
      <c r="CM63" s="587">
        <v>1021.5683065521119</v>
      </c>
      <c r="CN63" s="587">
        <v>1030.2582549933056</v>
      </c>
      <c r="CO63" s="587">
        <v>1038.173754228915</v>
      </c>
      <c r="CP63" s="587">
        <v>1043.8404766330998</v>
      </c>
      <c r="CQ63" s="587">
        <v>1054.1377189657255</v>
      </c>
      <c r="CR63" s="587">
        <v>987.03765326873997</v>
      </c>
      <c r="CS63" s="587">
        <v>1111.6598963793301</v>
      </c>
      <c r="CT63" s="587">
        <v>1067.75626788</v>
      </c>
      <c r="CU63" s="587">
        <v>1050.1460565899999</v>
      </c>
      <c r="CV63" s="587">
        <v>1032.2639547900001</v>
      </c>
      <c r="CW63" s="587">
        <v>1055.0663191595315</v>
      </c>
      <c r="CX63" s="587">
        <v>1106.154974281322</v>
      </c>
      <c r="CY63" s="587">
        <v>1089.2936650036499</v>
      </c>
      <c r="CZ63" s="587">
        <v>1092.6400797914728</v>
      </c>
      <c r="DA63" s="587">
        <v>1019.41790156</v>
      </c>
      <c r="DB63" s="797">
        <v>1023.7252654399999</v>
      </c>
      <c r="DC63" s="797">
        <v>989.77706490000003</v>
      </c>
      <c r="DD63" s="797">
        <v>960.5135567296461</v>
      </c>
      <c r="DE63" s="797">
        <v>1023.6908026400001</v>
      </c>
      <c r="DF63" s="797">
        <v>1118.7979761600002</v>
      </c>
      <c r="DG63" s="797">
        <v>1105.42826992</v>
      </c>
      <c r="DH63" s="797">
        <v>1107.0486688999999</v>
      </c>
      <c r="DI63" s="797">
        <v>1056.06632952</v>
      </c>
      <c r="DJ63" s="797">
        <v>1048.8202224499998</v>
      </c>
      <c r="DK63" s="797">
        <v>1070.5721250699999</v>
      </c>
      <c r="DL63" s="797">
        <v>1077.9510218600001</v>
      </c>
      <c r="DM63" s="797">
        <v>1130.8041694799999</v>
      </c>
      <c r="DN63" s="797">
        <v>1126.3098050900001</v>
      </c>
      <c r="DO63" s="797">
        <v>1095.2180860800001</v>
      </c>
      <c r="DP63" s="797">
        <v>1064.409956</v>
      </c>
      <c r="DQ63" s="797">
        <v>1027.54847786</v>
      </c>
      <c r="DR63" s="797">
        <v>1110.8359566699999</v>
      </c>
    </row>
    <row r="64" spans="1:122" ht="15.95" customHeight="1">
      <c r="A64" s="793" t="s">
        <v>2428</v>
      </c>
      <c r="B64" s="794">
        <v>549.71802000000002</v>
      </c>
      <c r="C64" s="664">
        <v>696.68651899999986</v>
      </c>
      <c r="D64" s="664">
        <v>638.79334668000001</v>
      </c>
      <c r="E64" s="593">
        <v>644.70483925999997</v>
      </c>
      <c r="F64" s="664">
        <v>586.74018040999999</v>
      </c>
      <c r="G64" s="664">
        <v>733.00387278000017</v>
      </c>
      <c r="H64" s="664">
        <v>792.88652451999997</v>
      </c>
      <c r="I64" s="664">
        <v>782.05659328000002</v>
      </c>
      <c r="J64" s="664">
        <v>826.35706493000009</v>
      </c>
      <c r="K64" s="593">
        <v>707.45955255999991</v>
      </c>
      <c r="L64" s="664">
        <v>725.54649027000005</v>
      </c>
      <c r="M64" s="664">
        <v>711.18432359000008</v>
      </c>
      <c r="N64" s="664">
        <v>693.41795595000008</v>
      </c>
      <c r="O64" s="593">
        <v>754.83476208000002</v>
      </c>
      <c r="P64" s="664">
        <v>692.88464036000005</v>
      </c>
      <c r="Q64" s="664">
        <v>822.22808474999999</v>
      </c>
      <c r="R64" s="593">
        <v>866.54725947110012</v>
      </c>
      <c r="S64" s="664">
        <v>820.20297935999986</v>
      </c>
      <c r="T64" s="664">
        <v>803.27360246000001</v>
      </c>
      <c r="U64" s="795">
        <v>813.29766709</v>
      </c>
      <c r="V64" s="795">
        <v>816.58247028000005</v>
      </c>
      <c r="W64" s="795">
        <v>807.34459677999996</v>
      </c>
      <c r="X64" s="795">
        <v>799.99863003999997</v>
      </c>
      <c r="Y64" s="795">
        <v>718.30319977000011</v>
      </c>
      <c r="Z64" s="795">
        <v>928.59953433999988</v>
      </c>
      <c r="AA64" s="795">
        <v>937.40553345000001</v>
      </c>
      <c r="AB64" s="795">
        <v>930.1391129299999</v>
      </c>
      <c r="AC64" s="795">
        <v>983.11990701000002</v>
      </c>
      <c r="AD64" s="795">
        <v>971.26467135999997</v>
      </c>
      <c r="AE64" s="795">
        <v>1001.64040087</v>
      </c>
      <c r="AF64" s="795">
        <v>1003.78871537</v>
      </c>
      <c r="AG64" s="795">
        <v>1003.7396825099999</v>
      </c>
      <c r="AH64" s="795">
        <v>1031.34612178</v>
      </c>
      <c r="AI64" s="795">
        <v>842.97370915999988</v>
      </c>
      <c r="AJ64" s="795">
        <v>812.24615616999995</v>
      </c>
      <c r="AK64" s="795">
        <v>603.36682326999994</v>
      </c>
      <c r="AL64" s="795">
        <v>598.3713905699999</v>
      </c>
      <c r="AM64" s="666">
        <v>606.06347870000002</v>
      </c>
      <c r="AN64" s="666">
        <v>593.70921620000001</v>
      </c>
      <c r="AO64" s="666">
        <v>639.95014982999987</v>
      </c>
      <c r="AP64" s="666">
        <v>598.256936569</v>
      </c>
      <c r="AQ64" s="666">
        <v>599.07373795180001</v>
      </c>
      <c r="AR64" s="794">
        <v>671.72101844120004</v>
      </c>
      <c r="AS64" s="794">
        <v>695.72690526999997</v>
      </c>
      <c r="AT64" s="794">
        <v>628.89181501120004</v>
      </c>
      <c r="AU64" s="794">
        <v>614.20757529139996</v>
      </c>
      <c r="AV64" s="794">
        <v>574.28353460499989</v>
      </c>
      <c r="AW64" s="587">
        <v>560.68422718240004</v>
      </c>
      <c r="AX64" s="587">
        <v>645.27885286679998</v>
      </c>
      <c r="AY64" s="587">
        <v>616.8338107843</v>
      </c>
      <c r="AZ64" s="587">
        <v>607.01744748090005</v>
      </c>
      <c r="BA64" s="587">
        <v>602.38526572299997</v>
      </c>
      <c r="BB64" s="587">
        <v>614.539236104</v>
      </c>
      <c r="BC64" s="587">
        <v>632.00968978920002</v>
      </c>
      <c r="BD64" s="587">
        <v>721.03173345519986</v>
      </c>
      <c r="BE64" s="587">
        <v>753.75245776349982</v>
      </c>
      <c r="BF64" s="587">
        <v>882.23907725499998</v>
      </c>
      <c r="BG64" s="587">
        <v>896.71026415999995</v>
      </c>
      <c r="BH64" s="587">
        <v>927.23789174800015</v>
      </c>
      <c r="BI64" s="587">
        <v>777.2604059726001</v>
      </c>
      <c r="BJ64" s="587">
        <v>938.45391406529995</v>
      </c>
      <c r="BK64" s="587">
        <v>818.45527172909999</v>
      </c>
      <c r="BL64" s="587">
        <v>786.29643005219998</v>
      </c>
      <c r="BM64" s="587">
        <v>935.91765644940017</v>
      </c>
      <c r="BN64" s="587">
        <v>896.85316478279992</v>
      </c>
      <c r="BO64" s="587">
        <v>843.47685015280001</v>
      </c>
      <c r="BP64" s="587">
        <v>811.35715418539996</v>
      </c>
      <c r="BQ64" s="587">
        <v>957.23400288240009</v>
      </c>
      <c r="BR64" s="587">
        <v>705.23344926199991</v>
      </c>
      <c r="BS64" s="587">
        <v>688.6951387900001</v>
      </c>
      <c r="BT64" s="587">
        <v>773.26000557167004</v>
      </c>
      <c r="BU64" s="587">
        <v>927.69110650116602</v>
      </c>
      <c r="BV64" s="587">
        <v>930.17612321315789</v>
      </c>
      <c r="BW64" s="587">
        <v>881.59767940023505</v>
      </c>
      <c r="BX64" s="587">
        <v>818.86442002799993</v>
      </c>
      <c r="BY64" s="587">
        <v>731.37743129109992</v>
      </c>
      <c r="BZ64" s="587">
        <v>750.3</v>
      </c>
      <c r="CA64" s="587">
        <v>737.15373804559999</v>
      </c>
      <c r="CB64" s="587">
        <v>734.18520579360006</v>
      </c>
      <c r="CC64" s="587">
        <v>921.91695225066996</v>
      </c>
      <c r="CD64" s="587">
        <v>749.4697966341281</v>
      </c>
      <c r="CE64" s="587">
        <v>779.55187434269965</v>
      </c>
      <c r="CF64" s="587">
        <v>743.04435423856364</v>
      </c>
      <c r="CG64" s="587">
        <v>658.68847528270999</v>
      </c>
      <c r="CH64" s="587">
        <v>715.56691509104769</v>
      </c>
      <c r="CI64" s="587">
        <v>737.39945561116826</v>
      </c>
      <c r="CJ64" s="587">
        <v>722.32744391527206</v>
      </c>
      <c r="CK64" s="587">
        <v>728.18581182387391</v>
      </c>
      <c r="CL64" s="587">
        <v>702.0914089991586</v>
      </c>
      <c r="CM64" s="587">
        <v>703.46917572772008</v>
      </c>
      <c r="CN64" s="587">
        <v>562.81119576563606</v>
      </c>
      <c r="CO64" s="587">
        <v>623.00234604404795</v>
      </c>
      <c r="CP64" s="587">
        <v>568.54883975334985</v>
      </c>
      <c r="CQ64" s="587">
        <v>571.65821758883362</v>
      </c>
      <c r="CR64" s="587">
        <v>573.49589754086503</v>
      </c>
      <c r="CS64" s="587">
        <v>521.98917123526985</v>
      </c>
      <c r="CT64" s="587">
        <v>624.02140040742177</v>
      </c>
      <c r="CU64" s="587">
        <v>564.12743335921937</v>
      </c>
      <c r="CV64" s="587">
        <v>547.45190827908277</v>
      </c>
      <c r="CW64" s="587">
        <v>520.13609651934519</v>
      </c>
      <c r="CX64" s="587">
        <v>499.66604723699106</v>
      </c>
      <c r="CY64" s="587">
        <v>505.48670022399796</v>
      </c>
      <c r="CZ64" s="587">
        <v>516.53068841770198</v>
      </c>
      <c r="DA64" s="587">
        <v>548.42563738626814</v>
      </c>
      <c r="DB64" s="797">
        <v>498.7774743251374</v>
      </c>
      <c r="DC64" s="797">
        <v>521.1287166118741</v>
      </c>
      <c r="DD64" s="797">
        <v>543.23159397000006</v>
      </c>
      <c r="DE64" s="797">
        <v>534.20541866633596</v>
      </c>
      <c r="DF64" s="797">
        <v>586.27281080367709</v>
      </c>
      <c r="DG64" s="797">
        <v>584.55454787058272</v>
      </c>
      <c r="DH64" s="797">
        <v>584.35787180960597</v>
      </c>
      <c r="DI64" s="797">
        <v>579.9877225629001</v>
      </c>
      <c r="DJ64" s="797">
        <v>527.91520157475099</v>
      </c>
      <c r="DK64" s="797">
        <v>538.13852996813205</v>
      </c>
      <c r="DL64" s="797">
        <v>539.9088661322287</v>
      </c>
      <c r="DM64" s="797">
        <v>572.32820262761493</v>
      </c>
      <c r="DN64" s="797">
        <v>547.52000042000009</v>
      </c>
      <c r="DO64" s="797">
        <v>519.99677008999993</v>
      </c>
      <c r="DP64" s="797">
        <v>606.53153344000009</v>
      </c>
      <c r="DQ64" s="797">
        <v>551.6985327000001</v>
      </c>
      <c r="DR64" s="797">
        <v>636.64646244999994</v>
      </c>
    </row>
    <row r="65" spans="1:122" ht="15.95" customHeight="1">
      <c r="A65" s="793" t="s">
        <v>2389</v>
      </c>
      <c r="B65" s="794">
        <v>674.17864708000002</v>
      </c>
      <c r="C65" s="664">
        <v>706.76778059999992</v>
      </c>
      <c r="D65" s="664">
        <v>707.05907008000008</v>
      </c>
      <c r="E65" s="593">
        <v>745.29963460999988</v>
      </c>
      <c r="F65" s="664">
        <v>580.49124470000004</v>
      </c>
      <c r="G65" s="664">
        <v>582.30800992000002</v>
      </c>
      <c r="H65" s="664">
        <v>596.79371203999995</v>
      </c>
      <c r="I65" s="664">
        <v>601.44582905000004</v>
      </c>
      <c r="J65" s="664">
        <v>648.31952114000001</v>
      </c>
      <c r="K65" s="593">
        <v>694.29697771999997</v>
      </c>
      <c r="L65" s="664">
        <v>720.60236027999986</v>
      </c>
      <c r="M65" s="664">
        <v>734.65367463999996</v>
      </c>
      <c r="N65" s="664">
        <v>730.80384248999997</v>
      </c>
      <c r="O65" s="593">
        <v>755.77603908122205</v>
      </c>
      <c r="P65" s="664">
        <v>781.59750591</v>
      </c>
      <c r="Q65" s="664">
        <v>730.71248932999993</v>
      </c>
      <c r="R65" s="593">
        <v>771.89773958000001</v>
      </c>
      <c r="S65" s="664">
        <v>797.59056128999998</v>
      </c>
      <c r="T65" s="664">
        <v>875.31153332999997</v>
      </c>
      <c r="U65" s="795">
        <v>927.79275436000012</v>
      </c>
      <c r="V65" s="795">
        <v>923.37752044000001</v>
      </c>
      <c r="W65" s="795">
        <v>865.38770993000003</v>
      </c>
      <c r="X65" s="795">
        <v>934.72422666000011</v>
      </c>
      <c r="Y65" s="795">
        <v>982.30806139999993</v>
      </c>
      <c r="Z65" s="795">
        <v>913.00096287999997</v>
      </c>
      <c r="AA65" s="795">
        <v>909.44524076000005</v>
      </c>
      <c r="AB65" s="795">
        <v>784.93725673000006</v>
      </c>
      <c r="AC65" s="795">
        <v>767.18885526967188</v>
      </c>
      <c r="AD65" s="795">
        <v>807.95366602000013</v>
      </c>
      <c r="AE65" s="795">
        <v>820.23825711999996</v>
      </c>
      <c r="AF65" s="795">
        <v>927.30651711999985</v>
      </c>
      <c r="AG65" s="795">
        <v>987.56416375000003</v>
      </c>
      <c r="AH65" s="795">
        <v>1005.3925882999999</v>
      </c>
      <c r="AI65" s="795">
        <v>1092.0357902000001</v>
      </c>
      <c r="AJ65" s="795">
        <v>1069.8626834199999</v>
      </c>
      <c r="AK65" s="795">
        <v>1237.9937549599999</v>
      </c>
      <c r="AL65" s="795">
        <v>1376.7569616400001</v>
      </c>
      <c r="AM65" s="666">
        <v>1477.3478381199996</v>
      </c>
      <c r="AN65" s="666">
        <v>1517.3599191499991</v>
      </c>
      <c r="AO65" s="666">
        <v>1597.4944163799992</v>
      </c>
      <c r="AP65" s="666">
        <v>1645.0014562460979</v>
      </c>
      <c r="AQ65" s="666">
        <v>1840.1817647506016</v>
      </c>
      <c r="AR65" s="794">
        <v>1818.6730189992027</v>
      </c>
      <c r="AS65" s="794">
        <v>1844.1208314099974</v>
      </c>
      <c r="AT65" s="794">
        <v>1855.3125900739997</v>
      </c>
      <c r="AU65" s="794">
        <v>1901.7251349566004</v>
      </c>
      <c r="AV65" s="794">
        <v>1899.9024457050002</v>
      </c>
      <c r="AW65" s="587">
        <v>1909.0267832320001</v>
      </c>
      <c r="AX65" s="587">
        <v>1879.3713856188001</v>
      </c>
      <c r="AY65" s="587">
        <v>1938.8317849043999</v>
      </c>
      <c r="AZ65" s="587">
        <v>2033.5676046596991</v>
      </c>
      <c r="BA65" s="587">
        <v>1847.9801696956006</v>
      </c>
      <c r="BB65" s="587">
        <v>2023.8180328912006</v>
      </c>
      <c r="BC65" s="587">
        <v>1874.331628841599</v>
      </c>
      <c r="BD65" s="587">
        <v>1968.9567622912011</v>
      </c>
      <c r="BE65" s="587">
        <v>1996.1312356425019</v>
      </c>
      <c r="BF65" s="587">
        <v>1724.9742009699996</v>
      </c>
      <c r="BG65" s="587">
        <v>2012.9245668140002</v>
      </c>
      <c r="BH65" s="587">
        <v>1795.9712818479009</v>
      </c>
      <c r="BI65" s="587">
        <v>1948.0119240127005</v>
      </c>
      <c r="BJ65" s="587">
        <v>2065.5990897659008</v>
      </c>
      <c r="BK65" s="587">
        <v>2138.4812930608</v>
      </c>
      <c r="BL65" s="587">
        <v>2205.5345366078996</v>
      </c>
      <c r="BM65" s="587">
        <v>1973.407525913</v>
      </c>
      <c r="BN65" s="587">
        <v>1942.6227002523995</v>
      </c>
      <c r="BO65" s="587">
        <v>2172.0236380287997</v>
      </c>
      <c r="BP65" s="587">
        <v>1700.9011893119014</v>
      </c>
      <c r="BQ65" s="587">
        <v>1844.1333598331003</v>
      </c>
      <c r="BR65" s="587">
        <v>1881.3146164784009</v>
      </c>
      <c r="BS65" s="587">
        <v>1880.9652851308001</v>
      </c>
      <c r="BT65" s="587">
        <v>1880.2954700048401</v>
      </c>
      <c r="BU65" s="587">
        <v>1825.8531014793996</v>
      </c>
      <c r="BV65" s="587">
        <v>1880.6848718600002</v>
      </c>
      <c r="BW65" s="587">
        <v>1831.4687303483151</v>
      </c>
      <c r="BX65" s="587">
        <v>1697.1439994410002</v>
      </c>
      <c r="BY65" s="587">
        <v>1702.3459929057999</v>
      </c>
      <c r="BZ65" s="587">
        <v>1967.4</v>
      </c>
      <c r="CA65" s="587">
        <v>1964.3180499324005</v>
      </c>
      <c r="CB65" s="587">
        <v>1995.3018809564001</v>
      </c>
      <c r="CC65" s="587">
        <v>1817.7463328880001</v>
      </c>
      <c r="CD65" s="587">
        <v>2082.5293196479661</v>
      </c>
      <c r="CE65" s="587">
        <v>1883.6659007779381</v>
      </c>
      <c r="CF65" s="587">
        <v>1915.5019019245615</v>
      </c>
      <c r="CG65" s="587">
        <v>1768.5289212379066</v>
      </c>
      <c r="CH65" s="587">
        <v>1947.4130193710671</v>
      </c>
      <c r="CI65" s="587">
        <v>2122.2853427087834</v>
      </c>
      <c r="CJ65" s="587">
        <v>2113.746955407828</v>
      </c>
      <c r="CK65" s="587">
        <v>2086.7824669300021</v>
      </c>
      <c r="CL65" s="587">
        <v>2088.4495365623284</v>
      </c>
      <c r="CM65" s="587">
        <v>2051.9630958496045</v>
      </c>
      <c r="CN65" s="587">
        <v>2188.8562011476452</v>
      </c>
      <c r="CO65" s="587">
        <v>2194.0324919406985</v>
      </c>
      <c r="CP65" s="587">
        <v>2014.932236953925</v>
      </c>
      <c r="CQ65" s="587">
        <v>2131.7030845426934</v>
      </c>
      <c r="CR65" s="587">
        <v>2108.1578031917002</v>
      </c>
      <c r="CS65" s="587">
        <v>2025.5853234462472</v>
      </c>
      <c r="CT65" s="587">
        <v>2133.8516917276565</v>
      </c>
      <c r="CU65" s="587">
        <v>2061.1036627028793</v>
      </c>
      <c r="CV65" s="587">
        <v>2110.6947561199886</v>
      </c>
      <c r="CW65" s="587">
        <v>2110.2206895628678</v>
      </c>
      <c r="CX65" s="587">
        <v>2035.3660772926742</v>
      </c>
      <c r="CY65" s="587">
        <v>2106.5708892856323</v>
      </c>
      <c r="CZ65" s="587">
        <v>1997.1258950458141</v>
      </c>
      <c r="DA65" s="587">
        <v>1921.3519921208942</v>
      </c>
      <c r="DB65" s="797">
        <v>2008.393867451168</v>
      </c>
      <c r="DC65" s="797">
        <v>1846.2343383083</v>
      </c>
      <c r="DD65" s="797">
        <v>1846.02799150277</v>
      </c>
      <c r="DE65" s="797">
        <v>1950.4450180282013</v>
      </c>
      <c r="DF65" s="797">
        <v>1620.8388893086365</v>
      </c>
      <c r="DG65" s="797">
        <v>1720.9800868253756</v>
      </c>
      <c r="DH65" s="797">
        <v>1670.2523717250865</v>
      </c>
      <c r="DI65" s="797">
        <v>1769.103128394333</v>
      </c>
      <c r="DJ65" s="797">
        <v>1714.0568741045945</v>
      </c>
      <c r="DK65" s="797">
        <v>1847.3447692612037</v>
      </c>
      <c r="DL65" s="797">
        <v>1852.5504134929456</v>
      </c>
      <c r="DM65" s="797">
        <v>1768.7997125954084</v>
      </c>
      <c r="DN65" s="797">
        <v>1898.216170757632</v>
      </c>
      <c r="DO65" s="797">
        <v>1918.6323367787618</v>
      </c>
      <c r="DP65" s="797">
        <v>1756.6700675491427</v>
      </c>
      <c r="DQ65" s="797">
        <v>1762.2537653687436</v>
      </c>
      <c r="DR65" s="797">
        <v>1718.5572927461028</v>
      </c>
    </row>
    <row r="66" spans="1:122" ht="15.75" thickBot="1">
      <c r="A66" s="800"/>
      <c r="B66" s="801"/>
      <c r="C66" s="620"/>
      <c r="D66" s="663"/>
      <c r="E66" s="593"/>
      <c r="F66" s="664"/>
      <c r="G66" s="664"/>
      <c r="H66" s="620"/>
      <c r="I66" s="620"/>
      <c r="J66" s="802"/>
      <c r="K66" s="689"/>
      <c r="L66" s="802"/>
      <c r="M66" s="802"/>
      <c r="N66" s="802"/>
      <c r="O66" s="689"/>
      <c r="P66" s="802"/>
      <c r="Q66" s="802"/>
      <c r="R66" s="803"/>
      <c r="S66" s="620"/>
      <c r="T66" s="620"/>
      <c r="U66" s="622"/>
      <c r="V66" s="804"/>
      <c r="W66" s="804"/>
      <c r="X66" s="804"/>
      <c r="Y66" s="804"/>
      <c r="Z66" s="804"/>
      <c r="AA66" s="804"/>
      <c r="AB66" s="804"/>
      <c r="AC66" s="804"/>
      <c r="AD66" s="804"/>
      <c r="AE66" s="804"/>
      <c r="AF66" s="804"/>
      <c r="AG66" s="804"/>
      <c r="AH66" s="804"/>
      <c r="AI66" s="623"/>
      <c r="AJ66" s="623"/>
      <c r="AK66" s="623"/>
      <c r="AL66" s="623"/>
      <c r="AM66" s="623"/>
      <c r="AN66" s="623"/>
      <c r="AO66" s="623"/>
      <c r="AP66" s="623"/>
      <c r="AQ66" s="804"/>
      <c r="AR66" s="801"/>
      <c r="AS66" s="801"/>
      <c r="AT66" s="801"/>
      <c r="AU66" s="801"/>
      <c r="AV66" s="801"/>
      <c r="AW66" s="623"/>
      <c r="AX66" s="623"/>
      <c r="AY66" s="623"/>
      <c r="AZ66" s="623"/>
      <c r="BA66" s="623"/>
      <c r="BB66" s="623"/>
      <c r="BC66" s="623"/>
      <c r="BD66" s="623"/>
      <c r="BE66" s="623"/>
      <c r="BF66" s="623"/>
      <c r="BG66" s="623"/>
      <c r="BH66" s="623"/>
      <c r="BI66" s="623"/>
      <c r="BJ66" s="623"/>
      <c r="BK66" s="623"/>
      <c r="BL66" s="623"/>
      <c r="BM66" s="623"/>
      <c r="BN66" s="623"/>
      <c r="BO66" s="623"/>
      <c r="BP66" s="623"/>
      <c r="BQ66" s="623"/>
      <c r="BR66" s="623"/>
      <c r="BS66" s="623"/>
      <c r="BT66" s="623"/>
      <c r="BU66" s="623"/>
      <c r="BV66" s="623"/>
      <c r="BW66" s="623"/>
      <c r="BX66" s="623"/>
      <c r="BY66" s="623"/>
      <c r="BZ66" s="623"/>
      <c r="CA66" s="623"/>
      <c r="CB66" s="623"/>
      <c r="CC66" s="623"/>
      <c r="CD66" s="623"/>
      <c r="CE66" s="623"/>
      <c r="CF66" s="623"/>
      <c r="CG66" s="623"/>
      <c r="CH66" s="623"/>
      <c r="CI66" s="623"/>
      <c r="CJ66" s="623"/>
      <c r="CK66" s="623"/>
      <c r="CL66" s="623"/>
      <c r="CM66" s="623"/>
      <c r="CN66" s="623"/>
      <c r="CO66" s="623"/>
      <c r="CP66" s="623"/>
      <c r="CQ66" s="623"/>
      <c r="CR66" s="623"/>
      <c r="CS66" s="623"/>
      <c r="CT66" s="623"/>
      <c r="CU66" s="623"/>
      <c r="CV66" s="623"/>
      <c r="CW66" s="623"/>
      <c r="CX66" s="623"/>
      <c r="CY66" s="623"/>
      <c r="CZ66" s="623"/>
      <c r="DA66" s="623"/>
      <c r="DB66" s="805"/>
      <c r="DC66" s="805"/>
      <c r="DD66" s="805"/>
      <c r="DE66" s="805"/>
      <c r="DF66" s="805"/>
      <c r="DG66" s="805"/>
      <c r="DH66" s="805"/>
      <c r="DI66" s="805"/>
      <c r="DJ66" s="805"/>
      <c r="DK66" s="805"/>
      <c r="DL66" s="805"/>
      <c r="DM66" s="805"/>
      <c r="DN66" s="805"/>
      <c r="DO66" s="805"/>
      <c r="DP66" s="805"/>
      <c r="DQ66" s="805"/>
      <c r="DR66" s="805"/>
    </row>
    <row r="67" spans="1:122" ht="16.5" thickTop="1" thickBot="1">
      <c r="A67" s="704" t="s">
        <v>2429</v>
      </c>
      <c r="B67" s="806"/>
      <c r="C67" s="806"/>
      <c r="D67" s="806"/>
      <c r="E67" s="806"/>
      <c r="F67" s="806"/>
      <c r="G67" s="806"/>
      <c r="H67" s="593"/>
      <c r="I67" s="593"/>
      <c r="J67" s="807"/>
      <c r="K67" s="807"/>
      <c r="L67" s="807"/>
      <c r="M67" s="807"/>
      <c r="N67" s="807"/>
      <c r="O67" s="807"/>
      <c r="P67" s="807"/>
      <c r="Q67" s="807"/>
      <c r="R67" s="593"/>
      <c r="S67" s="593"/>
      <c r="T67" s="593"/>
      <c r="U67" s="593"/>
      <c r="V67" s="807"/>
      <c r="W67" s="807"/>
      <c r="X67" s="807"/>
      <c r="Y67" s="807"/>
      <c r="Z67" s="807"/>
      <c r="AA67" s="807"/>
      <c r="AB67" s="807"/>
      <c r="AC67" s="807"/>
      <c r="AD67" s="807"/>
      <c r="AE67" s="807"/>
      <c r="AF67" s="807"/>
      <c r="AG67" s="807"/>
      <c r="AH67" s="807"/>
      <c r="AI67" s="808"/>
      <c r="AJ67" s="808"/>
      <c r="AK67" s="808"/>
      <c r="AL67" s="593"/>
      <c r="AM67" s="807"/>
      <c r="AN67" s="807"/>
      <c r="AO67" s="807"/>
      <c r="AP67" s="807"/>
      <c r="AQ67" s="807"/>
      <c r="AR67" s="806"/>
      <c r="AS67" s="806"/>
      <c r="AT67" s="806"/>
      <c r="AU67" s="806"/>
      <c r="AV67" s="806"/>
      <c r="AW67" s="806"/>
      <c r="AX67" s="806"/>
      <c r="AY67" s="806"/>
      <c r="AZ67" s="806"/>
      <c r="BA67" s="806"/>
      <c r="BB67" s="806"/>
      <c r="BC67" s="806"/>
      <c r="BD67" s="806"/>
      <c r="BE67" s="806"/>
      <c r="BF67" s="806"/>
      <c r="BG67" s="806"/>
      <c r="BH67" s="806"/>
      <c r="BI67" s="806"/>
      <c r="BJ67" s="806"/>
      <c r="BK67" s="806"/>
      <c r="BL67" s="593"/>
      <c r="BM67" s="593"/>
      <c r="BN67" s="593"/>
      <c r="BO67" s="593"/>
      <c r="BP67" s="593"/>
      <c r="BQ67" s="593"/>
      <c r="BR67" s="593"/>
      <c r="BS67" s="593"/>
      <c r="BT67" s="593"/>
      <c r="BU67" s="593"/>
      <c r="BV67" s="593"/>
      <c r="BW67" s="593"/>
      <c r="BX67" s="593"/>
      <c r="BY67" s="593"/>
      <c r="BZ67" s="593"/>
      <c r="CA67" s="593"/>
      <c r="CB67" s="593"/>
      <c r="CC67" s="593"/>
      <c r="CD67" s="593"/>
      <c r="CE67" s="593"/>
      <c r="CF67" s="593"/>
      <c r="CG67" s="593"/>
      <c r="CH67" s="593"/>
      <c r="CI67" s="593"/>
      <c r="CJ67" s="593"/>
      <c r="CK67" s="593"/>
      <c r="CL67" s="593"/>
      <c r="CM67" s="593"/>
      <c r="CN67" s="593"/>
      <c r="CO67" s="593"/>
      <c r="CP67" s="593"/>
      <c r="CQ67" s="593"/>
      <c r="CR67" s="593"/>
      <c r="CS67" s="593"/>
      <c r="CT67" s="593"/>
      <c r="CU67" s="593"/>
      <c r="CV67" s="593"/>
      <c r="CW67" s="593"/>
      <c r="CX67" s="593"/>
      <c r="CY67" s="593"/>
      <c r="CZ67" s="593"/>
      <c r="DA67" s="593"/>
      <c r="DD67" s="809"/>
      <c r="DE67" s="809"/>
      <c r="DF67" s="809"/>
      <c r="DG67" s="809"/>
      <c r="DH67" s="809"/>
      <c r="DI67" s="809"/>
      <c r="DJ67" s="809"/>
      <c r="DK67" s="809"/>
      <c r="DL67" s="809"/>
      <c r="DM67" s="809"/>
      <c r="DN67" s="809"/>
      <c r="DO67" s="809"/>
    </row>
    <row r="68" spans="1:122" ht="17.25" thickTop="1" thickBot="1">
      <c r="A68" s="810" t="s">
        <v>2368</v>
      </c>
      <c r="B68" s="811">
        <v>38504</v>
      </c>
      <c r="C68" s="812">
        <v>38534</v>
      </c>
      <c r="D68" s="812">
        <v>38565</v>
      </c>
      <c r="E68" s="813">
        <v>38596</v>
      </c>
      <c r="F68" s="812">
        <v>38626</v>
      </c>
      <c r="G68" s="812">
        <v>38657</v>
      </c>
      <c r="H68" s="812">
        <v>38687</v>
      </c>
      <c r="I68" s="812">
        <v>38718</v>
      </c>
      <c r="J68" s="812">
        <v>38749</v>
      </c>
      <c r="K68" s="813">
        <v>38777</v>
      </c>
      <c r="L68" s="812">
        <v>38808</v>
      </c>
      <c r="M68" s="812">
        <v>38838</v>
      </c>
      <c r="N68" s="812">
        <v>38869</v>
      </c>
      <c r="O68" s="813">
        <v>38899</v>
      </c>
      <c r="P68" s="812">
        <v>38930</v>
      </c>
      <c r="Q68" s="812">
        <v>38961</v>
      </c>
      <c r="R68" s="813">
        <v>38991</v>
      </c>
      <c r="S68" s="812">
        <v>39022</v>
      </c>
      <c r="T68" s="812">
        <v>39052</v>
      </c>
      <c r="U68" s="814">
        <v>39083</v>
      </c>
      <c r="V68" s="814">
        <v>39114</v>
      </c>
      <c r="W68" s="814">
        <v>39142</v>
      </c>
      <c r="X68" s="814">
        <v>39173</v>
      </c>
      <c r="Y68" s="814">
        <v>39203</v>
      </c>
      <c r="Z68" s="814">
        <v>39234</v>
      </c>
      <c r="AA68" s="814">
        <v>39264</v>
      </c>
      <c r="AB68" s="814">
        <v>39295</v>
      </c>
      <c r="AC68" s="814">
        <v>39326</v>
      </c>
      <c r="AD68" s="814">
        <v>39356</v>
      </c>
      <c r="AE68" s="814">
        <v>39387</v>
      </c>
      <c r="AF68" s="814">
        <v>39417</v>
      </c>
      <c r="AG68" s="814">
        <v>39448</v>
      </c>
      <c r="AH68" s="814">
        <v>39479</v>
      </c>
      <c r="AI68" s="814">
        <v>39508</v>
      </c>
      <c r="AJ68" s="814">
        <v>39539</v>
      </c>
      <c r="AK68" s="814">
        <v>39569</v>
      </c>
      <c r="AL68" s="814">
        <v>39600</v>
      </c>
      <c r="AM68" s="814">
        <v>39630</v>
      </c>
      <c r="AN68" s="814">
        <v>39661</v>
      </c>
      <c r="AO68" s="814">
        <v>39692</v>
      </c>
      <c r="AP68" s="814">
        <f t="shared" ref="AP68:BH68" si="0">AP3</f>
        <v>39722</v>
      </c>
      <c r="AQ68" s="814">
        <f t="shared" si="0"/>
        <v>39753</v>
      </c>
      <c r="AR68" s="811">
        <f t="shared" si="0"/>
        <v>39783</v>
      </c>
      <c r="AS68" s="811">
        <f t="shared" si="0"/>
        <v>39814</v>
      </c>
      <c r="AT68" s="811">
        <f t="shared" si="0"/>
        <v>39853</v>
      </c>
      <c r="AU68" s="811">
        <f t="shared" si="0"/>
        <v>39881</v>
      </c>
      <c r="AV68" s="811">
        <f t="shared" si="0"/>
        <v>39912</v>
      </c>
      <c r="AW68" s="815">
        <f t="shared" si="0"/>
        <v>39942</v>
      </c>
      <c r="AX68" s="815">
        <f t="shared" si="0"/>
        <v>39973</v>
      </c>
      <c r="AY68" s="815">
        <f t="shared" si="0"/>
        <v>40003</v>
      </c>
      <c r="AZ68" s="815">
        <f t="shared" si="0"/>
        <v>40034</v>
      </c>
      <c r="BA68" s="815">
        <f t="shared" si="0"/>
        <v>40065</v>
      </c>
      <c r="BB68" s="815">
        <f t="shared" si="0"/>
        <v>40095</v>
      </c>
      <c r="BC68" s="815">
        <f t="shared" si="0"/>
        <v>40126</v>
      </c>
      <c r="BD68" s="815">
        <f t="shared" si="0"/>
        <v>40156</v>
      </c>
      <c r="BE68" s="815">
        <f t="shared" si="0"/>
        <v>40187</v>
      </c>
      <c r="BF68" s="815">
        <f t="shared" si="0"/>
        <v>40218</v>
      </c>
      <c r="BG68" s="815">
        <f t="shared" si="0"/>
        <v>40246</v>
      </c>
      <c r="BH68" s="815">
        <f t="shared" si="0"/>
        <v>40277</v>
      </c>
      <c r="BI68" s="815">
        <f>BI3</f>
        <v>40307</v>
      </c>
      <c r="BJ68" s="815">
        <f>BJ3</f>
        <v>40338</v>
      </c>
      <c r="BK68" s="815">
        <f>BK3</f>
        <v>40368</v>
      </c>
      <c r="BL68" s="811">
        <v>40399</v>
      </c>
      <c r="BM68" s="815">
        <f t="shared" ref="BM68:BX68" si="1">BM3</f>
        <v>40430</v>
      </c>
      <c r="BN68" s="815" t="str">
        <f t="shared" si="1"/>
        <v xml:space="preserve">Oct-10 </v>
      </c>
      <c r="BO68" s="815" t="str">
        <f t="shared" si="1"/>
        <v xml:space="preserve">Nov-10 </v>
      </c>
      <c r="BP68" s="815" t="str">
        <f t="shared" si="1"/>
        <v>Dec-10</v>
      </c>
      <c r="BQ68" s="815" t="str">
        <f t="shared" si="1"/>
        <v>Jan-11</v>
      </c>
      <c r="BR68" s="815">
        <f t="shared" si="1"/>
        <v>40575</v>
      </c>
      <c r="BS68" s="815">
        <f t="shared" si="1"/>
        <v>40603</v>
      </c>
      <c r="BT68" s="815">
        <f t="shared" si="1"/>
        <v>40634</v>
      </c>
      <c r="BU68" s="815">
        <f t="shared" si="1"/>
        <v>40664</v>
      </c>
      <c r="BV68" s="815">
        <f t="shared" si="1"/>
        <v>40695</v>
      </c>
      <c r="BW68" s="815">
        <f t="shared" si="1"/>
        <v>40725</v>
      </c>
      <c r="BX68" s="815">
        <f t="shared" si="1"/>
        <v>40756</v>
      </c>
      <c r="BY68" s="815">
        <f>BY3</f>
        <v>40787</v>
      </c>
      <c r="BZ68" s="816">
        <v>40817</v>
      </c>
      <c r="CA68" s="816">
        <v>40848</v>
      </c>
      <c r="CB68" s="816">
        <v>40878</v>
      </c>
      <c r="CC68" s="816">
        <v>40909</v>
      </c>
      <c r="CD68" s="816">
        <v>40940</v>
      </c>
      <c r="CE68" s="816">
        <v>40969</v>
      </c>
      <c r="CF68" s="816">
        <v>41000</v>
      </c>
      <c r="CG68" s="816">
        <v>41030</v>
      </c>
      <c r="CH68" s="816">
        <v>41061</v>
      </c>
      <c r="CI68" s="816">
        <v>41091</v>
      </c>
      <c r="CJ68" s="816">
        <v>41122</v>
      </c>
      <c r="CK68" s="816">
        <v>41153</v>
      </c>
      <c r="CL68" s="816">
        <v>41183</v>
      </c>
      <c r="CM68" s="816">
        <v>41214</v>
      </c>
      <c r="CN68" s="816">
        <v>41244</v>
      </c>
      <c r="CO68" s="816">
        <v>41275</v>
      </c>
      <c r="CP68" s="817">
        <v>41306</v>
      </c>
      <c r="CQ68" s="816">
        <v>41334</v>
      </c>
      <c r="CR68" s="816">
        <v>41365</v>
      </c>
      <c r="CS68" s="816" t="str">
        <f>CS3</f>
        <v>May-13</v>
      </c>
      <c r="CT68" s="816" t="str">
        <f>CT3</f>
        <v>June-13</v>
      </c>
      <c r="CU68" s="784" t="s">
        <v>177</v>
      </c>
      <c r="CV68" s="784" t="s">
        <v>178</v>
      </c>
      <c r="CW68" s="784" t="s">
        <v>179</v>
      </c>
      <c r="CX68" s="784" t="str">
        <f>CX3</f>
        <v>Oct-13</v>
      </c>
      <c r="CY68" s="784" t="s">
        <v>181</v>
      </c>
      <c r="CZ68" s="784" t="s">
        <v>182</v>
      </c>
      <c r="DA68" s="784" t="s">
        <v>183</v>
      </c>
      <c r="DB68" s="784" t="s">
        <v>184</v>
      </c>
      <c r="DC68" s="784" t="s">
        <v>185</v>
      </c>
      <c r="DD68" s="784" t="s">
        <v>186</v>
      </c>
      <c r="DE68" s="784" t="s">
        <v>187</v>
      </c>
      <c r="DF68" s="784" t="s">
        <v>188</v>
      </c>
      <c r="DG68" s="784" t="s">
        <v>189</v>
      </c>
      <c r="DH68" s="784">
        <v>41865</v>
      </c>
      <c r="DI68" s="784">
        <f>DI3</f>
        <v>41896</v>
      </c>
      <c r="DJ68" s="784">
        <v>41926</v>
      </c>
      <c r="DK68" s="784">
        <v>41957</v>
      </c>
      <c r="DL68" s="784">
        <v>41987</v>
      </c>
      <c r="DM68" s="784">
        <v>42018</v>
      </c>
      <c r="DN68" s="784">
        <v>42049</v>
      </c>
      <c r="DO68" s="784">
        <v>42077</v>
      </c>
      <c r="DP68" s="784">
        <v>42108</v>
      </c>
      <c r="DQ68" s="784">
        <v>42138</v>
      </c>
      <c r="DR68" s="784">
        <v>42169</v>
      </c>
    </row>
    <row r="69" spans="1:122" ht="21" customHeight="1" thickTop="1">
      <c r="A69" s="786" t="s">
        <v>2430</v>
      </c>
      <c r="B69" s="787">
        <f>SUM(B71:B81)</f>
        <v>15534.715479992785</v>
      </c>
      <c r="C69" s="584">
        <f>SUM(C71:C81)</f>
        <v>15551.581107641709</v>
      </c>
      <c r="D69" s="584">
        <f>SUM(D71:D81)</f>
        <v>15857.540520883158</v>
      </c>
      <c r="E69" s="596">
        <f>SUM(E71:E81)</f>
        <v>16259.128164221001</v>
      </c>
      <c r="F69" s="584">
        <v>16621.625371383201</v>
      </c>
      <c r="G69" s="584">
        <v>17344.254700009402</v>
      </c>
      <c r="H69" s="584">
        <f>17142.8210698872+0.1</f>
        <v>17142.921069887198</v>
      </c>
      <c r="I69" s="584">
        <v>17412.348318011598</v>
      </c>
      <c r="J69" s="584">
        <v>17663.588057463399</v>
      </c>
      <c r="K69" s="596">
        <v>17331.447386046402</v>
      </c>
      <c r="L69" s="584">
        <v>17545.381388944999</v>
      </c>
      <c r="M69" s="584">
        <v>17873.917430271002</v>
      </c>
      <c r="N69" s="584">
        <v>17712.509658889609</v>
      </c>
      <c r="O69" s="596">
        <v>18221.417730355264</v>
      </c>
      <c r="P69" s="584">
        <v>18369.127777855472</v>
      </c>
      <c r="Q69" s="584">
        <v>18370.429783177602</v>
      </c>
      <c r="R69" s="789">
        <v>19238.7990283984</v>
      </c>
      <c r="S69" s="584">
        <v>20154.658659618399</v>
      </c>
      <c r="T69" s="584">
        <v>20322.221825653749</v>
      </c>
      <c r="U69" s="586">
        <v>20533.077547965935</v>
      </c>
      <c r="V69" s="586">
        <v>19898.464643666535</v>
      </c>
      <c r="W69" s="586">
        <v>19782.9814839311</v>
      </c>
      <c r="X69" s="586">
        <v>19424.235049867795</v>
      </c>
      <c r="Y69" s="586">
        <v>19407.224558435708</v>
      </c>
      <c r="Z69" s="586">
        <v>19736.423031155453</v>
      </c>
      <c r="AA69" s="586">
        <v>20057.757416782846</v>
      </c>
      <c r="AB69" s="586">
        <v>20490.007732765978</v>
      </c>
      <c r="AC69" s="586">
        <v>20534.883102903488</v>
      </c>
      <c r="AD69" s="586">
        <v>20642.523940806899</v>
      </c>
      <c r="AE69" s="586">
        <v>20944.717743009489</v>
      </c>
      <c r="AF69" s="586">
        <v>21265.296929418433</v>
      </c>
      <c r="AG69" s="586">
        <v>21314.696417409825</v>
      </c>
      <c r="AH69" s="586">
        <v>21267.47525240896</v>
      </c>
      <c r="AI69" s="586">
        <v>20172.098443272618</v>
      </c>
      <c r="AJ69" s="586">
        <v>19624.106964845541</v>
      </c>
      <c r="AK69" s="586">
        <v>19504.635869383401</v>
      </c>
      <c r="AL69" s="586">
        <v>20053.862372435593</v>
      </c>
      <c r="AM69" s="665">
        <v>20667.874862304339</v>
      </c>
      <c r="AN69" s="665">
        <v>20462.533228536126</v>
      </c>
      <c r="AO69" s="665">
        <v>22386.020096846762</v>
      </c>
      <c r="AP69" s="665">
        <v>22900.08146408058</v>
      </c>
      <c r="AQ69" s="665">
        <v>23457.071607187379</v>
      </c>
      <c r="AR69" s="787">
        <v>22934.230959316224</v>
      </c>
      <c r="AS69" s="787">
        <v>23234.684819306</v>
      </c>
      <c r="AT69" s="787">
        <v>22773.461748763268</v>
      </c>
      <c r="AU69" s="787">
        <v>22622.710745385102</v>
      </c>
      <c r="AV69" s="787">
        <v>22849.874717900842</v>
      </c>
      <c r="AW69" s="790">
        <v>22990.425057027864</v>
      </c>
      <c r="AX69" s="790">
        <v>23295.424851176209</v>
      </c>
      <c r="AY69" s="790">
        <v>22483.834127549278</v>
      </c>
      <c r="AZ69" s="790">
        <v>20492.530891308877</v>
      </c>
      <c r="BA69" s="790">
        <v>20441.184876816464</v>
      </c>
      <c r="BB69" s="790">
        <v>20088.507710416325</v>
      </c>
      <c r="BC69" s="790">
        <v>20510.609331320153</v>
      </c>
      <c r="BD69" s="790">
        <v>20423.716994714796</v>
      </c>
      <c r="BE69" s="790">
        <v>20748.261384012705</v>
      </c>
      <c r="BF69" s="790">
        <v>21108.894633266525</v>
      </c>
      <c r="BG69" s="790">
        <v>20572.551497059405</v>
      </c>
      <c r="BH69" s="790">
        <v>20632.168267715348</v>
      </c>
      <c r="BI69" s="790">
        <v>21121.063180578414</v>
      </c>
      <c r="BJ69" s="790">
        <v>22362.550845925103</v>
      </c>
      <c r="BK69" s="790">
        <v>22913.001886068058</v>
      </c>
      <c r="BL69" s="791">
        <v>23450.334374147646</v>
      </c>
      <c r="BM69" s="791">
        <v>23676.042296554071</v>
      </c>
      <c r="BN69" s="791">
        <v>23669.335457981753</v>
      </c>
      <c r="BO69" s="791">
        <v>24162.901493322493</v>
      </c>
      <c r="BP69" s="791">
        <v>24070.509099470339</v>
      </c>
      <c r="BQ69" s="791">
        <v>24240.234066081899</v>
      </c>
      <c r="BR69" s="791">
        <v>24012.672125783309</v>
      </c>
      <c r="BS69" s="791">
        <v>24286.518985130639</v>
      </c>
      <c r="BT69" s="791">
        <v>24138.731284891997</v>
      </c>
      <c r="BU69" s="791">
        <v>24529.939047737578</v>
      </c>
      <c r="BV69" s="791">
        <v>25185.746033479303</v>
      </c>
      <c r="BW69" s="791">
        <v>25188.948629781582</v>
      </c>
      <c r="BX69" s="791">
        <v>24907.081930107499</v>
      </c>
      <c r="BY69" s="791">
        <v>26092.947820135505</v>
      </c>
      <c r="BZ69" s="791">
        <v>26349.1</v>
      </c>
      <c r="CA69" s="791">
        <v>27206.612153176153</v>
      </c>
      <c r="CB69" s="791">
        <v>28681.643784660053</v>
      </c>
      <c r="CC69" s="791">
        <v>27785.594685889882</v>
      </c>
      <c r="CD69" s="791">
        <v>26832.265957792031</v>
      </c>
      <c r="CE69" s="791">
        <v>26097.291875733121</v>
      </c>
      <c r="CF69" s="791">
        <v>26267.037581531244</v>
      </c>
      <c r="CG69" s="791">
        <v>27405.717356457313</v>
      </c>
      <c r="CH69" s="791">
        <v>28698.361136745865</v>
      </c>
      <c r="CI69" s="791">
        <v>28414.864862639693</v>
      </c>
      <c r="CJ69" s="791">
        <v>30025.347683903914</v>
      </c>
      <c r="CK69" s="791">
        <v>29523.271206021916</v>
      </c>
      <c r="CL69" s="791">
        <v>29665.347799692237</v>
      </c>
      <c r="CM69" s="791">
        <v>30975.302527422784</v>
      </c>
      <c r="CN69" s="791">
        <v>31270.48650679236</v>
      </c>
      <c r="CO69" s="791">
        <v>29929.005352768458</v>
      </c>
      <c r="CP69" s="818">
        <v>29638.775421588238</v>
      </c>
      <c r="CQ69" s="790">
        <v>29997.878928081911</v>
      </c>
      <c r="CR69" s="790">
        <v>29959.801799941222</v>
      </c>
      <c r="CS69" s="790">
        <v>27179.48184400428</v>
      </c>
      <c r="CT69" s="790">
        <v>27646.230292458618</v>
      </c>
      <c r="CU69" s="790">
        <v>28092.996190544487</v>
      </c>
      <c r="CV69" s="790">
        <v>28058.066532249144</v>
      </c>
      <c r="CW69" s="790">
        <v>28292.560840040274</v>
      </c>
      <c r="CX69" s="790">
        <v>29761.787088236259</v>
      </c>
      <c r="CY69" s="790">
        <v>29598.640591170228</v>
      </c>
      <c r="CZ69" s="790">
        <v>28886.384578500332</v>
      </c>
      <c r="DA69" s="790">
        <v>29842.316659375214</v>
      </c>
      <c r="DB69" s="790">
        <v>28844.820263700629</v>
      </c>
      <c r="DC69" s="790">
        <v>28683.368316616696</v>
      </c>
      <c r="DD69" s="790">
        <v>29630.164175226539</v>
      </c>
      <c r="DE69" s="790">
        <v>29077.350179624467</v>
      </c>
      <c r="DF69" s="790">
        <v>31392.78113611753</v>
      </c>
      <c r="DG69" s="790">
        <v>29960.213866002698</v>
      </c>
      <c r="DH69" s="790">
        <v>29029.603343374689</v>
      </c>
      <c r="DI69" s="790">
        <v>30323.435513522774</v>
      </c>
      <c r="DJ69" s="790">
        <v>29307.51470376318</v>
      </c>
      <c r="DK69" s="790">
        <v>31433.952767863015</v>
      </c>
      <c r="DL69" s="790">
        <v>31498.306674303443</v>
      </c>
      <c r="DM69" s="790">
        <v>30793.484584881444</v>
      </c>
      <c r="DN69" s="790">
        <v>31634.440020418235</v>
      </c>
      <c r="DO69" s="790">
        <v>31080.475349560293</v>
      </c>
      <c r="DP69" s="790">
        <v>30460.241711645518</v>
      </c>
      <c r="DQ69" s="790">
        <v>30209.301077846336</v>
      </c>
      <c r="DR69" s="790">
        <v>30034.2841633073</v>
      </c>
    </row>
    <row r="70" spans="1:122" ht="15.95" customHeight="1">
      <c r="A70" s="793" t="s">
        <v>2380</v>
      </c>
      <c r="B70" s="787"/>
      <c r="C70" s="584"/>
      <c r="D70" s="584"/>
      <c r="E70" s="596"/>
      <c r="F70" s="584"/>
      <c r="G70" s="584"/>
      <c r="H70" s="664"/>
      <c r="I70" s="664"/>
      <c r="J70" s="664"/>
      <c r="K70" s="593"/>
      <c r="L70" s="664"/>
      <c r="M70" s="664"/>
      <c r="N70" s="664"/>
      <c r="O70" s="593"/>
      <c r="P70" s="664"/>
      <c r="Q70" s="664"/>
      <c r="R70" s="593"/>
      <c r="S70" s="664"/>
      <c r="T70" s="664"/>
      <c r="U70" s="795"/>
      <c r="V70" s="795"/>
      <c r="W70" s="795"/>
      <c r="X70" s="795"/>
      <c r="Y70" s="795"/>
      <c r="Z70" s="795"/>
      <c r="AA70" s="795"/>
      <c r="AB70" s="795"/>
      <c r="AC70" s="795"/>
      <c r="AD70" s="795"/>
      <c r="AE70" s="795"/>
      <c r="AF70" s="795"/>
      <c r="AG70" s="795"/>
      <c r="AH70" s="795"/>
      <c r="AI70" s="795"/>
      <c r="AJ70" s="795"/>
      <c r="AK70" s="795"/>
      <c r="AL70" s="795"/>
      <c r="AM70" s="665"/>
      <c r="AN70" s="665"/>
      <c r="AO70" s="665"/>
      <c r="AP70" s="665"/>
      <c r="AQ70" s="665"/>
      <c r="AR70" s="787"/>
      <c r="AS70" s="787"/>
      <c r="AT70" s="787"/>
      <c r="AU70" s="787"/>
      <c r="AV70" s="787"/>
      <c r="AW70" s="790"/>
      <c r="AX70" s="790"/>
      <c r="AY70" s="790"/>
      <c r="AZ70" s="790"/>
      <c r="BA70" s="790"/>
      <c r="BB70" s="790"/>
      <c r="BC70" s="790"/>
      <c r="BD70" s="790"/>
      <c r="BE70" s="790"/>
      <c r="BF70" s="790"/>
      <c r="BG70" s="790"/>
      <c r="BH70" s="790"/>
      <c r="BI70" s="790"/>
      <c r="BJ70" s="790"/>
      <c r="BK70" s="790"/>
      <c r="BL70" s="790"/>
      <c r="BM70" s="790"/>
      <c r="BN70" s="790"/>
      <c r="BO70" s="790"/>
      <c r="BP70" s="790"/>
      <c r="BQ70" s="790"/>
      <c r="BR70" s="790"/>
      <c r="BS70" s="790"/>
      <c r="BT70" s="790"/>
      <c r="BU70" s="790"/>
      <c r="BV70" s="790"/>
      <c r="BW70" s="790"/>
      <c r="BX70" s="790"/>
      <c r="BY70" s="790"/>
      <c r="BZ70" s="790"/>
      <c r="CA70" s="790"/>
      <c r="CB70" s="790"/>
      <c r="CC70" s="790"/>
      <c r="CD70" s="790"/>
      <c r="CE70" s="790"/>
      <c r="CF70" s="790"/>
      <c r="CG70" s="790"/>
      <c r="CH70" s="790"/>
      <c r="CI70" s="790"/>
      <c r="CJ70" s="790"/>
      <c r="CK70" s="790"/>
      <c r="CL70" s="790"/>
      <c r="CM70" s="790"/>
      <c r="CN70" s="790"/>
      <c r="CO70" s="790"/>
      <c r="CP70" s="819"/>
      <c r="CQ70" s="790"/>
      <c r="CR70" s="790"/>
      <c r="CS70" s="790"/>
      <c r="CT70" s="790"/>
      <c r="CU70" s="790"/>
      <c r="CV70" s="790"/>
      <c r="CW70" s="790"/>
      <c r="CX70" s="790"/>
      <c r="CY70" s="790"/>
      <c r="CZ70" s="790"/>
      <c r="DA70" s="790"/>
      <c r="DB70" s="790"/>
      <c r="DC70" s="790"/>
      <c r="DD70" s="790"/>
      <c r="DE70" s="790"/>
      <c r="DF70" s="790"/>
      <c r="DG70" s="790"/>
      <c r="DH70" s="790"/>
      <c r="DI70" s="790"/>
      <c r="DJ70" s="790"/>
      <c r="DK70" s="790"/>
      <c r="DL70" s="790"/>
      <c r="DM70" s="790"/>
      <c r="DN70" s="790"/>
      <c r="DO70" s="790"/>
      <c r="DP70" s="790"/>
      <c r="DQ70" s="790"/>
      <c r="DR70" s="790"/>
    </row>
    <row r="71" spans="1:122" ht="15.95" customHeight="1">
      <c r="A71" s="793" t="s">
        <v>2431</v>
      </c>
      <c r="B71" s="794">
        <v>0</v>
      </c>
      <c r="C71" s="664">
        <v>0.09</v>
      </c>
      <c r="D71" s="664">
        <v>8.6638469999999995E-2</v>
      </c>
      <c r="E71" s="593">
        <v>8.325805E-2</v>
      </c>
      <c r="F71" s="664">
        <v>7.9823539999999998E-2</v>
      </c>
      <c r="G71" s="664">
        <v>7.6382350000000002E-2</v>
      </c>
      <c r="H71" s="664">
        <v>7.2905770000000009E-2</v>
      </c>
      <c r="I71" s="664">
        <v>6.9449330000000004E-2</v>
      </c>
      <c r="J71" s="664">
        <v>6.5959859999999995E-2</v>
      </c>
      <c r="K71" s="593">
        <v>6.2377339999999996E-2</v>
      </c>
      <c r="L71" s="664">
        <v>5.8821589999999993E-2</v>
      </c>
      <c r="M71" s="664">
        <v>5.5212539999999997E-2</v>
      </c>
      <c r="N71" s="664">
        <v>5.1589999999999997E-2</v>
      </c>
      <c r="O71" s="593">
        <v>4.7920900000000002E-2</v>
      </c>
      <c r="P71" s="664">
        <v>4.4246000000000001E-2</v>
      </c>
      <c r="Q71" s="664">
        <v>4.0550999999999997E-2</v>
      </c>
      <c r="R71" s="593">
        <v>3.6823000000000002E-2</v>
      </c>
      <c r="S71" s="664">
        <v>3.2910000000000002E-2</v>
      </c>
      <c r="T71" s="664">
        <v>2.8943E-2</v>
      </c>
      <c r="U71" s="795">
        <v>2.5072000000000001E-2</v>
      </c>
      <c r="V71" s="795">
        <v>2.0902E-2</v>
      </c>
      <c r="W71" s="795">
        <v>1.6998580000000003E-2</v>
      </c>
      <c r="X71" s="795">
        <v>1.2823579999999999E-2</v>
      </c>
      <c r="Y71" s="795">
        <v>8.4860000000000005E-3</v>
      </c>
      <c r="Z71" s="795">
        <v>4.2700000000000004E-3</v>
      </c>
      <c r="AA71" s="795">
        <v>0</v>
      </c>
      <c r="AB71" s="795">
        <v>0</v>
      </c>
      <c r="AC71" s="795">
        <v>0</v>
      </c>
      <c r="AD71" s="795">
        <v>0</v>
      </c>
      <c r="AE71" s="795">
        <v>40</v>
      </c>
      <c r="AF71" s="795">
        <v>40.000040249999998</v>
      </c>
      <c r="AG71" s="795">
        <v>40.000080500000003</v>
      </c>
      <c r="AH71" s="795">
        <v>40.000120750000001</v>
      </c>
      <c r="AI71" s="795">
        <v>65.884674000000004</v>
      </c>
      <c r="AJ71" s="795">
        <v>66.036509249999995</v>
      </c>
      <c r="AK71" s="795">
        <v>69.496014500000001</v>
      </c>
      <c r="AL71" s="795">
        <v>65.900349750000004</v>
      </c>
      <c r="AM71" s="666">
        <v>63.422373999999998</v>
      </c>
      <c r="AN71" s="666">
        <v>67.356630249999995</v>
      </c>
      <c r="AO71" s="666">
        <v>69.935740499999994</v>
      </c>
      <c r="AP71" s="666">
        <v>71.045293479999998</v>
      </c>
      <c r="AQ71" s="666">
        <v>70.162619109999994</v>
      </c>
      <c r="AR71" s="794">
        <v>74.26285759999999</v>
      </c>
      <c r="AS71" s="794">
        <v>26.707017430000001</v>
      </c>
      <c r="AT71" s="794">
        <v>32.461019759999999</v>
      </c>
      <c r="AU71" s="794">
        <v>30.95263804</v>
      </c>
      <c r="AV71" s="794">
        <v>31.916826289999999</v>
      </c>
      <c r="AW71" s="587">
        <v>35.268438809999999</v>
      </c>
      <c r="AX71" s="587">
        <v>37.032233950000006</v>
      </c>
      <c r="AY71" s="587">
        <v>73.210119669999997</v>
      </c>
      <c r="AZ71" s="587">
        <v>72.112579999999994</v>
      </c>
      <c r="BA71" s="587">
        <v>78.899341280000002</v>
      </c>
      <c r="BB71" s="587">
        <v>35.566706739999994</v>
      </c>
      <c r="BC71" s="587">
        <v>37.909558780000005</v>
      </c>
      <c r="BD71" s="587">
        <v>40.815842297399996</v>
      </c>
      <c r="BE71" s="587">
        <v>35.230394079999996</v>
      </c>
      <c r="BF71" s="587">
        <v>39.455890247500001</v>
      </c>
      <c r="BG71" s="587">
        <v>37.955472969999995</v>
      </c>
      <c r="BH71" s="587">
        <v>38.657556060000005</v>
      </c>
      <c r="BI71" s="587">
        <v>73.740567228499998</v>
      </c>
      <c r="BJ71" s="587">
        <v>143.51296267960001</v>
      </c>
      <c r="BK71" s="587">
        <v>193.78753215999996</v>
      </c>
      <c r="BL71" s="587">
        <v>184.51179505000002</v>
      </c>
      <c r="BM71" s="587">
        <v>180.50757988999999</v>
      </c>
      <c r="BN71" s="587">
        <v>178.27711632999998</v>
      </c>
      <c r="BO71" s="587">
        <v>195.52900919000001</v>
      </c>
      <c r="BP71" s="587">
        <v>214.56956361000002</v>
      </c>
      <c r="BQ71" s="587">
        <v>281.61870282340004</v>
      </c>
      <c r="BR71" s="587">
        <v>124.35429277999999</v>
      </c>
      <c r="BS71" s="587">
        <v>175.51942728999998</v>
      </c>
      <c r="BT71" s="587">
        <v>150.91587566999999</v>
      </c>
      <c r="BU71" s="587">
        <v>153.38603529</v>
      </c>
      <c r="BV71" s="587">
        <v>87.660927779999994</v>
      </c>
      <c r="BW71" s="587">
        <v>102.80799241</v>
      </c>
      <c r="BX71" s="587">
        <v>109.44308829000001</v>
      </c>
      <c r="BY71" s="587">
        <v>88.189770620000004</v>
      </c>
      <c r="BZ71" s="587">
        <v>97.1</v>
      </c>
      <c r="CA71" s="587">
        <v>78.17432556</v>
      </c>
      <c r="CB71" s="587">
        <v>74.415321979999987</v>
      </c>
      <c r="CC71" s="587">
        <v>51.916857829999998</v>
      </c>
      <c r="CD71" s="587">
        <v>49.883047570000002</v>
      </c>
      <c r="CE71" s="587">
        <v>62.522683930000007</v>
      </c>
      <c r="CF71" s="587">
        <v>105.58336955999999</v>
      </c>
      <c r="CG71" s="587">
        <v>112.38330085000001</v>
      </c>
      <c r="CH71" s="587">
        <v>153.70215156</v>
      </c>
      <c r="CI71" s="587">
        <v>109.69872319000001</v>
      </c>
      <c r="CJ71" s="587">
        <v>78.38128737000001</v>
      </c>
      <c r="CK71" s="587">
        <v>109.12254866000001</v>
      </c>
      <c r="CL71" s="587">
        <v>114.89546239000001</v>
      </c>
      <c r="CM71" s="587">
        <v>117.99061675999999</v>
      </c>
      <c r="CN71" s="587">
        <v>118.35466631</v>
      </c>
      <c r="CO71" s="587">
        <v>117.80486821</v>
      </c>
      <c r="CP71" s="820">
        <v>116.40718635000002</v>
      </c>
      <c r="CQ71" s="587">
        <v>113.63216862</v>
      </c>
      <c r="CR71" s="587">
        <v>111.45332371000001</v>
      </c>
      <c r="CS71" s="587">
        <v>107.88536091499999</v>
      </c>
      <c r="CT71" s="587">
        <v>101.76213276</v>
      </c>
      <c r="CU71" s="587">
        <v>101.25621303000001</v>
      </c>
      <c r="CV71" s="587">
        <v>91.089384569999993</v>
      </c>
      <c r="CW71" s="587">
        <v>150.42750990000002</v>
      </c>
      <c r="CX71" s="587">
        <v>148.45705818000002</v>
      </c>
      <c r="CY71" s="587">
        <v>146.66517879000003</v>
      </c>
      <c r="CZ71" s="587">
        <v>136.61129738</v>
      </c>
      <c r="DA71" s="587">
        <v>98.102229873700011</v>
      </c>
      <c r="DB71" s="587">
        <v>91.420503261199997</v>
      </c>
      <c r="DC71" s="587">
        <v>92.620213490000012</v>
      </c>
      <c r="DD71" s="587">
        <v>86.29945310894999</v>
      </c>
      <c r="DE71" s="587">
        <v>91.245103329999992</v>
      </c>
      <c r="DF71" s="587">
        <v>92.505576790000006</v>
      </c>
      <c r="DG71" s="587">
        <v>94.824300919999999</v>
      </c>
      <c r="DH71" s="587">
        <v>89.880637840000006</v>
      </c>
      <c r="DI71" s="587">
        <v>91.239958189999996</v>
      </c>
      <c r="DJ71" s="587">
        <v>90.154767210000003</v>
      </c>
      <c r="DK71" s="587">
        <v>81.292921140000004</v>
      </c>
      <c r="DL71" s="587">
        <v>80.562246789999989</v>
      </c>
      <c r="DM71" s="587">
        <v>73.296371909999991</v>
      </c>
      <c r="DN71" s="587">
        <v>67.125684629999995</v>
      </c>
      <c r="DO71" s="587">
        <v>73.097727240000012</v>
      </c>
      <c r="DP71" s="587">
        <v>77.613396049999992</v>
      </c>
      <c r="DQ71" s="587">
        <v>74.787967229999992</v>
      </c>
      <c r="DR71" s="587">
        <v>71.937020189999998</v>
      </c>
    </row>
    <row r="72" spans="1:122" ht="15.95" customHeight="1">
      <c r="A72" s="793" t="s">
        <v>2432</v>
      </c>
      <c r="B72" s="794">
        <v>4801.9291608290005</v>
      </c>
      <c r="C72" s="664">
        <v>4759.2846632575483</v>
      </c>
      <c r="D72" s="664">
        <v>4717.3441113181989</v>
      </c>
      <c r="E72" s="593">
        <v>4744.5460292265998</v>
      </c>
      <c r="F72" s="664">
        <v>5006.6376963431994</v>
      </c>
      <c r="G72" s="664">
        <v>5267.1195187976009</v>
      </c>
      <c r="H72" s="664">
        <v>5128.8869289823988</v>
      </c>
      <c r="I72" s="664">
        <v>5137.7694283115998</v>
      </c>
      <c r="J72" s="664">
        <v>5165.1287456633991</v>
      </c>
      <c r="K72" s="593">
        <v>4986.8268081463993</v>
      </c>
      <c r="L72" s="664">
        <v>4954.125306635</v>
      </c>
      <c r="M72" s="664">
        <v>4843.3042223599996</v>
      </c>
      <c r="N72" s="664">
        <v>4963.5991935547154</v>
      </c>
      <c r="O72" s="593">
        <v>4978.7087615500004</v>
      </c>
      <c r="P72" s="664">
        <v>4974.8439860499993</v>
      </c>
      <c r="Q72" s="664">
        <v>5005.7793210300006</v>
      </c>
      <c r="R72" s="593">
        <v>5172.2459096897001</v>
      </c>
      <c r="S72" s="664">
        <v>5331.2343545000003</v>
      </c>
      <c r="T72" s="664">
        <v>5518.4396569399996</v>
      </c>
      <c r="U72" s="795">
        <v>5650.6317937599997</v>
      </c>
      <c r="V72" s="795">
        <v>5617.2840117700016</v>
      </c>
      <c r="W72" s="795">
        <v>5500.3998213599989</v>
      </c>
      <c r="X72" s="795">
        <v>5291.3516298699997</v>
      </c>
      <c r="Y72" s="795">
        <v>5157.3504788400005</v>
      </c>
      <c r="Z72" s="795">
        <v>5163.7000148100005</v>
      </c>
      <c r="AA72" s="795">
        <v>5249.2593428299997</v>
      </c>
      <c r="AB72" s="795">
        <v>5490.1543430800011</v>
      </c>
      <c r="AC72" s="795">
        <v>5626.3869451800001</v>
      </c>
      <c r="AD72" s="795">
        <v>5471.9955111799991</v>
      </c>
      <c r="AE72" s="795">
        <v>5517.8750518899997</v>
      </c>
      <c r="AF72" s="795">
        <v>5548.9711237999991</v>
      </c>
      <c r="AG72" s="795">
        <v>5689.9503021299997</v>
      </c>
      <c r="AH72" s="795">
        <v>5791.2435988699999</v>
      </c>
      <c r="AI72" s="795">
        <v>5880.8294358100002</v>
      </c>
      <c r="AJ72" s="795">
        <v>5817.1835107500019</v>
      </c>
      <c r="AK72" s="795">
        <v>5858.5574976399994</v>
      </c>
      <c r="AL72" s="795">
        <v>5288.4021064299995</v>
      </c>
      <c r="AM72" s="666">
        <v>5235.132600179998</v>
      </c>
      <c r="AN72" s="666">
        <v>5246.0399278599989</v>
      </c>
      <c r="AO72" s="666">
        <v>5606.7399338099995</v>
      </c>
      <c r="AP72" s="666">
        <v>5998.8909088455002</v>
      </c>
      <c r="AQ72" s="666">
        <v>6137.9456962410013</v>
      </c>
      <c r="AR72" s="794">
        <v>6013.5165399901998</v>
      </c>
      <c r="AS72" s="794">
        <v>5955.472817169999</v>
      </c>
      <c r="AT72" s="794">
        <v>5630.4696661664011</v>
      </c>
      <c r="AU72" s="794">
        <v>5320.0144016908007</v>
      </c>
      <c r="AV72" s="794">
        <v>5461.0987823720006</v>
      </c>
      <c r="AW72" s="587">
        <v>5683.2238006892003</v>
      </c>
      <c r="AX72" s="587">
        <v>5591.8646669751997</v>
      </c>
      <c r="AY72" s="587">
        <v>5656.9115846762998</v>
      </c>
      <c r="AZ72" s="587">
        <v>5761.5939852316005</v>
      </c>
      <c r="BA72" s="587">
        <v>5497.7768871959997</v>
      </c>
      <c r="BB72" s="587">
        <v>5379.1090225311</v>
      </c>
      <c r="BC72" s="587">
        <v>5006.3627642468</v>
      </c>
      <c r="BD72" s="587">
        <v>5151.8808275650008</v>
      </c>
      <c r="BE72" s="587">
        <v>5057.7499322293997</v>
      </c>
      <c r="BF72" s="587">
        <v>4928.410437139999</v>
      </c>
      <c r="BG72" s="587">
        <v>4716.8883619879998</v>
      </c>
      <c r="BH72" s="587">
        <v>4751.9134925970993</v>
      </c>
      <c r="BI72" s="587">
        <v>5408.8134834074999</v>
      </c>
      <c r="BJ72" s="587">
        <v>5671.7072349247019</v>
      </c>
      <c r="BK72" s="587">
        <v>5897.5049680262</v>
      </c>
      <c r="BL72" s="587">
        <v>6204.9401673194998</v>
      </c>
      <c r="BM72" s="587">
        <v>5888.5219047831997</v>
      </c>
      <c r="BN72" s="587">
        <v>6046.7682283431277</v>
      </c>
      <c r="BO72" s="587">
        <v>6283.1909291006004</v>
      </c>
      <c r="BP72" s="587">
        <v>6330.7564188890492</v>
      </c>
      <c r="BQ72" s="587">
        <v>6167.8782648222004</v>
      </c>
      <c r="BR72" s="587">
        <v>6467.2638899251997</v>
      </c>
      <c r="BS72" s="587">
        <v>6367.9085448946762</v>
      </c>
      <c r="BT72" s="587">
        <v>6381.8194854620997</v>
      </c>
      <c r="BU72" s="587">
        <v>6749.3491056692365</v>
      </c>
      <c r="BV72" s="587">
        <v>7241.0043388553659</v>
      </c>
      <c r="BW72" s="587">
        <v>6786.3385415064304</v>
      </c>
      <c r="BX72" s="587">
        <v>6815.3658370779995</v>
      </c>
      <c r="BY72" s="587">
        <v>6911.7023201443017</v>
      </c>
      <c r="BZ72" s="587">
        <v>7263.1</v>
      </c>
      <c r="CA72" s="587">
        <v>7388.5526063938041</v>
      </c>
      <c r="CB72" s="587">
        <v>7547.0720378723963</v>
      </c>
      <c r="CC72" s="587">
        <v>6768.4239047359451</v>
      </c>
      <c r="CD72" s="587">
        <v>6805.3485322275374</v>
      </c>
      <c r="CE72" s="587">
        <v>6736.1073495979699</v>
      </c>
      <c r="CF72" s="587">
        <v>6792.5489526253505</v>
      </c>
      <c r="CG72" s="587">
        <v>7134.746267897287</v>
      </c>
      <c r="CH72" s="587">
        <v>7229.3674804323264</v>
      </c>
      <c r="CI72" s="587">
        <v>7096.6947141235978</v>
      </c>
      <c r="CJ72" s="587">
        <v>7451.8370485323494</v>
      </c>
      <c r="CK72" s="587">
        <v>7500.766539391997</v>
      </c>
      <c r="CL72" s="587">
        <v>7650.0924693496781</v>
      </c>
      <c r="CM72" s="587">
        <v>7817.6700292612404</v>
      </c>
      <c r="CN72" s="587">
        <v>8085.4989877531725</v>
      </c>
      <c r="CO72" s="587">
        <v>7727.4773731462374</v>
      </c>
      <c r="CP72" s="820">
        <v>7643.5817149262703</v>
      </c>
      <c r="CQ72" s="587">
        <v>7556.4804129604199</v>
      </c>
      <c r="CR72" s="587">
        <v>8756.8108241192404</v>
      </c>
      <c r="CS72" s="587">
        <v>8177.5538755447815</v>
      </c>
      <c r="CT72" s="587">
        <v>8499.041562096143</v>
      </c>
      <c r="CU72" s="587">
        <v>8300.7924956681854</v>
      </c>
      <c r="CV72" s="587">
        <v>8110.5558259318823</v>
      </c>
      <c r="CW72" s="587">
        <v>8479.7380274195602</v>
      </c>
      <c r="CX72" s="587">
        <v>8221.2874908374433</v>
      </c>
      <c r="CY72" s="587">
        <v>8652.4360688180077</v>
      </c>
      <c r="CZ72" s="587">
        <v>8552.8474322198945</v>
      </c>
      <c r="DA72" s="587">
        <v>8597.6057084384065</v>
      </c>
      <c r="DB72" s="587">
        <v>8582.0887501907637</v>
      </c>
      <c r="DC72" s="587">
        <v>8371.5569580113406</v>
      </c>
      <c r="DD72" s="587">
        <v>8472.8440092541314</v>
      </c>
      <c r="DE72" s="587">
        <v>8530.5675527327076</v>
      </c>
      <c r="DF72" s="587">
        <v>9318.1196702501147</v>
      </c>
      <c r="DG72" s="587">
        <v>8698.0336737686066</v>
      </c>
      <c r="DH72" s="587">
        <v>8562.9111510415969</v>
      </c>
      <c r="DI72" s="587">
        <v>8978.345930927404</v>
      </c>
      <c r="DJ72" s="587">
        <v>8612.6615920343575</v>
      </c>
      <c r="DK72" s="587">
        <v>9841.5720007285217</v>
      </c>
      <c r="DL72" s="587">
        <v>10311.893805219532</v>
      </c>
      <c r="DM72" s="587">
        <v>10063.898442691963</v>
      </c>
      <c r="DN72" s="587">
        <v>10209.715991198113</v>
      </c>
      <c r="DO72" s="587">
        <v>10021.888298101705</v>
      </c>
      <c r="DP72" s="587">
        <v>9830.6807718578584</v>
      </c>
      <c r="DQ72" s="587">
        <v>9266.1194702063349</v>
      </c>
      <c r="DR72" s="587">
        <v>9264.9463565600399</v>
      </c>
    </row>
    <row r="73" spans="1:122" ht="15.95" customHeight="1">
      <c r="A73" s="793" t="s">
        <v>2433</v>
      </c>
      <c r="B73" s="794">
        <v>463.61466999999999</v>
      </c>
      <c r="C73" s="664">
        <v>460.04124200000001</v>
      </c>
      <c r="D73" s="664">
        <v>527.97652794999988</v>
      </c>
      <c r="E73" s="593">
        <v>331.33407254999997</v>
      </c>
      <c r="F73" s="664">
        <v>328.22978947999997</v>
      </c>
      <c r="G73" s="664">
        <v>326.45779430000005</v>
      </c>
      <c r="H73" s="664">
        <v>324.78940016000001</v>
      </c>
      <c r="I73" s="664">
        <v>323.22642472000001</v>
      </c>
      <c r="J73" s="664">
        <v>321.38803817000002</v>
      </c>
      <c r="K73" s="593">
        <v>319.82231972000005</v>
      </c>
      <c r="L73" s="664">
        <v>318.83213375999998</v>
      </c>
      <c r="M73" s="664">
        <v>316.57473702999999</v>
      </c>
      <c r="N73" s="664">
        <v>314.89337614999999</v>
      </c>
      <c r="O73" s="593">
        <v>313.28903300000002</v>
      </c>
      <c r="P73" s="664">
        <v>312.20782222000003</v>
      </c>
      <c r="Q73" s="664">
        <v>314.48892835999999</v>
      </c>
      <c r="R73" s="593">
        <v>313.55483516000004</v>
      </c>
      <c r="S73" s="664">
        <v>312.46192020999996</v>
      </c>
      <c r="T73" s="664">
        <v>311.04545960000002</v>
      </c>
      <c r="U73" s="795">
        <v>310.49595902999999</v>
      </c>
      <c r="V73" s="795">
        <v>309.28220864999997</v>
      </c>
      <c r="W73" s="795">
        <v>308.69362655999998</v>
      </c>
      <c r="X73" s="795">
        <v>307.26413308999997</v>
      </c>
      <c r="Y73" s="795">
        <v>306.08213506999999</v>
      </c>
      <c r="Z73" s="795">
        <v>305.74134270999997</v>
      </c>
      <c r="AA73" s="795">
        <v>304.23584457999999</v>
      </c>
      <c r="AB73" s="795">
        <v>303.29167229000001</v>
      </c>
      <c r="AC73" s="795">
        <v>302.04820057000006</v>
      </c>
      <c r="AD73" s="795">
        <v>300.32374507999998</v>
      </c>
      <c r="AE73" s="795">
        <v>300.24391585000001</v>
      </c>
      <c r="AF73" s="795">
        <v>299.06509364000004</v>
      </c>
      <c r="AG73" s="795">
        <v>298.31316783999995</v>
      </c>
      <c r="AH73" s="795">
        <v>34.999319290000003</v>
      </c>
      <c r="AI73" s="795">
        <v>35.936095689999995</v>
      </c>
      <c r="AJ73" s="795">
        <v>37.068945530000001</v>
      </c>
      <c r="AK73" s="795">
        <v>33.959943590000002</v>
      </c>
      <c r="AL73" s="795">
        <v>33.507819589999997</v>
      </c>
      <c r="AM73" s="666">
        <v>33.434737079999998</v>
      </c>
      <c r="AN73" s="666">
        <v>32.587087310000001</v>
      </c>
      <c r="AO73" s="666">
        <v>29.346412050000001</v>
      </c>
      <c r="AP73" s="666">
        <v>32.2090899397</v>
      </c>
      <c r="AQ73" s="666">
        <v>36.403392528200001</v>
      </c>
      <c r="AR73" s="794">
        <v>28.159200542799997</v>
      </c>
      <c r="AS73" s="794">
        <v>30.405619179999999</v>
      </c>
      <c r="AT73" s="794">
        <v>33.346280302000004</v>
      </c>
      <c r="AU73" s="794">
        <v>35.698895647599997</v>
      </c>
      <c r="AV73" s="794">
        <v>35.157134954999997</v>
      </c>
      <c r="AW73" s="587">
        <v>34.659364254799996</v>
      </c>
      <c r="AX73" s="587">
        <v>88.410551649599995</v>
      </c>
      <c r="AY73" s="587">
        <v>83.772859591300005</v>
      </c>
      <c r="AZ73" s="587">
        <v>81.49476982920001</v>
      </c>
      <c r="BA73" s="587">
        <v>82.081319884799981</v>
      </c>
      <c r="BB73" s="587">
        <v>23.374022628000002</v>
      </c>
      <c r="BC73" s="587">
        <v>22.3509908252</v>
      </c>
      <c r="BD73" s="587">
        <v>21.518016328800002</v>
      </c>
      <c r="BE73" s="587">
        <v>21.060665522500003</v>
      </c>
      <c r="BF73" s="587">
        <v>20.544640057500001</v>
      </c>
      <c r="BG73" s="587">
        <v>20.067021221999997</v>
      </c>
      <c r="BH73" s="587">
        <v>21.805428263</v>
      </c>
      <c r="BI73" s="587">
        <v>18.941307936000001</v>
      </c>
      <c r="BJ73" s="587">
        <v>22.021187008000002</v>
      </c>
      <c r="BK73" s="587">
        <v>15.800219370799999</v>
      </c>
      <c r="BL73" s="587">
        <v>14.698641909999997</v>
      </c>
      <c r="BM73" s="587">
        <v>14.382754859999999</v>
      </c>
      <c r="BN73" s="587">
        <v>14.0586225</v>
      </c>
      <c r="BO73" s="587">
        <v>13.713603150000001</v>
      </c>
      <c r="BP73" s="587">
        <v>13.38966102</v>
      </c>
      <c r="BQ73" s="587">
        <v>16.080341798699997</v>
      </c>
      <c r="BR73" s="587">
        <v>12.73725129</v>
      </c>
      <c r="BS73" s="587">
        <v>12.410176199999999</v>
      </c>
      <c r="BT73" s="587">
        <v>12.153275649999998</v>
      </c>
      <c r="BU73" s="587">
        <v>11.898136229999999</v>
      </c>
      <c r="BV73" s="587">
        <v>11.6764828</v>
      </c>
      <c r="BW73" s="587">
        <v>11.381365519999999</v>
      </c>
      <c r="BX73" s="587">
        <v>81.12511099999999</v>
      </c>
      <c r="BY73" s="587">
        <v>80.866627000000008</v>
      </c>
      <c r="BZ73" s="587">
        <v>80.599999999999994</v>
      </c>
      <c r="CA73" s="587">
        <v>80.342941179999997</v>
      </c>
      <c r="CB73" s="587">
        <v>80.078857909999996</v>
      </c>
      <c r="CC73" s="587">
        <v>79.816106419999997</v>
      </c>
      <c r="CD73" s="587">
        <v>81.113764966372003</v>
      </c>
      <c r="CE73" s="587">
        <v>81.76564231070482</v>
      </c>
      <c r="CF73" s="587">
        <v>79.010723110000001</v>
      </c>
      <c r="CG73" s="587">
        <v>78.739303860000007</v>
      </c>
      <c r="CH73" s="587">
        <v>107.73715645999999</v>
      </c>
      <c r="CI73" s="587">
        <v>106.32602219</v>
      </c>
      <c r="CJ73" s="587">
        <v>105.17999456180999</v>
      </c>
      <c r="CK73" s="587">
        <v>103.48969524</v>
      </c>
      <c r="CL73" s="587">
        <v>102.12764074038117</v>
      </c>
      <c r="CM73" s="587">
        <v>101.22154418</v>
      </c>
      <c r="CN73" s="587">
        <v>99.206509080000004</v>
      </c>
      <c r="CO73" s="587">
        <v>97.773225859999997</v>
      </c>
      <c r="CP73" s="820">
        <v>96.332073750000006</v>
      </c>
      <c r="CQ73" s="587">
        <v>110.57416019</v>
      </c>
      <c r="CR73" s="587">
        <v>108.44005010000001</v>
      </c>
      <c r="CS73" s="587">
        <v>106.98742422999999</v>
      </c>
      <c r="CT73" s="587">
        <v>105.58009297</v>
      </c>
      <c r="CU73" s="587">
        <v>104.06996937</v>
      </c>
      <c r="CV73" s="587">
        <v>102.60505359999999</v>
      </c>
      <c r="CW73" s="587">
        <v>101.13585977</v>
      </c>
      <c r="CX73" s="587">
        <v>99.696978880000003</v>
      </c>
      <c r="CY73" s="587">
        <v>98.183399809999983</v>
      </c>
      <c r="CZ73" s="587">
        <v>96.701153660000003</v>
      </c>
      <c r="DA73" s="587">
        <v>95.214491440000003</v>
      </c>
      <c r="DB73" s="587">
        <v>94.146089360000005</v>
      </c>
      <c r="DC73" s="587">
        <v>94.073760499999992</v>
      </c>
      <c r="DD73" s="587">
        <v>105.72653864</v>
      </c>
      <c r="DE73" s="587">
        <v>91.373411310000009</v>
      </c>
      <c r="DF73" s="587">
        <v>91.12467006</v>
      </c>
      <c r="DG73" s="587">
        <v>104.550239</v>
      </c>
      <c r="DH73" s="587">
        <v>132.99527358</v>
      </c>
      <c r="DI73" s="587">
        <v>131.64444337</v>
      </c>
      <c r="DJ73" s="587">
        <v>136.16279753000001</v>
      </c>
      <c r="DK73" s="587">
        <v>128.70052939000001</v>
      </c>
      <c r="DL73" s="587">
        <v>127.23415077</v>
      </c>
      <c r="DM73" s="587">
        <v>128.34238235999999</v>
      </c>
      <c r="DN73" s="587">
        <v>137.93941971999999</v>
      </c>
      <c r="DO73" s="587">
        <v>128.91374316</v>
      </c>
      <c r="DP73" s="587">
        <v>123.59649903</v>
      </c>
      <c r="DQ73" s="587">
        <v>134.08348241000002</v>
      </c>
      <c r="DR73" s="587">
        <v>127.6354123</v>
      </c>
    </row>
    <row r="74" spans="1:122" ht="15.95" customHeight="1">
      <c r="A74" s="793" t="s">
        <v>2434</v>
      </c>
      <c r="B74" s="794">
        <v>926.66425083000013</v>
      </c>
      <c r="C74" s="664">
        <v>879.92626970000003</v>
      </c>
      <c r="D74" s="664">
        <v>721.28566178000017</v>
      </c>
      <c r="E74" s="593">
        <v>929.83909610000012</v>
      </c>
      <c r="F74" s="664">
        <v>902.82179521</v>
      </c>
      <c r="G74" s="664">
        <v>909.41921696000009</v>
      </c>
      <c r="H74" s="664">
        <v>880.78451079000013</v>
      </c>
      <c r="I74" s="664">
        <v>883.15317335999987</v>
      </c>
      <c r="J74" s="664">
        <v>900.60429081999996</v>
      </c>
      <c r="K74" s="593">
        <v>890.01803747999998</v>
      </c>
      <c r="L74" s="664">
        <v>886.7274124999999</v>
      </c>
      <c r="M74" s="664">
        <v>873.53984866999997</v>
      </c>
      <c r="N74" s="664">
        <v>889.11386275999996</v>
      </c>
      <c r="O74" s="593">
        <v>872.65250204999995</v>
      </c>
      <c r="P74" s="664">
        <v>872.16586286999996</v>
      </c>
      <c r="Q74" s="664">
        <v>891.71102997000003</v>
      </c>
      <c r="R74" s="593">
        <v>871.26575363000006</v>
      </c>
      <c r="S74" s="664">
        <v>860.87499797999988</v>
      </c>
      <c r="T74" s="664">
        <v>835.72423736999986</v>
      </c>
      <c r="U74" s="795">
        <v>830.63649598999984</v>
      </c>
      <c r="V74" s="795">
        <v>845.81191568999986</v>
      </c>
      <c r="W74" s="795">
        <v>836.76174532999994</v>
      </c>
      <c r="X74" s="795">
        <v>817.8099050400001</v>
      </c>
      <c r="Y74" s="795">
        <v>823.86468667000008</v>
      </c>
      <c r="Z74" s="795">
        <v>833.83114121000006</v>
      </c>
      <c r="AA74" s="795">
        <v>817.63071453999999</v>
      </c>
      <c r="AB74" s="795">
        <v>836.00137828999993</v>
      </c>
      <c r="AC74" s="795">
        <v>831.54717403000006</v>
      </c>
      <c r="AD74" s="795">
        <v>852.89268622999987</v>
      </c>
      <c r="AE74" s="795">
        <v>856.97527100000002</v>
      </c>
      <c r="AF74" s="795">
        <v>804.02007961999993</v>
      </c>
      <c r="AG74" s="795">
        <v>711.6000750500001</v>
      </c>
      <c r="AH74" s="795">
        <v>467.72730281000003</v>
      </c>
      <c r="AI74" s="795">
        <v>472.09961955</v>
      </c>
      <c r="AJ74" s="795">
        <v>494.27120891000004</v>
      </c>
      <c r="AK74" s="795">
        <v>490.81321795000002</v>
      </c>
      <c r="AL74" s="795">
        <v>494.44802592000002</v>
      </c>
      <c r="AM74" s="666">
        <v>516.21782875000008</v>
      </c>
      <c r="AN74" s="666">
        <v>516.31213220999996</v>
      </c>
      <c r="AO74" s="666">
        <v>503.24425951000001</v>
      </c>
      <c r="AP74" s="666">
        <v>489.51330487719997</v>
      </c>
      <c r="AQ74" s="666">
        <v>494.68707912579993</v>
      </c>
      <c r="AR74" s="794">
        <v>493.81222262200004</v>
      </c>
      <c r="AS74" s="794">
        <v>486.04974214000003</v>
      </c>
      <c r="AT74" s="794">
        <v>516.13286075120004</v>
      </c>
      <c r="AU74" s="794">
        <v>498.80503430060003</v>
      </c>
      <c r="AV74" s="794">
        <v>496.87984067799999</v>
      </c>
      <c r="AW74" s="587">
        <v>519.60404782559999</v>
      </c>
      <c r="AX74" s="587">
        <v>474.93454998679999</v>
      </c>
      <c r="AY74" s="587">
        <v>481.47123866149997</v>
      </c>
      <c r="AZ74" s="587">
        <v>447.3326192586</v>
      </c>
      <c r="BA74" s="587">
        <v>485.86792073180004</v>
      </c>
      <c r="BB74" s="587">
        <v>472.0427263931</v>
      </c>
      <c r="BC74" s="587">
        <v>481.23702713040001</v>
      </c>
      <c r="BD74" s="587">
        <v>460.94670880360002</v>
      </c>
      <c r="BE74" s="587">
        <v>449.63064349939998</v>
      </c>
      <c r="BF74" s="587">
        <v>470.08273794999991</v>
      </c>
      <c r="BG74" s="587">
        <v>448.99094998199985</v>
      </c>
      <c r="BH74" s="587">
        <v>439.66528039430005</v>
      </c>
      <c r="BI74" s="587">
        <v>434.68208784780001</v>
      </c>
      <c r="BJ74" s="587">
        <v>450.70070639740004</v>
      </c>
      <c r="BK74" s="587">
        <v>457.86751363100007</v>
      </c>
      <c r="BL74" s="587">
        <v>400.0052360578</v>
      </c>
      <c r="BM74" s="587">
        <v>403.70361882059996</v>
      </c>
      <c r="BN74" s="587">
        <v>408.73126425599992</v>
      </c>
      <c r="BO74" s="587">
        <v>401.21387894959992</v>
      </c>
      <c r="BP74" s="587">
        <v>380.2568783136</v>
      </c>
      <c r="BQ74" s="587">
        <v>485.74684915030008</v>
      </c>
      <c r="BR74" s="587">
        <v>517.963246637</v>
      </c>
      <c r="BS74" s="587">
        <v>504.60812642280007</v>
      </c>
      <c r="BT74" s="587">
        <v>483.89338643153002</v>
      </c>
      <c r="BU74" s="587">
        <v>479.56802858334601</v>
      </c>
      <c r="BV74" s="587">
        <v>477.45625522236799</v>
      </c>
      <c r="BW74" s="587">
        <v>485.99207357335996</v>
      </c>
      <c r="BX74" s="587">
        <v>468.25889443049999</v>
      </c>
      <c r="BY74" s="587">
        <v>445.58355986949999</v>
      </c>
      <c r="BZ74" s="587">
        <v>451.2</v>
      </c>
      <c r="CA74" s="587">
        <v>483.75838031869989</v>
      </c>
      <c r="CB74" s="587">
        <v>461.25243156440001</v>
      </c>
      <c r="CC74" s="587">
        <v>446.00571831914999</v>
      </c>
      <c r="CD74" s="587">
        <v>472.01393812999999</v>
      </c>
      <c r="CE74" s="587">
        <v>507.09064146016942</v>
      </c>
      <c r="CF74" s="587">
        <v>490.99175295152531</v>
      </c>
      <c r="CG74" s="587">
        <v>514.58348983351334</v>
      </c>
      <c r="CH74" s="587">
        <v>546.80701069030192</v>
      </c>
      <c r="CI74" s="587">
        <v>542.35762074010916</v>
      </c>
      <c r="CJ74" s="587">
        <v>544.37967601215598</v>
      </c>
      <c r="CK74" s="587">
        <v>536.70750467680602</v>
      </c>
      <c r="CL74" s="587">
        <v>504.64102840385732</v>
      </c>
      <c r="CM74" s="587">
        <v>542.84317762875435</v>
      </c>
      <c r="CN74" s="587">
        <v>512.20168699431201</v>
      </c>
      <c r="CO74" s="587">
        <v>538.75947649696298</v>
      </c>
      <c r="CP74" s="820">
        <v>548.78758542749995</v>
      </c>
      <c r="CQ74" s="587">
        <v>567.69197324000004</v>
      </c>
      <c r="CR74" s="587">
        <v>559.27361561999999</v>
      </c>
      <c r="CS74" s="587">
        <v>555.45307115000003</v>
      </c>
      <c r="CT74" s="587">
        <v>619.93068026000003</v>
      </c>
      <c r="CU74" s="587">
        <v>588.99706949000006</v>
      </c>
      <c r="CV74" s="587">
        <v>590.88022125999998</v>
      </c>
      <c r="CW74" s="587">
        <v>583.22427706000008</v>
      </c>
      <c r="CX74" s="587">
        <v>998.25334305000013</v>
      </c>
      <c r="CY74" s="587">
        <v>978.01990172000001</v>
      </c>
      <c r="CZ74" s="587">
        <v>962.18271893999997</v>
      </c>
      <c r="DA74" s="587">
        <v>958.88803188999998</v>
      </c>
      <c r="DB74" s="587">
        <v>1006.2574788400001</v>
      </c>
      <c r="DC74" s="587">
        <v>1000.0271624799999</v>
      </c>
      <c r="DD74" s="587">
        <v>1080.92912237</v>
      </c>
      <c r="DE74" s="587">
        <v>1094.2082605000003</v>
      </c>
      <c r="DF74" s="587">
        <v>1066.57196694</v>
      </c>
      <c r="DG74" s="587">
        <v>1091.9584613499999</v>
      </c>
      <c r="DH74" s="587">
        <v>673.33953372000008</v>
      </c>
      <c r="DI74" s="587">
        <v>688.86393816999987</v>
      </c>
      <c r="DJ74" s="587">
        <v>723.87679664999985</v>
      </c>
      <c r="DK74" s="587">
        <v>747.56198700999994</v>
      </c>
      <c r="DL74" s="587">
        <v>672.49670784</v>
      </c>
      <c r="DM74" s="587">
        <v>677.02169824999999</v>
      </c>
      <c r="DN74" s="587">
        <v>708.13079029980861</v>
      </c>
      <c r="DO74" s="587">
        <v>695.53511806607457</v>
      </c>
      <c r="DP74" s="587">
        <v>672.91700115999993</v>
      </c>
      <c r="DQ74" s="587">
        <v>687.54619785999989</v>
      </c>
      <c r="DR74" s="587">
        <v>646.33820180999999</v>
      </c>
    </row>
    <row r="75" spans="1:122" ht="15.95" customHeight="1">
      <c r="A75" s="793" t="s">
        <v>2435</v>
      </c>
      <c r="B75" s="794">
        <v>186.14744039999999</v>
      </c>
      <c r="C75" s="664">
        <v>187.10678686</v>
      </c>
      <c r="D75" s="664">
        <v>189.75268499999999</v>
      </c>
      <c r="E75" s="593">
        <v>175.98013710000001</v>
      </c>
      <c r="F75" s="664">
        <v>174.55431373000002</v>
      </c>
      <c r="G75" s="664">
        <v>173.75905835</v>
      </c>
      <c r="H75" s="664">
        <v>169.44216917000003</v>
      </c>
      <c r="I75" s="664">
        <v>164.99673525999998</v>
      </c>
      <c r="J75" s="664">
        <v>183.91171595999998</v>
      </c>
      <c r="K75" s="593">
        <v>186.02389178000001</v>
      </c>
      <c r="L75" s="664">
        <v>185.92303680999999</v>
      </c>
      <c r="M75" s="664">
        <v>175.03429691999995</v>
      </c>
      <c r="N75" s="664">
        <v>174.95816884999999</v>
      </c>
      <c r="O75" s="593">
        <v>165.35744124000004</v>
      </c>
      <c r="P75" s="664">
        <v>162.01578569999998</v>
      </c>
      <c r="Q75" s="664">
        <v>162.06440347759997</v>
      </c>
      <c r="R75" s="593">
        <v>161.98261532570001</v>
      </c>
      <c r="S75" s="664">
        <v>167.7799984822</v>
      </c>
      <c r="T75" s="664">
        <v>167.53320865000001</v>
      </c>
      <c r="U75" s="795">
        <v>164.917172871372</v>
      </c>
      <c r="V75" s="795">
        <v>162.58138676768903</v>
      </c>
      <c r="W75" s="795">
        <v>172.43472713000003</v>
      </c>
      <c r="X75" s="795">
        <v>167.40726746000001</v>
      </c>
      <c r="Y75" s="795">
        <v>177.54057162000004</v>
      </c>
      <c r="Z75" s="795">
        <v>179.81377861999997</v>
      </c>
      <c r="AA75" s="795">
        <v>174.40572451999998</v>
      </c>
      <c r="AB75" s="795">
        <v>180.70153113000001</v>
      </c>
      <c r="AC75" s="795">
        <v>179.96928896</v>
      </c>
      <c r="AD75" s="795">
        <v>178.71513716000004</v>
      </c>
      <c r="AE75" s="795">
        <v>178.17449837999999</v>
      </c>
      <c r="AF75" s="795">
        <v>166.80457544000001</v>
      </c>
      <c r="AG75" s="795">
        <v>167.08164574</v>
      </c>
      <c r="AH75" s="795">
        <v>175.25542058999997</v>
      </c>
      <c r="AI75" s="795">
        <v>752.18570819000001</v>
      </c>
      <c r="AJ75" s="795">
        <v>734.99452112000006</v>
      </c>
      <c r="AK75" s="795">
        <v>745.51023939999993</v>
      </c>
      <c r="AL75" s="795">
        <v>739.94353736000005</v>
      </c>
      <c r="AM75" s="666">
        <v>741.12781962999998</v>
      </c>
      <c r="AN75" s="666">
        <v>756.38254243999995</v>
      </c>
      <c r="AO75" s="666">
        <v>785.4882633200001</v>
      </c>
      <c r="AP75" s="666">
        <v>809.98620676199994</v>
      </c>
      <c r="AQ75" s="666">
        <v>864.79353068779994</v>
      </c>
      <c r="AR75" s="794">
        <v>914.62968764599987</v>
      </c>
      <c r="AS75" s="794">
        <v>898.02266308000003</v>
      </c>
      <c r="AT75" s="794">
        <v>935.38487593080004</v>
      </c>
      <c r="AU75" s="794">
        <v>884.47698831079992</v>
      </c>
      <c r="AV75" s="794">
        <v>832.87873712199996</v>
      </c>
      <c r="AW75" s="587">
        <v>828.74389951640001</v>
      </c>
      <c r="AX75" s="587">
        <v>888.51102266320004</v>
      </c>
      <c r="AY75" s="587">
        <v>825.73654690770013</v>
      </c>
      <c r="AZ75" s="587">
        <v>823.01476382279998</v>
      </c>
      <c r="BA75" s="587">
        <v>841.76958637940015</v>
      </c>
      <c r="BB75" s="587">
        <v>843.67550342549987</v>
      </c>
      <c r="BC75" s="587">
        <v>868.55369373959991</v>
      </c>
      <c r="BD75" s="587">
        <v>897.70448814240001</v>
      </c>
      <c r="BE75" s="587">
        <v>899.17694909120007</v>
      </c>
      <c r="BF75" s="587">
        <v>915.62233810249995</v>
      </c>
      <c r="BG75" s="587">
        <v>891.57650141800002</v>
      </c>
      <c r="BH75" s="587">
        <v>938.2487139527999</v>
      </c>
      <c r="BI75" s="587">
        <v>912.56412091890002</v>
      </c>
      <c r="BJ75" s="587">
        <v>909.59748445460002</v>
      </c>
      <c r="BK75" s="587">
        <v>992.61143203080007</v>
      </c>
      <c r="BL75" s="587">
        <v>992.27485632780019</v>
      </c>
      <c r="BM75" s="587">
        <v>1032.2106445340003</v>
      </c>
      <c r="BN75" s="587">
        <v>1079.7766805432</v>
      </c>
      <c r="BO75" s="587">
        <v>1239.1260732700002</v>
      </c>
      <c r="BP75" s="587">
        <v>1062.3887654531002</v>
      </c>
      <c r="BQ75" s="587">
        <v>1130.9641294654</v>
      </c>
      <c r="BR75" s="587">
        <v>1098.7327395093</v>
      </c>
      <c r="BS75" s="587">
        <v>1100.6389286132001</v>
      </c>
      <c r="BT75" s="587">
        <v>1177.5242219673401</v>
      </c>
      <c r="BU75" s="587">
        <v>1171.417237608646</v>
      </c>
      <c r="BV75" s="587">
        <v>1186.2358472719218</v>
      </c>
      <c r="BW75" s="587">
        <v>1197.7618255544601</v>
      </c>
      <c r="BX75" s="587">
        <v>1265.0550022524999</v>
      </c>
      <c r="BY75" s="587">
        <v>1277.6651078774998</v>
      </c>
      <c r="BZ75" s="587">
        <v>1319</v>
      </c>
      <c r="CA75" s="587">
        <v>1269.8683946234</v>
      </c>
      <c r="CB75" s="587">
        <v>1304.0401360731998</v>
      </c>
      <c r="CC75" s="587">
        <v>1309.9843362778411</v>
      </c>
      <c r="CD75" s="587">
        <v>1322.24007439207</v>
      </c>
      <c r="CE75" s="587">
        <v>541.23542118127739</v>
      </c>
      <c r="CF75" s="587">
        <v>579.61671099889668</v>
      </c>
      <c r="CG75" s="587">
        <v>598.47547357846668</v>
      </c>
      <c r="CH75" s="587">
        <v>629.13419809977199</v>
      </c>
      <c r="CI75" s="587">
        <v>646.85512958223751</v>
      </c>
      <c r="CJ75" s="587">
        <v>688.00854390890004</v>
      </c>
      <c r="CK75" s="587">
        <v>720.64402928694301</v>
      </c>
      <c r="CL75" s="587">
        <v>854.81494301050418</v>
      </c>
      <c r="CM75" s="587">
        <v>835.19653343992434</v>
      </c>
      <c r="CN75" s="587">
        <v>730.81915361000006</v>
      </c>
      <c r="CO75" s="587">
        <v>731.01756843999999</v>
      </c>
      <c r="CP75" s="820">
        <v>725.16304448000017</v>
      </c>
      <c r="CQ75" s="587">
        <v>715.05834578999998</v>
      </c>
      <c r="CR75" s="587">
        <v>733.96338172000003</v>
      </c>
      <c r="CS75" s="587">
        <v>758.74847326999998</v>
      </c>
      <c r="CT75" s="587">
        <v>782.81314371000008</v>
      </c>
      <c r="CU75" s="587">
        <v>750.7947954199999</v>
      </c>
      <c r="CV75" s="587">
        <v>766.92318803000001</v>
      </c>
      <c r="CW75" s="587">
        <v>784.40896153000006</v>
      </c>
      <c r="CX75" s="587">
        <v>985.93276459000003</v>
      </c>
      <c r="CY75" s="587">
        <v>930.50932288999991</v>
      </c>
      <c r="CZ75" s="587">
        <v>716.67516918000001</v>
      </c>
      <c r="DA75" s="587">
        <v>822.58834567000008</v>
      </c>
      <c r="DB75" s="587">
        <v>746.52305612999999</v>
      </c>
      <c r="DC75" s="587">
        <v>761.52718533000007</v>
      </c>
      <c r="DD75" s="587">
        <v>655.71375993999993</v>
      </c>
      <c r="DE75" s="587">
        <v>668.67767007999987</v>
      </c>
      <c r="DF75" s="587">
        <v>690.13727838999978</v>
      </c>
      <c r="DG75" s="587">
        <v>692.2316590800001</v>
      </c>
      <c r="DH75" s="587">
        <v>664.79691659000014</v>
      </c>
      <c r="DI75" s="587">
        <v>658.23449946000005</v>
      </c>
      <c r="DJ75" s="587">
        <v>683.45975632</v>
      </c>
      <c r="DK75" s="587">
        <v>689.72517367</v>
      </c>
      <c r="DL75" s="587">
        <v>639.66828518</v>
      </c>
      <c r="DM75" s="587">
        <v>635.19884071999979</v>
      </c>
      <c r="DN75" s="587">
        <v>678.08833588000005</v>
      </c>
      <c r="DO75" s="587">
        <v>790.41878989999998</v>
      </c>
      <c r="DP75" s="587">
        <v>653.70342850999987</v>
      </c>
      <c r="DQ75" s="587">
        <v>636.31359792000001</v>
      </c>
      <c r="DR75" s="587">
        <v>656.32608120000009</v>
      </c>
    </row>
    <row r="76" spans="1:122" ht="15.95" customHeight="1">
      <c r="A76" s="793" t="s">
        <v>2436</v>
      </c>
      <c r="B76" s="794">
        <v>170.93642864999998</v>
      </c>
      <c r="C76" s="664">
        <v>175.64514153000002</v>
      </c>
      <c r="D76" s="664">
        <v>174.31251030999999</v>
      </c>
      <c r="E76" s="593">
        <v>188.90680407000002</v>
      </c>
      <c r="F76" s="664">
        <v>204.02006085000002</v>
      </c>
      <c r="G76" s="664">
        <v>207.46759636000002</v>
      </c>
      <c r="H76" s="664">
        <v>186.83438080000002</v>
      </c>
      <c r="I76" s="664">
        <v>203.05580090000001</v>
      </c>
      <c r="J76" s="664">
        <v>213.76240427000005</v>
      </c>
      <c r="K76" s="593">
        <v>219.99311474000001</v>
      </c>
      <c r="L76" s="664">
        <v>217.92985419999999</v>
      </c>
      <c r="M76" s="664">
        <v>211.85448992000002</v>
      </c>
      <c r="N76" s="664">
        <v>215.92993747</v>
      </c>
      <c r="O76" s="593">
        <v>239.70803556999999</v>
      </c>
      <c r="P76" s="664">
        <v>239.47330370999998</v>
      </c>
      <c r="Q76" s="664">
        <v>234.80672807999997</v>
      </c>
      <c r="R76" s="593">
        <v>229.53913087999999</v>
      </c>
      <c r="S76" s="664">
        <v>232.65987643</v>
      </c>
      <c r="T76" s="664">
        <v>237.163645</v>
      </c>
      <c r="U76" s="795">
        <v>234.72337445999997</v>
      </c>
      <c r="V76" s="795">
        <v>221.31178463000001</v>
      </c>
      <c r="W76" s="795">
        <v>221.83543841000002</v>
      </c>
      <c r="X76" s="795">
        <v>230.05137770000002</v>
      </c>
      <c r="Y76" s="795">
        <v>236.59052191999996</v>
      </c>
      <c r="Z76" s="795">
        <v>223.99127999999999</v>
      </c>
      <c r="AA76" s="795">
        <v>225.81422472000003</v>
      </c>
      <c r="AB76" s="795">
        <v>237.78054563000001</v>
      </c>
      <c r="AC76" s="795">
        <v>247.32675651999998</v>
      </c>
      <c r="AD76" s="795">
        <v>264.40925977000001</v>
      </c>
      <c r="AE76" s="795">
        <v>261.59533142999999</v>
      </c>
      <c r="AF76" s="795">
        <v>262.79012418999997</v>
      </c>
      <c r="AG76" s="795">
        <v>295.97219816</v>
      </c>
      <c r="AH76" s="795">
        <v>271.45400555000003</v>
      </c>
      <c r="AI76" s="795">
        <v>141.67146149999999</v>
      </c>
      <c r="AJ76" s="795">
        <v>151.87152971</v>
      </c>
      <c r="AK76" s="795">
        <v>157.54848267</v>
      </c>
      <c r="AL76" s="795">
        <v>175.15908869999998</v>
      </c>
      <c r="AM76" s="666">
        <v>230.81793827000001</v>
      </c>
      <c r="AN76" s="666">
        <v>232.78885572000002</v>
      </c>
      <c r="AO76" s="666">
        <v>247.72780985</v>
      </c>
      <c r="AP76" s="666">
        <v>249.77579708810001</v>
      </c>
      <c r="AQ76" s="666">
        <v>248.07917641699999</v>
      </c>
      <c r="AR76" s="794">
        <v>280.53135767120006</v>
      </c>
      <c r="AS76" s="794">
        <v>286.10883836999994</v>
      </c>
      <c r="AT76" s="794">
        <v>180.45772566280002</v>
      </c>
      <c r="AU76" s="794">
        <v>183.11724538059997</v>
      </c>
      <c r="AV76" s="794">
        <v>215.32241526800001</v>
      </c>
      <c r="AW76" s="587">
        <v>211.46693414039996</v>
      </c>
      <c r="AX76" s="587">
        <v>171.08989449640001</v>
      </c>
      <c r="AY76" s="587">
        <v>166.26716344330001</v>
      </c>
      <c r="AZ76" s="587">
        <v>164.67558920899998</v>
      </c>
      <c r="BA76" s="587">
        <v>187.57540123659999</v>
      </c>
      <c r="BB76" s="587">
        <v>193.76297881369999</v>
      </c>
      <c r="BC76" s="587">
        <v>216.64504129520003</v>
      </c>
      <c r="BD76" s="587">
        <v>216.47867992580004</v>
      </c>
      <c r="BE76" s="587">
        <v>211.00784626560002</v>
      </c>
      <c r="BF76" s="587">
        <v>211.91192256750003</v>
      </c>
      <c r="BG76" s="587">
        <v>206.22795136600001</v>
      </c>
      <c r="BH76" s="587">
        <v>239.92225561059999</v>
      </c>
      <c r="BI76" s="587">
        <v>295.14115235830008</v>
      </c>
      <c r="BJ76" s="587">
        <v>298.80265741639994</v>
      </c>
      <c r="BK76" s="587">
        <v>333.97132795199997</v>
      </c>
      <c r="BL76" s="587">
        <v>259.44426351089999</v>
      </c>
      <c r="BM76" s="587">
        <v>258.60289073280001</v>
      </c>
      <c r="BN76" s="587">
        <v>262.26013967080002</v>
      </c>
      <c r="BO76" s="587">
        <v>164.52896009719998</v>
      </c>
      <c r="BP76" s="587">
        <v>131.42626697189999</v>
      </c>
      <c r="BQ76" s="587">
        <v>190.6306799745</v>
      </c>
      <c r="BR76" s="587">
        <v>127.36142975099999</v>
      </c>
      <c r="BS76" s="587">
        <v>136.14031297399998</v>
      </c>
      <c r="BT76" s="587">
        <v>131.06173741124002</v>
      </c>
      <c r="BU76" s="587">
        <v>129.10293678930799</v>
      </c>
      <c r="BV76" s="587">
        <v>129.331952724876</v>
      </c>
      <c r="BW76" s="587">
        <v>129.31503727795001</v>
      </c>
      <c r="BX76" s="587">
        <v>129.39308274300001</v>
      </c>
      <c r="BY76" s="587">
        <v>170.70647576779999</v>
      </c>
      <c r="BZ76" s="587">
        <v>182.8</v>
      </c>
      <c r="CA76" s="587">
        <v>183.56752952760002</v>
      </c>
      <c r="CB76" s="587">
        <v>176.43751019959998</v>
      </c>
      <c r="CC76" s="587">
        <v>139.01630945023601</v>
      </c>
      <c r="CD76" s="587">
        <v>186.31399057854202</v>
      </c>
      <c r="CE76" s="587">
        <v>182.56490639530557</v>
      </c>
      <c r="CF76" s="587">
        <v>183.41916571177896</v>
      </c>
      <c r="CG76" s="587">
        <v>300.87996754313997</v>
      </c>
      <c r="CH76" s="587">
        <v>189.34976841782549</v>
      </c>
      <c r="CI76" s="587">
        <v>193.58912469958003</v>
      </c>
      <c r="CJ76" s="587">
        <v>192.55311272310198</v>
      </c>
      <c r="CK76" s="587">
        <v>191.438390016401</v>
      </c>
      <c r="CL76" s="587">
        <v>193.37200410465812</v>
      </c>
      <c r="CM76" s="587">
        <v>194.80463224966198</v>
      </c>
      <c r="CN76" s="587">
        <v>190.30474627999999</v>
      </c>
      <c r="CO76" s="587">
        <v>184.10183146</v>
      </c>
      <c r="CP76" s="820">
        <v>181.42891610827499</v>
      </c>
      <c r="CQ76" s="587">
        <v>174.67768907999999</v>
      </c>
      <c r="CR76" s="587">
        <v>180.19488547999998</v>
      </c>
      <c r="CS76" s="587">
        <v>150.65892059999999</v>
      </c>
      <c r="CT76" s="587">
        <v>142.95549656999998</v>
      </c>
      <c r="CU76" s="587">
        <v>141.83691468999999</v>
      </c>
      <c r="CV76" s="587">
        <v>140.13510443999999</v>
      </c>
      <c r="CW76" s="587">
        <v>139.62258399999999</v>
      </c>
      <c r="CX76" s="587">
        <v>138.89434047</v>
      </c>
      <c r="CY76" s="587">
        <v>138.78926120000003</v>
      </c>
      <c r="CZ76" s="587">
        <v>150.20258319853718</v>
      </c>
      <c r="DA76" s="587">
        <v>413.15019207000006</v>
      </c>
      <c r="DB76" s="587">
        <v>171.24994308000001</v>
      </c>
      <c r="DC76" s="587">
        <v>201.09359677</v>
      </c>
      <c r="DD76" s="587">
        <v>221.87566929999997</v>
      </c>
      <c r="DE76" s="587">
        <v>228.24603564000006</v>
      </c>
      <c r="DF76" s="587">
        <v>213.37095017899802</v>
      </c>
      <c r="DG76" s="587">
        <v>212.35251475000001</v>
      </c>
      <c r="DH76" s="587">
        <v>206.87660702553265</v>
      </c>
      <c r="DI76" s="587">
        <v>187.68953066000003</v>
      </c>
      <c r="DJ76" s="587">
        <v>209.31629297999996</v>
      </c>
      <c r="DK76" s="587">
        <v>226.36426821999996</v>
      </c>
      <c r="DL76" s="587">
        <v>218.14491839937037</v>
      </c>
      <c r="DM76" s="587">
        <v>232.44302400000001</v>
      </c>
      <c r="DN76" s="587">
        <v>240.83120893</v>
      </c>
      <c r="DO76" s="587">
        <v>230.89062262000002</v>
      </c>
      <c r="DP76" s="587">
        <v>218.4844049147022</v>
      </c>
      <c r="DQ76" s="587">
        <v>221.70121785999999</v>
      </c>
      <c r="DR76" s="587">
        <v>216.98977625222841</v>
      </c>
    </row>
    <row r="77" spans="1:122" ht="15.95" customHeight="1">
      <c r="A77" s="793" t="s">
        <v>2437</v>
      </c>
      <c r="B77" s="794">
        <v>2596.5501865300002</v>
      </c>
      <c r="C77" s="664">
        <v>2728.3344441499999</v>
      </c>
      <c r="D77" s="664">
        <v>2909.5961742900004</v>
      </c>
      <c r="E77" s="593">
        <v>3079.1591940899998</v>
      </c>
      <c r="F77" s="664">
        <v>3128.8147533699994</v>
      </c>
      <c r="G77" s="664">
        <v>3144.2081140699997</v>
      </c>
      <c r="H77" s="664">
        <v>2845.62037237</v>
      </c>
      <c r="I77" s="664">
        <v>2823.7775653399995</v>
      </c>
      <c r="J77" s="664">
        <v>2814.7364334700001</v>
      </c>
      <c r="K77" s="593">
        <v>2904.39077292</v>
      </c>
      <c r="L77" s="664">
        <v>2962.4178192599998</v>
      </c>
      <c r="M77" s="664">
        <v>2980.2817295200007</v>
      </c>
      <c r="N77" s="664">
        <v>3029.2860634099998</v>
      </c>
      <c r="O77" s="593">
        <v>3010.2675460300002</v>
      </c>
      <c r="P77" s="664">
        <v>3019.2060799900009</v>
      </c>
      <c r="Q77" s="664">
        <v>2939.8605268599999</v>
      </c>
      <c r="R77" s="593">
        <v>2756.4904686899999</v>
      </c>
      <c r="S77" s="664">
        <v>2915.9152344465542</v>
      </c>
      <c r="T77" s="664">
        <v>2768.6500578450004</v>
      </c>
      <c r="U77" s="795">
        <v>2772.4131680392511</v>
      </c>
      <c r="V77" s="795">
        <v>2766.7621733125252</v>
      </c>
      <c r="W77" s="795">
        <v>2763.1446843929002</v>
      </c>
      <c r="X77" s="795">
        <v>2668.1514365939761</v>
      </c>
      <c r="Y77" s="795">
        <v>2653.2518810400002</v>
      </c>
      <c r="Z77" s="795">
        <v>3042.3274812900004</v>
      </c>
      <c r="AA77" s="795">
        <v>2877.4674097799998</v>
      </c>
      <c r="AB77" s="795">
        <v>2752.9006161899997</v>
      </c>
      <c r="AC77" s="795">
        <v>2830.40396177</v>
      </c>
      <c r="AD77" s="795">
        <v>2790.82607723</v>
      </c>
      <c r="AE77" s="795">
        <v>3026.9384281099997</v>
      </c>
      <c r="AF77" s="795">
        <v>3177.5101067699998</v>
      </c>
      <c r="AG77" s="795">
        <v>2987.8335995299994</v>
      </c>
      <c r="AH77" s="795">
        <v>2730.6400684799996</v>
      </c>
      <c r="AI77" s="795">
        <v>2627.1761495200003</v>
      </c>
      <c r="AJ77" s="795">
        <v>2675.84780133</v>
      </c>
      <c r="AK77" s="795">
        <v>2474.4114968300005</v>
      </c>
      <c r="AL77" s="795">
        <v>3197.7035656499997</v>
      </c>
      <c r="AM77" s="666">
        <v>3274.6508887300001</v>
      </c>
      <c r="AN77" s="666">
        <v>3229.1463569000002</v>
      </c>
      <c r="AO77" s="666">
        <v>3177.4947331900007</v>
      </c>
      <c r="AP77" s="666">
        <v>3187.3629540861002</v>
      </c>
      <c r="AQ77" s="666">
        <v>3349.3619741813991</v>
      </c>
      <c r="AR77" s="794">
        <v>3366.4795072812003</v>
      </c>
      <c r="AS77" s="794">
        <v>3303.6324183299998</v>
      </c>
      <c r="AT77" s="794">
        <v>3111.1945311803993</v>
      </c>
      <c r="AU77" s="794">
        <v>3193.7910912100001</v>
      </c>
      <c r="AV77" s="794">
        <v>3103.8781085839996</v>
      </c>
      <c r="AW77" s="587">
        <v>2928.6133920955999</v>
      </c>
      <c r="AX77" s="587">
        <v>2963.7313020492002</v>
      </c>
      <c r="AY77" s="587">
        <v>2938.3566646252002</v>
      </c>
      <c r="AZ77" s="587">
        <v>2711.3066640202996</v>
      </c>
      <c r="BA77" s="587">
        <v>2795.3987405204002</v>
      </c>
      <c r="BB77" s="587">
        <v>2880.5267584588801</v>
      </c>
      <c r="BC77" s="587">
        <v>2952.6115308552003</v>
      </c>
      <c r="BD77" s="587">
        <v>2864.8586043250007</v>
      </c>
      <c r="BE77" s="587">
        <v>2930.8580810880003</v>
      </c>
      <c r="BF77" s="587">
        <v>2891.5895283575001</v>
      </c>
      <c r="BG77" s="587">
        <v>2838.0617190780004</v>
      </c>
      <c r="BH77" s="587">
        <v>2944.6366314465995</v>
      </c>
      <c r="BI77" s="587">
        <v>3008.9769236990005</v>
      </c>
      <c r="BJ77" s="587">
        <v>3533.2368273919001</v>
      </c>
      <c r="BK77" s="587">
        <v>3618.4034594908999</v>
      </c>
      <c r="BL77" s="587">
        <v>3551.8792267910994</v>
      </c>
      <c r="BM77" s="587">
        <v>3832.3431801232</v>
      </c>
      <c r="BN77" s="587">
        <v>3809.0509310370885</v>
      </c>
      <c r="BO77" s="587">
        <v>3798.5976251253501</v>
      </c>
      <c r="BP77" s="587">
        <v>3831.1426068228502</v>
      </c>
      <c r="BQ77" s="587">
        <v>3547.1549992627006</v>
      </c>
      <c r="BR77" s="587">
        <v>3418.2093466778997</v>
      </c>
      <c r="BS77" s="587">
        <v>3340.9128605368005</v>
      </c>
      <c r="BT77" s="587">
        <v>3380.4020304581895</v>
      </c>
      <c r="BU77" s="587">
        <v>3323.1456490375858</v>
      </c>
      <c r="BV77" s="587">
        <v>2968.4846577102885</v>
      </c>
      <c r="BW77" s="587">
        <v>2813.6489838014845</v>
      </c>
      <c r="BX77" s="587">
        <v>2732.2719128364997</v>
      </c>
      <c r="BY77" s="587">
        <v>2974.0951833459003</v>
      </c>
      <c r="BZ77" s="587">
        <v>2817</v>
      </c>
      <c r="CA77" s="587">
        <v>2837.3510708371996</v>
      </c>
      <c r="CB77" s="587">
        <v>3102.4689712722002</v>
      </c>
      <c r="CC77" s="587">
        <v>3055.04111768346</v>
      </c>
      <c r="CD77" s="587">
        <v>3065.8865691988594</v>
      </c>
      <c r="CE77" s="587">
        <v>4081.1573370679516</v>
      </c>
      <c r="CF77" s="587">
        <v>3915.3233154245936</v>
      </c>
      <c r="CG77" s="587">
        <v>4015.0784773517562</v>
      </c>
      <c r="CH77" s="587">
        <v>4089.6324566280032</v>
      </c>
      <c r="CI77" s="587">
        <v>3974.6736125931457</v>
      </c>
      <c r="CJ77" s="587">
        <v>4073.050410438012</v>
      </c>
      <c r="CK77" s="587">
        <v>4211.3877397280557</v>
      </c>
      <c r="CL77" s="587">
        <v>4272.3848789349922</v>
      </c>
      <c r="CM77" s="587">
        <v>4291.6108485981404</v>
      </c>
      <c r="CN77" s="587">
        <v>4616.543225557617</v>
      </c>
      <c r="CO77" s="587">
        <v>4096.2518992411524</v>
      </c>
      <c r="CP77" s="820">
        <v>4115.1193051536993</v>
      </c>
      <c r="CQ77" s="587">
        <v>4081.4234265000291</v>
      </c>
      <c r="CR77" s="587">
        <v>4309.7097870683847</v>
      </c>
      <c r="CS77" s="587">
        <v>4108.5485677510987</v>
      </c>
      <c r="CT77" s="587">
        <v>4488.7173207579272</v>
      </c>
      <c r="CU77" s="587">
        <v>4213.6033043803018</v>
      </c>
      <c r="CV77" s="587">
        <v>4199.9083640801036</v>
      </c>
      <c r="CW77" s="587">
        <v>4115.1903926876957</v>
      </c>
      <c r="CX77" s="587">
        <v>4170.14068813214</v>
      </c>
      <c r="CY77" s="587">
        <v>4315.4660694582199</v>
      </c>
      <c r="CZ77" s="587">
        <v>4081.9804658373801</v>
      </c>
      <c r="DA77" s="587">
        <v>3673.6774374420838</v>
      </c>
      <c r="DB77" s="587">
        <v>4151.1975831125192</v>
      </c>
      <c r="DC77" s="587">
        <v>4081.7156975464591</v>
      </c>
      <c r="DD77" s="587">
        <v>3959.0655665604713</v>
      </c>
      <c r="DE77" s="587">
        <v>3906.7081656705291</v>
      </c>
      <c r="DF77" s="587">
        <v>4349.5844960782042</v>
      </c>
      <c r="DG77" s="587">
        <v>4192.9559920410848</v>
      </c>
      <c r="DH77" s="587">
        <v>4201.7592408856599</v>
      </c>
      <c r="DI77" s="587">
        <v>4183.4163093699008</v>
      </c>
      <c r="DJ77" s="587">
        <v>4079.3917044130503</v>
      </c>
      <c r="DK77" s="587">
        <v>4430.5178980626324</v>
      </c>
      <c r="DL77" s="587">
        <v>4165.6654143317483</v>
      </c>
      <c r="DM77" s="587">
        <v>4249.3336483746889</v>
      </c>
      <c r="DN77" s="587">
        <v>4542.1858834884351</v>
      </c>
      <c r="DO77" s="587">
        <v>4353.3015644878624</v>
      </c>
      <c r="DP77" s="587">
        <v>4383.0347837673398</v>
      </c>
      <c r="DQ77" s="587">
        <v>4173.3990278289375</v>
      </c>
      <c r="DR77" s="587">
        <v>4222.1446682646138</v>
      </c>
    </row>
    <row r="78" spans="1:122" ht="15.95" customHeight="1">
      <c r="A78" s="793" t="s">
        <v>2438</v>
      </c>
      <c r="B78" s="794">
        <v>980.23024373999999</v>
      </c>
      <c r="C78" s="664">
        <v>984.92177760000004</v>
      </c>
      <c r="D78" s="664">
        <v>1064.8516445400001</v>
      </c>
      <c r="E78" s="593">
        <v>1161.73213667</v>
      </c>
      <c r="F78" s="664">
        <v>1264.4477160399999</v>
      </c>
      <c r="G78" s="664">
        <v>1295.9474507599998</v>
      </c>
      <c r="H78" s="664">
        <v>1317.1489695400001</v>
      </c>
      <c r="I78" s="664">
        <v>1447.0662225500002</v>
      </c>
      <c r="J78" s="664">
        <v>1383.5399454999999</v>
      </c>
      <c r="K78" s="593">
        <v>1317.8374725399999</v>
      </c>
      <c r="L78" s="664">
        <v>1343.9419001899998</v>
      </c>
      <c r="M78" s="664">
        <v>1396.99730494</v>
      </c>
      <c r="N78" s="664">
        <v>1340.56581104</v>
      </c>
      <c r="O78" s="593">
        <v>1387.26277254</v>
      </c>
      <c r="P78" s="664">
        <v>1372.9394664400002</v>
      </c>
      <c r="Q78" s="664">
        <v>1421.6276175900002</v>
      </c>
      <c r="R78" s="593">
        <v>1507.6636117924002</v>
      </c>
      <c r="S78" s="664">
        <v>1573.9949470318002</v>
      </c>
      <c r="T78" s="664">
        <v>1722.4363136500001</v>
      </c>
      <c r="U78" s="795">
        <v>1795.7383503288502</v>
      </c>
      <c r="V78" s="795">
        <v>1773.439615981202</v>
      </c>
      <c r="W78" s="795">
        <v>1717.7745489742003</v>
      </c>
      <c r="X78" s="795">
        <v>1637.4366985464499</v>
      </c>
      <c r="Y78" s="795">
        <v>1539.8403402826239</v>
      </c>
      <c r="Z78" s="795">
        <v>1585.6892814952</v>
      </c>
      <c r="AA78" s="795">
        <v>1592.1849157792997</v>
      </c>
      <c r="AB78" s="795">
        <v>1640.9179640605998</v>
      </c>
      <c r="AC78" s="795">
        <v>1626.9668408</v>
      </c>
      <c r="AD78" s="795">
        <v>1647.3935448851748</v>
      </c>
      <c r="AE78" s="795">
        <v>1711.3549261478584</v>
      </c>
      <c r="AF78" s="795">
        <v>1852.0161032668748</v>
      </c>
      <c r="AG78" s="795">
        <v>1851.7207908294001</v>
      </c>
      <c r="AH78" s="795">
        <v>1744.009102191</v>
      </c>
      <c r="AI78" s="795">
        <v>2003.3701400983998</v>
      </c>
      <c r="AJ78" s="795">
        <v>2014.3410036432999</v>
      </c>
      <c r="AK78" s="795">
        <v>1972.1951292074</v>
      </c>
      <c r="AL78" s="795">
        <v>2008.5439573236997</v>
      </c>
      <c r="AM78" s="666">
        <v>1950.3677723226499</v>
      </c>
      <c r="AN78" s="666">
        <v>1957.1964882681498</v>
      </c>
      <c r="AO78" s="666">
        <v>1974.7794164961749</v>
      </c>
      <c r="AP78" s="666">
        <v>2040.8925058418999</v>
      </c>
      <c r="AQ78" s="666">
        <v>2094.5599331476001</v>
      </c>
      <c r="AR78" s="794">
        <v>2273.3662403398002</v>
      </c>
      <c r="AS78" s="794">
        <v>2284.82513453</v>
      </c>
      <c r="AT78" s="794">
        <v>2312.4173463711995</v>
      </c>
      <c r="AU78" s="794">
        <v>2405.5725340179001</v>
      </c>
      <c r="AV78" s="794">
        <v>2080.4320675500003</v>
      </c>
      <c r="AW78" s="587">
        <v>2038.9051181703999</v>
      </c>
      <c r="AX78" s="587">
        <v>1996.8411880880001</v>
      </c>
      <c r="AY78" s="587">
        <v>1839.1334042208</v>
      </c>
      <c r="AZ78" s="587">
        <v>1775.2370680224001</v>
      </c>
      <c r="BA78" s="587">
        <v>1781.8879383338997</v>
      </c>
      <c r="BB78" s="587">
        <v>1733.3280549572999</v>
      </c>
      <c r="BC78" s="587">
        <v>1687.4421625119001</v>
      </c>
      <c r="BD78" s="587">
        <v>1728.2964649740002</v>
      </c>
      <c r="BE78" s="587">
        <v>1709.5587619982248</v>
      </c>
      <c r="BF78" s="587">
        <v>1680.2670195575001</v>
      </c>
      <c r="BG78" s="587">
        <v>1765.4473968919001</v>
      </c>
      <c r="BH78" s="587">
        <v>1630.264748087083</v>
      </c>
      <c r="BI78" s="587">
        <v>1758.4906230155573</v>
      </c>
      <c r="BJ78" s="587">
        <v>1774.2342625040048</v>
      </c>
      <c r="BK78" s="587">
        <v>1917.176053046619</v>
      </c>
      <c r="BL78" s="587">
        <v>1887.4419548123219</v>
      </c>
      <c r="BM78" s="587">
        <v>1949.9066522285577</v>
      </c>
      <c r="BN78" s="587">
        <v>2092.846193699133</v>
      </c>
      <c r="BO78" s="587">
        <v>2157.2972576502075</v>
      </c>
      <c r="BP78" s="587">
        <v>2272.024509281342</v>
      </c>
      <c r="BQ78" s="587">
        <v>2187.863911019781</v>
      </c>
      <c r="BR78" s="587">
        <v>2205.0417271563315</v>
      </c>
      <c r="BS78" s="587">
        <v>2132.1853027837919</v>
      </c>
      <c r="BT78" s="587">
        <v>2101.391174822535</v>
      </c>
      <c r="BU78" s="587">
        <v>2035.8902032148819</v>
      </c>
      <c r="BV78" s="587">
        <v>2057.3524325162798</v>
      </c>
      <c r="BW78" s="587">
        <v>1909.773003650515</v>
      </c>
      <c r="BX78" s="587">
        <v>2062.5337066614998</v>
      </c>
      <c r="BY78" s="587">
        <v>2208.2855191596996</v>
      </c>
      <c r="BZ78" s="587">
        <v>2115</v>
      </c>
      <c r="CA78" s="587">
        <v>2373.060328675218</v>
      </c>
      <c r="CB78" s="587">
        <v>2399.3921269732755</v>
      </c>
      <c r="CC78" s="587">
        <v>2664.4811327528801</v>
      </c>
      <c r="CD78" s="587">
        <v>2625.5790305945056</v>
      </c>
      <c r="CE78" s="587">
        <v>2615.944451690405</v>
      </c>
      <c r="CF78" s="587">
        <v>2629.3997733608912</v>
      </c>
      <c r="CG78" s="587">
        <v>2650.000372491847</v>
      </c>
      <c r="CH78" s="587">
        <v>2727.9983327963355</v>
      </c>
      <c r="CI78" s="587">
        <v>2554.8705156994642</v>
      </c>
      <c r="CJ78" s="587">
        <v>2640.3368523476615</v>
      </c>
      <c r="CK78" s="587">
        <v>2518.1580746859022</v>
      </c>
      <c r="CL78" s="587">
        <v>2492.8496561276129</v>
      </c>
      <c r="CM78" s="587">
        <v>2648.9423054894769</v>
      </c>
      <c r="CN78" s="587">
        <v>2733.3545994332299</v>
      </c>
      <c r="CO78" s="587">
        <v>2691.7913271471339</v>
      </c>
      <c r="CP78" s="820">
        <v>2622.3686264012754</v>
      </c>
      <c r="CQ78" s="587">
        <v>2545.1727399460792</v>
      </c>
      <c r="CR78" s="587">
        <v>2581.0379001508049</v>
      </c>
      <c r="CS78" s="587">
        <v>2634.5466143439139</v>
      </c>
      <c r="CT78" s="587">
        <v>2776.7886738517936</v>
      </c>
      <c r="CU78" s="587">
        <v>2771.2324755480768</v>
      </c>
      <c r="CV78" s="587">
        <v>2765.4879292110641</v>
      </c>
      <c r="CW78" s="587">
        <v>2817.2013231710243</v>
      </c>
      <c r="CX78" s="587">
        <v>2692.3051130650115</v>
      </c>
      <c r="CY78" s="587">
        <v>2758.7257345080266</v>
      </c>
      <c r="CZ78" s="587">
        <v>2626.4922853346998</v>
      </c>
      <c r="DA78" s="587">
        <v>2699.280615270914</v>
      </c>
      <c r="DB78" s="587">
        <v>2781.9294618926419</v>
      </c>
      <c r="DC78" s="587">
        <v>2853.8265496089525</v>
      </c>
      <c r="DD78" s="587">
        <v>2980.9015684985775</v>
      </c>
      <c r="DE78" s="587">
        <v>3115.6708627065382</v>
      </c>
      <c r="DF78" s="587">
        <v>3176.2129110240426</v>
      </c>
      <c r="DG78" s="587">
        <v>3138.3813854848954</v>
      </c>
      <c r="DH78" s="587">
        <v>3205.526862177162</v>
      </c>
      <c r="DI78" s="587">
        <v>3253.2728800943682</v>
      </c>
      <c r="DJ78" s="587">
        <v>3118.7979194380932</v>
      </c>
      <c r="DK78" s="587">
        <v>3234.9649206519321</v>
      </c>
      <c r="DL78" s="587">
        <v>3311.0891876378682</v>
      </c>
      <c r="DM78" s="587">
        <v>3392.5145879029296</v>
      </c>
      <c r="DN78" s="587">
        <v>3305.5478652147808</v>
      </c>
      <c r="DO78" s="587">
        <v>3317.0097368279821</v>
      </c>
      <c r="DP78" s="587">
        <v>3477.1383056122017</v>
      </c>
      <c r="DQ78" s="587">
        <v>3539.528827914563</v>
      </c>
      <c r="DR78" s="587">
        <v>3464.6939366267161</v>
      </c>
    </row>
    <row r="79" spans="1:122" ht="15.95" customHeight="1">
      <c r="A79" s="793" t="s">
        <v>2439</v>
      </c>
      <c r="B79" s="794">
        <v>413.84675399999998</v>
      </c>
      <c r="C79" s="664">
        <v>387.71471287000003</v>
      </c>
      <c r="D79" s="664">
        <v>420.55177997999999</v>
      </c>
      <c r="E79" s="593">
        <v>470.66794386439994</v>
      </c>
      <c r="F79" s="664">
        <v>402.09864603999995</v>
      </c>
      <c r="G79" s="664">
        <v>553.79862693180007</v>
      </c>
      <c r="H79" s="664">
        <f>573.9972542648+0.1</f>
        <v>574.09725426479997</v>
      </c>
      <c r="I79" s="664">
        <v>577.83011993000002</v>
      </c>
      <c r="J79" s="664">
        <v>615.03901163</v>
      </c>
      <c r="K79" s="593">
        <v>584.54138517000013</v>
      </c>
      <c r="L79" s="664">
        <v>579.0469243</v>
      </c>
      <c r="M79" s="664">
        <v>712.27345866100006</v>
      </c>
      <c r="N79" s="664">
        <v>620.18349624489792</v>
      </c>
      <c r="O79" s="593">
        <v>713.96697638269995</v>
      </c>
      <c r="P79" s="664">
        <v>658.40485823000006</v>
      </c>
      <c r="Q79" s="664">
        <v>608.51311649000002</v>
      </c>
      <c r="R79" s="593">
        <v>688.01962002999994</v>
      </c>
      <c r="S79" s="664">
        <v>686.71307084999989</v>
      </c>
      <c r="T79" s="664">
        <v>780.01989613875003</v>
      </c>
      <c r="U79" s="795">
        <v>675.14715115000001</v>
      </c>
      <c r="V79" s="795">
        <v>569.92586416000006</v>
      </c>
      <c r="W79" s="795">
        <v>726.47181881870006</v>
      </c>
      <c r="X79" s="795">
        <v>685.60675810999999</v>
      </c>
      <c r="Y79" s="795">
        <v>716.73692900072194</v>
      </c>
      <c r="Z79" s="795">
        <v>750.5275350931081</v>
      </c>
      <c r="AA79" s="795">
        <v>829.34354624986327</v>
      </c>
      <c r="AB79" s="795">
        <v>841.05852379507746</v>
      </c>
      <c r="AC79" s="795">
        <v>668.65738075090007</v>
      </c>
      <c r="AD79" s="795">
        <v>687.12652243302</v>
      </c>
      <c r="AE79" s="795">
        <v>735.16956825000011</v>
      </c>
      <c r="AF79" s="795">
        <v>900.72184819898757</v>
      </c>
      <c r="AG79" s="795">
        <v>626.33675765084809</v>
      </c>
      <c r="AH79" s="795">
        <v>702.53576076392005</v>
      </c>
      <c r="AI79" s="795">
        <v>880.88564889200006</v>
      </c>
      <c r="AJ79" s="795">
        <v>675.45435220000002</v>
      </c>
      <c r="AK79" s="795">
        <v>584.44780127317597</v>
      </c>
      <c r="AL79" s="795">
        <v>737.85789605069522</v>
      </c>
      <c r="AM79" s="666">
        <v>866.56231034441009</v>
      </c>
      <c r="AN79" s="666">
        <v>678.29072574095608</v>
      </c>
      <c r="AO79" s="666">
        <v>1527.3805499036951</v>
      </c>
      <c r="AP79" s="666">
        <v>1295.2263184526551</v>
      </c>
      <c r="AQ79" s="666">
        <v>1422.3451943110181</v>
      </c>
      <c r="AR79" s="794">
        <v>1056.7846609286521</v>
      </c>
      <c r="AS79" s="794">
        <v>1229.6104045939999</v>
      </c>
      <c r="AT79" s="794">
        <v>906.67905668905587</v>
      </c>
      <c r="AU79" s="794">
        <v>578.81288210366392</v>
      </c>
      <c r="AV79" s="794">
        <v>861.26879576268004</v>
      </c>
      <c r="AW79" s="587">
        <v>603.29581028851203</v>
      </c>
      <c r="AX79" s="587">
        <v>911.56455797679996</v>
      </c>
      <c r="AY79" s="587">
        <v>656.64490213699992</v>
      </c>
      <c r="AZ79" s="587">
        <v>613.94171576660403</v>
      </c>
      <c r="BA79" s="587">
        <v>778.01353414814605</v>
      </c>
      <c r="BB79" s="587">
        <v>330.39156201943399</v>
      </c>
      <c r="BC79" s="587">
        <v>703.752658738896</v>
      </c>
      <c r="BD79" s="587">
        <v>378.31303774711597</v>
      </c>
      <c r="BE79" s="587">
        <v>777.61764231255211</v>
      </c>
      <c r="BF79" s="587">
        <v>972.54357222907504</v>
      </c>
      <c r="BG79" s="587">
        <v>507.13602484279994</v>
      </c>
      <c r="BH79" s="587">
        <v>371.76182853999802</v>
      </c>
      <c r="BI79" s="587">
        <v>489.59653219372797</v>
      </c>
      <c r="BJ79" s="587">
        <v>932.86962041714389</v>
      </c>
      <c r="BK79" s="587">
        <v>687.25684644849991</v>
      </c>
      <c r="BL79" s="587">
        <v>761.78819383127779</v>
      </c>
      <c r="BM79" s="587">
        <v>512.278613165058</v>
      </c>
      <c r="BN79" s="587">
        <v>530.18748350047599</v>
      </c>
      <c r="BO79" s="587">
        <v>531.17929945000003</v>
      </c>
      <c r="BP79" s="587">
        <v>425.31569058415681</v>
      </c>
      <c r="BQ79" s="587">
        <v>670.35461767999993</v>
      </c>
      <c r="BR79" s="587">
        <v>483.4098159166</v>
      </c>
      <c r="BS79" s="587">
        <v>868.84150808879997</v>
      </c>
      <c r="BT79" s="587">
        <v>603.08980525999993</v>
      </c>
      <c r="BU79" s="587">
        <v>798.9584258299999</v>
      </c>
      <c r="BV79" s="587">
        <v>705.69252717999996</v>
      </c>
      <c r="BW79" s="587">
        <v>894.33995304000007</v>
      </c>
      <c r="BX79" s="587">
        <v>306.80834706000002</v>
      </c>
      <c r="BY79" s="587">
        <v>873.98799632000009</v>
      </c>
      <c r="BZ79" s="587">
        <v>528.9</v>
      </c>
      <c r="CA79" s="587">
        <v>518.87873169</v>
      </c>
      <c r="CB79" s="587">
        <v>865.17307844000004</v>
      </c>
      <c r="CC79" s="587">
        <v>806.41236710429996</v>
      </c>
      <c r="CD79" s="587">
        <v>451.12586156000003</v>
      </c>
      <c r="CE79" s="587">
        <v>815.53057077999995</v>
      </c>
      <c r="CF79" s="587">
        <v>730.49962983000012</v>
      </c>
      <c r="CG79" s="587">
        <v>216.06602546103662</v>
      </c>
      <c r="CH79" s="587">
        <v>1095.51882439</v>
      </c>
      <c r="CI79" s="587">
        <v>825.96856993999995</v>
      </c>
      <c r="CJ79" s="587">
        <v>1838.2583189299999</v>
      </c>
      <c r="CK79" s="587">
        <v>1395.7559655300001</v>
      </c>
      <c r="CL79" s="587">
        <v>630.60741853000002</v>
      </c>
      <c r="CM79" s="587">
        <v>1621.0615097153709</v>
      </c>
      <c r="CN79" s="587">
        <v>1220.36357656</v>
      </c>
      <c r="CO79" s="587">
        <v>819.69090984999991</v>
      </c>
      <c r="CP79" s="820">
        <v>504.16003483999998</v>
      </c>
      <c r="CQ79" s="587">
        <v>1238.1449269100001</v>
      </c>
      <c r="CR79" s="587">
        <v>1140.04035649</v>
      </c>
      <c r="CS79" s="587">
        <v>703.21733310000002</v>
      </c>
      <c r="CT79" s="587">
        <v>684.36384705</v>
      </c>
      <c r="CU79" s="587">
        <v>1301.96150128</v>
      </c>
      <c r="CV79" s="587">
        <v>864.33347046000006</v>
      </c>
      <c r="CW79" s="587">
        <v>914.98422255999992</v>
      </c>
      <c r="CX79" s="587">
        <v>1790.3749071999998</v>
      </c>
      <c r="CY79" s="587">
        <v>1304.99932317</v>
      </c>
      <c r="CZ79" s="587">
        <v>827.68946298000003</v>
      </c>
      <c r="DA79" s="587">
        <v>1578.7827972000002</v>
      </c>
      <c r="DB79" s="587">
        <v>1071.8888474293335</v>
      </c>
      <c r="DC79" s="587">
        <v>736.10564290999991</v>
      </c>
      <c r="DD79" s="587">
        <v>1451.38889421</v>
      </c>
      <c r="DE79" s="587">
        <v>823.87108721000004</v>
      </c>
      <c r="DF79" s="587">
        <v>1712.3264184899999</v>
      </c>
      <c r="DG79" s="587">
        <v>1029.4043384700001</v>
      </c>
      <c r="DH79" s="587">
        <v>755.77667117999999</v>
      </c>
      <c r="DI79" s="587">
        <v>1601.5692715500002</v>
      </c>
      <c r="DJ79" s="587">
        <v>1197.8285538500002</v>
      </c>
      <c r="DK79" s="587">
        <v>1778.7056714099999</v>
      </c>
      <c r="DL79" s="587">
        <v>1602.5889971900001</v>
      </c>
      <c r="DM79" s="587">
        <v>1254.8049255399999</v>
      </c>
      <c r="DN79" s="587">
        <v>1805.6067520099998</v>
      </c>
      <c r="DO79" s="587">
        <v>1329.1787626800001</v>
      </c>
      <c r="DP79" s="587">
        <v>985.26555260999987</v>
      </c>
      <c r="DQ79" s="587">
        <v>1361.29465749</v>
      </c>
      <c r="DR79" s="587">
        <v>1195.96058219</v>
      </c>
    </row>
    <row r="80" spans="1:122" ht="15.95" customHeight="1">
      <c r="A80" s="793" t="s">
        <v>2440</v>
      </c>
      <c r="B80" s="794">
        <v>9.2082149999999992</v>
      </c>
      <c r="C80" s="664">
        <v>15.130636729999999</v>
      </c>
      <c r="D80" s="664">
        <v>14.09070981</v>
      </c>
      <c r="E80" s="593">
        <v>14.09967275</v>
      </c>
      <c r="F80" s="664">
        <v>14.232358609999999</v>
      </c>
      <c r="G80" s="664">
        <v>14.381935169999998</v>
      </c>
      <c r="H80" s="664">
        <v>12.192188849999999</v>
      </c>
      <c r="I80" s="664">
        <v>18.957254389999999</v>
      </c>
      <c r="J80" s="664">
        <v>15.979137799999998</v>
      </c>
      <c r="K80" s="593">
        <v>13.42206968</v>
      </c>
      <c r="L80" s="664">
        <v>11.74652305</v>
      </c>
      <c r="M80" s="664">
        <v>9.4889074499999992</v>
      </c>
      <c r="N80" s="664">
        <v>8.4947467400000001</v>
      </c>
      <c r="O80" s="593">
        <v>8.0731414399999988</v>
      </c>
      <c r="P80" s="664">
        <v>8.4483048000000007</v>
      </c>
      <c r="Q80" s="664">
        <v>11.525518999999999</v>
      </c>
      <c r="R80" s="593">
        <v>6.68418913</v>
      </c>
      <c r="S80" s="664">
        <v>4.1223927099999997</v>
      </c>
      <c r="T80" s="664">
        <v>4.8287272199999993</v>
      </c>
      <c r="U80" s="795">
        <v>4.8251895599999992</v>
      </c>
      <c r="V80" s="795">
        <v>4.6974282199999999</v>
      </c>
      <c r="W80" s="795">
        <v>4.7213665000000002</v>
      </c>
      <c r="X80" s="795">
        <v>6.0938232400000008</v>
      </c>
      <c r="Y80" s="795">
        <v>8.2278201000000006</v>
      </c>
      <c r="Z80" s="795">
        <v>4.2234435599999998</v>
      </c>
      <c r="AA80" s="795">
        <v>9.0342966699999998</v>
      </c>
      <c r="AB80" s="795">
        <v>4.7046386199999999</v>
      </c>
      <c r="AC80" s="795">
        <v>5.1620789599999997</v>
      </c>
      <c r="AD80" s="795">
        <v>3.4242601499999998</v>
      </c>
      <c r="AE80" s="795">
        <v>3.1273637999999999</v>
      </c>
      <c r="AF80" s="795">
        <v>3.1480537799999997</v>
      </c>
      <c r="AG80" s="795">
        <v>7.4009362200000011</v>
      </c>
      <c r="AH80" s="795">
        <v>3.9887107999999998</v>
      </c>
      <c r="AI80" s="795">
        <v>14.303279709999998</v>
      </c>
      <c r="AJ80" s="795">
        <v>14.514705289271999</v>
      </c>
      <c r="AK80" s="795">
        <v>17.635619590000001</v>
      </c>
      <c r="AL80" s="795">
        <v>17.674157600000001</v>
      </c>
      <c r="AM80" s="666">
        <v>19.120787249999999</v>
      </c>
      <c r="AN80" s="666">
        <v>20.53060009</v>
      </c>
      <c r="AO80" s="666">
        <v>14.456015839999999</v>
      </c>
      <c r="AP80" s="666">
        <v>30.108672459999998</v>
      </c>
      <c r="AQ80" s="666">
        <v>29.023399640000001</v>
      </c>
      <c r="AR80" s="794">
        <v>41.703878620000005</v>
      </c>
      <c r="AS80" s="794">
        <v>32.84776462</v>
      </c>
      <c r="AT80" s="794">
        <v>23.172390910000001</v>
      </c>
      <c r="AU80" s="794">
        <v>76.196029580000001</v>
      </c>
      <c r="AV80" s="794">
        <v>80.532109470000009</v>
      </c>
      <c r="AW80" s="587">
        <v>77.896253770000015</v>
      </c>
      <c r="AX80" s="587">
        <v>26.108179939999996</v>
      </c>
      <c r="AY80" s="587">
        <v>24.000301149999999</v>
      </c>
      <c r="AZ80" s="587">
        <v>40.929119119999996</v>
      </c>
      <c r="BA80" s="587">
        <v>27.802093929999998</v>
      </c>
      <c r="BB80" s="587">
        <v>39.650065099999999</v>
      </c>
      <c r="BC80" s="587">
        <v>81.149647590000001</v>
      </c>
      <c r="BD80" s="587">
        <v>70.597618319999995</v>
      </c>
      <c r="BE80" s="587">
        <v>73.868281710000005</v>
      </c>
      <c r="BF80" s="587">
        <v>77.145528659999997</v>
      </c>
      <c r="BG80" s="587">
        <v>112.07570609999999</v>
      </c>
      <c r="BH80" s="587">
        <v>110.97133771999999</v>
      </c>
      <c r="BI80" s="587">
        <v>105.62168512999999</v>
      </c>
      <c r="BJ80" s="587">
        <v>115.63004670999999</v>
      </c>
      <c r="BK80" s="587">
        <v>135.46235916000003</v>
      </c>
      <c r="BL80" s="587">
        <v>118.27584425000001</v>
      </c>
      <c r="BM80" s="587">
        <v>108.35563309</v>
      </c>
      <c r="BN80" s="587">
        <v>61.374925559999994</v>
      </c>
      <c r="BO80" s="587">
        <v>50.97808637</v>
      </c>
      <c r="BP80" s="587">
        <v>57.732735480000002</v>
      </c>
      <c r="BQ80" s="587">
        <v>136.51918113490001</v>
      </c>
      <c r="BR80" s="587">
        <v>114.97277867999999</v>
      </c>
      <c r="BS80" s="587">
        <v>129.1735818192</v>
      </c>
      <c r="BT80" s="587">
        <v>98.425029780000003</v>
      </c>
      <c r="BU80" s="587">
        <v>36.445019000000002</v>
      </c>
      <c r="BV80" s="587">
        <v>39.417606970000001</v>
      </c>
      <c r="BW80" s="587">
        <v>49.537174469999997</v>
      </c>
      <c r="BX80" s="587">
        <v>43.361054930000002</v>
      </c>
      <c r="BY80" s="587">
        <v>42.657346789999998</v>
      </c>
      <c r="BZ80" s="587">
        <v>47.9</v>
      </c>
      <c r="CA80" s="587">
        <v>49.624005610000005</v>
      </c>
      <c r="CB80" s="587">
        <v>53.410277410000006</v>
      </c>
      <c r="CC80" s="587">
        <v>53.435988109999997</v>
      </c>
      <c r="CD80" s="587">
        <v>56.111443069999993</v>
      </c>
      <c r="CE80" s="587">
        <v>59.040814670000003</v>
      </c>
      <c r="CF80" s="587">
        <v>60.972492910000007</v>
      </c>
      <c r="CG80" s="587">
        <v>56.591775729999995</v>
      </c>
      <c r="CH80" s="587">
        <v>55.420263720000001</v>
      </c>
      <c r="CI80" s="587">
        <v>55.170731809999992</v>
      </c>
      <c r="CJ80" s="587">
        <v>52.737524820000004</v>
      </c>
      <c r="CK80" s="587">
        <v>56.316799119999999</v>
      </c>
      <c r="CL80" s="587">
        <v>59.480185040000009</v>
      </c>
      <c r="CM80" s="587">
        <v>64.688852100000005</v>
      </c>
      <c r="CN80" s="587">
        <v>63.55995179</v>
      </c>
      <c r="CO80" s="587">
        <v>58.849288099999995</v>
      </c>
      <c r="CP80" s="820">
        <v>59.669811960000004</v>
      </c>
      <c r="CQ80" s="587">
        <v>56.489300840000006</v>
      </c>
      <c r="CR80" s="587">
        <v>61.732204480000007</v>
      </c>
      <c r="CS80" s="587">
        <v>60.791036019999993</v>
      </c>
      <c r="CT80" s="587">
        <v>52.729257779999998</v>
      </c>
      <c r="CU80" s="587">
        <v>55.053156649999998</v>
      </c>
      <c r="CV80" s="587">
        <v>54.0093417</v>
      </c>
      <c r="CW80" s="587">
        <v>51.48196154</v>
      </c>
      <c r="CX80" s="587">
        <v>57.194897049999994</v>
      </c>
      <c r="CY80" s="587">
        <v>60.277570370000007</v>
      </c>
      <c r="CZ80" s="587">
        <v>57.276198210000004</v>
      </c>
      <c r="DA80" s="587">
        <v>55.833487549999994</v>
      </c>
      <c r="DB80" s="587">
        <v>61.062275380000003</v>
      </c>
      <c r="DC80" s="587">
        <v>59.272628750000003</v>
      </c>
      <c r="DD80" s="587">
        <v>60.745875379999994</v>
      </c>
      <c r="DE80" s="587">
        <v>54.220516029999999</v>
      </c>
      <c r="DF80" s="587">
        <v>56.449836439999999</v>
      </c>
      <c r="DG80" s="587">
        <v>56.236165960000001</v>
      </c>
      <c r="DH80" s="587">
        <v>55.596055460000002</v>
      </c>
      <c r="DI80" s="587">
        <v>57.476976110000003</v>
      </c>
      <c r="DJ80" s="587">
        <v>54.946668330000001</v>
      </c>
      <c r="DK80" s="587">
        <v>55.423784859999998</v>
      </c>
      <c r="DL80" s="587">
        <v>59.019814869999998</v>
      </c>
      <c r="DM80" s="587">
        <v>61.050812544380001</v>
      </c>
      <c r="DN80" s="587">
        <v>61.959026568079999</v>
      </c>
      <c r="DO80" s="587">
        <v>62.32832135476</v>
      </c>
      <c r="DP80" s="587">
        <v>62.387436439999995</v>
      </c>
      <c r="DQ80" s="587">
        <v>55.462148570000004</v>
      </c>
      <c r="DR80" s="587">
        <v>53.484053680000002</v>
      </c>
    </row>
    <row r="81" spans="1:122" ht="15.95" customHeight="1">
      <c r="A81" s="793" t="s">
        <v>2389</v>
      </c>
      <c r="B81" s="794">
        <v>4985.5881300137844</v>
      </c>
      <c r="C81" s="664">
        <v>4973.3854329441583</v>
      </c>
      <c r="D81" s="664">
        <v>5117.6920774349583</v>
      </c>
      <c r="E81" s="593">
        <v>5162.7798197499997</v>
      </c>
      <c r="F81" s="664">
        <v>5195.6884181699997</v>
      </c>
      <c r="G81" s="664">
        <v>5451.6190059600003</v>
      </c>
      <c r="H81" s="664">
        <v>5703.0519891900003</v>
      </c>
      <c r="I81" s="664">
        <v>5832.4461439200004</v>
      </c>
      <c r="J81" s="664">
        <v>6049.4323743200002</v>
      </c>
      <c r="K81" s="593">
        <v>5908.5091365299995</v>
      </c>
      <c r="L81" s="664">
        <v>6084.6316566500009</v>
      </c>
      <c r="M81" s="664">
        <v>6354.5132222600005</v>
      </c>
      <c r="N81" s="664">
        <v>6155.4334126700005</v>
      </c>
      <c r="O81" s="593">
        <v>6532.083599652563</v>
      </c>
      <c r="P81" s="664">
        <v>6749.3780618454721</v>
      </c>
      <c r="Q81" s="664">
        <v>6780.0120413199984</v>
      </c>
      <c r="R81" s="593">
        <v>7531.3160710706006</v>
      </c>
      <c r="S81" s="664">
        <v>8068.8689569777998</v>
      </c>
      <c r="T81" s="664">
        <v>7976.3516802399981</v>
      </c>
      <c r="U81" s="795">
        <v>8093.5238207764642</v>
      </c>
      <c r="V81" s="795">
        <v>7627.3473524851206</v>
      </c>
      <c r="W81" s="795">
        <v>7530.7267078753011</v>
      </c>
      <c r="X81" s="795">
        <v>7613.0491966373693</v>
      </c>
      <c r="Y81" s="795">
        <v>7787.7307078923632</v>
      </c>
      <c r="Z81" s="795">
        <v>7646.5734623671451</v>
      </c>
      <c r="AA81" s="795">
        <v>7978.3813971136833</v>
      </c>
      <c r="AB81" s="795">
        <v>8202.4965196803005</v>
      </c>
      <c r="AC81" s="795">
        <v>8216.4144753625878</v>
      </c>
      <c r="AD81" s="795">
        <v>8445.4171966887043</v>
      </c>
      <c r="AE81" s="795">
        <v>8313.2633881516322</v>
      </c>
      <c r="AF81" s="795">
        <v>8210.2497804625746</v>
      </c>
      <c r="AG81" s="795">
        <v>8638.4868637595773</v>
      </c>
      <c r="AH81" s="795">
        <v>9305.6218423140381</v>
      </c>
      <c r="AI81" s="795">
        <v>7297.7562303122168</v>
      </c>
      <c r="AJ81" s="795">
        <v>6942.5228771129687</v>
      </c>
      <c r="AK81" s="795">
        <v>7100.0604267328245</v>
      </c>
      <c r="AL81" s="795">
        <v>7294.7218680612004</v>
      </c>
      <c r="AM81" s="666">
        <v>7737.019805747279</v>
      </c>
      <c r="AN81" s="666">
        <v>7725.9018817470196</v>
      </c>
      <c r="AO81" s="666">
        <v>8449.4269623768923</v>
      </c>
      <c r="AP81" s="666">
        <v>8695.070412247429</v>
      </c>
      <c r="AQ81" s="666">
        <v>8709.7096117975616</v>
      </c>
      <c r="AR81" s="794">
        <v>8390.984806074368</v>
      </c>
      <c r="AS81" s="794">
        <v>8701.0023998619999</v>
      </c>
      <c r="AT81" s="794">
        <v>9091.7459950394077</v>
      </c>
      <c r="AU81" s="794">
        <v>9415.2730051031376</v>
      </c>
      <c r="AV81" s="794">
        <v>9650.5098998491594</v>
      </c>
      <c r="AW81" s="587">
        <v>10028.74799746695</v>
      </c>
      <c r="AX81" s="587">
        <v>10145.336703401004</v>
      </c>
      <c r="AY81" s="587">
        <v>9738.3293424661751</v>
      </c>
      <c r="AZ81" s="587">
        <v>8000.89201702837</v>
      </c>
      <c r="BA81" s="587">
        <v>7884.1121131754171</v>
      </c>
      <c r="BB81" s="587">
        <v>8157.0803093493105</v>
      </c>
      <c r="BC81" s="587">
        <v>8452.5942556069567</v>
      </c>
      <c r="BD81" s="587">
        <v>8592.3067062856771</v>
      </c>
      <c r="BE81" s="587">
        <v>8582.5021862158301</v>
      </c>
      <c r="BF81" s="587">
        <v>8901.3210183974497</v>
      </c>
      <c r="BG81" s="587">
        <v>9028.1243912007048</v>
      </c>
      <c r="BH81" s="587">
        <v>9144.3209950438686</v>
      </c>
      <c r="BI81" s="587">
        <v>8614.4946968431268</v>
      </c>
      <c r="BJ81" s="587">
        <v>8510.237856021351</v>
      </c>
      <c r="BK81" s="587">
        <v>8663.1601747512395</v>
      </c>
      <c r="BL81" s="587">
        <v>9075.0741942869445</v>
      </c>
      <c r="BM81" s="587">
        <v>9495.2288243266521</v>
      </c>
      <c r="BN81" s="587">
        <v>9186.0038725419308</v>
      </c>
      <c r="BO81" s="587">
        <v>9327.5467709695313</v>
      </c>
      <c r="BP81" s="587">
        <v>9351.5060030443401</v>
      </c>
      <c r="BQ81" s="587">
        <v>9425.4223889500154</v>
      </c>
      <c r="BR81" s="587">
        <v>9442.6256074599787</v>
      </c>
      <c r="BS81" s="587">
        <v>9518.1802155073656</v>
      </c>
      <c r="BT81" s="587">
        <v>9618.0552619790633</v>
      </c>
      <c r="BU81" s="587">
        <v>9640.7782704845777</v>
      </c>
      <c r="BV81" s="587">
        <v>10281.433004448209</v>
      </c>
      <c r="BW81" s="587">
        <v>10808.052678977388</v>
      </c>
      <c r="BX81" s="587">
        <v>10893.465892825499</v>
      </c>
      <c r="BY81" s="587">
        <v>11019.207913240802</v>
      </c>
      <c r="BZ81" s="587">
        <v>11446.5</v>
      </c>
      <c r="CA81" s="587">
        <v>11943.433838760233</v>
      </c>
      <c r="CB81" s="587">
        <v>12617.90303496498</v>
      </c>
      <c r="CC81" s="587">
        <v>12411.06084720607</v>
      </c>
      <c r="CD81" s="587">
        <v>11716.649705504142</v>
      </c>
      <c r="CE81" s="587">
        <v>10414.332056649338</v>
      </c>
      <c r="CF81" s="587">
        <v>10699.671695048206</v>
      </c>
      <c r="CG81" s="587">
        <v>11728.172901860264</v>
      </c>
      <c r="CH81" s="587">
        <v>11873.6934935513</v>
      </c>
      <c r="CI81" s="587">
        <v>12308.660098071556</v>
      </c>
      <c r="CJ81" s="587">
        <v>12360.624914259924</v>
      </c>
      <c r="CK81" s="587">
        <v>12179.483919685807</v>
      </c>
      <c r="CL81" s="587">
        <v>12790.082113060556</v>
      </c>
      <c r="CM81" s="587">
        <v>12739.272478000217</v>
      </c>
      <c r="CN81" s="587">
        <v>12900.279403424031</v>
      </c>
      <c r="CO81" s="587">
        <v>12865.487584816965</v>
      </c>
      <c r="CP81" s="820">
        <v>13025.75712219122</v>
      </c>
      <c r="CQ81" s="587">
        <v>12838.533784005382</v>
      </c>
      <c r="CR81" s="587">
        <v>11417.145471002792</v>
      </c>
      <c r="CS81" s="587">
        <v>9815.0911670794885</v>
      </c>
      <c r="CT81" s="587">
        <v>9391.5480846527498</v>
      </c>
      <c r="CU81" s="587">
        <v>9763.3982950179234</v>
      </c>
      <c r="CV81" s="587">
        <v>10372.138648966094</v>
      </c>
      <c r="CW81" s="587">
        <v>10155.145720401993</v>
      </c>
      <c r="CX81" s="587">
        <v>10459.249506781667</v>
      </c>
      <c r="CY81" s="587">
        <v>10214.56876043597</v>
      </c>
      <c r="CZ81" s="587">
        <v>10677.725811559822</v>
      </c>
      <c r="DA81" s="587">
        <v>10849.193322530111</v>
      </c>
      <c r="DB81" s="587">
        <v>10087.056275024168</v>
      </c>
      <c r="DC81" s="587">
        <v>10431.548921219945</v>
      </c>
      <c r="DD81" s="587">
        <v>10554.673717964411</v>
      </c>
      <c r="DE81" s="587">
        <v>10472.561514414696</v>
      </c>
      <c r="DF81" s="587">
        <v>10626.377361476169</v>
      </c>
      <c r="DG81" s="587">
        <v>10649.285135178112</v>
      </c>
      <c r="DH81" s="587">
        <v>10480.144393874738</v>
      </c>
      <c r="DI81" s="587">
        <v>10491.6817756211</v>
      </c>
      <c r="DJ81" s="587">
        <v>10400.917855007685</v>
      </c>
      <c r="DK81" s="587">
        <v>10219.123612719926</v>
      </c>
      <c r="DL81" s="587">
        <v>10309.943146074927</v>
      </c>
      <c r="DM81" s="587">
        <v>10025.579850587479</v>
      </c>
      <c r="DN81" s="587">
        <v>9877.3090624790166</v>
      </c>
      <c r="DO81" s="587">
        <v>10077.912665121907</v>
      </c>
      <c r="DP81" s="587">
        <v>9975.4201316934195</v>
      </c>
      <c r="DQ81" s="587">
        <v>10059.0644825565</v>
      </c>
      <c r="DR81" s="587">
        <v>10113.828074233703</v>
      </c>
    </row>
    <row r="82" spans="1:122" ht="7.7" customHeight="1">
      <c r="A82" s="786"/>
      <c r="B82" s="787"/>
      <c r="C82" s="584"/>
      <c r="D82" s="584"/>
      <c r="E82" s="596"/>
      <c r="F82" s="584"/>
      <c r="G82" s="584"/>
      <c r="H82" s="664"/>
      <c r="I82" s="664"/>
      <c r="J82" s="664"/>
      <c r="K82" s="593"/>
      <c r="L82" s="664"/>
      <c r="M82" s="664"/>
      <c r="N82" s="664"/>
      <c r="O82" s="593"/>
      <c r="P82" s="664"/>
      <c r="Q82" s="664"/>
      <c r="R82" s="593"/>
      <c r="S82" s="664"/>
      <c r="T82" s="664"/>
      <c r="U82" s="795"/>
      <c r="V82" s="795"/>
      <c r="W82" s="795"/>
      <c r="X82" s="795"/>
      <c r="Y82" s="795"/>
      <c r="Z82" s="795"/>
      <c r="AA82" s="795"/>
      <c r="AB82" s="795"/>
      <c r="AC82" s="795"/>
      <c r="AD82" s="795"/>
      <c r="AE82" s="795"/>
      <c r="AF82" s="795"/>
      <c r="AG82" s="795"/>
      <c r="AH82" s="795"/>
      <c r="AI82" s="795"/>
      <c r="AJ82" s="795"/>
      <c r="AK82" s="795"/>
      <c r="AL82" s="795"/>
      <c r="AM82" s="665"/>
      <c r="AN82" s="665"/>
      <c r="AO82" s="665"/>
      <c r="AP82" s="665"/>
      <c r="AQ82" s="665"/>
      <c r="AR82" s="787"/>
      <c r="AS82" s="787"/>
      <c r="AT82" s="787"/>
      <c r="AU82" s="787"/>
      <c r="AV82" s="787"/>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790"/>
      <c r="BZ82" s="790"/>
      <c r="CA82" s="790"/>
      <c r="CB82" s="790"/>
      <c r="CC82" s="790"/>
      <c r="CD82" s="790"/>
      <c r="CE82" s="790"/>
      <c r="CF82" s="790"/>
      <c r="CG82" s="790"/>
      <c r="CH82" s="790"/>
      <c r="CI82" s="790"/>
      <c r="CJ82" s="790"/>
      <c r="CK82" s="790"/>
      <c r="CL82" s="790"/>
      <c r="CM82" s="790"/>
      <c r="CN82" s="790"/>
      <c r="CO82" s="790"/>
      <c r="CP82" s="819"/>
      <c r="CQ82" s="790"/>
      <c r="CR82" s="790"/>
      <c r="CS82" s="790"/>
      <c r="CT82" s="790"/>
      <c r="CU82" s="790"/>
      <c r="CV82" s="790"/>
      <c r="CW82" s="790"/>
      <c r="CX82" s="790"/>
      <c r="CY82" s="790"/>
      <c r="CZ82" s="790"/>
      <c r="DA82" s="790"/>
      <c r="DB82" s="790"/>
      <c r="DC82" s="790"/>
      <c r="DD82" s="790"/>
      <c r="DE82" s="790"/>
      <c r="DF82" s="790"/>
      <c r="DG82" s="790"/>
      <c r="DH82" s="790"/>
      <c r="DI82" s="790"/>
      <c r="DJ82" s="790"/>
      <c r="DK82" s="790"/>
      <c r="DL82" s="790"/>
      <c r="DM82" s="790"/>
      <c r="DN82" s="790"/>
      <c r="DO82" s="790"/>
      <c r="DP82" s="790"/>
      <c r="DQ82" s="790"/>
      <c r="DR82" s="790"/>
    </row>
    <row r="83" spans="1:122">
      <c r="A83" s="786" t="s">
        <v>2441</v>
      </c>
      <c r="B83" s="787">
        <f>SUM(B85:B91)</f>
        <v>1288.4028966999999</v>
      </c>
      <c r="C83" s="584">
        <f>SUM(C85:C91)</f>
        <v>1142.4710314399999</v>
      </c>
      <c r="D83" s="584">
        <f>SUM(D85:D91)</f>
        <v>364.89010446999998</v>
      </c>
      <c r="E83" s="596">
        <f>SUM(E85:E91)</f>
        <v>371.53711342999998</v>
      </c>
      <c r="F83" s="584">
        <v>377.74261174999998</v>
      </c>
      <c r="G83" s="584">
        <v>361.2731708799999</v>
      </c>
      <c r="H83" s="584">
        <v>392.79629721999999</v>
      </c>
      <c r="I83" s="584">
        <v>395.96978152280002</v>
      </c>
      <c r="J83" s="584">
        <v>406.29339423999994</v>
      </c>
      <c r="K83" s="596">
        <v>392.84435288999998</v>
      </c>
      <c r="L83" s="584">
        <v>435.65119946000004</v>
      </c>
      <c r="M83" s="584">
        <v>464.57500348000002</v>
      </c>
      <c r="N83" s="584">
        <v>492.18883113999999</v>
      </c>
      <c r="O83" s="596">
        <v>485.78555505999992</v>
      </c>
      <c r="P83" s="584">
        <v>494.79382902999998</v>
      </c>
      <c r="Q83" s="584">
        <v>489.35476612000002</v>
      </c>
      <c r="R83" s="596">
        <v>512.43925998999998</v>
      </c>
      <c r="S83" s="584">
        <v>482.94430677999998</v>
      </c>
      <c r="T83" s="584">
        <v>523.65306783000005</v>
      </c>
      <c r="U83" s="586">
        <v>563.13052413000003</v>
      </c>
      <c r="V83" s="586">
        <v>525.50622984999995</v>
      </c>
      <c r="W83" s="586">
        <v>541.17276724999999</v>
      </c>
      <c r="X83" s="586">
        <v>601.70877480000001</v>
      </c>
      <c r="Y83" s="586">
        <v>579.38835280000001</v>
      </c>
      <c r="Z83" s="586">
        <v>599.22890469000004</v>
      </c>
      <c r="AA83" s="586">
        <v>578.31237429000009</v>
      </c>
      <c r="AB83" s="586">
        <v>627.31717042000002</v>
      </c>
      <c r="AC83" s="586">
        <v>614.52894823999998</v>
      </c>
      <c r="AD83" s="586">
        <v>619.44313608000004</v>
      </c>
      <c r="AE83" s="586">
        <v>644.72197798000002</v>
      </c>
      <c r="AF83" s="586">
        <v>669.98763797000004</v>
      </c>
      <c r="AG83" s="586">
        <v>875.19918820237604</v>
      </c>
      <c r="AH83" s="586">
        <v>905.16163470832009</v>
      </c>
      <c r="AI83" s="586">
        <v>908.12934231320014</v>
      </c>
      <c r="AJ83" s="586">
        <v>881.49437006085202</v>
      </c>
      <c r="AK83" s="586">
        <v>918.61654992675187</v>
      </c>
      <c r="AL83" s="586">
        <v>924.92525241010003</v>
      </c>
      <c r="AM83" s="665">
        <v>913.10821523229492</v>
      </c>
      <c r="AN83" s="665">
        <v>912.74951691573392</v>
      </c>
      <c r="AO83" s="665">
        <v>954.65386559680007</v>
      </c>
      <c r="AP83" s="665">
        <v>972.78625592079709</v>
      </c>
      <c r="AQ83" s="665">
        <v>961.43556071123601</v>
      </c>
      <c r="AR83" s="787">
        <v>935.60417892166424</v>
      </c>
      <c r="AS83" s="787">
        <v>972.64749743000004</v>
      </c>
      <c r="AT83" s="787">
        <v>1006.2832463537439</v>
      </c>
      <c r="AU83" s="787">
        <v>974.55496344596088</v>
      </c>
      <c r="AV83" s="787">
        <v>1145.2025050770162</v>
      </c>
      <c r="AW83" s="790">
        <v>1102.7026943426999</v>
      </c>
      <c r="AX83" s="790">
        <v>1244.6777932577199</v>
      </c>
      <c r="AY83" s="790">
        <v>1178.324305945951</v>
      </c>
      <c r="AZ83" s="790">
        <v>1147.4822046049328</v>
      </c>
      <c r="BA83" s="790">
        <v>1226.0130953266641</v>
      </c>
      <c r="BB83" s="790">
        <v>1130.831365794076</v>
      </c>
      <c r="BC83" s="790">
        <v>1161.0049242005227</v>
      </c>
      <c r="BD83" s="790">
        <v>1138.1084595318023</v>
      </c>
      <c r="BE83" s="790">
        <v>1123.993487389524</v>
      </c>
      <c r="BF83" s="790">
        <v>1133.0116091832831</v>
      </c>
      <c r="BG83" s="790">
        <v>1305.724522441257</v>
      </c>
      <c r="BH83" s="790">
        <v>1224.3618363164971</v>
      </c>
      <c r="BI83" s="790">
        <v>1163.8796294166771</v>
      </c>
      <c r="BJ83" s="790">
        <v>1237.3087397362349</v>
      </c>
      <c r="BK83" s="790">
        <v>1102.0277948633261</v>
      </c>
      <c r="BL83" s="790">
        <v>1174.2555251794386</v>
      </c>
      <c r="BM83" s="790">
        <v>1155.302251097108</v>
      </c>
      <c r="BN83" s="790">
        <v>1085.1373713034893</v>
      </c>
      <c r="BO83" s="790">
        <v>1086.6804317518943</v>
      </c>
      <c r="BP83" s="790">
        <v>1071.348358192444</v>
      </c>
      <c r="BQ83" s="790">
        <v>1073.1653971900901</v>
      </c>
      <c r="BR83" s="790">
        <v>1065.5033262616471</v>
      </c>
      <c r="BS83" s="790">
        <v>1045.2787308082959</v>
      </c>
      <c r="BT83" s="790">
        <v>1041.0996945637849</v>
      </c>
      <c r="BU83" s="790">
        <v>1060.6760272550459</v>
      </c>
      <c r="BV83" s="790">
        <v>1176.4084249068701</v>
      </c>
      <c r="BW83" s="790">
        <v>1185.024616495182</v>
      </c>
      <c r="BX83" s="790">
        <v>1162.3262351214998</v>
      </c>
      <c r="BY83" s="790">
        <v>1183.6110580476</v>
      </c>
      <c r="BZ83" s="790">
        <v>1195.5999999999999</v>
      </c>
      <c r="CA83" s="790">
        <v>1192.1574438227958</v>
      </c>
      <c r="CB83" s="790">
        <v>1073.6470583212299</v>
      </c>
      <c r="CC83" s="790">
        <v>1077.9918923652272</v>
      </c>
      <c r="CD83" s="790">
        <v>1084.1454481332021</v>
      </c>
      <c r="CE83" s="790">
        <v>1103.6823464717027</v>
      </c>
      <c r="CF83" s="790">
        <v>1119.5677648416001</v>
      </c>
      <c r="CG83" s="790">
        <v>1230.3950879736667</v>
      </c>
      <c r="CH83" s="790">
        <v>1236.8341882504856</v>
      </c>
      <c r="CI83" s="790">
        <v>1315.6299738747839</v>
      </c>
      <c r="CJ83" s="790">
        <v>1204.5498861639221</v>
      </c>
      <c r="CK83" s="790">
        <v>1224.7085962183671</v>
      </c>
      <c r="CL83" s="790">
        <v>1222.2855631336461</v>
      </c>
      <c r="CM83" s="790">
        <v>1253.1570082457781</v>
      </c>
      <c r="CN83" s="790">
        <v>1340.4090720608729</v>
      </c>
      <c r="CO83" s="790">
        <v>1285.152678053041</v>
      </c>
      <c r="CP83" s="819">
        <v>1203.5330269084211</v>
      </c>
      <c r="CQ83" s="790">
        <v>1185.2295300993678</v>
      </c>
      <c r="CR83" s="790">
        <v>1050.9601270441888</v>
      </c>
      <c r="CS83" s="790">
        <v>1084.9958140152501</v>
      </c>
      <c r="CT83" s="790">
        <v>1375.5698792012197</v>
      </c>
      <c r="CU83" s="790">
        <v>1370.2377132451343</v>
      </c>
      <c r="CV83" s="790">
        <v>1350.585967172934</v>
      </c>
      <c r="CW83" s="790">
        <v>1373.4327111839955</v>
      </c>
      <c r="CX83" s="790">
        <v>1332.5046689217406</v>
      </c>
      <c r="CY83" s="790">
        <v>1336.7554205829538</v>
      </c>
      <c r="CZ83" s="790">
        <v>1252.3352645025147</v>
      </c>
      <c r="DA83" s="790">
        <v>1273.5328912109403</v>
      </c>
      <c r="DB83" s="790">
        <v>1289.9589856081277</v>
      </c>
      <c r="DC83" s="790">
        <v>1317.3019212758447</v>
      </c>
      <c r="DD83" s="790">
        <v>2009.7277145174887</v>
      </c>
      <c r="DE83" s="790">
        <v>1244.4504689778098</v>
      </c>
      <c r="DF83" s="790">
        <v>1227.2223286829815</v>
      </c>
      <c r="DG83" s="790">
        <v>1244.4623825058254</v>
      </c>
      <c r="DH83" s="790">
        <v>1240.4854044115564</v>
      </c>
      <c r="DI83" s="790">
        <v>1383.0682589324119</v>
      </c>
      <c r="DJ83" s="790">
        <v>1394.8524117580632</v>
      </c>
      <c r="DK83" s="790">
        <v>1461.6030579531766</v>
      </c>
      <c r="DL83" s="790">
        <v>1382.2403897159975</v>
      </c>
      <c r="DM83" s="790">
        <v>1699.0973855192269</v>
      </c>
      <c r="DN83" s="790">
        <v>1409.7661563671188</v>
      </c>
      <c r="DO83" s="790">
        <v>1481.6152616289041</v>
      </c>
      <c r="DP83" s="790">
        <v>1361.1112552448722</v>
      </c>
      <c r="DQ83" s="790">
        <v>1520.3844904136786</v>
      </c>
      <c r="DR83" s="790">
        <v>1492.0034283807863</v>
      </c>
    </row>
    <row r="84" spans="1:122">
      <c r="A84" s="793" t="s">
        <v>2380</v>
      </c>
      <c r="B84" s="787"/>
      <c r="C84" s="584"/>
      <c r="D84" s="584"/>
      <c r="E84" s="596"/>
      <c r="F84" s="584"/>
      <c r="G84" s="584"/>
      <c r="H84" s="664"/>
      <c r="I84" s="664"/>
      <c r="J84" s="664"/>
      <c r="K84" s="593"/>
      <c r="L84" s="664"/>
      <c r="M84" s="664"/>
      <c r="N84" s="664"/>
      <c r="O84" s="593"/>
      <c r="P84" s="664"/>
      <c r="Q84" s="664"/>
      <c r="R84" s="593"/>
      <c r="S84" s="664"/>
      <c r="T84" s="664"/>
      <c r="U84" s="795"/>
      <c r="V84" s="795"/>
      <c r="W84" s="795"/>
      <c r="X84" s="795"/>
      <c r="Y84" s="795"/>
      <c r="Z84" s="795"/>
      <c r="AA84" s="795"/>
      <c r="AB84" s="795"/>
      <c r="AC84" s="795"/>
      <c r="AD84" s="795"/>
      <c r="AE84" s="795"/>
      <c r="AF84" s="795"/>
      <c r="AG84" s="795"/>
      <c r="AH84" s="795"/>
      <c r="AI84" s="795"/>
      <c r="AJ84" s="795"/>
      <c r="AK84" s="795"/>
      <c r="AL84" s="795"/>
      <c r="AM84" s="665"/>
      <c r="AN84" s="665"/>
      <c r="AO84" s="665"/>
      <c r="AP84" s="665"/>
      <c r="AQ84" s="665"/>
      <c r="AR84" s="787"/>
      <c r="AS84" s="787"/>
      <c r="AT84" s="787"/>
      <c r="AU84" s="787"/>
      <c r="AV84" s="787"/>
      <c r="AW84" s="790"/>
      <c r="AX84" s="790"/>
      <c r="AY84" s="790"/>
      <c r="AZ84" s="790"/>
      <c r="BA84" s="790"/>
      <c r="BB84" s="790"/>
      <c r="BC84" s="790"/>
      <c r="BD84" s="790"/>
      <c r="BE84" s="790"/>
      <c r="BF84" s="790"/>
      <c r="BG84" s="790"/>
      <c r="BH84" s="790"/>
      <c r="BI84" s="790"/>
      <c r="BJ84" s="790"/>
      <c r="BK84" s="790"/>
      <c r="BL84" s="790"/>
      <c r="BM84" s="790"/>
      <c r="BN84" s="790"/>
      <c r="BO84" s="790"/>
      <c r="BP84" s="790"/>
      <c r="BQ84" s="790"/>
      <c r="BR84" s="790"/>
      <c r="BS84" s="790"/>
      <c r="BT84" s="790"/>
      <c r="BU84" s="790"/>
      <c r="BV84" s="790"/>
      <c r="BW84" s="790"/>
      <c r="BX84" s="790"/>
      <c r="BY84" s="790"/>
      <c r="BZ84" s="790"/>
      <c r="CA84" s="790"/>
      <c r="CB84" s="790"/>
      <c r="CC84" s="790"/>
      <c r="CD84" s="790"/>
      <c r="CE84" s="790"/>
      <c r="CF84" s="790"/>
      <c r="CG84" s="790"/>
      <c r="CH84" s="790"/>
      <c r="CI84" s="790"/>
      <c r="CJ84" s="790"/>
      <c r="CK84" s="790"/>
      <c r="CL84" s="790"/>
      <c r="CM84" s="790"/>
      <c r="CN84" s="790"/>
      <c r="CO84" s="790"/>
      <c r="CP84" s="819"/>
      <c r="CQ84" s="790"/>
      <c r="CR84" s="790"/>
      <c r="CS84" s="790"/>
      <c r="CT84" s="790"/>
      <c r="CU84" s="790"/>
      <c r="CV84" s="790"/>
      <c r="CW84" s="790"/>
      <c r="CX84" s="790"/>
      <c r="CY84" s="790"/>
      <c r="CZ84" s="790"/>
      <c r="DA84" s="790"/>
      <c r="DB84" s="790"/>
      <c r="DC84" s="790"/>
      <c r="DD84" s="790"/>
      <c r="DE84" s="790"/>
      <c r="DF84" s="790"/>
      <c r="DG84" s="790"/>
      <c r="DH84" s="790"/>
      <c r="DI84" s="790"/>
      <c r="DJ84" s="790"/>
      <c r="DK84" s="790"/>
      <c r="DL84" s="790"/>
      <c r="DM84" s="790"/>
      <c r="DN84" s="790"/>
      <c r="DO84" s="790"/>
      <c r="DP84" s="790"/>
      <c r="DQ84" s="790"/>
      <c r="DR84" s="790"/>
    </row>
    <row r="85" spans="1:122" ht="15.95" customHeight="1">
      <c r="A85" s="793" t="s">
        <v>2442</v>
      </c>
      <c r="B85" s="794">
        <v>1003.3572246700001</v>
      </c>
      <c r="C85" s="664">
        <v>990.17613920999997</v>
      </c>
      <c r="D85" s="664">
        <v>215.02073419999999</v>
      </c>
      <c r="E85" s="593">
        <v>221.98029814999995</v>
      </c>
      <c r="F85" s="664">
        <v>196.36938244999999</v>
      </c>
      <c r="G85" s="664">
        <v>180.39305244999997</v>
      </c>
      <c r="H85" s="664">
        <v>201.92223041999998</v>
      </c>
      <c r="I85" s="664">
        <v>173.67776625279998</v>
      </c>
      <c r="J85" s="664">
        <v>179.38042033000002</v>
      </c>
      <c r="K85" s="593">
        <v>158.81067775</v>
      </c>
      <c r="L85" s="664">
        <v>168.05945237</v>
      </c>
      <c r="M85" s="664">
        <v>164.56924794000003</v>
      </c>
      <c r="N85" s="664">
        <v>179.80557682</v>
      </c>
      <c r="O85" s="593">
        <v>166.23065051</v>
      </c>
      <c r="P85" s="664">
        <v>169.56623184</v>
      </c>
      <c r="Q85" s="664">
        <v>166.04875318000001</v>
      </c>
      <c r="R85" s="593">
        <v>184.46480410999999</v>
      </c>
      <c r="S85" s="664">
        <v>168.46826140000002</v>
      </c>
      <c r="T85" s="664">
        <v>186.75646523</v>
      </c>
      <c r="U85" s="795">
        <v>204.83071408999999</v>
      </c>
      <c r="V85" s="795">
        <v>159.12027782999999</v>
      </c>
      <c r="W85" s="795">
        <v>164.30575118000002</v>
      </c>
      <c r="X85" s="795">
        <v>208.15284751999999</v>
      </c>
      <c r="Y85" s="795">
        <v>177.17968572999999</v>
      </c>
      <c r="Z85" s="795">
        <v>179.72442908000005</v>
      </c>
      <c r="AA85" s="795">
        <v>163.6702607</v>
      </c>
      <c r="AB85" s="795">
        <v>194.11456060000003</v>
      </c>
      <c r="AC85" s="795">
        <v>181.42659131000002</v>
      </c>
      <c r="AD85" s="795">
        <v>183.23072406</v>
      </c>
      <c r="AE85" s="795">
        <v>211.39669401999998</v>
      </c>
      <c r="AF85" s="795">
        <v>254.59472289000001</v>
      </c>
      <c r="AG85" s="795">
        <v>219.42867057999999</v>
      </c>
      <c r="AH85" s="795">
        <v>254.90609262000001</v>
      </c>
      <c r="AI85" s="795">
        <v>238.30351843</v>
      </c>
      <c r="AJ85" s="795">
        <v>236.07852179000002</v>
      </c>
      <c r="AK85" s="795">
        <v>248.97932025</v>
      </c>
      <c r="AL85" s="795">
        <v>239.93421801000002</v>
      </c>
      <c r="AM85" s="666">
        <v>217.57599929</v>
      </c>
      <c r="AN85" s="666">
        <v>210.66561617000002</v>
      </c>
      <c r="AO85" s="666">
        <v>262.96666052</v>
      </c>
      <c r="AP85" s="666">
        <v>225.77103247660003</v>
      </c>
      <c r="AQ85" s="666">
        <v>224.08543610160001</v>
      </c>
      <c r="AR85" s="794">
        <v>231.24230522960002</v>
      </c>
      <c r="AS85" s="794">
        <v>236.88848839000002</v>
      </c>
      <c r="AT85" s="794">
        <v>181.029583328</v>
      </c>
      <c r="AU85" s="794">
        <v>188.22738373880003</v>
      </c>
      <c r="AV85" s="794">
        <v>196.95278670100001</v>
      </c>
      <c r="AW85" s="587">
        <v>185.25011029319998</v>
      </c>
      <c r="AX85" s="587">
        <v>306.73583615759998</v>
      </c>
      <c r="AY85" s="587">
        <v>251.26642658920002</v>
      </c>
      <c r="AZ85" s="587">
        <v>197.22532055729997</v>
      </c>
      <c r="BA85" s="587">
        <v>274.34911475900009</v>
      </c>
      <c r="BB85" s="587">
        <v>193.47024474830002</v>
      </c>
      <c r="BC85" s="587">
        <v>206.91007548119998</v>
      </c>
      <c r="BD85" s="587">
        <v>215.83015771499998</v>
      </c>
      <c r="BE85" s="587">
        <v>207.41798266519996</v>
      </c>
      <c r="BF85" s="587">
        <v>203.47366546500001</v>
      </c>
      <c r="BG85" s="587">
        <v>205.13348557200004</v>
      </c>
      <c r="BH85" s="587">
        <v>285.42884916269998</v>
      </c>
      <c r="BI85" s="587">
        <v>339.10770391759996</v>
      </c>
      <c r="BJ85" s="587">
        <v>424.96512534879992</v>
      </c>
      <c r="BK85" s="587">
        <v>256.48091189859997</v>
      </c>
      <c r="BL85" s="587">
        <v>324.61175804378843</v>
      </c>
      <c r="BM85" s="587">
        <v>300.32245418939993</v>
      </c>
      <c r="BN85" s="587">
        <v>256.75641149479998</v>
      </c>
      <c r="BO85" s="587">
        <v>251.25756277279999</v>
      </c>
      <c r="BP85" s="587">
        <v>242.95102314580001</v>
      </c>
      <c r="BQ85" s="587">
        <v>246.05658869679999</v>
      </c>
      <c r="BR85" s="587">
        <v>247.79219444950002</v>
      </c>
      <c r="BS85" s="587">
        <v>252.7615975352</v>
      </c>
      <c r="BT85" s="587">
        <v>255.26522692211003</v>
      </c>
      <c r="BU85" s="587">
        <v>262.26037256841801</v>
      </c>
      <c r="BV85" s="587">
        <v>244.542399468474</v>
      </c>
      <c r="BW85" s="587">
        <v>249.18572984496501</v>
      </c>
      <c r="BX85" s="587">
        <v>242.13766908349999</v>
      </c>
      <c r="BY85" s="587">
        <v>244.60551647039998</v>
      </c>
      <c r="BZ85" s="587">
        <v>249.7</v>
      </c>
      <c r="CA85" s="587">
        <v>239.05725530160001</v>
      </c>
      <c r="CB85" s="587">
        <v>223.12175609920001</v>
      </c>
      <c r="CC85" s="587">
        <v>222.00437685750001</v>
      </c>
      <c r="CD85" s="587">
        <v>225.39189220846197</v>
      </c>
      <c r="CE85" s="587">
        <v>228.25089033133003</v>
      </c>
      <c r="CF85" s="587">
        <v>260.344546273844</v>
      </c>
      <c r="CG85" s="587">
        <v>403.9193663578933</v>
      </c>
      <c r="CH85" s="587">
        <v>422.73584837028716</v>
      </c>
      <c r="CI85" s="587">
        <v>498.70842374931783</v>
      </c>
      <c r="CJ85" s="587">
        <v>449.50701056563202</v>
      </c>
      <c r="CK85" s="587">
        <v>457.74191750031201</v>
      </c>
      <c r="CL85" s="587">
        <v>436.37944778426061</v>
      </c>
      <c r="CM85" s="587">
        <v>454.40869176505646</v>
      </c>
      <c r="CN85" s="587">
        <v>544.47681704779188</v>
      </c>
      <c r="CO85" s="587">
        <v>498.23170117533186</v>
      </c>
      <c r="CP85" s="820">
        <v>429.92996635384986</v>
      </c>
      <c r="CQ85" s="587">
        <v>536.90287988065995</v>
      </c>
      <c r="CR85" s="587">
        <v>526.45395714839992</v>
      </c>
      <c r="CS85" s="587">
        <v>558.27703357620783</v>
      </c>
      <c r="CT85" s="587">
        <v>832.16802287475002</v>
      </c>
      <c r="CU85" s="587">
        <v>838.31134106369711</v>
      </c>
      <c r="CV85" s="587">
        <v>821.7342159315341</v>
      </c>
      <c r="CW85" s="587">
        <v>822.7100180825546</v>
      </c>
      <c r="CX85" s="587">
        <v>826.17907805708876</v>
      </c>
      <c r="CY85" s="587">
        <v>812.0897602953728</v>
      </c>
      <c r="CZ85" s="587">
        <v>779.39175986923283</v>
      </c>
      <c r="DA85" s="587">
        <v>782.00286858929098</v>
      </c>
      <c r="DB85" s="587">
        <v>784.65236538743227</v>
      </c>
      <c r="DC85" s="587">
        <v>780.3561318879166</v>
      </c>
      <c r="DD85" s="587">
        <v>1529.8206326550162</v>
      </c>
      <c r="DE85" s="587">
        <v>763.18501363538701</v>
      </c>
      <c r="DF85" s="587">
        <v>756.57795844539646</v>
      </c>
      <c r="DG85" s="587">
        <v>738.22107946955589</v>
      </c>
      <c r="DH85" s="587">
        <v>738.76880550987391</v>
      </c>
      <c r="DI85" s="587">
        <v>885.91490831141346</v>
      </c>
      <c r="DJ85" s="587">
        <v>864.43063726545608</v>
      </c>
      <c r="DK85" s="587">
        <v>866.94804403871331</v>
      </c>
      <c r="DL85" s="587">
        <v>817.20980379988396</v>
      </c>
      <c r="DM85" s="587">
        <v>1163.4992237663746</v>
      </c>
      <c r="DN85" s="587">
        <v>827.87004594927282</v>
      </c>
      <c r="DO85" s="587">
        <v>844.43472738634784</v>
      </c>
      <c r="DP85" s="587">
        <v>746.65889414821095</v>
      </c>
      <c r="DQ85" s="587">
        <v>885.94352426289311</v>
      </c>
      <c r="DR85" s="587">
        <v>897.58859149795342</v>
      </c>
    </row>
    <row r="86" spans="1:122" ht="15.95" customHeight="1">
      <c r="A86" s="793" t="s">
        <v>2443</v>
      </c>
      <c r="B86" s="794">
        <v>0.69274532</v>
      </c>
      <c r="C86" s="664">
        <v>0.66161731999999995</v>
      </c>
      <c r="D86" s="664">
        <v>0.27465232000000001</v>
      </c>
      <c r="E86" s="593">
        <v>0.14202632000000001</v>
      </c>
      <c r="F86" s="664">
        <v>0.13103186</v>
      </c>
      <c r="G86" s="664">
        <v>0.24168931999999999</v>
      </c>
      <c r="H86" s="664">
        <v>0.25872931999999998</v>
      </c>
      <c r="I86" s="664">
        <v>0.28362831999999999</v>
      </c>
      <c r="J86" s="664">
        <v>0.28638832000000003</v>
      </c>
      <c r="K86" s="593">
        <v>1.7274504099999999</v>
      </c>
      <c r="L86" s="664">
        <v>27.220345469999998</v>
      </c>
      <c r="M86" s="664">
        <v>65.214018910000007</v>
      </c>
      <c r="N86" s="664">
        <v>93.588372230000004</v>
      </c>
      <c r="O86" s="593">
        <v>106.64346950999999</v>
      </c>
      <c r="P86" s="664">
        <v>113.03227240000001</v>
      </c>
      <c r="Q86" s="664">
        <v>117.39399884000001</v>
      </c>
      <c r="R86" s="593">
        <v>122.96482440999999</v>
      </c>
      <c r="S86" s="664">
        <v>132.68995436999998</v>
      </c>
      <c r="T86" s="664">
        <v>159.77552125</v>
      </c>
      <c r="U86" s="795">
        <v>164.5992067</v>
      </c>
      <c r="V86" s="795">
        <v>179.22844996999999</v>
      </c>
      <c r="W86" s="795">
        <v>184.32212657999997</v>
      </c>
      <c r="X86" s="795">
        <v>194.23318760999996</v>
      </c>
      <c r="Y86" s="795">
        <v>195.56070651999994</v>
      </c>
      <c r="Z86" s="795">
        <v>221.84858540000002</v>
      </c>
      <c r="AA86" s="795">
        <v>226.38540115999999</v>
      </c>
      <c r="AB86" s="795">
        <v>245.87974885000003</v>
      </c>
      <c r="AC86" s="795">
        <v>250.15751631999998</v>
      </c>
      <c r="AD86" s="795">
        <v>247.13055068999998</v>
      </c>
      <c r="AE86" s="795">
        <v>247.61354051000001</v>
      </c>
      <c r="AF86" s="795">
        <v>227.39873095999997</v>
      </c>
      <c r="AG86" s="795">
        <v>223.87538663999999</v>
      </c>
      <c r="AH86" s="795">
        <v>225.03130724000002</v>
      </c>
      <c r="AI86" s="795">
        <v>227.25464790999999</v>
      </c>
      <c r="AJ86" s="795">
        <v>214.41177765</v>
      </c>
      <c r="AK86" s="795">
        <v>226.21673707999994</v>
      </c>
      <c r="AL86" s="795">
        <v>228.80407049999999</v>
      </c>
      <c r="AM86" s="666">
        <v>217.30634305000001</v>
      </c>
      <c r="AN86" s="666">
        <v>233.65335765</v>
      </c>
      <c r="AO86" s="666">
        <v>238.91322309000003</v>
      </c>
      <c r="AP86" s="666">
        <v>257.98632599000001</v>
      </c>
      <c r="AQ86" s="666">
        <v>249.25280749000001</v>
      </c>
      <c r="AR86" s="794">
        <v>247.67783625000001</v>
      </c>
      <c r="AS86" s="794">
        <v>253.48509066</v>
      </c>
      <c r="AT86" s="794">
        <v>308.40863846999997</v>
      </c>
      <c r="AU86" s="794">
        <v>303.74237059999996</v>
      </c>
      <c r="AV86" s="794">
        <v>316.36196386</v>
      </c>
      <c r="AW86" s="587">
        <v>316.75506407</v>
      </c>
      <c r="AX86" s="587">
        <v>309.59709845999998</v>
      </c>
      <c r="AY86" s="587">
        <v>311.43951162999997</v>
      </c>
      <c r="AZ86" s="587">
        <v>302.01984916999993</v>
      </c>
      <c r="BA86" s="587">
        <v>291.15736994999997</v>
      </c>
      <c r="BB86" s="587">
        <v>297.84480109000003</v>
      </c>
      <c r="BC86" s="587">
        <v>288.90294362999998</v>
      </c>
      <c r="BD86" s="587">
        <v>264.04311855000003</v>
      </c>
      <c r="BE86" s="587">
        <v>264.68516525000001</v>
      </c>
      <c r="BF86" s="587">
        <v>271.55939524000001</v>
      </c>
      <c r="BG86" s="587">
        <v>271.02884849999998</v>
      </c>
      <c r="BH86" s="587">
        <v>273.57531112000004</v>
      </c>
      <c r="BI86" s="587">
        <v>247.33716596000002</v>
      </c>
      <c r="BJ86" s="587">
        <v>233.13455670999997</v>
      </c>
      <c r="BK86" s="587">
        <v>266.32883949000001</v>
      </c>
      <c r="BL86" s="587">
        <v>271.90960486000006</v>
      </c>
      <c r="BM86" s="587">
        <v>266.44189790000001</v>
      </c>
      <c r="BN86" s="587">
        <v>261.55825563175</v>
      </c>
      <c r="BO86" s="587">
        <v>268.16998295000002</v>
      </c>
      <c r="BP86" s="587">
        <v>267.61853050999997</v>
      </c>
      <c r="BQ86" s="587">
        <v>260.98292048999997</v>
      </c>
      <c r="BR86" s="587">
        <v>258.61594904999998</v>
      </c>
      <c r="BS86" s="587">
        <v>250.83898643999999</v>
      </c>
      <c r="BT86" s="587">
        <v>241.67748234000001</v>
      </c>
      <c r="BU86" s="587">
        <v>246.19869747000004</v>
      </c>
      <c r="BV86" s="587">
        <v>248.85800791000003</v>
      </c>
      <c r="BW86" s="587">
        <v>246.92093638999998</v>
      </c>
      <c r="BX86" s="587">
        <v>246.738968</v>
      </c>
      <c r="BY86" s="587">
        <v>256.77900899999997</v>
      </c>
      <c r="BZ86" s="587">
        <v>255.6</v>
      </c>
      <c r="CA86" s="587">
        <v>258.98447447999996</v>
      </c>
      <c r="CB86" s="587">
        <v>259.18894384999999</v>
      </c>
      <c r="CC86" s="587">
        <v>259.93746066</v>
      </c>
      <c r="CD86" s="587">
        <v>256.17625300999998</v>
      </c>
      <c r="CE86" s="587">
        <v>249.93565891999998</v>
      </c>
      <c r="CF86" s="587">
        <v>253.60360581999998</v>
      </c>
      <c r="CG86" s="587">
        <v>255.39421365999999</v>
      </c>
      <c r="CH86" s="587">
        <v>264.76110014</v>
      </c>
      <c r="CI86" s="587">
        <v>261.38856346000006</v>
      </c>
      <c r="CJ86" s="587">
        <v>252.94617406000003</v>
      </c>
      <c r="CK86" s="587">
        <v>253.98390782000001</v>
      </c>
      <c r="CL86" s="587">
        <v>251.01374727999999</v>
      </c>
      <c r="CM86" s="587">
        <v>252.89396282000001</v>
      </c>
      <c r="CN86" s="587">
        <v>247.84343826</v>
      </c>
      <c r="CO86" s="587">
        <v>243.08996217000001</v>
      </c>
      <c r="CP86" s="820">
        <v>246.77994147000001</v>
      </c>
      <c r="CQ86" s="587">
        <v>116.81339804000001</v>
      </c>
      <c r="CR86" s="587">
        <v>5.6238310399999998</v>
      </c>
      <c r="CS86" s="587">
        <v>6.0006972700000016</v>
      </c>
      <c r="CT86" s="587">
        <v>6.1138989400000003</v>
      </c>
      <c r="CU86" s="587">
        <v>5.5399524799999984</v>
      </c>
      <c r="CV86" s="587">
        <v>5.2206779400000007</v>
      </c>
      <c r="CW86" s="587">
        <v>5.4294547200000007</v>
      </c>
      <c r="CX86" s="587">
        <v>5.2941119699999994</v>
      </c>
      <c r="CY86" s="587">
        <v>5.4066203399999999</v>
      </c>
      <c r="CZ86" s="587">
        <v>5.1348933400000005</v>
      </c>
      <c r="DA86" s="587">
        <v>5.2320298799999998</v>
      </c>
      <c r="DB86" s="587">
        <v>5.2259854099999998</v>
      </c>
      <c r="DC86" s="587">
        <v>5.1571857199999993</v>
      </c>
      <c r="DD86" s="587">
        <v>4.5793302900000006</v>
      </c>
      <c r="DE86" s="587">
        <v>4.6517931500000005</v>
      </c>
      <c r="DF86" s="587">
        <v>4.6599851099999992</v>
      </c>
      <c r="DG86" s="587">
        <v>4.7162356500000007</v>
      </c>
      <c r="DH86" s="587">
        <v>3.7479601600000003</v>
      </c>
      <c r="DI86" s="587">
        <v>3.8764950899999997</v>
      </c>
      <c r="DJ86" s="587">
        <v>3.6064033799999997</v>
      </c>
      <c r="DK86" s="587">
        <v>3.5923565293499995</v>
      </c>
      <c r="DL86" s="587">
        <v>3.3858569467000001</v>
      </c>
      <c r="DM86" s="587">
        <v>3.1217522244999993</v>
      </c>
      <c r="DN86" s="587">
        <v>3.3032621486999996</v>
      </c>
      <c r="DO86" s="587">
        <v>3.0349442620000002</v>
      </c>
      <c r="DP86" s="587">
        <v>2.60493942</v>
      </c>
      <c r="DQ86" s="587">
        <v>1.3307196799999998</v>
      </c>
      <c r="DR86" s="587">
        <v>1.6347010399999997</v>
      </c>
    </row>
    <row r="87" spans="1:122" ht="15.95" customHeight="1">
      <c r="A87" s="793" t="s">
        <v>2444</v>
      </c>
      <c r="B87" s="794">
        <v>6.0675792799999995</v>
      </c>
      <c r="C87" s="664">
        <v>6.3799121000000003</v>
      </c>
      <c r="D87" s="664">
        <v>5.7025643199999996</v>
      </c>
      <c r="E87" s="593">
        <v>5.5092628999999995</v>
      </c>
      <c r="F87" s="664">
        <v>5.2635429900000004</v>
      </c>
      <c r="G87" s="664">
        <v>5.6278757300000004</v>
      </c>
      <c r="H87" s="664">
        <v>5.3140654899999999</v>
      </c>
      <c r="I87" s="664">
        <v>5.32739312</v>
      </c>
      <c r="J87" s="664">
        <v>5.5304802300000002</v>
      </c>
      <c r="K87" s="593">
        <v>5.0026731900000003</v>
      </c>
      <c r="L87" s="664">
        <v>4.2434131200000005</v>
      </c>
      <c r="M87" s="664">
        <v>4.7794964099999815</v>
      </c>
      <c r="N87" s="664">
        <v>3.3449213600000118</v>
      </c>
      <c r="O87" s="593">
        <v>4.3645148799999998</v>
      </c>
      <c r="P87" s="664">
        <v>4.125483259999986</v>
      </c>
      <c r="Q87" s="664">
        <v>4.2113440599999992</v>
      </c>
      <c r="R87" s="593">
        <v>4.18420813</v>
      </c>
      <c r="S87" s="664">
        <v>2.9359140299999997</v>
      </c>
      <c r="T87" s="664">
        <v>5.1041778499999992</v>
      </c>
      <c r="U87" s="795">
        <v>4.8015753099999996</v>
      </c>
      <c r="V87" s="795">
        <v>4.7329412300000007</v>
      </c>
      <c r="W87" s="795">
        <v>4.6795259600000003</v>
      </c>
      <c r="X87" s="795">
        <v>4.702836379999999</v>
      </c>
      <c r="Y87" s="795">
        <v>4.73150885</v>
      </c>
      <c r="Z87" s="795">
        <v>2.1199692799999998</v>
      </c>
      <c r="AA87" s="795">
        <v>2.9562785599999999</v>
      </c>
      <c r="AB87" s="795">
        <v>2.8312427599999999</v>
      </c>
      <c r="AC87" s="795">
        <v>3.4715882499999999</v>
      </c>
      <c r="AD87" s="795">
        <v>2.8188206899999999</v>
      </c>
      <c r="AE87" s="795">
        <v>3.5744988099999997</v>
      </c>
      <c r="AF87" s="795">
        <v>2.9232478199999998</v>
      </c>
      <c r="AG87" s="795">
        <v>234.58632690000002</v>
      </c>
      <c r="AH87" s="795">
        <v>233.60753159000001</v>
      </c>
      <c r="AI87" s="795">
        <v>233.60228148000002</v>
      </c>
      <c r="AJ87" s="795">
        <v>234.32091231999999</v>
      </c>
      <c r="AK87" s="795">
        <v>236.30657102000001</v>
      </c>
      <c r="AL87" s="795">
        <v>226.58450656999997</v>
      </c>
      <c r="AM87" s="666">
        <v>225.27045018999999</v>
      </c>
      <c r="AN87" s="666">
        <v>225.43403218</v>
      </c>
      <c r="AO87" s="666">
        <v>226.08997924000002</v>
      </c>
      <c r="AP87" s="666">
        <v>225.84874418999999</v>
      </c>
      <c r="AQ87" s="666">
        <v>228.13656768999999</v>
      </c>
      <c r="AR87" s="794">
        <v>219.38014188</v>
      </c>
      <c r="AS87" s="794">
        <v>213.3855557</v>
      </c>
      <c r="AT87" s="794">
        <v>213.79904245</v>
      </c>
      <c r="AU87" s="794">
        <v>214.54623911000002</v>
      </c>
      <c r="AV87" s="794">
        <v>214.72194997</v>
      </c>
      <c r="AW87" s="587">
        <v>214.13554803</v>
      </c>
      <c r="AX87" s="587">
        <v>203.95354651</v>
      </c>
      <c r="AY87" s="587">
        <v>203.59980625999998</v>
      </c>
      <c r="AZ87" s="587">
        <v>203.55187291999999</v>
      </c>
      <c r="BA87" s="587">
        <v>203.58630334</v>
      </c>
      <c r="BB87" s="587">
        <v>203.57906084000001</v>
      </c>
      <c r="BC87" s="587">
        <v>203.45796325999999</v>
      </c>
      <c r="BD87" s="587">
        <v>193.83738475999999</v>
      </c>
      <c r="BE87" s="587">
        <v>193.79641894</v>
      </c>
      <c r="BF87" s="587">
        <v>193.75864953999999</v>
      </c>
      <c r="BG87" s="587">
        <v>193.65226262000002</v>
      </c>
      <c r="BH87" s="587">
        <v>193.69717065999998</v>
      </c>
      <c r="BI87" s="587">
        <v>193.69332840000001</v>
      </c>
      <c r="BJ87" s="587">
        <v>184.11560825000001</v>
      </c>
      <c r="BK87" s="587">
        <v>184.04030236</v>
      </c>
      <c r="BL87" s="587">
        <v>184.21403699000001</v>
      </c>
      <c r="BM87" s="587">
        <v>184.30588549000001</v>
      </c>
      <c r="BN87" s="587">
        <v>184.31617674</v>
      </c>
      <c r="BO87" s="587">
        <v>184.30898919999998</v>
      </c>
      <c r="BP87" s="587">
        <v>174.59579892999997</v>
      </c>
      <c r="BQ87" s="587">
        <v>174.5394287</v>
      </c>
      <c r="BR87" s="587">
        <v>174.5150907</v>
      </c>
      <c r="BS87" s="587">
        <v>174.53697056000001</v>
      </c>
      <c r="BT87" s="587">
        <v>174.46204139</v>
      </c>
      <c r="BU87" s="587">
        <v>174.48525966</v>
      </c>
      <c r="BV87" s="587">
        <v>165.05113765000002</v>
      </c>
      <c r="BW87" s="587">
        <v>165.02227711</v>
      </c>
      <c r="BX87" s="587">
        <v>164.99763299999998</v>
      </c>
      <c r="BY87" s="587">
        <v>165.11437699999999</v>
      </c>
      <c r="BZ87" s="587">
        <v>165.2</v>
      </c>
      <c r="CA87" s="587">
        <v>165.41982898000001</v>
      </c>
      <c r="CB87" s="587">
        <v>155.66405348999999</v>
      </c>
      <c r="CC87" s="587">
        <v>155.58247512</v>
      </c>
      <c r="CD87" s="587">
        <v>155.53206240999998</v>
      </c>
      <c r="CE87" s="587">
        <v>155.51997097</v>
      </c>
      <c r="CF87" s="587">
        <v>155.46880864999997</v>
      </c>
      <c r="CG87" s="587">
        <v>155.37889684000001</v>
      </c>
      <c r="CH87" s="587">
        <v>145.81984776000002</v>
      </c>
      <c r="CI87" s="587">
        <v>145.67974021000001</v>
      </c>
      <c r="CJ87" s="587">
        <v>146.32464302</v>
      </c>
      <c r="CK87" s="587">
        <v>146.38995348</v>
      </c>
      <c r="CL87" s="587">
        <v>146.39728055</v>
      </c>
      <c r="CM87" s="587">
        <v>146.38539861999999</v>
      </c>
      <c r="CN87" s="587">
        <v>136.94207484</v>
      </c>
      <c r="CO87" s="587">
        <v>136.93775564999999</v>
      </c>
      <c r="CP87" s="820">
        <v>136.77724720000001</v>
      </c>
      <c r="CQ87" s="587">
        <v>136.88843818999999</v>
      </c>
      <c r="CR87" s="587">
        <v>137.06781093000001</v>
      </c>
      <c r="CS87" s="587">
        <v>136.85389631000001</v>
      </c>
      <c r="CT87" s="587">
        <v>127.30109185999999</v>
      </c>
      <c r="CU87" s="587">
        <v>127.29734956</v>
      </c>
      <c r="CV87" s="587">
        <v>127.29398020000001</v>
      </c>
      <c r="CW87" s="587">
        <v>127.30244962</v>
      </c>
      <c r="CX87" s="587">
        <v>126.80610003</v>
      </c>
      <c r="CY87" s="587">
        <v>126.67771062999999</v>
      </c>
      <c r="CZ87" s="587">
        <v>117.05678791000001</v>
      </c>
      <c r="DA87" s="587">
        <v>116.92483731</v>
      </c>
      <c r="DB87" s="587">
        <v>116.8346667</v>
      </c>
      <c r="DC87" s="587">
        <v>115.84498125</v>
      </c>
      <c r="DD87" s="587">
        <v>115.94173655</v>
      </c>
      <c r="DE87" s="587">
        <v>115.88119394</v>
      </c>
      <c r="DF87" s="587">
        <v>106.26444859</v>
      </c>
      <c r="DG87" s="587">
        <v>106.26280471</v>
      </c>
      <c r="DH87" s="587">
        <v>106.40242615999999</v>
      </c>
      <c r="DI87" s="587">
        <v>106.3283332</v>
      </c>
      <c r="DJ87" s="587">
        <v>106.26352594000001</v>
      </c>
      <c r="DK87" s="587">
        <v>106.24769055</v>
      </c>
      <c r="DL87" s="587">
        <v>96.646371500000001</v>
      </c>
      <c r="DM87" s="587">
        <v>96.833212560000007</v>
      </c>
      <c r="DN87" s="587">
        <v>96.72623428</v>
      </c>
      <c r="DO87" s="587">
        <v>96.732194859999993</v>
      </c>
      <c r="DP87" s="587">
        <v>96.785409760000007</v>
      </c>
      <c r="DQ87" s="587">
        <v>96.672800680000009</v>
      </c>
      <c r="DR87" s="587">
        <v>87.072953249999998</v>
      </c>
    </row>
    <row r="88" spans="1:122" ht="15.95" customHeight="1">
      <c r="A88" s="793" t="s">
        <v>2445</v>
      </c>
      <c r="B88" s="794">
        <v>64.305025139999998</v>
      </c>
      <c r="C88" s="664">
        <v>64.410387069999999</v>
      </c>
      <c r="D88" s="664">
        <v>62.527931809999998</v>
      </c>
      <c r="E88" s="593">
        <v>53.491311119999999</v>
      </c>
      <c r="F88" s="664">
        <v>72.454271090000006</v>
      </c>
      <c r="G88" s="664">
        <v>69.507567269999996</v>
      </c>
      <c r="H88" s="664">
        <v>75.590285519999995</v>
      </c>
      <c r="I88" s="664">
        <v>74.361456689999997</v>
      </c>
      <c r="J88" s="664">
        <v>72.97030676</v>
      </c>
      <c r="K88" s="593">
        <v>75.488963999999996</v>
      </c>
      <c r="L88" s="664">
        <v>83.428469750000005</v>
      </c>
      <c r="M88" s="664">
        <v>82.422700240000012</v>
      </c>
      <c r="N88" s="664">
        <v>75.975285179999986</v>
      </c>
      <c r="O88" s="593">
        <v>62.716257620000007</v>
      </c>
      <c r="P88" s="664">
        <v>63.299879750000002</v>
      </c>
      <c r="Q88" s="664">
        <v>61.133792390000004</v>
      </c>
      <c r="R88" s="593">
        <v>67.217385300000018</v>
      </c>
      <c r="S88" s="664">
        <v>49.633252129999995</v>
      </c>
      <c r="T88" s="664">
        <v>50.677388480000005</v>
      </c>
      <c r="U88" s="795">
        <v>63.656802670000005</v>
      </c>
      <c r="V88" s="795">
        <v>55.248537539999994</v>
      </c>
      <c r="W88" s="795">
        <v>58.833755610000004</v>
      </c>
      <c r="X88" s="795">
        <v>57.916210050000011</v>
      </c>
      <c r="Y88" s="795">
        <v>60.2835222</v>
      </c>
      <c r="Z88" s="795">
        <v>53.650485880000005</v>
      </c>
      <c r="AA88" s="795">
        <v>52.967518839999997</v>
      </c>
      <c r="AB88" s="795">
        <v>53.362233800000006</v>
      </c>
      <c r="AC88" s="795">
        <v>47.478002830000001</v>
      </c>
      <c r="AD88" s="795">
        <v>55.202753009999988</v>
      </c>
      <c r="AE88" s="795">
        <v>45.670907369999995</v>
      </c>
      <c r="AF88" s="795">
        <v>49.274646359999998</v>
      </c>
      <c r="AG88" s="795">
        <v>48.01154141</v>
      </c>
      <c r="AH88" s="795">
        <v>42.093704580000001</v>
      </c>
      <c r="AI88" s="795">
        <v>32.948458199999997</v>
      </c>
      <c r="AJ88" s="795">
        <v>35.583476000000005</v>
      </c>
      <c r="AK88" s="795">
        <v>43.305932970000008</v>
      </c>
      <c r="AL88" s="795">
        <v>53.374015479999997</v>
      </c>
      <c r="AM88" s="666">
        <v>46.158967839999995</v>
      </c>
      <c r="AN88" s="666">
        <v>54.347754619999996</v>
      </c>
      <c r="AO88" s="666">
        <v>48.525518700000006</v>
      </c>
      <c r="AP88" s="666">
        <v>52.860461799799992</v>
      </c>
      <c r="AQ88" s="666">
        <v>53.070695175200001</v>
      </c>
      <c r="AR88" s="794">
        <v>63.981940783999995</v>
      </c>
      <c r="AS88" s="794">
        <v>55.699059699999992</v>
      </c>
      <c r="AT88" s="794">
        <v>56.677409847200003</v>
      </c>
      <c r="AU88" s="794">
        <v>59.019868471200006</v>
      </c>
      <c r="AV88" s="794">
        <v>63.042268194000002</v>
      </c>
      <c r="AW88" s="587">
        <v>55.394679115200006</v>
      </c>
      <c r="AX88" s="587">
        <v>53.872736435199997</v>
      </c>
      <c r="AY88" s="587">
        <v>49.063188840800002</v>
      </c>
      <c r="AZ88" s="587">
        <v>53.4720252973</v>
      </c>
      <c r="BA88" s="587">
        <v>52.107485867799994</v>
      </c>
      <c r="BB88" s="587">
        <v>47.097178803000006</v>
      </c>
      <c r="BC88" s="587">
        <v>50.952590386399997</v>
      </c>
      <c r="BD88" s="587">
        <v>52.515943265000018</v>
      </c>
      <c r="BE88" s="587">
        <v>44.703751737499999</v>
      </c>
      <c r="BF88" s="587">
        <v>49.227843590000006</v>
      </c>
      <c r="BG88" s="587">
        <v>45.595012431999997</v>
      </c>
      <c r="BH88" s="587">
        <v>47.1451664792</v>
      </c>
      <c r="BI88" s="587">
        <v>50.2027641102</v>
      </c>
      <c r="BJ88" s="587">
        <v>50.072110066200004</v>
      </c>
      <c r="BK88" s="587">
        <v>54.903676090600008</v>
      </c>
      <c r="BL88" s="587">
        <v>53.200212702500004</v>
      </c>
      <c r="BM88" s="587">
        <v>52.8312616746</v>
      </c>
      <c r="BN88" s="587">
        <v>55.053590408799998</v>
      </c>
      <c r="BO88" s="587">
        <v>57.961530281199998</v>
      </c>
      <c r="BP88" s="587">
        <v>66.371450070899996</v>
      </c>
      <c r="BQ88" s="587">
        <v>68.323603144499984</v>
      </c>
      <c r="BR88" s="587">
        <v>60.966072810099995</v>
      </c>
      <c r="BS88" s="587">
        <v>56.997552879200015</v>
      </c>
      <c r="BT88" s="587">
        <v>53.629983508960009</v>
      </c>
      <c r="BU88" s="587">
        <v>60.554701980456002</v>
      </c>
      <c r="BV88" s="587">
        <v>55.701739239142</v>
      </c>
      <c r="BW88" s="587">
        <v>58.668343509259998</v>
      </c>
      <c r="BX88" s="587">
        <v>57.457198165000001</v>
      </c>
      <c r="BY88" s="587">
        <v>55.877334342600008</v>
      </c>
      <c r="BZ88" s="587">
        <v>56.2</v>
      </c>
      <c r="CA88" s="587">
        <v>53.228000044300003</v>
      </c>
      <c r="CB88" s="587">
        <v>53.528072708800003</v>
      </c>
      <c r="CC88" s="587">
        <v>52.917980476316998</v>
      </c>
      <c r="CD88" s="587">
        <v>62.460235662292007</v>
      </c>
      <c r="CE88" s="587">
        <v>62.935848441642207</v>
      </c>
      <c r="CF88" s="587">
        <v>62.663625340576239</v>
      </c>
      <c r="CG88" s="587">
        <v>65.742422482846678</v>
      </c>
      <c r="CH88" s="587">
        <v>60.632789729900004</v>
      </c>
      <c r="CI88" s="587">
        <v>62.870534400000004</v>
      </c>
      <c r="CJ88" s="587">
        <v>67.517907890000018</v>
      </c>
      <c r="CK88" s="587">
        <v>60.903891130000005</v>
      </c>
      <c r="CL88" s="587">
        <v>63.550595969999996</v>
      </c>
      <c r="CM88" s="587">
        <v>63.836284769999992</v>
      </c>
      <c r="CN88" s="587">
        <v>64.490997109999995</v>
      </c>
      <c r="CO88" s="587">
        <v>60.317251660000011</v>
      </c>
      <c r="CP88" s="820">
        <v>64.099128999999991</v>
      </c>
      <c r="CQ88" s="587">
        <v>69.426817790000001</v>
      </c>
      <c r="CR88" s="587">
        <v>69.655805470000004</v>
      </c>
      <c r="CS88" s="587">
        <v>69.590133350000002</v>
      </c>
      <c r="CT88" s="587">
        <v>78.614045930000017</v>
      </c>
      <c r="CU88" s="587">
        <v>77.726854810000006</v>
      </c>
      <c r="CV88" s="587">
        <v>73.146281900000005</v>
      </c>
      <c r="CW88" s="587">
        <v>75.100519570000003</v>
      </c>
      <c r="CX88" s="587">
        <v>82.259164069999997</v>
      </c>
      <c r="CY88" s="587">
        <v>57.754491030000004</v>
      </c>
      <c r="CZ88" s="587">
        <v>53.748318859999998</v>
      </c>
      <c r="DA88" s="587">
        <v>45.218840970000002</v>
      </c>
      <c r="DB88" s="587">
        <v>51.003858790000002</v>
      </c>
      <c r="DC88" s="587">
        <v>58.100974149999999</v>
      </c>
      <c r="DD88" s="587">
        <v>59.261466720000008</v>
      </c>
      <c r="DE88" s="587">
        <v>60.502115269999997</v>
      </c>
      <c r="DF88" s="587">
        <v>52.653595539999998</v>
      </c>
      <c r="DG88" s="587">
        <v>69.056925430000007</v>
      </c>
      <c r="DH88" s="587">
        <v>72.283822109999988</v>
      </c>
      <c r="DI88" s="587">
        <v>67.56104237000001</v>
      </c>
      <c r="DJ88" s="587">
        <v>70.78484091</v>
      </c>
      <c r="DK88" s="587">
        <v>64.53209145999999</v>
      </c>
      <c r="DL88" s="587">
        <v>70.601233409999992</v>
      </c>
      <c r="DM88" s="587">
        <v>61.400073259999999</v>
      </c>
      <c r="DN88" s="587">
        <v>55.563116941712813</v>
      </c>
      <c r="DO88" s="587">
        <v>61.539926560000005</v>
      </c>
      <c r="DP88" s="587">
        <v>56.516585380000002</v>
      </c>
      <c r="DQ88" s="587">
        <v>57.272328560000005</v>
      </c>
      <c r="DR88" s="587">
        <v>66.535300469999996</v>
      </c>
    </row>
    <row r="89" spans="1:122" ht="15.95" customHeight="1">
      <c r="A89" s="793" t="s">
        <v>2446</v>
      </c>
      <c r="B89" s="794">
        <v>171.65605704000001</v>
      </c>
      <c r="C89" s="664">
        <v>33.317444590000001</v>
      </c>
      <c r="D89" s="664">
        <v>32.025845710000006</v>
      </c>
      <c r="E89" s="593">
        <v>34.958413289999996</v>
      </c>
      <c r="F89" s="664">
        <v>45.978065890000003</v>
      </c>
      <c r="G89" s="664">
        <v>50.347736910000002</v>
      </c>
      <c r="H89" s="664">
        <v>49.352268650000006</v>
      </c>
      <c r="I89" s="664">
        <v>82.946417170000004</v>
      </c>
      <c r="J89" s="664">
        <v>85.933542500000001</v>
      </c>
      <c r="K89" s="593">
        <v>89.194672460000007</v>
      </c>
      <c r="L89" s="664">
        <v>93.413848460000011</v>
      </c>
      <c r="M89" s="664">
        <v>94.379553670000007</v>
      </c>
      <c r="N89" s="664">
        <v>90.990209329999999</v>
      </c>
      <c r="O89" s="593">
        <v>94.149863209999992</v>
      </c>
      <c r="P89" s="664">
        <v>92.369877990000006</v>
      </c>
      <c r="Q89" s="664">
        <v>87.737623689999992</v>
      </c>
      <c r="R89" s="593">
        <v>87.24471521000001</v>
      </c>
      <c r="S89" s="664">
        <v>87.121757759999994</v>
      </c>
      <c r="T89" s="664">
        <v>85.740809509999991</v>
      </c>
      <c r="U89" s="795">
        <v>86.460201620000007</v>
      </c>
      <c r="V89" s="795">
        <v>88.641028899999995</v>
      </c>
      <c r="W89" s="795">
        <v>86.879794500000003</v>
      </c>
      <c r="X89" s="795">
        <v>89.822815009999999</v>
      </c>
      <c r="Y89" s="795">
        <v>89.170840589999997</v>
      </c>
      <c r="Z89" s="795">
        <v>88.372358590000005</v>
      </c>
      <c r="AA89" s="795">
        <v>80.77291922000002</v>
      </c>
      <c r="AB89" s="795">
        <v>81.217964789999996</v>
      </c>
      <c r="AC89" s="795">
        <v>80.568758670000008</v>
      </c>
      <c r="AD89" s="795">
        <v>76.571829509999986</v>
      </c>
      <c r="AE89" s="795">
        <v>80.062509559999995</v>
      </c>
      <c r="AF89" s="795">
        <v>77.912084700000023</v>
      </c>
      <c r="AG89" s="795">
        <v>76.315950380000004</v>
      </c>
      <c r="AH89" s="795">
        <v>73.958580850000004</v>
      </c>
      <c r="AI89" s="795">
        <v>68.50618252000001</v>
      </c>
      <c r="AJ89" s="795">
        <v>67.849605120000007</v>
      </c>
      <c r="AK89" s="795">
        <v>68.041894810000002</v>
      </c>
      <c r="AL89" s="795">
        <v>84.150337359999995</v>
      </c>
      <c r="AM89" s="666">
        <v>88.72816112000001</v>
      </c>
      <c r="AN89" s="666">
        <v>70.906875680000013</v>
      </c>
      <c r="AO89" s="666">
        <v>67.887707739999996</v>
      </c>
      <c r="AP89" s="666">
        <v>59.662527829999995</v>
      </c>
      <c r="AQ89" s="666">
        <v>61.711041339999994</v>
      </c>
      <c r="AR89" s="794">
        <v>64.561846590000002</v>
      </c>
      <c r="AS89" s="794">
        <v>65.349665520000002</v>
      </c>
      <c r="AT89" s="794">
        <v>66.132030009999994</v>
      </c>
      <c r="AU89" s="794">
        <v>68.530294299999994</v>
      </c>
      <c r="AV89" s="794">
        <v>67.346674230000005</v>
      </c>
      <c r="AW89" s="587">
        <v>68.428518339999997</v>
      </c>
      <c r="AX89" s="587">
        <v>67.595359039999991</v>
      </c>
      <c r="AY89" s="587">
        <v>70.949900530000008</v>
      </c>
      <c r="AZ89" s="587">
        <v>75.698302859999998</v>
      </c>
      <c r="BA89" s="587">
        <v>71.952421629999989</v>
      </c>
      <c r="BB89" s="587">
        <v>70.688085779999994</v>
      </c>
      <c r="BC89" s="587">
        <v>74.886116440000009</v>
      </c>
      <c r="BD89" s="587">
        <v>73.004373120000011</v>
      </c>
      <c r="BE89" s="587">
        <v>69.971568810000008</v>
      </c>
      <c r="BF89" s="587">
        <v>70.604772030000007</v>
      </c>
      <c r="BG89" s="587">
        <v>74.759382679999987</v>
      </c>
      <c r="BH89" s="587">
        <v>74.46674895999999</v>
      </c>
      <c r="BI89" s="587">
        <v>77.837999969999984</v>
      </c>
      <c r="BJ89" s="587">
        <v>77.776151370000008</v>
      </c>
      <c r="BK89" s="587">
        <v>81.26819024000001</v>
      </c>
      <c r="BL89" s="587">
        <v>84.65606695999999</v>
      </c>
      <c r="BM89" s="587">
        <v>86.687970650000011</v>
      </c>
      <c r="BN89" s="587">
        <v>76.606500778907304</v>
      </c>
      <c r="BO89" s="587">
        <v>80.129626369999997</v>
      </c>
      <c r="BP89" s="587">
        <v>76.146434189999994</v>
      </c>
      <c r="BQ89" s="587">
        <v>76.137253459999997</v>
      </c>
      <c r="BR89" s="587">
        <v>86.024590925200016</v>
      </c>
      <c r="BS89" s="587">
        <v>88.017500857999991</v>
      </c>
      <c r="BT89" s="587">
        <v>87.20189198885501</v>
      </c>
      <c r="BU89" s="587">
        <v>85.859602339001981</v>
      </c>
      <c r="BV89" s="587">
        <v>226.50688152617801</v>
      </c>
      <c r="BW89" s="587">
        <v>227.66101207839</v>
      </c>
      <c r="BX89" s="587">
        <v>230.08876346149998</v>
      </c>
      <c r="BY89" s="587">
        <v>239.28996293630001</v>
      </c>
      <c r="BZ89" s="587">
        <v>237</v>
      </c>
      <c r="CA89" s="587">
        <v>232.2070900443</v>
      </c>
      <c r="CB89" s="587">
        <v>239.4707059328</v>
      </c>
      <c r="CC89" s="587">
        <v>243.71081602237001</v>
      </c>
      <c r="CD89" s="587">
        <v>243.962094719954</v>
      </c>
      <c r="CE89" s="587">
        <v>241.43516961573351</v>
      </c>
      <c r="CF89" s="587">
        <v>242.29445710160002</v>
      </c>
      <c r="CG89" s="587">
        <v>96.027138010000002</v>
      </c>
      <c r="CH89" s="587">
        <v>97.850375230000012</v>
      </c>
      <c r="CI89" s="587">
        <v>99.224728550000009</v>
      </c>
      <c r="CJ89" s="587">
        <v>97.954183380000003</v>
      </c>
      <c r="CK89" s="587">
        <v>100.86540133999999</v>
      </c>
      <c r="CL89" s="587">
        <v>90.72438425</v>
      </c>
      <c r="CM89" s="587">
        <v>88.612013609999991</v>
      </c>
      <c r="CN89" s="587">
        <v>92.881800429999998</v>
      </c>
      <c r="CO89" s="587">
        <v>88.91664947999999</v>
      </c>
      <c r="CP89" s="820">
        <v>91.698979600000001</v>
      </c>
      <c r="CQ89" s="587">
        <v>92.021359369999999</v>
      </c>
      <c r="CR89" s="587">
        <v>93.928577939999997</v>
      </c>
      <c r="CS89" s="587">
        <v>98.989123570000004</v>
      </c>
      <c r="CT89" s="587">
        <v>90.918288380000021</v>
      </c>
      <c r="CU89" s="587">
        <v>91.066912460000012</v>
      </c>
      <c r="CV89" s="587">
        <v>89.96277465999998</v>
      </c>
      <c r="CW89" s="587">
        <v>85.893793500000001</v>
      </c>
      <c r="CX89" s="587">
        <v>73.588310719999996</v>
      </c>
      <c r="CY89" s="587">
        <v>72.161642999999998</v>
      </c>
      <c r="CZ89" s="587">
        <v>81.088658556183702</v>
      </c>
      <c r="DA89" s="587">
        <v>79.622661533098423</v>
      </c>
      <c r="DB89" s="587">
        <v>77.206293464550811</v>
      </c>
      <c r="DC89" s="587">
        <v>71.352654421427985</v>
      </c>
      <c r="DD89" s="587">
        <v>75.683002871389093</v>
      </c>
      <c r="DE89" s="587">
        <v>74.555756884214404</v>
      </c>
      <c r="DF89" s="587">
        <v>77.798387907891097</v>
      </c>
      <c r="DG89" s="587">
        <v>74.786735778267882</v>
      </c>
      <c r="DH89" s="587">
        <v>74.082008359732782</v>
      </c>
      <c r="DI89" s="587">
        <v>72.80334858111587</v>
      </c>
      <c r="DJ89" s="587">
        <v>76.1247785646691</v>
      </c>
      <c r="DK89" s="587">
        <v>110.48954897258547</v>
      </c>
      <c r="DL89" s="587">
        <v>122.57562448626562</v>
      </c>
      <c r="DM89" s="587">
        <v>127.4092732165761</v>
      </c>
      <c r="DN89" s="587">
        <v>123.638123747379</v>
      </c>
      <c r="DO89" s="587">
        <v>133.6862812760636</v>
      </c>
      <c r="DP89" s="587">
        <v>132.21669604780624</v>
      </c>
      <c r="DQ89" s="587">
        <v>132.11499578055054</v>
      </c>
      <c r="DR89" s="587">
        <v>134.76311590274804</v>
      </c>
    </row>
    <row r="90" spans="1:122" ht="15.95" customHeight="1">
      <c r="A90" s="793" t="s">
        <v>2447</v>
      </c>
      <c r="B90" s="794">
        <v>7.8734201000000006</v>
      </c>
      <c r="C90" s="664">
        <v>8.12423948</v>
      </c>
      <c r="D90" s="664">
        <v>7.4374948200000004</v>
      </c>
      <c r="E90" s="593">
        <v>15.363490969999999</v>
      </c>
      <c r="F90" s="664">
        <v>14.68003485</v>
      </c>
      <c r="G90" s="664">
        <v>14.86879944</v>
      </c>
      <c r="H90" s="664">
        <v>14.666910120000001</v>
      </c>
      <c r="I90" s="664">
        <v>14.995390180000001</v>
      </c>
      <c r="J90" s="664">
        <v>14.288696640000001</v>
      </c>
      <c r="K90" s="593">
        <v>14.823433869999999</v>
      </c>
      <c r="L90" s="664">
        <v>14.216058840000001</v>
      </c>
      <c r="M90" s="664">
        <v>14.1933004</v>
      </c>
      <c r="N90" s="664">
        <v>13.89542456</v>
      </c>
      <c r="O90" s="593">
        <v>14.277940580000003</v>
      </c>
      <c r="P90" s="664">
        <v>13.777528200000001</v>
      </c>
      <c r="Q90" s="664">
        <v>14.250351239999999</v>
      </c>
      <c r="R90" s="593">
        <v>6.6764971199999996</v>
      </c>
      <c r="S90" s="664">
        <v>6.8548293599999992</v>
      </c>
      <c r="T90" s="664">
        <v>5.5056059800000003</v>
      </c>
      <c r="U90" s="795">
        <v>6.72710074</v>
      </c>
      <c r="V90" s="795">
        <v>6.6411584599999998</v>
      </c>
      <c r="W90" s="795">
        <v>6.8288568300000003</v>
      </c>
      <c r="X90" s="795">
        <v>6.98856156</v>
      </c>
      <c r="Y90" s="795">
        <v>6.73687272</v>
      </c>
      <c r="Z90" s="795">
        <v>7.4647409799999993</v>
      </c>
      <c r="AA90" s="795">
        <v>7.1861999299999999</v>
      </c>
      <c r="AB90" s="795">
        <v>7.373802959999999</v>
      </c>
      <c r="AC90" s="795">
        <v>6.9942047000000001</v>
      </c>
      <c r="AD90" s="795">
        <v>7.6367300800000004</v>
      </c>
      <c r="AE90" s="795">
        <v>8.1040530900000007</v>
      </c>
      <c r="AF90" s="795">
        <v>7.9350608200000003</v>
      </c>
      <c r="AG90" s="795">
        <v>7.8289382100000005</v>
      </c>
      <c r="AH90" s="795">
        <v>8.3825039399999994</v>
      </c>
      <c r="AI90" s="795">
        <v>31.542864260000002</v>
      </c>
      <c r="AJ90" s="795">
        <v>18.03628471</v>
      </c>
      <c r="AK90" s="795">
        <v>19.145671919999998</v>
      </c>
      <c r="AL90" s="795">
        <v>18.712149989999997</v>
      </c>
      <c r="AM90" s="666">
        <v>41.505096800000004</v>
      </c>
      <c r="AN90" s="666">
        <v>42.360433559999997</v>
      </c>
      <c r="AO90" s="666">
        <v>41.83166671</v>
      </c>
      <c r="AP90" s="666">
        <v>68.379420391599993</v>
      </c>
      <c r="AQ90" s="666">
        <v>59.1442670494</v>
      </c>
      <c r="AR90" s="794">
        <v>16.4931554996</v>
      </c>
      <c r="AS90" s="794">
        <v>44.900507609999991</v>
      </c>
      <c r="AT90" s="794">
        <v>72.50665291</v>
      </c>
      <c r="AU90" s="794">
        <v>26.51654826</v>
      </c>
      <c r="AV90" s="794">
        <v>57.734432510000005</v>
      </c>
      <c r="AW90" s="587">
        <v>23.938626840000001</v>
      </c>
      <c r="AX90" s="587">
        <v>48.143872219999999</v>
      </c>
      <c r="AY90" s="587">
        <v>28.353222479999999</v>
      </c>
      <c r="AZ90" s="587">
        <v>31.982017369999998</v>
      </c>
      <c r="BA90" s="587">
        <v>46.835380539999996</v>
      </c>
      <c r="BB90" s="587">
        <v>27.304262089999995</v>
      </c>
      <c r="BC90" s="587">
        <v>43.336962039999996</v>
      </c>
      <c r="BD90" s="587">
        <v>36.119298010000009</v>
      </c>
      <c r="BE90" s="587">
        <v>31.421963569999999</v>
      </c>
      <c r="BF90" s="587">
        <v>44.027103930000003</v>
      </c>
      <c r="BG90" s="587">
        <v>42.438372439999995</v>
      </c>
      <c r="BH90" s="587">
        <v>45.179139249999999</v>
      </c>
      <c r="BI90" s="587">
        <v>43.399822940000007</v>
      </c>
      <c r="BJ90" s="587">
        <v>34.93027867</v>
      </c>
      <c r="BK90" s="587">
        <v>30.263303269999994</v>
      </c>
      <c r="BL90" s="587">
        <v>39.21497875</v>
      </c>
      <c r="BM90" s="587">
        <v>44.532608019999998</v>
      </c>
      <c r="BN90" s="587">
        <v>41.192827639999997</v>
      </c>
      <c r="BO90" s="587">
        <v>29.850978990000002</v>
      </c>
      <c r="BP90" s="587">
        <v>39.425444129999995</v>
      </c>
      <c r="BQ90" s="587">
        <v>36.882975649999999</v>
      </c>
      <c r="BR90" s="587">
        <v>26.469191049999999</v>
      </c>
      <c r="BS90" s="587">
        <v>32.950469429999998</v>
      </c>
      <c r="BT90" s="587">
        <v>39.605742369999994</v>
      </c>
      <c r="BU90" s="587">
        <v>40.789607630000006</v>
      </c>
      <c r="BV90" s="587">
        <v>25.394526640000002</v>
      </c>
      <c r="BW90" s="587">
        <v>47.133704529999996</v>
      </c>
      <c r="BX90" s="587">
        <v>26.737968890000005</v>
      </c>
      <c r="BY90" s="587">
        <v>26.272059080000002</v>
      </c>
      <c r="BZ90" s="587">
        <v>30.8</v>
      </c>
      <c r="CA90" s="587">
        <v>33.13356211</v>
      </c>
      <c r="CB90" s="587">
        <v>27.833203090000001</v>
      </c>
      <c r="CC90" s="587">
        <v>34.178283350000008</v>
      </c>
      <c r="CD90" s="587">
        <v>25.864871340000001</v>
      </c>
      <c r="CE90" s="587">
        <v>32.431764259999994</v>
      </c>
      <c r="CF90" s="587">
        <v>28.648397790000004</v>
      </c>
      <c r="CG90" s="587">
        <v>50.38823235000001</v>
      </c>
      <c r="CH90" s="587">
        <v>40.501472410000005</v>
      </c>
      <c r="CI90" s="587">
        <v>43.239404429999993</v>
      </c>
      <c r="CJ90" s="587">
        <v>42.928889280000007</v>
      </c>
      <c r="CK90" s="587">
        <v>34.252710650000004</v>
      </c>
      <c r="CL90" s="587">
        <v>47.699756809999997</v>
      </c>
      <c r="CM90" s="587">
        <v>44.162795569999993</v>
      </c>
      <c r="CN90" s="587">
        <v>58.573878050000005</v>
      </c>
      <c r="CO90" s="587">
        <v>55.066359299999988</v>
      </c>
      <c r="CP90" s="820">
        <v>40.254336479999999</v>
      </c>
      <c r="CQ90" s="587">
        <v>37.934387520000001</v>
      </c>
      <c r="CR90" s="587">
        <v>30.141398909999999</v>
      </c>
      <c r="CS90" s="587">
        <v>23.714226109999995</v>
      </c>
      <c r="CT90" s="587">
        <v>37.06716883</v>
      </c>
      <c r="CU90" s="587">
        <v>32.434444190000001</v>
      </c>
      <c r="CV90" s="587">
        <v>46.275090080000005</v>
      </c>
      <c r="CW90" s="587">
        <v>63.554715440000003</v>
      </c>
      <c r="CX90" s="587">
        <v>39.878240130000002</v>
      </c>
      <c r="CY90" s="587">
        <v>41.779197780000004</v>
      </c>
      <c r="CZ90" s="587">
        <v>47.039528079999997</v>
      </c>
      <c r="DA90" s="587">
        <v>45.913244030000008</v>
      </c>
      <c r="DB90" s="587">
        <v>57.296017600000006</v>
      </c>
      <c r="DC90" s="587">
        <v>65.390123649999992</v>
      </c>
      <c r="DD90" s="587">
        <v>36.795868299999995</v>
      </c>
      <c r="DE90" s="587">
        <v>41.339515679999998</v>
      </c>
      <c r="DF90" s="587">
        <v>42.910654219999998</v>
      </c>
      <c r="DG90" s="587">
        <v>46.388134280000003</v>
      </c>
      <c r="DH90" s="587">
        <v>44.901870600000002</v>
      </c>
      <c r="DI90" s="587">
        <v>41.630560350000003</v>
      </c>
      <c r="DJ90" s="587">
        <v>62.997918209999987</v>
      </c>
      <c r="DK90" s="587">
        <v>54.7326804</v>
      </c>
      <c r="DL90" s="587">
        <v>36.720799749999998</v>
      </c>
      <c r="DM90" s="587">
        <v>43.042611660000006</v>
      </c>
      <c r="DN90" s="587">
        <v>48.533553179999991</v>
      </c>
      <c r="DO90" s="587">
        <v>47.663824629999993</v>
      </c>
      <c r="DP90" s="587">
        <v>54.007771890000001</v>
      </c>
      <c r="DQ90" s="587">
        <v>68.503948750000006</v>
      </c>
      <c r="DR90" s="587">
        <v>46.300855769999998</v>
      </c>
    </row>
    <row r="91" spans="1:122" ht="15.95" customHeight="1">
      <c r="A91" s="793" t="s">
        <v>2389</v>
      </c>
      <c r="B91" s="794">
        <v>34.450845149999999</v>
      </c>
      <c r="C91" s="664">
        <v>39.401291669999999</v>
      </c>
      <c r="D91" s="664">
        <v>41.900881290000001</v>
      </c>
      <c r="E91" s="593">
        <v>40.092310679999997</v>
      </c>
      <c r="F91" s="664">
        <v>42.866282620000007</v>
      </c>
      <c r="G91" s="664">
        <v>40.286449760000004</v>
      </c>
      <c r="H91" s="664">
        <v>45.691807700000005</v>
      </c>
      <c r="I91" s="664">
        <v>44.377729790000004</v>
      </c>
      <c r="J91" s="664">
        <v>47.903559460000004</v>
      </c>
      <c r="K91" s="593">
        <v>47.79648121000001</v>
      </c>
      <c r="L91" s="664">
        <v>45.069611450000004</v>
      </c>
      <c r="M91" s="664">
        <v>39.01668591</v>
      </c>
      <c r="N91" s="664">
        <v>34.589041659999999</v>
      </c>
      <c r="O91" s="593">
        <v>37.40285875</v>
      </c>
      <c r="P91" s="664">
        <v>38.622555589999997</v>
      </c>
      <c r="Q91" s="664">
        <v>38.578902720000002</v>
      </c>
      <c r="R91" s="593">
        <v>39.686825710000001</v>
      </c>
      <c r="S91" s="664">
        <v>35.24033773</v>
      </c>
      <c r="T91" s="664">
        <v>30.093099529999996</v>
      </c>
      <c r="U91" s="795">
        <v>32.054923000000002</v>
      </c>
      <c r="V91" s="795">
        <v>31.893835920000001</v>
      </c>
      <c r="W91" s="795">
        <v>35.322956590000004</v>
      </c>
      <c r="X91" s="795">
        <v>39.892316670000007</v>
      </c>
      <c r="Y91" s="795">
        <v>45.725216189999998</v>
      </c>
      <c r="Z91" s="795">
        <v>46.048335479999999</v>
      </c>
      <c r="AA91" s="795">
        <v>44.373795880000003</v>
      </c>
      <c r="AB91" s="795">
        <v>42.537616660000005</v>
      </c>
      <c r="AC91" s="795">
        <v>44.432286159999997</v>
      </c>
      <c r="AD91" s="795">
        <v>46.851728039999998</v>
      </c>
      <c r="AE91" s="795">
        <v>48.299774620000001</v>
      </c>
      <c r="AF91" s="795">
        <v>49.949144420000003</v>
      </c>
      <c r="AG91" s="795">
        <v>65.152374082375999</v>
      </c>
      <c r="AH91" s="795">
        <v>67.181913888319997</v>
      </c>
      <c r="AI91" s="795">
        <v>75.971389513199995</v>
      </c>
      <c r="AJ91" s="795">
        <v>75.213792470851985</v>
      </c>
      <c r="AK91" s="795">
        <v>76.620421876752005</v>
      </c>
      <c r="AL91" s="795">
        <v>73.365954500099988</v>
      </c>
      <c r="AM91" s="666">
        <v>76.563196942294979</v>
      </c>
      <c r="AN91" s="666">
        <v>75.381447055734</v>
      </c>
      <c r="AO91" s="666">
        <v>68.439109596799995</v>
      </c>
      <c r="AP91" s="666">
        <v>82.277743242797001</v>
      </c>
      <c r="AQ91" s="666">
        <v>86.034745865036001</v>
      </c>
      <c r="AR91" s="794">
        <v>92.266952688464002</v>
      </c>
      <c r="AS91" s="794">
        <v>102.93912985000003</v>
      </c>
      <c r="AT91" s="794">
        <v>107.729889338544</v>
      </c>
      <c r="AU91" s="794">
        <v>113.97225896596099</v>
      </c>
      <c r="AV91" s="794">
        <v>229.04242961201598</v>
      </c>
      <c r="AW91" s="587">
        <v>238.80014765429999</v>
      </c>
      <c r="AX91" s="587">
        <v>254.77934443492001</v>
      </c>
      <c r="AY91" s="587">
        <v>263.65224961595101</v>
      </c>
      <c r="AZ91" s="587">
        <v>283.53281643033296</v>
      </c>
      <c r="BA91" s="587">
        <v>286.02501923986404</v>
      </c>
      <c r="BB91" s="587">
        <v>290.84773244277602</v>
      </c>
      <c r="BC91" s="587">
        <v>292.55827296292267</v>
      </c>
      <c r="BD91" s="587">
        <v>302.75818411180222</v>
      </c>
      <c r="BE91" s="587">
        <v>311.996636416824</v>
      </c>
      <c r="BF91" s="587">
        <v>300.36017938828309</v>
      </c>
      <c r="BG91" s="587">
        <v>473.11715819725703</v>
      </c>
      <c r="BH91" s="587">
        <v>304.86945068459704</v>
      </c>
      <c r="BI91" s="587">
        <v>212.300844118877</v>
      </c>
      <c r="BJ91" s="587">
        <v>232.31490932123504</v>
      </c>
      <c r="BK91" s="587">
        <v>228.74257151412601</v>
      </c>
      <c r="BL91" s="587">
        <v>216.44886687315</v>
      </c>
      <c r="BM91" s="587">
        <v>220.18017317310799</v>
      </c>
      <c r="BN91" s="587">
        <v>209.65360860923204</v>
      </c>
      <c r="BO91" s="587">
        <v>215.001761187894</v>
      </c>
      <c r="BP91" s="587">
        <v>204.239677215744</v>
      </c>
      <c r="BQ91" s="587">
        <v>210.24262704879001</v>
      </c>
      <c r="BR91" s="587">
        <v>211.12023727684701</v>
      </c>
      <c r="BS91" s="587">
        <v>189.17565310589603</v>
      </c>
      <c r="BT91" s="587">
        <v>189.25732604385999</v>
      </c>
      <c r="BU91" s="587">
        <v>190.52778560716999</v>
      </c>
      <c r="BV91" s="587">
        <v>210.35373247307604</v>
      </c>
      <c r="BW91" s="587">
        <v>190.43261303256702</v>
      </c>
      <c r="BX91" s="587">
        <v>194.16803452149998</v>
      </c>
      <c r="BY91" s="587">
        <v>195.67279921830001</v>
      </c>
      <c r="BZ91" s="587">
        <v>201.2</v>
      </c>
      <c r="CA91" s="587">
        <v>210.127232862596</v>
      </c>
      <c r="CB91" s="587">
        <v>114.84032315042998</v>
      </c>
      <c r="CC91" s="587">
        <v>109.66049987904</v>
      </c>
      <c r="CD91" s="587">
        <v>114.75803878249401</v>
      </c>
      <c r="CE91" s="587">
        <v>133.17304393299699</v>
      </c>
      <c r="CF91" s="587">
        <v>116.54432386558001</v>
      </c>
      <c r="CG91" s="587">
        <v>203.54481827292668</v>
      </c>
      <c r="CH91" s="587">
        <v>204.53275461029818</v>
      </c>
      <c r="CI91" s="587">
        <v>204.51857907546582</v>
      </c>
      <c r="CJ91" s="587">
        <v>147.37107796829</v>
      </c>
      <c r="CK91" s="587">
        <v>170.57081429805498</v>
      </c>
      <c r="CL91" s="587">
        <v>186.52035048938532</v>
      </c>
      <c r="CM91" s="587">
        <v>202.85786109072151</v>
      </c>
      <c r="CN91" s="587">
        <v>195.20006632308102</v>
      </c>
      <c r="CO91" s="587">
        <v>202.59299861770899</v>
      </c>
      <c r="CP91" s="820">
        <v>193.99342680457102</v>
      </c>
      <c r="CQ91" s="587">
        <v>195.24224930870801</v>
      </c>
      <c r="CR91" s="587">
        <v>188.08874560578897</v>
      </c>
      <c r="CS91" s="587">
        <v>191.57070382904212</v>
      </c>
      <c r="CT91" s="587">
        <v>203.38736238646993</v>
      </c>
      <c r="CU91" s="587">
        <v>197.86085868143721</v>
      </c>
      <c r="CV91" s="587">
        <v>186.95294646140005</v>
      </c>
      <c r="CW91" s="587">
        <v>193.44176025144068</v>
      </c>
      <c r="CX91" s="587">
        <v>178.4996639446515</v>
      </c>
      <c r="CY91" s="587">
        <v>220.88599750758075</v>
      </c>
      <c r="CZ91" s="587">
        <v>168.87531788709833</v>
      </c>
      <c r="DA91" s="587">
        <v>198.61840889855105</v>
      </c>
      <c r="DB91" s="587">
        <v>197.73979825614455</v>
      </c>
      <c r="DC91" s="587">
        <v>221.0998701965004</v>
      </c>
      <c r="DD91" s="587">
        <v>187.64567713108357</v>
      </c>
      <c r="DE91" s="587">
        <v>184.33508041820849</v>
      </c>
      <c r="DF91" s="587">
        <v>186.35729886969401</v>
      </c>
      <c r="DG91" s="587">
        <v>205.03046718800198</v>
      </c>
      <c r="DH91" s="587">
        <v>200.29851151194995</v>
      </c>
      <c r="DI91" s="587">
        <v>204.9535710298826</v>
      </c>
      <c r="DJ91" s="587">
        <v>210.64430748793797</v>
      </c>
      <c r="DK91" s="587">
        <v>255.06064600252765</v>
      </c>
      <c r="DL91" s="587">
        <v>235.10069982314795</v>
      </c>
      <c r="DM91" s="587">
        <v>203.79123883177641</v>
      </c>
      <c r="DN91" s="587">
        <v>254.13182012005402</v>
      </c>
      <c r="DO91" s="587">
        <v>294.52336265449253</v>
      </c>
      <c r="DP91" s="587">
        <v>272.32095859885476</v>
      </c>
      <c r="DQ91" s="587">
        <v>278.54617270023499</v>
      </c>
      <c r="DR91" s="587">
        <v>258.107910450085</v>
      </c>
    </row>
    <row r="92" spans="1:122" ht="7.7" customHeight="1">
      <c r="A92" s="786"/>
      <c r="B92" s="787"/>
      <c r="C92" s="584"/>
      <c r="D92" s="584"/>
      <c r="E92" s="596"/>
      <c r="F92" s="584"/>
      <c r="G92" s="584"/>
      <c r="H92" s="664"/>
      <c r="I92" s="664"/>
      <c r="J92" s="664"/>
      <c r="K92" s="593"/>
      <c r="L92" s="664"/>
      <c r="M92" s="664"/>
      <c r="N92" s="664"/>
      <c r="O92" s="593"/>
      <c r="P92" s="664"/>
      <c r="Q92" s="664"/>
      <c r="R92" s="593"/>
      <c r="S92" s="664"/>
      <c r="T92" s="664"/>
      <c r="U92" s="795"/>
      <c r="V92" s="795"/>
      <c r="W92" s="795"/>
      <c r="X92" s="795"/>
      <c r="Y92" s="795"/>
      <c r="Z92" s="795"/>
      <c r="AA92" s="795"/>
      <c r="AB92" s="795"/>
      <c r="AC92" s="795"/>
      <c r="AD92" s="795"/>
      <c r="AE92" s="795"/>
      <c r="AF92" s="795"/>
      <c r="AG92" s="795"/>
      <c r="AH92" s="795"/>
      <c r="AI92" s="795"/>
      <c r="AJ92" s="795"/>
      <c r="AK92" s="795"/>
      <c r="AL92" s="795"/>
      <c r="AM92" s="665"/>
      <c r="AN92" s="665"/>
      <c r="AO92" s="665"/>
      <c r="AP92" s="665"/>
      <c r="AQ92" s="665"/>
      <c r="AR92" s="787"/>
      <c r="AS92" s="787"/>
      <c r="AT92" s="787"/>
      <c r="AU92" s="787"/>
      <c r="AV92" s="787"/>
      <c r="AW92" s="790"/>
      <c r="AX92" s="790"/>
      <c r="AY92" s="790"/>
      <c r="AZ92" s="790"/>
      <c r="BA92" s="790"/>
      <c r="BB92" s="790"/>
      <c r="BC92" s="790"/>
      <c r="BD92" s="790"/>
      <c r="BE92" s="790"/>
      <c r="BF92" s="790"/>
      <c r="BG92" s="790"/>
      <c r="BH92" s="790"/>
      <c r="BI92" s="790"/>
      <c r="BJ92" s="790"/>
      <c r="BK92" s="790"/>
      <c r="BL92" s="790"/>
      <c r="BM92" s="790"/>
      <c r="BN92" s="790"/>
      <c r="BO92" s="790"/>
      <c r="BP92" s="790"/>
      <c r="BQ92" s="790"/>
      <c r="BR92" s="790"/>
      <c r="BS92" s="790"/>
      <c r="BT92" s="790"/>
      <c r="BU92" s="790"/>
      <c r="BV92" s="790"/>
      <c r="BW92" s="790"/>
      <c r="BX92" s="790"/>
      <c r="BY92" s="790"/>
      <c r="BZ92" s="790"/>
      <c r="CA92" s="790"/>
      <c r="CB92" s="790"/>
      <c r="CC92" s="790"/>
      <c r="CD92" s="790"/>
      <c r="CE92" s="790"/>
      <c r="CF92" s="790"/>
      <c r="CG92" s="790"/>
      <c r="CH92" s="790"/>
      <c r="CI92" s="790"/>
      <c r="CJ92" s="790"/>
      <c r="CK92" s="790"/>
      <c r="CL92" s="790"/>
      <c r="CM92" s="790"/>
      <c r="CN92" s="790"/>
      <c r="CO92" s="790"/>
      <c r="CP92" s="819"/>
      <c r="CQ92" s="790"/>
      <c r="CR92" s="790"/>
      <c r="CS92" s="790"/>
      <c r="CT92" s="790"/>
      <c r="CU92" s="790"/>
      <c r="CV92" s="790"/>
      <c r="CW92" s="790"/>
      <c r="CX92" s="790"/>
      <c r="CY92" s="790"/>
      <c r="CZ92" s="790"/>
      <c r="DA92" s="790"/>
      <c r="DB92" s="790"/>
      <c r="DC92" s="790"/>
      <c r="DD92" s="790"/>
      <c r="DE92" s="790"/>
      <c r="DF92" s="790"/>
      <c r="DG92" s="790"/>
      <c r="DH92" s="790"/>
      <c r="DI92" s="790"/>
      <c r="DJ92" s="790"/>
      <c r="DK92" s="790"/>
      <c r="DL92" s="790"/>
      <c r="DM92" s="790"/>
      <c r="DN92" s="790"/>
      <c r="DO92" s="790"/>
      <c r="DP92" s="790"/>
      <c r="DQ92" s="790"/>
      <c r="DR92" s="790"/>
    </row>
    <row r="93" spans="1:122">
      <c r="A93" s="786" t="s">
        <v>2448</v>
      </c>
      <c r="B93" s="787">
        <f>SUM(B95:B102)</f>
        <v>10239.246763938054</v>
      </c>
      <c r="C93" s="584">
        <f>SUM(C95:C102)</f>
        <v>10406.182058156483</v>
      </c>
      <c r="D93" s="584">
        <f>SUM(D95:D102)</f>
        <v>10207.053605573472</v>
      </c>
      <c r="E93" s="596">
        <f>SUM(E95:E102)</f>
        <v>10786.014004384326</v>
      </c>
      <c r="F93" s="584">
        <v>10348.732947104645</v>
      </c>
      <c r="G93" s="584">
        <v>10426.856366008687</v>
      </c>
      <c r="H93" s="584">
        <v>11402.531127569615</v>
      </c>
      <c r="I93" s="584">
        <v>11073.310422100827</v>
      </c>
      <c r="J93" s="584">
        <v>11170.116311757378</v>
      </c>
      <c r="K93" s="596">
        <v>11054.893956455007</v>
      </c>
      <c r="L93" s="584">
        <v>12706.913193714905</v>
      </c>
      <c r="M93" s="584">
        <v>12624.32533644574</v>
      </c>
      <c r="N93" s="584">
        <v>13343.68223578252</v>
      </c>
      <c r="O93" s="596">
        <v>13659.3271729853</v>
      </c>
      <c r="P93" s="584">
        <v>14471.049994724812</v>
      </c>
      <c r="Q93" s="584">
        <v>14862.707732863666</v>
      </c>
      <c r="R93" s="596">
        <v>15438.589441814758</v>
      </c>
      <c r="S93" s="584">
        <v>15668.785733133715</v>
      </c>
      <c r="T93" s="584">
        <v>16003.344815273844</v>
      </c>
      <c r="U93" s="586">
        <v>16714.050458770602</v>
      </c>
      <c r="V93" s="586">
        <v>15142.192310342396</v>
      </c>
      <c r="W93" s="586">
        <v>15948.306659457523</v>
      </c>
      <c r="X93" s="586">
        <v>15900.124786</v>
      </c>
      <c r="Y93" s="586">
        <v>15404.169353650997</v>
      </c>
      <c r="Z93" s="586">
        <v>15812.706045893879</v>
      </c>
      <c r="AA93" s="586">
        <v>15423.414469372505</v>
      </c>
      <c r="AB93" s="586">
        <v>15310.448769935267</v>
      </c>
      <c r="AC93" s="586">
        <v>16362.525815941681</v>
      </c>
      <c r="AD93" s="586">
        <v>16138.628881567543</v>
      </c>
      <c r="AE93" s="586">
        <v>16160.348298210391</v>
      </c>
      <c r="AF93" s="586">
        <v>16216.779619660781</v>
      </c>
      <c r="AG93" s="586">
        <v>16390.852792142639</v>
      </c>
      <c r="AH93" s="586">
        <v>15922.520545061707</v>
      </c>
      <c r="AI93" s="586">
        <v>17485.29606659507</v>
      </c>
      <c r="AJ93" s="586">
        <v>17364.193502192957</v>
      </c>
      <c r="AK93" s="586">
        <v>18294.640226317864</v>
      </c>
      <c r="AL93" s="586">
        <v>18819.651354419897</v>
      </c>
      <c r="AM93" s="665">
        <v>19679.802381715544</v>
      </c>
      <c r="AN93" s="665">
        <v>19463.126268720087</v>
      </c>
      <c r="AO93" s="665">
        <v>20223.846397168621</v>
      </c>
      <c r="AP93" s="665">
        <v>20303.324707540163</v>
      </c>
      <c r="AQ93" s="665">
        <v>20364.055083839761</v>
      </c>
      <c r="AR93" s="787">
        <v>20822.89067202574</v>
      </c>
      <c r="AS93" s="787">
        <v>19557.570671908437</v>
      </c>
      <c r="AT93" s="787">
        <v>19269.636936507271</v>
      </c>
      <c r="AU93" s="787">
        <v>19150.347099241455</v>
      </c>
      <c r="AV93" s="787">
        <v>19332.347141066122</v>
      </c>
      <c r="AW93" s="790">
        <v>18795.00539029521</v>
      </c>
      <c r="AX93" s="790">
        <v>18928.356050725099</v>
      </c>
      <c r="AY93" s="790">
        <v>18978.535396493622</v>
      </c>
      <c r="AZ93" s="790">
        <v>19955.178358342735</v>
      </c>
      <c r="BA93" s="790">
        <v>19768.854747974161</v>
      </c>
      <c r="BB93" s="790">
        <v>20904.672550630432</v>
      </c>
      <c r="BC93" s="790">
        <v>21025.776580457215</v>
      </c>
      <c r="BD93" s="790">
        <v>19830.579092448563</v>
      </c>
      <c r="BE93" s="790">
        <v>19787.438907336189</v>
      </c>
      <c r="BF93" s="790">
        <v>19946.015008541341</v>
      </c>
      <c r="BG93" s="790">
        <v>20150.551190495727</v>
      </c>
      <c r="BH93" s="790">
        <v>19914.750258629472</v>
      </c>
      <c r="BI93" s="790">
        <v>20106.847045109447</v>
      </c>
      <c r="BJ93" s="790">
        <v>20470.558232820073</v>
      </c>
      <c r="BK93" s="790">
        <v>20452.789682178445</v>
      </c>
      <c r="BL93" s="790">
        <v>20343.869900526428</v>
      </c>
      <c r="BM93" s="790">
        <v>20952.144708045562</v>
      </c>
      <c r="BN93" s="790">
        <v>21170.056383717772</v>
      </c>
      <c r="BO93" s="790">
        <v>21383.799717185822</v>
      </c>
      <c r="BP93" s="790">
        <v>23371.213060601367</v>
      </c>
      <c r="BQ93" s="790">
        <v>23048.414177633484</v>
      </c>
      <c r="BR93" s="790">
        <v>23299.47600025362</v>
      </c>
      <c r="BS93" s="790">
        <v>23845.265687813891</v>
      </c>
      <c r="BT93" s="790">
        <v>24301.653611378882</v>
      </c>
      <c r="BU93" s="790">
        <v>23937.36804056762</v>
      </c>
      <c r="BV93" s="790">
        <v>24471.318421993863</v>
      </c>
      <c r="BW93" s="790">
        <v>23955.212876430243</v>
      </c>
      <c r="BX93" s="790">
        <v>24413.351969916002</v>
      </c>
      <c r="BY93" s="790">
        <v>23387.569997847299</v>
      </c>
      <c r="BZ93" s="790">
        <v>23468.3</v>
      </c>
      <c r="CA93" s="790">
        <v>23751.442743380012</v>
      </c>
      <c r="CB93" s="790">
        <v>24033.783697151473</v>
      </c>
      <c r="CC93" s="790">
        <v>24173.990273972569</v>
      </c>
      <c r="CD93" s="790">
        <v>24028.50165559406</v>
      </c>
      <c r="CE93" s="790">
        <v>24375.446816106429</v>
      </c>
      <c r="CF93" s="790">
        <v>23380.959747794779</v>
      </c>
      <c r="CG93" s="790">
        <v>24021.056730519056</v>
      </c>
      <c r="CH93" s="790">
        <v>24964.162093929892</v>
      </c>
      <c r="CI93" s="790">
        <v>24792.829702087362</v>
      </c>
      <c r="CJ93" s="790">
        <v>24729.814581393097</v>
      </c>
      <c r="CK93" s="790">
        <v>24795.856673251728</v>
      </c>
      <c r="CL93" s="790">
        <v>24541.949671436556</v>
      </c>
      <c r="CM93" s="790">
        <v>25004.852043611609</v>
      </c>
      <c r="CN93" s="790">
        <v>25463.076390590864</v>
      </c>
      <c r="CO93" s="790">
        <v>25595.92829118748</v>
      </c>
      <c r="CP93" s="819">
        <v>26630.255842917002</v>
      </c>
      <c r="CQ93" s="790">
        <v>26748.677093003345</v>
      </c>
      <c r="CR93" s="790">
        <v>26349.225214531518</v>
      </c>
      <c r="CS93" s="790">
        <v>25364.052077620039</v>
      </c>
      <c r="CT93" s="790">
        <v>25252.914524948963</v>
      </c>
      <c r="CU93" s="790">
        <v>27771.122987536764</v>
      </c>
      <c r="CV93" s="790">
        <v>28885.718648634469</v>
      </c>
      <c r="CW93" s="790">
        <v>29459.886091005686</v>
      </c>
      <c r="CX93" s="790">
        <v>27707.103174228989</v>
      </c>
      <c r="CY93" s="790">
        <v>28095.359953203377</v>
      </c>
      <c r="CZ93" s="790">
        <v>26834.627262810794</v>
      </c>
      <c r="DA93" s="790">
        <v>27729.428585533013</v>
      </c>
      <c r="DB93" s="790">
        <v>27119.448253740287</v>
      </c>
      <c r="DC93" s="790">
        <v>27707.902277206635</v>
      </c>
      <c r="DD93" s="790">
        <v>28101.653905989235</v>
      </c>
      <c r="DE93" s="790">
        <v>27129.934244061391</v>
      </c>
      <c r="DF93" s="790">
        <v>23363.474391706975</v>
      </c>
      <c r="DG93" s="790">
        <v>22705.604534104263</v>
      </c>
      <c r="DH93" s="790">
        <v>22655.791487124548</v>
      </c>
      <c r="DI93" s="790">
        <v>22596.265627962213</v>
      </c>
      <c r="DJ93" s="790">
        <v>22931.135051345198</v>
      </c>
      <c r="DK93" s="790">
        <v>24389.575557540276</v>
      </c>
      <c r="DL93" s="790">
        <v>24947.679510099508</v>
      </c>
      <c r="DM93" s="790">
        <v>25472.650362189721</v>
      </c>
      <c r="DN93" s="790">
        <v>25394.408897972589</v>
      </c>
      <c r="DO93" s="790">
        <v>27557.666867430591</v>
      </c>
      <c r="DP93" s="790">
        <v>26961.094316152092</v>
      </c>
      <c r="DQ93" s="790">
        <v>26036.762215727453</v>
      </c>
      <c r="DR93" s="790">
        <v>25012.17838102438</v>
      </c>
    </row>
    <row r="94" spans="1:122" ht="15.95" customHeight="1">
      <c r="A94" s="793" t="s">
        <v>2380</v>
      </c>
      <c r="B94" s="787"/>
      <c r="C94" s="584"/>
      <c r="D94" s="584"/>
      <c r="E94" s="596"/>
      <c r="F94" s="584"/>
      <c r="G94" s="584"/>
      <c r="H94" s="664"/>
      <c r="I94" s="664"/>
      <c r="J94" s="664"/>
      <c r="K94" s="593"/>
      <c r="L94" s="664"/>
      <c r="M94" s="664"/>
      <c r="N94" s="664"/>
      <c r="O94" s="593"/>
      <c r="P94" s="664"/>
      <c r="Q94" s="664"/>
      <c r="R94" s="593"/>
      <c r="S94" s="664"/>
      <c r="T94" s="664"/>
      <c r="U94" s="795"/>
      <c r="V94" s="795"/>
      <c r="W94" s="795"/>
      <c r="X94" s="795"/>
      <c r="Y94" s="795"/>
      <c r="Z94" s="795"/>
      <c r="AA94" s="795"/>
      <c r="AB94" s="795"/>
      <c r="AC94" s="795"/>
      <c r="AD94" s="795"/>
      <c r="AE94" s="795"/>
      <c r="AF94" s="795"/>
      <c r="AG94" s="795"/>
      <c r="AH94" s="795"/>
      <c r="AI94" s="795"/>
      <c r="AJ94" s="795"/>
      <c r="AK94" s="795"/>
      <c r="AL94" s="795"/>
      <c r="AM94" s="665"/>
      <c r="AN94" s="665"/>
      <c r="AO94" s="665"/>
      <c r="AP94" s="665"/>
      <c r="AQ94" s="665"/>
      <c r="AR94" s="787"/>
      <c r="AS94" s="787"/>
      <c r="AT94" s="787"/>
      <c r="AU94" s="787"/>
      <c r="AV94" s="787"/>
      <c r="AW94" s="790"/>
      <c r="AX94" s="790"/>
      <c r="AY94" s="790"/>
      <c r="AZ94" s="790"/>
      <c r="BA94" s="790"/>
      <c r="BB94" s="790"/>
      <c r="BC94" s="790"/>
      <c r="BD94" s="790"/>
      <c r="BE94" s="790"/>
      <c r="BF94" s="790"/>
      <c r="BG94" s="790"/>
      <c r="BH94" s="790"/>
      <c r="BI94" s="790"/>
      <c r="BJ94" s="790"/>
      <c r="BK94" s="790"/>
      <c r="BL94" s="790"/>
      <c r="BM94" s="790"/>
      <c r="BN94" s="790"/>
      <c r="BO94" s="790"/>
      <c r="BP94" s="790"/>
      <c r="BQ94" s="790"/>
      <c r="BR94" s="790"/>
      <c r="BS94" s="790"/>
      <c r="BT94" s="790"/>
      <c r="BU94" s="790"/>
      <c r="BV94" s="790"/>
      <c r="BW94" s="790"/>
      <c r="BX94" s="790"/>
      <c r="BY94" s="790"/>
      <c r="BZ94" s="790"/>
      <c r="CA94" s="790"/>
      <c r="CB94" s="790"/>
      <c r="CC94" s="790"/>
      <c r="CD94" s="790"/>
      <c r="CE94" s="790"/>
      <c r="CF94" s="790"/>
      <c r="CG94" s="790"/>
      <c r="CH94" s="790"/>
      <c r="CI94" s="790"/>
      <c r="CJ94" s="790"/>
      <c r="CK94" s="790"/>
      <c r="CL94" s="790"/>
      <c r="CM94" s="790"/>
      <c r="CN94" s="790"/>
      <c r="CO94" s="790"/>
      <c r="CP94" s="819"/>
      <c r="CQ94" s="790"/>
      <c r="CR94" s="790"/>
      <c r="CS94" s="790"/>
      <c r="CT94" s="790"/>
      <c r="CU94" s="790"/>
      <c r="CV94" s="790"/>
      <c r="CW94" s="790"/>
      <c r="CX94" s="790"/>
      <c r="CY94" s="790"/>
      <c r="CZ94" s="790"/>
      <c r="DA94" s="790"/>
      <c r="DB94" s="790"/>
      <c r="DC94" s="790"/>
      <c r="DD94" s="790"/>
      <c r="DE94" s="790"/>
      <c r="DF94" s="790"/>
      <c r="DG94" s="790"/>
      <c r="DH94" s="790"/>
      <c r="DI94" s="790"/>
      <c r="DJ94" s="790"/>
      <c r="DK94" s="790"/>
      <c r="DL94" s="790"/>
      <c r="DM94" s="790"/>
      <c r="DN94" s="790"/>
      <c r="DO94" s="790"/>
      <c r="DP94" s="790"/>
      <c r="DQ94" s="790"/>
      <c r="DR94" s="790"/>
    </row>
    <row r="95" spans="1:122" ht="15.95" customHeight="1">
      <c r="A95" s="793" t="s">
        <v>2449</v>
      </c>
      <c r="B95" s="794">
        <v>4.9045179999999995</v>
      </c>
      <c r="C95" s="664">
        <v>2.5930610000000001</v>
      </c>
      <c r="D95" s="664">
        <v>2.7619479999999998</v>
      </c>
      <c r="E95" s="593">
        <v>2.6722790000000001</v>
      </c>
      <c r="F95" s="664">
        <v>4.4402275400000004</v>
      </c>
      <c r="G95" s="664">
        <v>8.8841290499999985</v>
      </c>
      <c r="H95" s="664">
        <v>3.6144039500000003</v>
      </c>
      <c r="I95" s="664">
        <v>9.9661430000000006</v>
      </c>
      <c r="J95" s="664">
        <v>9.8340397300000006</v>
      </c>
      <c r="K95" s="593">
        <v>10.246136890000001</v>
      </c>
      <c r="L95" s="664">
        <v>9.9625671999999987</v>
      </c>
      <c r="M95" s="664">
        <v>14.934986349999999</v>
      </c>
      <c r="N95" s="664">
        <v>14.874248570000001</v>
      </c>
      <c r="O95" s="593">
        <v>15.06938912</v>
      </c>
      <c r="P95" s="664">
        <v>16.276806060000002</v>
      </c>
      <c r="Q95" s="664">
        <v>11.71659125</v>
      </c>
      <c r="R95" s="593">
        <v>10.555385080000001</v>
      </c>
      <c r="S95" s="664">
        <v>11.46800625</v>
      </c>
      <c r="T95" s="664">
        <v>11.013948210000001</v>
      </c>
      <c r="U95" s="795">
        <v>12.57314891</v>
      </c>
      <c r="V95" s="795">
        <v>12.443879340000001</v>
      </c>
      <c r="W95" s="795">
        <v>16.364145780000001</v>
      </c>
      <c r="X95" s="795">
        <v>19.069219009999998</v>
      </c>
      <c r="Y95" s="795">
        <v>13.8105504</v>
      </c>
      <c r="Z95" s="795">
        <v>12.69293869</v>
      </c>
      <c r="AA95" s="795">
        <v>12.691935800000001</v>
      </c>
      <c r="AB95" s="795">
        <v>14.188990689999999</v>
      </c>
      <c r="AC95" s="795">
        <v>9.862601960000001</v>
      </c>
      <c r="AD95" s="795">
        <v>11.321037499999999</v>
      </c>
      <c r="AE95" s="795">
        <v>12.87908021</v>
      </c>
      <c r="AF95" s="795">
        <v>16.04744938</v>
      </c>
      <c r="AG95" s="795">
        <v>13.398075990000001</v>
      </c>
      <c r="AH95" s="795">
        <v>10.005299619999999</v>
      </c>
      <c r="AI95" s="795">
        <v>28.95724968</v>
      </c>
      <c r="AJ95" s="795">
        <v>21.930325359999998</v>
      </c>
      <c r="AK95" s="795">
        <v>16.845786539999999</v>
      </c>
      <c r="AL95" s="795">
        <v>19.348860689999999</v>
      </c>
      <c r="AM95" s="666">
        <v>29.22510132</v>
      </c>
      <c r="AN95" s="666">
        <v>30.019139630000002</v>
      </c>
      <c r="AO95" s="666">
        <v>42.983233649999995</v>
      </c>
      <c r="AP95" s="666">
        <v>69.737272219999994</v>
      </c>
      <c r="AQ95" s="666">
        <v>70.885334819999997</v>
      </c>
      <c r="AR95" s="794">
        <v>60.793728689999995</v>
      </c>
      <c r="AS95" s="794">
        <v>61.134252320000002</v>
      </c>
      <c r="AT95" s="794">
        <v>61.990585320000001</v>
      </c>
      <c r="AU95" s="794">
        <v>82.084445319999986</v>
      </c>
      <c r="AV95" s="794">
        <v>73.414663250000004</v>
      </c>
      <c r="AW95" s="587">
        <v>69.813362720000001</v>
      </c>
      <c r="AX95" s="587">
        <v>61.827411549999994</v>
      </c>
      <c r="AY95" s="587">
        <v>66.063057000000001</v>
      </c>
      <c r="AZ95" s="587">
        <v>56.058306439999996</v>
      </c>
      <c r="BA95" s="587">
        <v>66.997788409999998</v>
      </c>
      <c r="BB95" s="587">
        <v>56.892161300000005</v>
      </c>
      <c r="BC95" s="587">
        <v>47.256914389999999</v>
      </c>
      <c r="BD95" s="587">
        <v>34.731450000000002</v>
      </c>
      <c r="BE95" s="587">
        <v>37.430674000000003</v>
      </c>
      <c r="BF95" s="587">
        <v>36.551178999999998</v>
      </c>
      <c r="BG95" s="587">
        <v>33.25754981</v>
      </c>
      <c r="BH95" s="587">
        <v>38.052050739999999</v>
      </c>
      <c r="BI95" s="587">
        <v>37.943505999999999</v>
      </c>
      <c r="BJ95" s="587">
        <v>42.199926989999994</v>
      </c>
      <c r="BK95" s="587">
        <v>36.935164</v>
      </c>
      <c r="BL95" s="587">
        <v>37.87817708</v>
      </c>
      <c r="BM95" s="587">
        <v>42.307136</v>
      </c>
      <c r="BN95" s="587">
        <v>43.304243230000004</v>
      </c>
      <c r="BO95" s="587">
        <v>48.659097000000003</v>
      </c>
      <c r="BP95" s="587">
        <v>50.835060769999998</v>
      </c>
      <c r="BQ95" s="587">
        <v>51.045758890000002</v>
      </c>
      <c r="BR95" s="587">
        <v>50.124512790000004</v>
      </c>
      <c r="BS95" s="587">
        <v>54.963033589999995</v>
      </c>
      <c r="BT95" s="587">
        <v>44.677905659999993</v>
      </c>
      <c r="BU95" s="587">
        <v>49.875298099999995</v>
      </c>
      <c r="BV95" s="587">
        <v>44.972405109999997</v>
      </c>
      <c r="BW95" s="587">
        <v>45.128035730000001</v>
      </c>
      <c r="BX95" s="587">
        <v>47.923345999999995</v>
      </c>
      <c r="BY95" s="587">
        <v>50.804738</v>
      </c>
      <c r="BZ95" s="587">
        <v>38.4</v>
      </c>
      <c r="CA95" s="587">
        <v>37.006069629999999</v>
      </c>
      <c r="CB95" s="587">
        <v>40.081002810000001</v>
      </c>
      <c r="CC95" s="587">
        <v>42.238968499999999</v>
      </c>
      <c r="CD95" s="587">
        <v>41.647586230000002</v>
      </c>
      <c r="CE95" s="587">
        <v>46.654936120000002</v>
      </c>
      <c r="CF95" s="587">
        <v>32.151660239999998</v>
      </c>
      <c r="CG95" s="587">
        <v>34.580458130000004</v>
      </c>
      <c r="CH95" s="587">
        <v>33.636910820000004</v>
      </c>
      <c r="CI95" s="587">
        <v>33.018045020000002</v>
      </c>
      <c r="CJ95" s="587">
        <v>34.541678240000003</v>
      </c>
      <c r="CK95" s="587">
        <v>32.667870839999999</v>
      </c>
      <c r="CL95" s="587">
        <v>54.789500190000005</v>
      </c>
      <c r="CM95" s="587">
        <v>33.50317416</v>
      </c>
      <c r="CN95" s="587">
        <v>33.827824470000003</v>
      </c>
      <c r="CO95" s="587">
        <v>29.114454440000003</v>
      </c>
      <c r="CP95" s="820">
        <v>28.524955730000002</v>
      </c>
      <c r="CQ95" s="587">
        <v>28.659801880000003</v>
      </c>
      <c r="CR95" s="587">
        <v>24.293492359999998</v>
      </c>
      <c r="CS95" s="587">
        <v>23.770483940000002</v>
      </c>
      <c r="CT95" s="587">
        <v>141.22192183999999</v>
      </c>
      <c r="CU95" s="587">
        <v>24.491336759999999</v>
      </c>
      <c r="CV95" s="587">
        <v>24.46257932</v>
      </c>
      <c r="CW95" s="587">
        <v>50.934829010000001</v>
      </c>
      <c r="CX95" s="587">
        <v>34.879935400000001</v>
      </c>
      <c r="CY95" s="587">
        <v>23.763957870000002</v>
      </c>
      <c r="CZ95" s="587">
        <v>26.331423149999999</v>
      </c>
      <c r="DA95" s="587">
        <v>24.1905</v>
      </c>
      <c r="DB95" s="587">
        <v>25.682256729999999</v>
      </c>
      <c r="DC95" s="587">
        <v>38.623691000000001</v>
      </c>
      <c r="DD95" s="587">
        <v>61.093420999999999</v>
      </c>
      <c r="DE95" s="587">
        <v>59.058878999999997</v>
      </c>
      <c r="DF95" s="587">
        <v>59.998329470000002</v>
      </c>
      <c r="DG95" s="587">
        <v>36.553356000000001</v>
      </c>
      <c r="DH95" s="587">
        <v>36.447496999999998</v>
      </c>
      <c r="DI95" s="587">
        <v>65.518071000000006</v>
      </c>
      <c r="DJ95" s="587">
        <v>37.250983000000005</v>
      </c>
      <c r="DK95" s="587">
        <v>50.346398480000005</v>
      </c>
      <c r="DL95" s="587">
        <v>39.501899000000002</v>
      </c>
      <c r="DM95" s="587">
        <v>49.752325999999996</v>
      </c>
      <c r="DN95" s="587">
        <v>54.025466439999995</v>
      </c>
      <c r="DO95" s="587">
        <v>58.91399406</v>
      </c>
      <c r="DP95" s="587">
        <v>46.173605999999999</v>
      </c>
      <c r="DQ95" s="587">
        <v>46.082400999999997</v>
      </c>
      <c r="DR95" s="587">
        <v>45.91007175</v>
      </c>
    </row>
    <row r="96" spans="1:122" ht="15.95" customHeight="1">
      <c r="A96" s="793" t="s">
        <v>2450</v>
      </c>
      <c r="B96" s="794">
        <v>458.56225221</v>
      </c>
      <c r="C96" s="664">
        <v>410.25812970000004</v>
      </c>
      <c r="D96" s="664">
        <v>403.02830119000004</v>
      </c>
      <c r="E96" s="593">
        <v>329.05903873000386</v>
      </c>
      <c r="F96" s="664">
        <v>341.95476552078139</v>
      </c>
      <c r="G96" s="664">
        <v>339.09278306834017</v>
      </c>
      <c r="H96" s="664">
        <v>420.28988859024321</v>
      </c>
      <c r="I96" s="664">
        <v>378.73481136024321</v>
      </c>
      <c r="J96" s="664">
        <v>360.9729199002432</v>
      </c>
      <c r="K96" s="593">
        <v>355.90044921367502</v>
      </c>
      <c r="L96" s="664">
        <v>390.51876092775501</v>
      </c>
      <c r="M96" s="664">
        <v>389.15838209775501</v>
      </c>
      <c r="N96" s="664">
        <v>181.60498554</v>
      </c>
      <c r="O96" s="593">
        <v>204.11329756000001</v>
      </c>
      <c r="P96" s="664">
        <v>197.38224117999999</v>
      </c>
      <c r="Q96" s="664">
        <v>292.87685069010007</v>
      </c>
      <c r="R96" s="593">
        <v>254.40152639999997</v>
      </c>
      <c r="S96" s="664">
        <v>208.07787175000004</v>
      </c>
      <c r="T96" s="664">
        <v>248.59148288</v>
      </c>
      <c r="U96" s="795">
        <v>302.94367345000006</v>
      </c>
      <c r="V96" s="795">
        <v>307.40363624000003</v>
      </c>
      <c r="W96" s="795">
        <v>470.47246289999998</v>
      </c>
      <c r="X96" s="795">
        <v>438.98922529000004</v>
      </c>
      <c r="Y96" s="795">
        <v>476.09153550000002</v>
      </c>
      <c r="Z96" s="795">
        <v>453.07723897999995</v>
      </c>
      <c r="AA96" s="795">
        <v>481.83735429000006</v>
      </c>
      <c r="AB96" s="795">
        <v>522.59824073999994</v>
      </c>
      <c r="AC96" s="795">
        <v>539.11396489999993</v>
      </c>
      <c r="AD96" s="795">
        <v>551.16096037</v>
      </c>
      <c r="AE96" s="795">
        <v>533.11707913999999</v>
      </c>
      <c r="AF96" s="795">
        <v>571.28253526999993</v>
      </c>
      <c r="AG96" s="795">
        <v>550.96294891000002</v>
      </c>
      <c r="AH96" s="795">
        <v>528.01371347999998</v>
      </c>
      <c r="AI96" s="795">
        <v>522.64509634000001</v>
      </c>
      <c r="AJ96" s="795">
        <v>472.12721420999998</v>
      </c>
      <c r="AK96" s="795">
        <v>419.47476452000001</v>
      </c>
      <c r="AL96" s="795">
        <v>415.71260592000004</v>
      </c>
      <c r="AM96" s="666">
        <v>415.73243699</v>
      </c>
      <c r="AN96" s="666">
        <v>414.82680673999999</v>
      </c>
      <c r="AO96" s="666">
        <v>431.93540259000002</v>
      </c>
      <c r="AP96" s="666">
        <v>505.06526922210003</v>
      </c>
      <c r="AQ96" s="666">
        <v>426.30727753039997</v>
      </c>
      <c r="AR96" s="794">
        <v>459.28211493840001</v>
      </c>
      <c r="AS96" s="794">
        <v>400.14385020999998</v>
      </c>
      <c r="AT96" s="794">
        <v>423.051291026</v>
      </c>
      <c r="AU96" s="794">
        <v>401.35562827059999</v>
      </c>
      <c r="AV96" s="794">
        <v>384.34107685000015</v>
      </c>
      <c r="AW96" s="587">
        <v>220.02334320040001</v>
      </c>
      <c r="AX96" s="587">
        <v>207.45671959079999</v>
      </c>
      <c r="AY96" s="587">
        <v>210.0750525981</v>
      </c>
      <c r="AZ96" s="587">
        <v>184.37448961959998</v>
      </c>
      <c r="BA96" s="587">
        <v>214.48794284760001</v>
      </c>
      <c r="BB96" s="587">
        <v>199.46192767739998</v>
      </c>
      <c r="BC96" s="587">
        <v>172.30331233359999</v>
      </c>
      <c r="BD96" s="587">
        <v>111.413711564</v>
      </c>
      <c r="BE96" s="587">
        <v>111.09404101280001</v>
      </c>
      <c r="BF96" s="587">
        <v>120.67677614750001</v>
      </c>
      <c r="BG96" s="587">
        <v>149.15916136200002</v>
      </c>
      <c r="BH96" s="587">
        <v>151.92989694620002</v>
      </c>
      <c r="BI96" s="587">
        <v>151.90765576679999</v>
      </c>
      <c r="BJ96" s="587">
        <v>168.5504862057</v>
      </c>
      <c r="BK96" s="587">
        <v>142.80875612940002</v>
      </c>
      <c r="BL96" s="587">
        <v>140.34380577929997</v>
      </c>
      <c r="BM96" s="587">
        <v>161.80180081260002</v>
      </c>
      <c r="BN96" s="587">
        <v>163.47942299759998</v>
      </c>
      <c r="BO96" s="587">
        <v>161.8139939216</v>
      </c>
      <c r="BP96" s="587">
        <v>151.78985120440001</v>
      </c>
      <c r="BQ96" s="587">
        <v>146.00171220810003</v>
      </c>
      <c r="BR96" s="587">
        <v>161.91336487500001</v>
      </c>
      <c r="BS96" s="587">
        <v>192.13894060680002</v>
      </c>
      <c r="BT96" s="587">
        <v>156.65662444099999</v>
      </c>
      <c r="BU96" s="587">
        <v>281.23640318665201</v>
      </c>
      <c r="BV96" s="587">
        <v>301.19833118999998</v>
      </c>
      <c r="BW96" s="587">
        <v>326.28566699527499</v>
      </c>
      <c r="BX96" s="587">
        <v>322.96316003800001</v>
      </c>
      <c r="BY96" s="587">
        <v>329.38223694919998</v>
      </c>
      <c r="BZ96" s="587">
        <v>343.2</v>
      </c>
      <c r="CA96" s="587">
        <v>374.67520907369999</v>
      </c>
      <c r="CB96" s="587">
        <v>310.43440835119998</v>
      </c>
      <c r="CC96" s="587">
        <v>258.92055705416186</v>
      </c>
      <c r="CD96" s="587">
        <v>334.06053435010597</v>
      </c>
      <c r="CE96" s="587">
        <v>297.98444443243886</v>
      </c>
      <c r="CF96" s="587">
        <v>307.04168828399003</v>
      </c>
      <c r="CG96" s="587">
        <v>335.6517644195867</v>
      </c>
      <c r="CH96" s="587">
        <v>284.06548669775566</v>
      </c>
      <c r="CI96" s="587">
        <v>342.46164094060055</v>
      </c>
      <c r="CJ96" s="587">
        <v>347.40254422716998</v>
      </c>
      <c r="CK96" s="587">
        <v>381.41656484351699</v>
      </c>
      <c r="CL96" s="587">
        <v>339.72788373997435</v>
      </c>
      <c r="CM96" s="587">
        <v>347.978404498136</v>
      </c>
      <c r="CN96" s="587">
        <v>320.29628878</v>
      </c>
      <c r="CO96" s="587">
        <v>352.42983462000007</v>
      </c>
      <c r="CP96" s="820">
        <v>331.95163834672496</v>
      </c>
      <c r="CQ96" s="587">
        <v>353.74473520000004</v>
      </c>
      <c r="CR96" s="587">
        <v>355.04234875999998</v>
      </c>
      <c r="CS96" s="587">
        <v>357.92982588999996</v>
      </c>
      <c r="CT96" s="587">
        <v>358.99640338</v>
      </c>
      <c r="CU96" s="587">
        <v>904.44422775999976</v>
      </c>
      <c r="CV96" s="587">
        <v>876.02381897999987</v>
      </c>
      <c r="CW96" s="587">
        <v>936.6637754300001</v>
      </c>
      <c r="CX96" s="587">
        <v>898.01396697999996</v>
      </c>
      <c r="CY96" s="587">
        <v>884.68272397999988</v>
      </c>
      <c r="CZ96" s="587">
        <v>800.574101047049</v>
      </c>
      <c r="DA96" s="587">
        <v>887.76587046999998</v>
      </c>
      <c r="DB96" s="587">
        <v>904.26917709999998</v>
      </c>
      <c r="DC96" s="587">
        <v>798.01032484999996</v>
      </c>
      <c r="DD96" s="587">
        <v>880.87621766999996</v>
      </c>
      <c r="DE96" s="587">
        <v>777.35534666000001</v>
      </c>
      <c r="DF96" s="587">
        <v>839.33726257000001</v>
      </c>
      <c r="DG96" s="587">
        <v>819.33210000870224</v>
      </c>
      <c r="DH96" s="587">
        <v>809.13104234999992</v>
      </c>
      <c r="DI96" s="587">
        <v>691.53982414491668</v>
      </c>
      <c r="DJ96" s="587">
        <v>687.22357140893666</v>
      </c>
      <c r="DK96" s="587">
        <v>680.49266599822943</v>
      </c>
      <c r="DL96" s="587">
        <v>666.33046329999991</v>
      </c>
      <c r="DM96" s="587">
        <v>660.65074218999996</v>
      </c>
      <c r="DN96" s="587">
        <v>707.50651142000004</v>
      </c>
      <c r="DO96" s="587">
        <v>675.44007203000001</v>
      </c>
      <c r="DP96" s="587">
        <v>643.34385859999998</v>
      </c>
      <c r="DQ96" s="587">
        <v>669.22791522424097</v>
      </c>
      <c r="DR96" s="587">
        <v>666.54704335999998</v>
      </c>
    </row>
    <row r="97" spans="1:122" ht="15.95" customHeight="1">
      <c r="A97" s="793" t="s">
        <v>2451</v>
      </c>
      <c r="B97" s="794">
        <v>2563.9704272600002</v>
      </c>
      <c r="C97" s="664">
        <v>3245.9522036799999</v>
      </c>
      <c r="D97" s="664">
        <v>3247.1019830000005</v>
      </c>
      <c r="E97" s="593">
        <v>3415.5594353922224</v>
      </c>
      <c r="F97" s="664">
        <v>3169.5879776383335</v>
      </c>
      <c r="G97" s="664">
        <v>3198.0400410183333</v>
      </c>
      <c r="H97" s="664">
        <v>3294.6856943783332</v>
      </c>
      <c r="I97" s="664">
        <v>3219.9639974583329</v>
      </c>
      <c r="J97" s="664">
        <v>3253.6764692583333</v>
      </c>
      <c r="K97" s="593">
        <v>3262.317456528333</v>
      </c>
      <c r="L97" s="664">
        <v>3138.7950710183336</v>
      </c>
      <c r="M97" s="664">
        <v>3221.2310814983334</v>
      </c>
      <c r="N97" s="664">
        <v>3583.5491130699997</v>
      </c>
      <c r="O97" s="593">
        <v>3697.6646452499995</v>
      </c>
      <c r="P97" s="664">
        <v>3885.34004052</v>
      </c>
      <c r="Q97" s="664">
        <v>4123.0217166231005</v>
      </c>
      <c r="R97" s="593">
        <v>4200.1537452088196</v>
      </c>
      <c r="S97" s="664">
        <v>4117.6612422323396</v>
      </c>
      <c r="T97" s="664">
        <v>4447.8047711792506</v>
      </c>
      <c r="U97" s="795">
        <v>4588.8682646858597</v>
      </c>
      <c r="V97" s="795">
        <v>4308.3374376725251</v>
      </c>
      <c r="W97" s="795">
        <v>4473.3940746526996</v>
      </c>
      <c r="X97" s="795">
        <v>4472.6898375225492</v>
      </c>
      <c r="Y97" s="795">
        <v>4246.7176312110614</v>
      </c>
      <c r="Z97" s="795">
        <v>4476.5082070665367</v>
      </c>
      <c r="AA97" s="795">
        <v>4362.1870549193436</v>
      </c>
      <c r="AB97" s="795">
        <v>4206.2011534326502</v>
      </c>
      <c r="AC97" s="795">
        <v>4129.0862973779995</v>
      </c>
      <c r="AD97" s="795">
        <v>3821.8227647000699</v>
      </c>
      <c r="AE97" s="795">
        <v>3719.218586447143</v>
      </c>
      <c r="AF97" s="795">
        <v>3778.5605503167508</v>
      </c>
      <c r="AG97" s="795">
        <v>3698.0188956592401</v>
      </c>
      <c r="AH97" s="795">
        <v>3453.3596177423997</v>
      </c>
      <c r="AI97" s="795">
        <v>3403.1616083785075</v>
      </c>
      <c r="AJ97" s="795">
        <v>3200.4759877640563</v>
      </c>
      <c r="AK97" s="795">
        <v>3245.9896350499871</v>
      </c>
      <c r="AL97" s="795">
        <v>2879.4464343076015</v>
      </c>
      <c r="AM97" s="666">
        <v>3133.7692147697339</v>
      </c>
      <c r="AN97" s="666">
        <v>3613.3243036667777</v>
      </c>
      <c r="AO97" s="666">
        <v>3826.3674270747147</v>
      </c>
      <c r="AP97" s="666">
        <v>4046.4495650802146</v>
      </c>
      <c r="AQ97" s="666">
        <v>4175.2848149041147</v>
      </c>
      <c r="AR97" s="794">
        <v>4365.1638130544643</v>
      </c>
      <c r="AS97" s="794">
        <v>4171.0563628956643</v>
      </c>
      <c r="AT97" s="794">
        <v>4019.995452652769</v>
      </c>
      <c r="AU97" s="794">
        <v>3939.1217516854126</v>
      </c>
      <c r="AV97" s="794">
        <v>3907.7119051107138</v>
      </c>
      <c r="AW97" s="587">
        <v>4119.3108599709149</v>
      </c>
      <c r="AX97" s="587">
        <v>4213.5366982021142</v>
      </c>
      <c r="AY97" s="587">
        <v>3936.749447916256</v>
      </c>
      <c r="AZ97" s="587">
        <v>3511.5180610625944</v>
      </c>
      <c r="BA97" s="587">
        <v>3436.4015037429949</v>
      </c>
      <c r="BB97" s="587">
        <v>3618.7884375695144</v>
      </c>
      <c r="BC97" s="587">
        <v>3581.5214842677137</v>
      </c>
      <c r="BD97" s="587">
        <v>3275.4391089557548</v>
      </c>
      <c r="BE97" s="587">
        <v>3233.4531317637343</v>
      </c>
      <c r="BF97" s="587">
        <v>3235.8133675267145</v>
      </c>
      <c r="BG97" s="587">
        <v>3605.179638938514</v>
      </c>
      <c r="BH97" s="587">
        <v>3199.6223504474342</v>
      </c>
      <c r="BI97" s="587">
        <v>3622.6036794827346</v>
      </c>
      <c r="BJ97" s="587">
        <v>3514.1536301157748</v>
      </c>
      <c r="BK97" s="587">
        <v>3331.9965153145727</v>
      </c>
      <c r="BL97" s="587">
        <v>3253.8211511223139</v>
      </c>
      <c r="BM97" s="587">
        <v>3269.4633381787689</v>
      </c>
      <c r="BN97" s="587">
        <v>3323.3014528958024</v>
      </c>
      <c r="BO97" s="587">
        <v>3313.6797171324238</v>
      </c>
      <c r="BP97" s="587">
        <v>3112.0300106809682</v>
      </c>
      <c r="BQ97" s="587">
        <v>3051.2564302442966</v>
      </c>
      <c r="BR97" s="587">
        <v>3045.1375149969799</v>
      </c>
      <c r="BS97" s="587">
        <v>3543.4071539475199</v>
      </c>
      <c r="BT97" s="587">
        <v>3803.0876005267</v>
      </c>
      <c r="BU97" s="587">
        <v>3280.8602856862803</v>
      </c>
      <c r="BV97" s="587">
        <v>3352.6545404298581</v>
      </c>
      <c r="BW97" s="587">
        <v>3046.052725914335</v>
      </c>
      <c r="BX97" s="587">
        <v>2775.2754322005003</v>
      </c>
      <c r="BY97" s="587">
        <v>2848.2652017419005</v>
      </c>
      <c r="BZ97" s="587">
        <v>2634.5</v>
      </c>
      <c r="CA97" s="587">
        <v>2446.6151896215697</v>
      </c>
      <c r="CB97" s="587">
        <v>2350.7854610935169</v>
      </c>
      <c r="CC97" s="587">
        <v>2126.6094122995</v>
      </c>
      <c r="CD97" s="587">
        <v>2145.3452387380676</v>
      </c>
      <c r="CE97" s="587">
        <v>2368.4847978793455</v>
      </c>
      <c r="CF97" s="587">
        <v>2109.3762112946088</v>
      </c>
      <c r="CG97" s="587">
        <v>2175.8216241959267</v>
      </c>
      <c r="CH97" s="587">
        <v>2345.7790300879487</v>
      </c>
      <c r="CI97" s="587">
        <v>2233.5758634700451</v>
      </c>
      <c r="CJ97" s="587">
        <v>2249.7278603445702</v>
      </c>
      <c r="CK97" s="587">
        <v>2457.9441949691059</v>
      </c>
      <c r="CL97" s="587">
        <v>1983.392954014688</v>
      </c>
      <c r="CM97" s="587">
        <v>1926.8855084993738</v>
      </c>
      <c r="CN97" s="587">
        <v>2257.5859043407841</v>
      </c>
      <c r="CO97" s="587">
        <v>2161.0683882842072</v>
      </c>
      <c r="CP97" s="820">
        <v>2289.9324891702995</v>
      </c>
      <c r="CQ97" s="587">
        <v>2422.3803993368942</v>
      </c>
      <c r="CR97" s="587">
        <v>2308.3390554223297</v>
      </c>
      <c r="CS97" s="587">
        <v>2191.7788932584826</v>
      </c>
      <c r="CT97" s="587">
        <v>2011.5525712232723</v>
      </c>
      <c r="CU97" s="587">
        <v>1639.8655949700315</v>
      </c>
      <c r="CV97" s="587">
        <v>1947.2806476823612</v>
      </c>
      <c r="CW97" s="587">
        <v>2372.5158765136866</v>
      </c>
      <c r="CX97" s="587">
        <v>2324.4142931514948</v>
      </c>
      <c r="CY97" s="587">
        <v>2341.7145521846946</v>
      </c>
      <c r="CZ97" s="587">
        <v>2444.753452619072</v>
      </c>
      <c r="DA97" s="587">
        <v>2788.8584901584186</v>
      </c>
      <c r="DB97" s="587">
        <v>2876.6598361499823</v>
      </c>
      <c r="DC97" s="587">
        <v>2762.4759220969863</v>
      </c>
      <c r="DD97" s="587">
        <v>2511.0927440616392</v>
      </c>
      <c r="DE97" s="587">
        <v>2469.1877783743607</v>
      </c>
      <c r="DF97" s="587">
        <v>3025.1342439427049</v>
      </c>
      <c r="DG97" s="587">
        <v>2964.9849221098852</v>
      </c>
      <c r="DH97" s="587">
        <v>3050.2676840142904</v>
      </c>
      <c r="DI97" s="587">
        <v>3350.7326457806339</v>
      </c>
      <c r="DJ97" s="587">
        <v>3217.1991652585371</v>
      </c>
      <c r="DK97" s="587">
        <v>3058.4906984371701</v>
      </c>
      <c r="DL97" s="587">
        <v>3272.4405647690437</v>
      </c>
      <c r="DM97" s="587">
        <v>3409.4609178312503</v>
      </c>
      <c r="DN97" s="587">
        <v>3424.4836323525924</v>
      </c>
      <c r="DO97" s="587">
        <v>3498.0221148993032</v>
      </c>
      <c r="DP97" s="587">
        <v>2982.6134180323434</v>
      </c>
      <c r="DQ97" s="587">
        <v>2813.7123291165217</v>
      </c>
      <c r="DR97" s="587">
        <v>2897.8682146747328</v>
      </c>
    </row>
    <row r="98" spans="1:122" ht="15.95" customHeight="1">
      <c r="A98" s="793" t="s">
        <v>2452</v>
      </c>
      <c r="B98" s="794">
        <v>87.711047879999995</v>
      </c>
      <c r="C98" s="664">
        <v>87.23537374</v>
      </c>
      <c r="D98" s="664">
        <v>86.763602249999991</v>
      </c>
      <c r="E98" s="593">
        <v>136.29410518</v>
      </c>
      <c r="F98" s="664">
        <v>136.37495138</v>
      </c>
      <c r="G98" s="664">
        <v>135.31764812</v>
      </c>
      <c r="H98" s="664">
        <v>24.832373199999999</v>
      </c>
      <c r="I98" s="664">
        <v>24.364547479999999</v>
      </c>
      <c r="J98" s="664">
        <v>24.216398359999999</v>
      </c>
      <c r="K98" s="593">
        <v>23.514482040000001</v>
      </c>
      <c r="L98" s="664">
        <v>22.901835519999999</v>
      </c>
      <c r="M98" s="664">
        <v>22.402974329999999</v>
      </c>
      <c r="N98" s="664">
        <v>21.906625369999997</v>
      </c>
      <c r="O98" s="593">
        <v>21.404850240000002</v>
      </c>
      <c r="P98" s="664">
        <v>6.5</v>
      </c>
      <c r="Q98" s="664">
        <v>6.53132</v>
      </c>
      <c r="R98" s="593">
        <v>6.5</v>
      </c>
      <c r="S98" s="664">
        <v>6.5</v>
      </c>
      <c r="T98" s="664">
        <v>6.5</v>
      </c>
      <c r="U98" s="795">
        <v>6.5</v>
      </c>
      <c r="V98" s="795">
        <v>6.5</v>
      </c>
      <c r="W98" s="795">
        <v>6.5</v>
      </c>
      <c r="X98" s="795">
        <v>6.5002195599999997</v>
      </c>
      <c r="Y98" s="795">
        <v>6.5</v>
      </c>
      <c r="Z98" s="795">
        <v>6.5</v>
      </c>
      <c r="AA98" s="795">
        <v>6.5</v>
      </c>
      <c r="AB98" s="795">
        <v>6.5</v>
      </c>
      <c r="AC98" s="795">
        <v>6.5</v>
      </c>
      <c r="AD98" s="795">
        <v>6.5</v>
      </c>
      <c r="AE98" s="795">
        <v>6.5</v>
      </c>
      <c r="AF98" s="795">
        <v>6.5002380000000004</v>
      </c>
      <c r="AG98" s="795">
        <v>6.5189180000000002</v>
      </c>
      <c r="AH98" s="795">
        <v>6.5002399999999998</v>
      </c>
      <c r="AI98" s="795">
        <v>6.5044225599999992</v>
      </c>
      <c r="AJ98" s="795">
        <v>6.5002360000000001</v>
      </c>
      <c r="AK98" s="795">
        <v>6.500254</v>
      </c>
      <c r="AL98" s="795">
        <v>84.972913100000014</v>
      </c>
      <c r="AM98" s="666">
        <v>116.23986896</v>
      </c>
      <c r="AN98" s="666">
        <v>292.0267952726</v>
      </c>
      <c r="AO98" s="666">
        <v>364.49077288310002</v>
      </c>
      <c r="AP98" s="666">
        <v>236.79753667800301</v>
      </c>
      <c r="AQ98" s="666">
        <v>236.19022687685401</v>
      </c>
      <c r="AR98" s="794">
        <v>234.39160893746799</v>
      </c>
      <c r="AS98" s="794">
        <v>291.83981005999999</v>
      </c>
      <c r="AT98" s="794">
        <v>136.85403206999999</v>
      </c>
      <c r="AU98" s="794">
        <v>134.99995465999999</v>
      </c>
      <c r="AV98" s="794">
        <v>132.88275013000001</v>
      </c>
      <c r="AW98" s="587">
        <v>130.69888889000001</v>
      </c>
      <c r="AX98" s="587">
        <v>128.58849473999999</v>
      </c>
      <c r="AY98" s="587">
        <v>126.43155626000001</v>
      </c>
      <c r="AZ98" s="587">
        <v>124.25816643</v>
      </c>
      <c r="BA98" s="587">
        <v>122.04283488999999</v>
      </c>
      <c r="BB98" s="587">
        <v>119.80981906000001</v>
      </c>
      <c r="BC98" s="587">
        <v>117.58767493000001</v>
      </c>
      <c r="BD98" s="587">
        <v>115.34965885</v>
      </c>
      <c r="BE98" s="587">
        <v>113.08956507000001</v>
      </c>
      <c r="BF98" s="587">
        <v>113.75152331</v>
      </c>
      <c r="BG98" s="587">
        <v>8.1195020299999996</v>
      </c>
      <c r="BH98" s="587">
        <v>8.1184999999999992</v>
      </c>
      <c r="BI98" s="587">
        <v>8.1184999999999992</v>
      </c>
      <c r="BJ98" s="587">
        <v>8.1705000000000005</v>
      </c>
      <c r="BK98" s="587">
        <v>8.1706395300000008</v>
      </c>
      <c r="BL98" s="587">
        <v>8.1710042499999993</v>
      </c>
      <c r="BM98" s="587">
        <v>8.2198796699999992</v>
      </c>
      <c r="BN98" s="587">
        <v>7.9494999999999996</v>
      </c>
      <c r="BO98" s="587">
        <v>7.9494999999999996</v>
      </c>
      <c r="BP98" s="587">
        <v>7.6764999999999999</v>
      </c>
      <c r="BQ98" s="587">
        <v>7.6764999999999999</v>
      </c>
      <c r="BR98" s="587">
        <v>7.6764999999999999</v>
      </c>
      <c r="BS98" s="587">
        <v>7.6764999999999999</v>
      </c>
      <c r="BT98" s="587">
        <v>7.6764999999999999</v>
      </c>
      <c r="BU98" s="587">
        <v>7.6764999999999999</v>
      </c>
      <c r="BV98" s="587">
        <v>9.2302020000000002</v>
      </c>
      <c r="BW98" s="587">
        <v>10.095631000000001</v>
      </c>
      <c r="BX98" s="587">
        <v>9.2302020000000002</v>
      </c>
      <c r="BY98" s="587">
        <v>9.23</v>
      </c>
      <c r="BZ98" s="587">
        <v>9.1999999999999993</v>
      </c>
      <c r="CA98" s="587">
        <v>9.23</v>
      </c>
      <c r="CB98" s="587">
        <v>9.3440100000000008</v>
      </c>
      <c r="CC98" s="587">
        <v>9.3440100000000008</v>
      </c>
      <c r="CD98" s="587">
        <v>9.3440100000000008</v>
      </c>
      <c r="CE98" s="587">
        <v>9.3546212200000003</v>
      </c>
      <c r="CF98" s="587">
        <v>9.3580840000000016</v>
      </c>
      <c r="CG98" s="587">
        <v>9.3579106200000002</v>
      </c>
      <c r="CH98" s="587">
        <v>1.3760290000000001E-2</v>
      </c>
      <c r="CI98" s="587">
        <v>5.9129999999999999E-3</v>
      </c>
      <c r="CJ98" s="587">
        <v>9.5551649999999988E-2</v>
      </c>
      <c r="CK98" s="587">
        <v>1.8079499999999998E-2</v>
      </c>
      <c r="CL98" s="587">
        <v>1.1941790000000001E-2</v>
      </c>
      <c r="CM98" s="587">
        <v>1.0566790000000001E-2</v>
      </c>
      <c r="CN98" s="587">
        <v>1.148191E-2</v>
      </c>
      <c r="CO98" s="587">
        <v>9.1796100000000012E-3</v>
      </c>
      <c r="CP98" s="820">
        <v>1.1176200000000001E-2</v>
      </c>
      <c r="CQ98" s="587">
        <v>1.0819229999999999E-2</v>
      </c>
      <c r="CR98" s="587">
        <v>8.0507200000000008E-3</v>
      </c>
      <c r="CS98" s="587">
        <v>1.147306E-2</v>
      </c>
      <c r="CT98" s="587">
        <v>6.222280000000001E-3</v>
      </c>
      <c r="CU98" s="587">
        <v>1.205376E-2</v>
      </c>
      <c r="CV98" s="587">
        <v>7.2006600000000002E-3</v>
      </c>
      <c r="CW98" s="587">
        <v>1.007565E-2</v>
      </c>
      <c r="CX98" s="587">
        <v>8.1689999999999992E-3</v>
      </c>
      <c r="CY98" s="587">
        <v>1.1121000000000001E-2</v>
      </c>
      <c r="CZ98" s="587">
        <v>1.3073E-2</v>
      </c>
      <c r="DA98" s="587">
        <v>9.9000000000000008E-3</v>
      </c>
      <c r="DB98" s="587">
        <v>0.64575324999999995</v>
      </c>
      <c r="DC98" s="587">
        <v>0.66820199999999996</v>
      </c>
      <c r="DD98" s="587">
        <v>0.65178309999999995</v>
      </c>
      <c r="DE98" s="587">
        <v>0.59056534999999999</v>
      </c>
      <c r="DF98" s="587">
        <v>0.62705959999999994</v>
      </c>
      <c r="DG98" s="587">
        <v>0.56498999999999999</v>
      </c>
      <c r="DH98" s="587">
        <v>0.53522899999999995</v>
      </c>
      <c r="DI98" s="587">
        <v>0.52442305</v>
      </c>
      <c r="DJ98" s="587">
        <v>0.50898500000000002</v>
      </c>
      <c r="DK98" s="587">
        <v>0.55007700000000004</v>
      </c>
      <c r="DL98" s="587">
        <v>0.46788800000000003</v>
      </c>
      <c r="DM98" s="587">
        <v>0.49244300000000002</v>
      </c>
      <c r="DN98" s="587">
        <v>0.48231750000000001</v>
      </c>
      <c r="DO98" s="587">
        <v>0.48597754999999998</v>
      </c>
      <c r="DP98" s="587">
        <v>0.40477400000000002</v>
      </c>
      <c r="DQ98" s="587">
        <v>0.38760705000000001</v>
      </c>
      <c r="DR98" s="587">
        <v>0.40856524999999999</v>
      </c>
    </row>
    <row r="99" spans="1:122" ht="15.95" customHeight="1">
      <c r="A99" s="793" t="s">
        <v>2453</v>
      </c>
      <c r="B99" s="794">
        <v>185.20317135999997</v>
      </c>
      <c r="C99" s="664">
        <v>187.90801233999997</v>
      </c>
      <c r="D99" s="664">
        <v>194.08208089000004</v>
      </c>
      <c r="E99" s="593">
        <v>210.36974814999999</v>
      </c>
      <c r="F99" s="664">
        <v>215.56163597000003</v>
      </c>
      <c r="G99" s="664">
        <v>235.5792629357</v>
      </c>
      <c r="H99" s="664">
        <v>435.39563840999995</v>
      </c>
      <c r="I99" s="664">
        <v>387.50842507000004</v>
      </c>
      <c r="J99" s="664">
        <v>304.06025365999994</v>
      </c>
      <c r="K99" s="593">
        <v>292.24339026000001</v>
      </c>
      <c r="L99" s="664">
        <v>306.38062955999999</v>
      </c>
      <c r="M99" s="664">
        <v>294.86824723000001</v>
      </c>
      <c r="N99" s="664">
        <v>282.02337148000004</v>
      </c>
      <c r="O99" s="593">
        <v>310.96630834999996</v>
      </c>
      <c r="P99" s="664">
        <v>318.34908197999994</v>
      </c>
      <c r="Q99" s="664">
        <v>319.90471190999995</v>
      </c>
      <c r="R99" s="593">
        <v>318.67521477999998</v>
      </c>
      <c r="S99" s="664">
        <v>318.77939139999995</v>
      </c>
      <c r="T99" s="664">
        <v>326.91259193000002</v>
      </c>
      <c r="U99" s="795">
        <v>358.82074175000002</v>
      </c>
      <c r="V99" s="795">
        <v>319.17839400000003</v>
      </c>
      <c r="W99" s="795">
        <v>327.59200720000001</v>
      </c>
      <c r="X99" s="795">
        <v>320.40623551000004</v>
      </c>
      <c r="Y99" s="795">
        <v>322.88736379999995</v>
      </c>
      <c r="Z99" s="795">
        <v>316.95812301000001</v>
      </c>
      <c r="AA99" s="795">
        <v>293.78175304000001</v>
      </c>
      <c r="AB99" s="795">
        <v>272.63401559000005</v>
      </c>
      <c r="AC99" s="795">
        <v>155.90102480000002</v>
      </c>
      <c r="AD99" s="795">
        <v>180.43408848000001</v>
      </c>
      <c r="AE99" s="795">
        <v>170.30640887999999</v>
      </c>
      <c r="AF99" s="795">
        <v>208.18358467000002</v>
      </c>
      <c r="AG99" s="795">
        <v>212.44825832000004</v>
      </c>
      <c r="AH99" s="795">
        <v>226.32060888000001</v>
      </c>
      <c r="AI99" s="795">
        <v>299.41302808000006</v>
      </c>
      <c r="AJ99" s="795">
        <v>388.99981198499995</v>
      </c>
      <c r="AK99" s="795">
        <v>401.00022699499999</v>
      </c>
      <c r="AL99" s="795">
        <v>378.60530072</v>
      </c>
      <c r="AM99" s="666">
        <v>414.23817852499997</v>
      </c>
      <c r="AN99" s="666">
        <v>372.24626378999994</v>
      </c>
      <c r="AO99" s="666">
        <v>346.29605989500004</v>
      </c>
      <c r="AP99" s="666">
        <v>328.88665951690001</v>
      </c>
      <c r="AQ99" s="666">
        <v>325.34614498399998</v>
      </c>
      <c r="AR99" s="794">
        <v>600.15440630260002</v>
      </c>
      <c r="AS99" s="794">
        <v>443.43151562999998</v>
      </c>
      <c r="AT99" s="794">
        <v>423.63595256740001</v>
      </c>
      <c r="AU99" s="794">
        <v>454.58265854299998</v>
      </c>
      <c r="AV99" s="794">
        <v>518.80168487600008</v>
      </c>
      <c r="AW99" s="587">
        <v>606.6952508700499</v>
      </c>
      <c r="AX99" s="587">
        <v>627.91408924847497</v>
      </c>
      <c r="AY99" s="587">
        <v>687.78706260697106</v>
      </c>
      <c r="AZ99" s="587">
        <v>787.65242554868598</v>
      </c>
      <c r="BA99" s="587">
        <v>773.61235472999999</v>
      </c>
      <c r="BB99" s="587">
        <v>752.88096248290003</v>
      </c>
      <c r="BC99" s="587">
        <v>769.81463182979996</v>
      </c>
      <c r="BD99" s="587">
        <v>902.64682031999996</v>
      </c>
      <c r="BE99" s="587">
        <v>897.72737644850008</v>
      </c>
      <c r="BF99" s="587">
        <v>847.74924172099986</v>
      </c>
      <c r="BG99" s="587">
        <v>788.22460027800003</v>
      </c>
      <c r="BH99" s="587">
        <v>811.39179054039994</v>
      </c>
      <c r="BI99" s="587">
        <v>872.47320154249996</v>
      </c>
      <c r="BJ99" s="587">
        <v>903.83692580930006</v>
      </c>
      <c r="BK99" s="587">
        <v>974.5391210002</v>
      </c>
      <c r="BL99" s="587">
        <v>915.34603206259987</v>
      </c>
      <c r="BM99" s="587">
        <v>977.19577565400004</v>
      </c>
      <c r="BN99" s="587">
        <v>956.09327772300003</v>
      </c>
      <c r="BO99" s="587">
        <v>916.69655005480001</v>
      </c>
      <c r="BP99" s="587">
        <v>978.89973404</v>
      </c>
      <c r="BQ99" s="587">
        <v>767.52691697629996</v>
      </c>
      <c r="BR99" s="587">
        <v>861.08378199299977</v>
      </c>
      <c r="BS99" s="587">
        <v>870.99274113440015</v>
      </c>
      <c r="BT99" s="587">
        <v>932.57963933649989</v>
      </c>
      <c r="BU99" s="587">
        <v>899.20173616124794</v>
      </c>
      <c r="BV99" s="587">
        <v>858.33024937361597</v>
      </c>
      <c r="BW99" s="587">
        <v>894.12813590486996</v>
      </c>
      <c r="BX99" s="587">
        <v>915.53442298300001</v>
      </c>
      <c r="BY99" s="587">
        <v>881.21824795549992</v>
      </c>
      <c r="BZ99" s="587">
        <v>1158.5999999999999</v>
      </c>
      <c r="CA99" s="587">
        <v>1669.7786998369002</v>
      </c>
      <c r="CB99" s="587">
        <v>979.50007842539981</v>
      </c>
      <c r="CC99" s="587">
        <v>1012.6294994022001</v>
      </c>
      <c r="CD99" s="587">
        <v>1008.9264088955917</v>
      </c>
      <c r="CE99" s="587">
        <v>588.16601591873723</v>
      </c>
      <c r="CF99" s="587">
        <v>567.61900842683986</v>
      </c>
      <c r="CG99" s="587">
        <v>555.40778413253668</v>
      </c>
      <c r="CH99" s="587">
        <v>581.84559862027345</v>
      </c>
      <c r="CI99" s="587">
        <v>628.92124794464837</v>
      </c>
      <c r="CJ99" s="587">
        <v>586.55950193630599</v>
      </c>
      <c r="CK99" s="587">
        <v>602.04242589</v>
      </c>
      <c r="CL99" s="587">
        <v>533.62354291999998</v>
      </c>
      <c r="CM99" s="587">
        <v>860.09848991500007</v>
      </c>
      <c r="CN99" s="587">
        <v>878.09817760500005</v>
      </c>
      <c r="CO99" s="587">
        <v>852.10210693249996</v>
      </c>
      <c r="CP99" s="820">
        <v>889.48670879999997</v>
      </c>
      <c r="CQ99" s="587">
        <v>870.44320116239999</v>
      </c>
      <c r="CR99" s="587">
        <v>858.00464179815003</v>
      </c>
      <c r="CS99" s="587">
        <v>860.94982790460006</v>
      </c>
      <c r="CT99" s="587">
        <v>815.58859447915006</v>
      </c>
      <c r="CU99" s="587">
        <v>1100.6979193138</v>
      </c>
      <c r="CV99" s="587">
        <v>1055.8780073256</v>
      </c>
      <c r="CW99" s="587">
        <v>1100.04526601159</v>
      </c>
      <c r="CX99" s="587">
        <v>1216.6347342155</v>
      </c>
      <c r="CY99" s="587">
        <v>1151.2902636325998</v>
      </c>
      <c r="CZ99" s="587">
        <v>1314.2256115204377</v>
      </c>
      <c r="DA99" s="587">
        <v>1292.1898150298798</v>
      </c>
      <c r="DB99" s="587">
        <v>1441.3608016859837</v>
      </c>
      <c r="DC99" s="587">
        <v>1503.8159876901475</v>
      </c>
      <c r="DD99" s="587">
        <v>1506.1630896509475</v>
      </c>
      <c r="DE99" s="587">
        <v>1402.38555701365</v>
      </c>
      <c r="DF99" s="587">
        <v>1178.6475296937558</v>
      </c>
      <c r="DG99" s="587">
        <v>1278.0989995925502</v>
      </c>
      <c r="DH99" s="587">
        <v>1263.4898136814518</v>
      </c>
      <c r="DI99" s="587">
        <v>1260.3316299266257</v>
      </c>
      <c r="DJ99" s="587">
        <v>1265.579770338863</v>
      </c>
      <c r="DK99" s="587">
        <v>1223.2230807963083</v>
      </c>
      <c r="DL99" s="587">
        <v>1480.3997288788673</v>
      </c>
      <c r="DM99" s="587">
        <v>1520.5696173755305</v>
      </c>
      <c r="DN99" s="587">
        <v>1449.5263210526216</v>
      </c>
      <c r="DO99" s="587">
        <v>1607.3225922758418</v>
      </c>
      <c r="DP99" s="587">
        <v>1483.4052473219367</v>
      </c>
      <c r="DQ99" s="587">
        <v>1407.8386261522307</v>
      </c>
      <c r="DR99" s="587">
        <v>1452.4552160355825</v>
      </c>
    </row>
    <row r="100" spans="1:122" ht="15.95" customHeight="1">
      <c r="A100" s="793" t="s">
        <v>2454</v>
      </c>
      <c r="B100" s="794">
        <v>714.69791464449997</v>
      </c>
      <c r="C100" s="664">
        <v>609.97317856999996</v>
      </c>
      <c r="D100" s="664">
        <v>584.83938008999996</v>
      </c>
      <c r="E100" s="593">
        <v>818.77560125039997</v>
      </c>
      <c r="F100" s="664">
        <v>822.05765346479996</v>
      </c>
      <c r="G100" s="664">
        <v>826.83608893626763</v>
      </c>
      <c r="H100" s="664">
        <v>890.8246249852001</v>
      </c>
      <c r="I100" s="664">
        <v>619.88005194136997</v>
      </c>
      <c r="J100" s="664">
        <v>703.13107186720003</v>
      </c>
      <c r="K100" s="593">
        <v>705.33570654439995</v>
      </c>
      <c r="L100" s="664">
        <v>695.09410273376739</v>
      </c>
      <c r="M100" s="664">
        <v>703.50408094345426</v>
      </c>
      <c r="N100" s="664">
        <v>734.68697424995776</v>
      </c>
      <c r="O100" s="593">
        <v>717.95744650379993</v>
      </c>
      <c r="P100" s="664">
        <v>723.59506086616409</v>
      </c>
      <c r="Q100" s="664">
        <v>754.56626723869999</v>
      </c>
      <c r="R100" s="593">
        <v>770.0674528510001</v>
      </c>
      <c r="S100" s="664">
        <v>808.44522681559999</v>
      </c>
      <c r="T100" s="664">
        <v>736.59105190999992</v>
      </c>
      <c r="U100" s="795">
        <v>799.79405567525794</v>
      </c>
      <c r="V100" s="795">
        <v>936.6830903924149</v>
      </c>
      <c r="W100" s="795">
        <v>1013.1736650591851</v>
      </c>
      <c r="X100" s="795">
        <v>1084.2326746755821</v>
      </c>
      <c r="Y100" s="795">
        <v>926.18866461550783</v>
      </c>
      <c r="Z100" s="795">
        <v>1855.4002443724978</v>
      </c>
      <c r="AA100" s="795">
        <v>1661.6434256461564</v>
      </c>
      <c r="AB100" s="795">
        <v>1657.9978314761324</v>
      </c>
      <c r="AC100" s="795">
        <v>1882.902730647935</v>
      </c>
      <c r="AD100" s="795">
        <v>2029.5459584542771</v>
      </c>
      <c r="AE100" s="795">
        <v>2121.655358206996</v>
      </c>
      <c r="AF100" s="795">
        <v>2098.0112250705502</v>
      </c>
      <c r="AG100" s="795">
        <v>2158.8833239561445</v>
      </c>
      <c r="AH100" s="795">
        <v>2489.7712049900401</v>
      </c>
      <c r="AI100" s="795">
        <v>3744.2692637208961</v>
      </c>
      <c r="AJ100" s="795">
        <v>4155.8679908568829</v>
      </c>
      <c r="AK100" s="795">
        <v>4454.3598172714346</v>
      </c>
      <c r="AL100" s="795">
        <v>4989.9076507462632</v>
      </c>
      <c r="AM100" s="666">
        <v>5493.4411654425985</v>
      </c>
      <c r="AN100" s="666">
        <v>4706.5288888501009</v>
      </c>
      <c r="AO100" s="666">
        <v>4838.4834164824651</v>
      </c>
      <c r="AP100" s="666">
        <v>4483.7849558840016</v>
      </c>
      <c r="AQ100" s="666">
        <v>4401.6200424451417</v>
      </c>
      <c r="AR100" s="794">
        <v>4013.7287109496592</v>
      </c>
      <c r="AS100" s="794">
        <v>3995.3991917870385</v>
      </c>
      <c r="AT100" s="794">
        <v>3807.2270378305357</v>
      </c>
      <c r="AU100" s="794">
        <v>3975.51400469891</v>
      </c>
      <c r="AV100" s="794">
        <v>4030.2719575240917</v>
      </c>
      <c r="AW100" s="587">
        <v>3822.1326939366368</v>
      </c>
      <c r="AX100" s="587">
        <v>3576.041704142755</v>
      </c>
      <c r="AY100" s="587">
        <v>3760.3622018337101</v>
      </c>
      <c r="AZ100" s="587">
        <v>4321.7628450836828</v>
      </c>
      <c r="BA100" s="587">
        <v>4286.1327192511326</v>
      </c>
      <c r="BB100" s="587">
        <v>5076.4133249375518</v>
      </c>
      <c r="BC100" s="587">
        <v>5032.9457677654027</v>
      </c>
      <c r="BD100" s="587">
        <v>4634.8070307125636</v>
      </c>
      <c r="BE100" s="587">
        <v>4566.9877742784865</v>
      </c>
      <c r="BF100" s="587">
        <v>4236.1309651734</v>
      </c>
      <c r="BG100" s="587">
        <v>4506.9717652589998</v>
      </c>
      <c r="BH100" s="587">
        <v>4438.0138212631291</v>
      </c>
      <c r="BI100" s="587">
        <v>4580.9228817900894</v>
      </c>
      <c r="BJ100" s="587">
        <v>4407.1366620156086</v>
      </c>
      <c r="BK100" s="587">
        <v>4107.1727612484401</v>
      </c>
      <c r="BL100" s="587">
        <v>4359.6045222536904</v>
      </c>
      <c r="BM100" s="587">
        <v>4668.4158780293619</v>
      </c>
      <c r="BN100" s="587">
        <v>4701.5166690812084</v>
      </c>
      <c r="BO100" s="587">
        <v>4783.799419619425</v>
      </c>
      <c r="BP100" s="587">
        <v>5260.9006798971914</v>
      </c>
      <c r="BQ100" s="587">
        <v>5096.2989496242744</v>
      </c>
      <c r="BR100" s="587">
        <v>5038.5606199521235</v>
      </c>
      <c r="BS100" s="587">
        <v>5474.6890044584716</v>
      </c>
      <c r="BT100" s="587">
        <v>5560.205297856578</v>
      </c>
      <c r="BU100" s="587">
        <v>5408.3974051894747</v>
      </c>
      <c r="BV100" s="587">
        <v>5598.2392397336644</v>
      </c>
      <c r="BW100" s="587">
        <v>5462.1298817169245</v>
      </c>
      <c r="BX100" s="587">
        <v>5525.5667349415007</v>
      </c>
      <c r="BY100" s="587">
        <v>5709.7100208644006</v>
      </c>
      <c r="BZ100" s="587">
        <v>5688.6</v>
      </c>
      <c r="CA100" s="587">
        <v>5611.7488778820198</v>
      </c>
      <c r="CB100" s="587">
        <v>6966.9247731276555</v>
      </c>
      <c r="CC100" s="587">
        <v>7859.6954385377103</v>
      </c>
      <c r="CD100" s="587">
        <v>7505.8112808411697</v>
      </c>
      <c r="CE100" s="587">
        <v>7215.123862775863</v>
      </c>
      <c r="CF100" s="587">
        <v>6457.8209475162639</v>
      </c>
      <c r="CG100" s="587">
        <v>6899.7869665262961</v>
      </c>
      <c r="CH100" s="587">
        <v>7303.4483771381629</v>
      </c>
      <c r="CI100" s="587">
        <v>6752.2187619599708</v>
      </c>
      <c r="CJ100" s="587">
        <v>6792.2447299277528</v>
      </c>
      <c r="CK100" s="587">
        <v>6712.9474384153946</v>
      </c>
      <c r="CL100" s="587">
        <v>6596.0007252802234</v>
      </c>
      <c r="CM100" s="587">
        <v>6605.9548178585792</v>
      </c>
      <c r="CN100" s="587">
        <v>6592.225891089859</v>
      </c>
      <c r="CO100" s="587">
        <v>6704.7852407125683</v>
      </c>
      <c r="CP100" s="820">
        <v>6826.2733793794241</v>
      </c>
      <c r="CQ100" s="587">
        <v>6946.1043188049434</v>
      </c>
      <c r="CR100" s="587">
        <v>6819.6101613116407</v>
      </c>
      <c r="CS100" s="587">
        <v>6664.5797204801511</v>
      </c>
      <c r="CT100" s="587">
        <v>6675.4499300752286</v>
      </c>
      <c r="CU100" s="587">
        <v>7567.5670321336547</v>
      </c>
      <c r="CV100" s="587">
        <v>7700.9670508598356</v>
      </c>
      <c r="CW100" s="587">
        <v>7315.2341064148295</v>
      </c>
      <c r="CX100" s="587">
        <v>6876.340800273194</v>
      </c>
      <c r="CY100" s="587">
        <v>6926.6989738109842</v>
      </c>
      <c r="CZ100" s="587">
        <v>6980.6843216399693</v>
      </c>
      <c r="DA100" s="587">
        <v>6703.0936189812028</v>
      </c>
      <c r="DB100" s="587">
        <v>6755.1600970247773</v>
      </c>
      <c r="DC100" s="587">
        <v>6698.8777939881966</v>
      </c>
      <c r="DD100" s="587">
        <v>7312.7797743858009</v>
      </c>
      <c r="DE100" s="587">
        <v>6956.1348550839439</v>
      </c>
      <c r="DF100" s="587">
        <v>6434.5231689045841</v>
      </c>
      <c r="DG100" s="587">
        <v>6967.7578188297221</v>
      </c>
      <c r="DH100" s="587">
        <v>6795.2356998493424</v>
      </c>
      <c r="DI100" s="587">
        <v>6749.6746463418267</v>
      </c>
      <c r="DJ100" s="587">
        <v>6972.1833089052279</v>
      </c>
      <c r="DK100" s="587">
        <v>7637.6274046470535</v>
      </c>
      <c r="DL100" s="587">
        <v>7493.1267395926407</v>
      </c>
      <c r="DM100" s="587">
        <v>7760.0315194170535</v>
      </c>
      <c r="DN100" s="587">
        <v>8020.1844446016503</v>
      </c>
      <c r="DO100" s="587">
        <v>9814.1384159155277</v>
      </c>
      <c r="DP100" s="587">
        <v>9726.4975266088477</v>
      </c>
      <c r="DQ100" s="587">
        <v>9542.4513246721635</v>
      </c>
      <c r="DR100" s="587">
        <v>8597.1218884299378</v>
      </c>
    </row>
    <row r="101" spans="1:122" ht="15.95" customHeight="1">
      <c r="A101" s="793" t="s">
        <v>2455</v>
      </c>
      <c r="B101" s="794">
        <v>381.14089100000001</v>
      </c>
      <c r="C101" s="664">
        <v>302.61128963000004</v>
      </c>
      <c r="D101" s="664">
        <v>285.53637800000001</v>
      </c>
      <c r="E101" s="593">
        <v>284.21448800000002</v>
      </c>
      <c r="F101" s="664">
        <v>274.02513800000003</v>
      </c>
      <c r="G101" s="664">
        <v>374.02534300000002</v>
      </c>
      <c r="H101" s="664">
        <v>368.18711999999999</v>
      </c>
      <c r="I101" s="664">
        <v>334.661451</v>
      </c>
      <c r="J101" s="664">
        <v>432.17281000000003</v>
      </c>
      <c r="K101" s="593">
        <v>441.52141273000001</v>
      </c>
      <c r="L101" s="664">
        <v>2052.3029062099999</v>
      </c>
      <c r="M101" s="664">
        <v>2048.7337489199999</v>
      </c>
      <c r="N101" s="664">
        <v>2338.9024081794018</v>
      </c>
      <c r="O101" s="593">
        <v>2353.964952379401</v>
      </c>
      <c r="P101" s="664">
        <v>2397.9630134694012</v>
      </c>
      <c r="Q101" s="664">
        <v>2389.7803961655663</v>
      </c>
      <c r="R101" s="593">
        <v>2339.8218220753397</v>
      </c>
      <c r="S101" s="664">
        <v>2366.8926311532732</v>
      </c>
      <c r="T101" s="664">
        <v>2347.6050583645938</v>
      </c>
      <c r="U101" s="795">
        <v>2338.7577917844678</v>
      </c>
      <c r="V101" s="795">
        <v>813.77663583446781</v>
      </c>
      <c r="W101" s="795">
        <v>800.93301396543848</v>
      </c>
      <c r="X101" s="795">
        <v>762.53315009543849</v>
      </c>
      <c r="Y101" s="795">
        <v>690.77569324543856</v>
      </c>
      <c r="Z101" s="795">
        <v>875.22545058905791</v>
      </c>
      <c r="AA101" s="795">
        <v>856.39211658905788</v>
      </c>
      <c r="AB101" s="795">
        <v>846.17491996905778</v>
      </c>
      <c r="AC101" s="795">
        <v>962.37317897051287</v>
      </c>
      <c r="AD101" s="795">
        <v>910.00165437592636</v>
      </c>
      <c r="AE101" s="795">
        <v>903.5156826259265</v>
      </c>
      <c r="AF101" s="795">
        <v>905.56880137592634</v>
      </c>
      <c r="AG101" s="795">
        <v>903.24171565592633</v>
      </c>
      <c r="AH101" s="795">
        <v>870.58053361592636</v>
      </c>
      <c r="AI101" s="795">
        <v>844.03356805300098</v>
      </c>
      <c r="AJ101" s="795">
        <v>789.98935332300096</v>
      </c>
      <c r="AK101" s="795">
        <v>776.08177119300103</v>
      </c>
      <c r="AL101" s="795">
        <v>739.87209321773605</v>
      </c>
      <c r="AM101" s="666">
        <v>729.26508691773608</v>
      </c>
      <c r="AN101" s="666">
        <v>629.52247591773607</v>
      </c>
      <c r="AO101" s="666">
        <v>634.03069074906625</v>
      </c>
      <c r="AP101" s="666">
        <v>628.47410435906625</v>
      </c>
      <c r="AQ101" s="666">
        <v>617.57752563906627</v>
      </c>
      <c r="AR101" s="794">
        <v>607.74584303573283</v>
      </c>
      <c r="AS101" s="794">
        <v>605.66193696573293</v>
      </c>
      <c r="AT101" s="794">
        <v>588.7356674257328</v>
      </c>
      <c r="AU101" s="794">
        <v>574.60864812609407</v>
      </c>
      <c r="AV101" s="794">
        <v>566.27279296609402</v>
      </c>
      <c r="AW101" s="587">
        <v>557.94309238609412</v>
      </c>
      <c r="AX101" s="587">
        <v>759.54389995805184</v>
      </c>
      <c r="AY101" s="587">
        <v>753.54239917805182</v>
      </c>
      <c r="AZ101" s="587">
        <v>695.2011811780518</v>
      </c>
      <c r="BA101" s="587">
        <v>702.75181049288278</v>
      </c>
      <c r="BB101" s="587">
        <v>691.00808081288278</v>
      </c>
      <c r="BC101" s="587">
        <v>679.33504925288287</v>
      </c>
      <c r="BD101" s="587">
        <v>788.07075187510304</v>
      </c>
      <c r="BE101" s="587">
        <v>777.97135363510301</v>
      </c>
      <c r="BF101" s="587">
        <v>763.48328460510299</v>
      </c>
      <c r="BG101" s="587">
        <v>768.64001738133641</v>
      </c>
      <c r="BH101" s="587">
        <v>755.30659838133647</v>
      </c>
      <c r="BI101" s="587">
        <v>741.97326438133643</v>
      </c>
      <c r="BJ101" s="587">
        <v>820.6427628737564</v>
      </c>
      <c r="BK101" s="587">
        <v>810.81510727375655</v>
      </c>
      <c r="BL101" s="587">
        <v>793.98801387375636</v>
      </c>
      <c r="BM101" s="587">
        <v>960.40302395000003</v>
      </c>
      <c r="BN101" s="587">
        <v>830.93890644232317</v>
      </c>
      <c r="BO101" s="587">
        <v>812.01249773232314</v>
      </c>
      <c r="BP101" s="587">
        <v>798.13518832049795</v>
      </c>
      <c r="BQ101" s="587">
        <v>785.70795316049794</v>
      </c>
      <c r="BR101" s="587">
        <v>771.47003816049789</v>
      </c>
      <c r="BS101" s="587">
        <v>764.92091790800782</v>
      </c>
      <c r="BT101" s="587">
        <v>728.10997330156067</v>
      </c>
      <c r="BU101" s="587">
        <v>746.36401860156059</v>
      </c>
      <c r="BV101" s="587">
        <v>884.22925797999994</v>
      </c>
      <c r="BW101" s="587">
        <v>852.79331327999989</v>
      </c>
      <c r="BX101" s="587">
        <v>931.98122499999999</v>
      </c>
      <c r="BY101" s="587">
        <v>932.64709300000004</v>
      </c>
      <c r="BZ101" s="587">
        <v>922.2</v>
      </c>
      <c r="CA101" s="587">
        <v>921.22766354275007</v>
      </c>
      <c r="CB101" s="587">
        <v>907.98291426275011</v>
      </c>
      <c r="CC101" s="587">
        <v>308.30996425000001</v>
      </c>
      <c r="CD101" s="587">
        <v>417.75223341999998</v>
      </c>
      <c r="CE101" s="587">
        <v>519.08684378999999</v>
      </c>
      <c r="CF101" s="587">
        <v>511.8668419</v>
      </c>
      <c r="CG101" s="587">
        <v>504.52041152000004</v>
      </c>
      <c r="CH101" s="587">
        <v>541.17620889</v>
      </c>
      <c r="CI101" s="587">
        <v>538.10996406000004</v>
      </c>
      <c r="CJ101" s="587">
        <v>540.13928379000004</v>
      </c>
      <c r="CK101" s="587">
        <v>536.76707811999995</v>
      </c>
      <c r="CL101" s="587">
        <v>456.26798581000003</v>
      </c>
      <c r="CM101" s="587">
        <v>425.08917665000001</v>
      </c>
      <c r="CN101" s="587">
        <v>412.26895896999997</v>
      </c>
      <c r="CO101" s="587">
        <v>398.37499306999996</v>
      </c>
      <c r="CP101" s="820">
        <v>467.71017252000007</v>
      </c>
      <c r="CQ101" s="587">
        <v>497.53095352999998</v>
      </c>
      <c r="CR101" s="587">
        <v>488.12421932000001</v>
      </c>
      <c r="CS101" s="587">
        <v>459.59498085000001</v>
      </c>
      <c r="CT101" s="587">
        <v>452.72130077000003</v>
      </c>
      <c r="CU101" s="587">
        <v>455.99258927999995</v>
      </c>
      <c r="CV101" s="587">
        <v>442.86412240999999</v>
      </c>
      <c r="CW101" s="587">
        <v>443.23145349999999</v>
      </c>
      <c r="CX101" s="587">
        <v>421.08020832</v>
      </c>
      <c r="CY101" s="587">
        <v>476.6715519</v>
      </c>
      <c r="CZ101" s="587">
        <v>495.43524981999997</v>
      </c>
      <c r="DA101" s="587">
        <v>688.71012415999996</v>
      </c>
      <c r="DB101" s="587">
        <v>701.68831126999999</v>
      </c>
      <c r="DC101" s="587">
        <v>651.76059376000001</v>
      </c>
      <c r="DD101" s="587">
        <v>664.56444291999992</v>
      </c>
      <c r="DE101" s="587">
        <v>495.46454969999996</v>
      </c>
      <c r="DF101" s="587">
        <v>479.94742694999997</v>
      </c>
      <c r="DG101" s="587">
        <v>456.11532117000002</v>
      </c>
      <c r="DH101" s="587">
        <v>445.02609278</v>
      </c>
      <c r="DI101" s="587">
        <v>433.99804361000002</v>
      </c>
      <c r="DJ101" s="587">
        <v>424.41120941000003</v>
      </c>
      <c r="DK101" s="587">
        <v>412.16601271999997</v>
      </c>
      <c r="DL101" s="587">
        <v>410.05272070000001</v>
      </c>
      <c r="DM101" s="587">
        <v>401.91943788999998</v>
      </c>
      <c r="DN101" s="587">
        <v>198.57784896000001</v>
      </c>
      <c r="DO101" s="587">
        <v>193.51114268000001</v>
      </c>
      <c r="DP101" s="587">
        <v>188.45730481000001</v>
      </c>
      <c r="DQ101" s="587">
        <v>183.56959449999999</v>
      </c>
      <c r="DR101" s="587">
        <v>178.36188095999998</v>
      </c>
    </row>
    <row r="102" spans="1:122" ht="15.95" customHeight="1">
      <c r="A102" s="793" t="s">
        <v>2389</v>
      </c>
      <c r="B102" s="794">
        <v>5843.0565415835536</v>
      </c>
      <c r="C102" s="664">
        <v>5559.6508094964829</v>
      </c>
      <c r="D102" s="664">
        <v>5402.9399321534711</v>
      </c>
      <c r="E102" s="593">
        <v>5589.0693086817</v>
      </c>
      <c r="F102" s="664">
        <v>5384.7305975907293</v>
      </c>
      <c r="G102" s="664">
        <v>5309.0810698800469</v>
      </c>
      <c r="H102" s="664">
        <v>5964.7013840558393</v>
      </c>
      <c r="I102" s="664">
        <v>6098.2309947908798</v>
      </c>
      <c r="J102" s="664">
        <v>6082.0523489815996</v>
      </c>
      <c r="K102" s="593">
        <v>5963.8149222485999</v>
      </c>
      <c r="L102" s="664">
        <v>6090.9573205450479</v>
      </c>
      <c r="M102" s="664">
        <v>5929.4918350761973</v>
      </c>
      <c r="N102" s="664">
        <v>6186.1345093231603</v>
      </c>
      <c r="O102" s="593">
        <v>6338.1862835821003</v>
      </c>
      <c r="P102" s="664">
        <v>6925.6437506492466</v>
      </c>
      <c r="Q102" s="664">
        <v>6964.3098789862006</v>
      </c>
      <c r="R102" s="593">
        <v>7538.4142954195995</v>
      </c>
      <c r="S102" s="664">
        <v>7830.9613635325013</v>
      </c>
      <c r="T102" s="664">
        <v>7878.3259107999993</v>
      </c>
      <c r="U102" s="795">
        <v>8305.7927825150182</v>
      </c>
      <c r="V102" s="795">
        <v>8437.8692368629872</v>
      </c>
      <c r="W102" s="795">
        <v>8839.8772899001997</v>
      </c>
      <c r="X102" s="795">
        <v>8795.7042239999992</v>
      </c>
      <c r="Y102" s="795">
        <v>8721.1979148789906</v>
      </c>
      <c r="Z102" s="795">
        <v>7816.3438431857876</v>
      </c>
      <c r="AA102" s="795">
        <v>7748.380829087946</v>
      </c>
      <c r="AB102" s="795">
        <v>7784.153618037426</v>
      </c>
      <c r="AC102" s="795">
        <v>8676.7860172852324</v>
      </c>
      <c r="AD102" s="795">
        <v>8627.8424176872686</v>
      </c>
      <c r="AE102" s="795">
        <v>8693.1561027003245</v>
      </c>
      <c r="AF102" s="795">
        <v>8632.6252355775541</v>
      </c>
      <c r="AG102" s="795">
        <v>8847.3806556513282</v>
      </c>
      <c r="AH102" s="795">
        <v>8337.9693267333387</v>
      </c>
      <c r="AI102" s="795">
        <v>8636.3118297826659</v>
      </c>
      <c r="AJ102" s="795">
        <v>8328.3025826940157</v>
      </c>
      <c r="AK102" s="795">
        <v>8974.3879707484375</v>
      </c>
      <c r="AL102" s="795">
        <v>9311.7854957182954</v>
      </c>
      <c r="AM102" s="666">
        <v>9347.8913287904797</v>
      </c>
      <c r="AN102" s="666">
        <v>9404.6315948528718</v>
      </c>
      <c r="AO102" s="666">
        <v>9739.2593938442769</v>
      </c>
      <c r="AP102" s="666">
        <v>10004.12934457988</v>
      </c>
      <c r="AQ102" s="666">
        <v>10110.843716640182</v>
      </c>
      <c r="AR102" s="794">
        <v>10481.630446117419</v>
      </c>
      <c r="AS102" s="794">
        <v>9588.9037520400016</v>
      </c>
      <c r="AT102" s="794">
        <v>9808.146917614833</v>
      </c>
      <c r="AU102" s="794">
        <v>9588.0800079374403</v>
      </c>
      <c r="AV102" s="794">
        <v>9718.6503103592222</v>
      </c>
      <c r="AW102" s="587">
        <v>9268.3878983211143</v>
      </c>
      <c r="AX102" s="587">
        <v>9353.4470332928995</v>
      </c>
      <c r="AY102" s="587">
        <v>9437.5246191005372</v>
      </c>
      <c r="AZ102" s="587">
        <v>10274.352882980123</v>
      </c>
      <c r="BA102" s="587">
        <v>10166.427793609553</v>
      </c>
      <c r="BB102" s="587">
        <v>10389.417836790184</v>
      </c>
      <c r="BC102" s="587">
        <v>10625.011745687814</v>
      </c>
      <c r="BD102" s="587">
        <v>9968.1205601711408</v>
      </c>
      <c r="BE102" s="587">
        <v>10049.684991127566</v>
      </c>
      <c r="BF102" s="587">
        <v>10591.858671057624</v>
      </c>
      <c r="BG102" s="587">
        <v>10290.99895543688</v>
      </c>
      <c r="BH102" s="587">
        <v>10512.315250310969</v>
      </c>
      <c r="BI102" s="587">
        <v>10090.904356145989</v>
      </c>
      <c r="BJ102" s="587">
        <v>10605.867338809932</v>
      </c>
      <c r="BK102" s="587">
        <v>11040.351617682078</v>
      </c>
      <c r="BL102" s="587">
        <v>10834.717194104769</v>
      </c>
      <c r="BM102" s="587">
        <v>10864.337875750831</v>
      </c>
      <c r="BN102" s="587">
        <v>11143.472911347837</v>
      </c>
      <c r="BO102" s="587">
        <v>11339.18894172525</v>
      </c>
      <c r="BP102" s="587">
        <v>13010.94603568831</v>
      </c>
      <c r="BQ102" s="587">
        <v>13142.899956530015</v>
      </c>
      <c r="BR102" s="587">
        <v>13363.50966748602</v>
      </c>
      <c r="BS102" s="587">
        <v>12936.477396168693</v>
      </c>
      <c r="BT102" s="587">
        <v>13068.660070256547</v>
      </c>
      <c r="BU102" s="587">
        <v>13263.756393642407</v>
      </c>
      <c r="BV102" s="587">
        <v>13422.464196176719</v>
      </c>
      <c r="BW102" s="587">
        <v>13318.599485888837</v>
      </c>
      <c r="BX102" s="587">
        <v>13884.877446752998</v>
      </c>
      <c r="BY102" s="587">
        <v>12626.312459336299</v>
      </c>
      <c r="BZ102" s="587">
        <v>12673.5</v>
      </c>
      <c r="CA102" s="587">
        <v>12681.161033793069</v>
      </c>
      <c r="CB102" s="587">
        <v>12468.731049080949</v>
      </c>
      <c r="CC102" s="587">
        <v>12556.242423928998</v>
      </c>
      <c r="CD102" s="587">
        <v>12565.614363119123</v>
      </c>
      <c r="CE102" s="587">
        <v>13330.591293970043</v>
      </c>
      <c r="CF102" s="587">
        <v>13385.725306133078</v>
      </c>
      <c r="CG102" s="587">
        <v>13505.929810974714</v>
      </c>
      <c r="CH102" s="587">
        <v>13874.19672138575</v>
      </c>
      <c r="CI102" s="587">
        <v>14264.518265692097</v>
      </c>
      <c r="CJ102" s="587">
        <v>14179.103431277292</v>
      </c>
      <c r="CK102" s="587">
        <v>14072.053020673709</v>
      </c>
      <c r="CL102" s="587">
        <v>14578.135137691666</v>
      </c>
      <c r="CM102" s="587">
        <v>14805.33190524052</v>
      </c>
      <c r="CN102" s="587">
        <v>14968.761863425219</v>
      </c>
      <c r="CO102" s="587">
        <v>15098.044093518205</v>
      </c>
      <c r="CP102" s="820">
        <v>15796.365322770551</v>
      </c>
      <c r="CQ102" s="587">
        <v>15629.802863859108</v>
      </c>
      <c r="CR102" s="587">
        <v>15495.803244839399</v>
      </c>
      <c r="CS102" s="587">
        <v>14805.436872236807</v>
      </c>
      <c r="CT102" s="587">
        <v>14797.377580901317</v>
      </c>
      <c r="CU102" s="587">
        <v>16078.05223355928</v>
      </c>
      <c r="CV102" s="587">
        <v>16838.235221396673</v>
      </c>
      <c r="CW102" s="587">
        <v>17241.250708475582</v>
      </c>
      <c r="CX102" s="587">
        <v>15935.731066888802</v>
      </c>
      <c r="CY102" s="587">
        <v>16290.5268088251</v>
      </c>
      <c r="CZ102" s="587">
        <v>14772.610030014266</v>
      </c>
      <c r="DA102" s="587">
        <v>15344.610266733509</v>
      </c>
      <c r="DB102" s="587">
        <v>14413.982020529544</v>
      </c>
      <c r="DC102" s="587">
        <v>15253.669761821304</v>
      </c>
      <c r="DD102" s="587">
        <v>15164.432433200847</v>
      </c>
      <c r="DE102" s="587">
        <v>14969.756712879434</v>
      </c>
      <c r="DF102" s="587">
        <v>11345.259370575928</v>
      </c>
      <c r="DG102" s="587">
        <v>10182.197026393402</v>
      </c>
      <c r="DH102" s="587">
        <v>10255.658428449462</v>
      </c>
      <c r="DI102" s="587">
        <v>10043.946344108208</v>
      </c>
      <c r="DJ102" s="587">
        <v>10326.778058023629</v>
      </c>
      <c r="DK102" s="587">
        <v>11326.679219461514</v>
      </c>
      <c r="DL102" s="587">
        <v>11585.359505858953</v>
      </c>
      <c r="DM102" s="587">
        <v>11669.773358485883</v>
      </c>
      <c r="DN102" s="587">
        <v>11539.622355645724</v>
      </c>
      <c r="DO102" s="587">
        <v>11709.832558019918</v>
      </c>
      <c r="DP102" s="587">
        <v>11890.198580778962</v>
      </c>
      <c r="DQ102" s="587">
        <v>11373.492418012294</v>
      </c>
      <c r="DR102" s="587">
        <v>11173.50550056413</v>
      </c>
    </row>
    <row r="103" spans="1:122" ht="7.7" customHeight="1">
      <c r="A103" s="786"/>
      <c r="B103" s="787"/>
      <c r="C103" s="584"/>
      <c r="D103" s="584"/>
      <c r="E103" s="596"/>
      <c r="F103" s="584"/>
      <c r="G103" s="584"/>
      <c r="H103" s="664"/>
      <c r="I103" s="664"/>
      <c r="J103" s="664"/>
      <c r="K103" s="593"/>
      <c r="L103" s="664"/>
      <c r="M103" s="664"/>
      <c r="N103" s="664"/>
      <c r="O103" s="593"/>
      <c r="P103" s="664"/>
      <c r="Q103" s="664"/>
      <c r="R103" s="593"/>
      <c r="S103" s="664"/>
      <c r="T103" s="664"/>
      <c r="U103" s="795"/>
      <c r="V103" s="795"/>
      <c r="W103" s="795"/>
      <c r="X103" s="795"/>
      <c r="Y103" s="795"/>
      <c r="Z103" s="795"/>
      <c r="AA103" s="795"/>
      <c r="AB103" s="795"/>
      <c r="AC103" s="795"/>
      <c r="AD103" s="795"/>
      <c r="AE103" s="795"/>
      <c r="AF103" s="795"/>
      <c r="AG103" s="795"/>
      <c r="AH103" s="795"/>
      <c r="AI103" s="795"/>
      <c r="AJ103" s="795"/>
      <c r="AK103" s="795"/>
      <c r="AL103" s="795"/>
      <c r="AM103" s="665"/>
      <c r="AN103" s="665"/>
      <c r="AO103" s="665"/>
      <c r="AP103" s="665"/>
      <c r="AQ103" s="665"/>
      <c r="AR103" s="787"/>
      <c r="AS103" s="787"/>
      <c r="AT103" s="787"/>
      <c r="AU103" s="787"/>
      <c r="AV103" s="787"/>
      <c r="AW103" s="790"/>
      <c r="AX103" s="790"/>
      <c r="AY103" s="790"/>
      <c r="AZ103" s="790"/>
      <c r="BA103" s="790"/>
      <c r="BB103" s="790"/>
      <c r="BC103" s="790"/>
      <c r="BD103" s="790"/>
      <c r="BE103" s="790"/>
      <c r="BF103" s="790"/>
      <c r="BG103" s="790"/>
      <c r="BH103" s="790"/>
      <c r="BI103" s="790"/>
      <c r="BJ103" s="790"/>
      <c r="BK103" s="790"/>
      <c r="BL103" s="790"/>
      <c r="BM103" s="790"/>
      <c r="BN103" s="790"/>
      <c r="BO103" s="790"/>
      <c r="BP103" s="790"/>
      <c r="BQ103" s="790"/>
      <c r="BR103" s="790"/>
      <c r="BS103" s="790"/>
      <c r="BT103" s="790"/>
      <c r="BU103" s="790"/>
      <c r="BV103" s="790"/>
      <c r="BW103" s="790"/>
      <c r="BX103" s="790"/>
      <c r="BY103" s="790"/>
      <c r="BZ103" s="790"/>
      <c r="CA103" s="790"/>
      <c r="CB103" s="790"/>
      <c r="CC103" s="790"/>
      <c r="CD103" s="790"/>
      <c r="CE103" s="790"/>
      <c r="CF103" s="790"/>
      <c r="CG103" s="790"/>
      <c r="CH103" s="790"/>
      <c r="CI103" s="790"/>
      <c r="CJ103" s="790"/>
      <c r="CK103" s="790"/>
      <c r="CL103" s="790"/>
      <c r="CM103" s="790"/>
      <c r="CN103" s="790"/>
      <c r="CO103" s="790"/>
      <c r="CP103" s="819"/>
      <c r="CQ103" s="587"/>
      <c r="CR103" s="790"/>
      <c r="CS103" s="790"/>
      <c r="CT103" s="790"/>
      <c r="CU103" s="790"/>
      <c r="CV103" s="790"/>
      <c r="CW103" s="790"/>
      <c r="CX103" s="790"/>
      <c r="CY103" s="790"/>
      <c r="CZ103" s="790"/>
      <c r="DA103" s="790"/>
      <c r="DB103" s="790"/>
      <c r="DC103" s="790"/>
      <c r="DD103" s="790"/>
      <c r="DE103" s="790"/>
      <c r="DF103" s="790"/>
      <c r="DG103" s="790"/>
      <c r="DH103" s="790"/>
      <c r="DI103" s="790"/>
      <c r="DJ103" s="790"/>
      <c r="DK103" s="790"/>
      <c r="DL103" s="790"/>
      <c r="DM103" s="790"/>
      <c r="DN103" s="790"/>
      <c r="DO103" s="790"/>
      <c r="DP103" s="790"/>
      <c r="DQ103" s="790"/>
      <c r="DR103" s="790"/>
    </row>
    <row r="104" spans="1:122">
      <c r="A104" s="786" t="s">
        <v>2456</v>
      </c>
      <c r="B104" s="787">
        <f>SUM(B106:B111)</f>
        <v>1509.70975011</v>
      </c>
      <c r="C104" s="584">
        <f>SUM(C106:C111)</f>
        <v>1523.1343472900003</v>
      </c>
      <c r="D104" s="584">
        <f>SUM(D106:D111)</f>
        <v>1435.4538235392199</v>
      </c>
      <c r="E104" s="596">
        <f>SUM(E106:E111)</f>
        <v>1777.6978128800001</v>
      </c>
      <c r="F104" s="584">
        <v>1783.0134692099998</v>
      </c>
      <c r="G104" s="584">
        <v>1782.97130324</v>
      </c>
      <c r="H104" s="584">
        <v>1928.6365559099997</v>
      </c>
      <c r="I104" s="584">
        <v>2159.7271055099995</v>
      </c>
      <c r="J104" s="584">
        <v>2096.2796883999999</v>
      </c>
      <c r="K104" s="596">
        <v>2240.9168075799998</v>
      </c>
      <c r="L104" s="584">
        <v>2359.1139275</v>
      </c>
      <c r="M104" s="584">
        <v>2532.0489711800001</v>
      </c>
      <c r="N104" s="584">
        <v>2832.795467736827</v>
      </c>
      <c r="O104" s="596">
        <v>3056.7181062300001</v>
      </c>
      <c r="P104" s="584">
        <v>2950.8056036100006</v>
      </c>
      <c r="Q104" s="584">
        <v>3271.7490953799997</v>
      </c>
      <c r="R104" s="596">
        <v>3261.0112979267997</v>
      </c>
      <c r="S104" s="584">
        <v>3222.4995605480003</v>
      </c>
      <c r="T104" s="584">
        <v>3446.5573752949999</v>
      </c>
      <c r="U104" s="586">
        <v>3722.3216707786</v>
      </c>
      <c r="V104" s="586">
        <v>3555.3852888812253</v>
      </c>
      <c r="W104" s="586">
        <v>3906.7524735088</v>
      </c>
      <c r="X104" s="586">
        <v>3980.1829983998005</v>
      </c>
      <c r="Y104" s="586">
        <v>3955.0857712682723</v>
      </c>
      <c r="Z104" s="586">
        <v>4136.6673557411377</v>
      </c>
      <c r="AA104" s="586">
        <v>4719.2753357909669</v>
      </c>
      <c r="AB104" s="586">
        <v>4731.3731359345293</v>
      </c>
      <c r="AC104" s="586">
        <v>5472.0266775643213</v>
      </c>
      <c r="AD104" s="586">
        <v>5284.1989032000001</v>
      </c>
      <c r="AE104" s="586">
        <v>5278.0772102500014</v>
      </c>
      <c r="AF104" s="586">
        <v>5297.4631043299996</v>
      </c>
      <c r="AG104" s="586">
        <v>5292.8926040299993</v>
      </c>
      <c r="AH104" s="586">
        <v>5252.9533871599997</v>
      </c>
      <c r="AI104" s="586">
        <v>5191.3927255099989</v>
      </c>
      <c r="AJ104" s="586">
        <v>5257.7029262500009</v>
      </c>
      <c r="AK104" s="586">
        <v>5222.8961423800001</v>
      </c>
      <c r="AL104" s="586">
        <v>5124.9316933700011</v>
      </c>
      <c r="AM104" s="665">
        <v>6001.12399671</v>
      </c>
      <c r="AN104" s="665">
        <v>5071.9550348500006</v>
      </c>
      <c r="AO104" s="665">
        <v>5134.7203384800005</v>
      </c>
      <c r="AP104" s="665">
        <v>5214.7937380833009</v>
      </c>
      <c r="AQ104" s="665">
        <v>5019.2706518697996</v>
      </c>
      <c r="AR104" s="787">
        <v>5011.9611979984011</v>
      </c>
      <c r="AS104" s="787">
        <v>5012.5874523900002</v>
      </c>
      <c r="AT104" s="787">
        <v>5093.6261356928017</v>
      </c>
      <c r="AU104" s="787">
        <v>5227.9352840696001</v>
      </c>
      <c r="AV104" s="787">
        <v>5213.4135083210003</v>
      </c>
      <c r="AW104" s="790">
        <v>5192.8869614513997</v>
      </c>
      <c r="AX104" s="790">
        <v>5170.2930121266008</v>
      </c>
      <c r="AY104" s="790">
        <v>5117.4767530987019</v>
      </c>
      <c r="AZ104" s="790">
        <v>4969.6525154068004</v>
      </c>
      <c r="BA104" s="790">
        <v>4952.8842333205994</v>
      </c>
      <c r="BB104" s="790">
        <v>4968.2237115259986</v>
      </c>
      <c r="BC104" s="790">
        <v>4991.351040043799</v>
      </c>
      <c r="BD104" s="790">
        <v>4679.0333738847994</v>
      </c>
      <c r="BE104" s="790">
        <v>4739.297370675099</v>
      </c>
      <c r="BF104" s="790">
        <v>4737.8399976220007</v>
      </c>
      <c r="BG104" s="790">
        <v>5011.7861140549994</v>
      </c>
      <c r="BH104" s="790">
        <v>4984.6044536206</v>
      </c>
      <c r="BI104" s="790">
        <v>4599.8889201365</v>
      </c>
      <c r="BJ104" s="790">
        <v>4626.6899196592994</v>
      </c>
      <c r="BK104" s="790">
        <v>4607.3518246560006</v>
      </c>
      <c r="BL104" s="790">
        <v>4604.0258776235996</v>
      </c>
      <c r="BM104" s="790">
        <v>4515.9871865396008</v>
      </c>
      <c r="BN104" s="790">
        <v>4503.6206132851003</v>
      </c>
      <c r="BO104" s="790">
        <v>4515.6693013260001</v>
      </c>
      <c r="BP104" s="790">
        <v>4596.0199963968998</v>
      </c>
      <c r="BQ104" s="790">
        <v>4538.0364011846996</v>
      </c>
      <c r="BR104" s="790">
        <v>4533.8173955696002</v>
      </c>
      <c r="BS104" s="790">
        <v>4561.4763032700002</v>
      </c>
      <c r="BT104" s="790">
        <v>4485.4882666535559</v>
      </c>
      <c r="BU104" s="790">
        <v>4742.118447319458</v>
      </c>
      <c r="BV104" s="790">
        <v>4869.9260031321537</v>
      </c>
      <c r="BW104" s="790">
        <v>4820.9327075944093</v>
      </c>
      <c r="BX104" s="790">
        <v>4778.5848931379996</v>
      </c>
      <c r="BY104" s="790">
        <v>4918.598412099901</v>
      </c>
      <c r="BZ104" s="790">
        <v>4850.2</v>
      </c>
      <c r="CA104" s="790">
        <v>4837.9414658570431</v>
      </c>
      <c r="CB104" s="790">
        <v>5008.919048558656</v>
      </c>
      <c r="CC104" s="790">
        <v>5247.7130071773581</v>
      </c>
      <c r="CD104" s="790">
        <v>4798.6357955309813</v>
      </c>
      <c r="CE104" s="790">
        <v>4772.9053229254278</v>
      </c>
      <c r="CF104" s="790">
        <v>5010.3745755004684</v>
      </c>
      <c r="CG104" s="790">
        <v>4983.999164788378</v>
      </c>
      <c r="CH104" s="790">
        <v>5339.7968440045843</v>
      </c>
      <c r="CI104" s="790">
        <v>5104.4157031112536</v>
      </c>
      <c r="CJ104" s="790">
        <v>4609.8845675915545</v>
      </c>
      <c r="CK104" s="790">
        <v>4519.6842046908441</v>
      </c>
      <c r="CL104" s="790">
        <v>4589.0669697419962</v>
      </c>
      <c r="CM104" s="790">
        <v>4611.6554767679072</v>
      </c>
      <c r="CN104" s="790">
        <v>4939.7034843434312</v>
      </c>
      <c r="CO104" s="790">
        <v>4601.7767237080379</v>
      </c>
      <c r="CP104" s="819">
        <v>4603.7480078824756</v>
      </c>
      <c r="CQ104" s="790">
        <v>4637.5540243965588</v>
      </c>
      <c r="CR104" s="790">
        <v>4574.5220597050047</v>
      </c>
      <c r="CS104" s="790">
        <v>4552.3019547040949</v>
      </c>
      <c r="CT104" s="790">
        <v>4528.6528754635538</v>
      </c>
      <c r="CU104" s="790">
        <v>4380.4741818151906</v>
      </c>
      <c r="CV104" s="790">
        <v>4296.8779493818765</v>
      </c>
      <c r="CW104" s="790">
        <v>4398.7340739368456</v>
      </c>
      <c r="CX104" s="790">
        <v>4415.143159425138</v>
      </c>
      <c r="CY104" s="790">
        <v>4407.5101466302431</v>
      </c>
      <c r="CZ104" s="790">
        <v>4470.4268681511494</v>
      </c>
      <c r="DA104" s="790">
        <v>4376.5370871671694</v>
      </c>
      <c r="DB104" s="790">
        <v>4363.4521039060683</v>
      </c>
      <c r="DC104" s="790">
        <v>4380.8822737070886</v>
      </c>
      <c r="DD104" s="790">
        <v>4399.4761551193196</v>
      </c>
      <c r="DE104" s="790">
        <v>4371.4322952930133</v>
      </c>
      <c r="DF104" s="790">
        <v>4333.4335600078566</v>
      </c>
      <c r="DG104" s="790">
        <v>4344.5340612890132</v>
      </c>
      <c r="DH104" s="790">
        <v>4268.946478711694</v>
      </c>
      <c r="DI104" s="790">
        <v>4310.2048651161331</v>
      </c>
      <c r="DJ104" s="790">
        <v>4275.8313822139444</v>
      </c>
      <c r="DK104" s="790">
        <v>4203.1573821018437</v>
      </c>
      <c r="DL104" s="790">
        <v>4263.3041402957606</v>
      </c>
      <c r="DM104" s="790">
        <v>4229.0416446045574</v>
      </c>
      <c r="DN104" s="790">
        <v>4255.4430132474681</v>
      </c>
      <c r="DO104" s="790">
        <v>4244.5046352017589</v>
      </c>
      <c r="DP104" s="790">
        <v>4043.0506175264936</v>
      </c>
      <c r="DQ104" s="790">
        <v>4040.6273291351226</v>
      </c>
      <c r="DR104" s="790">
        <v>4251.7090243905095</v>
      </c>
    </row>
    <row r="105" spans="1:122" ht="15.95" customHeight="1">
      <c r="A105" s="793" t="s">
        <v>2380</v>
      </c>
      <c r="B105" s="787"/>
      <c r="C105" s="584"/>
      <c r="D105" s="584"/>
      <c r="E105" s="596"/>
      <c r="F105" s="584"/>
      <c r="G105" s="584"/>
      <c r="H105" s="664"/>
      <c r="I105" s="664"/>
      <c r="J105" s="664"/>
      <c r="K105" s="593"/>
      <c r="L105" s="664"/>
      <c r="M105" s="664"/>
      <c r="N105" s="664"/>
      <c r="O105" s="593"/>
      <c r="P105" s="664"/>
      <c r="Q105" s="664"/>
      <c r="R105" s="593"/>
      <c r="S105" s="664"/>
      <c r="T105" s="664"/>
      <c r="U105" s="795"/>
      <c r="V105" s="795"/>
      <c r="W105" s="795"/>
      <c r="X105" s="795"/>
      <c r="Y105" s="795"/>
      <c r="Z105" s="795"/>
      <c r="AA105" s="795"/>
      <c r="AB105" s="795"/>
      <c r="AC105" s="795"/>
      <c r="AD105" s="795"/>
      <c r="AE105" s="795"/>
      <c r="AF105" s="795"/>
      <c r="AG105" s="795"/>
      <c r="AH105" s="795"/>
      <c r="AI105" s="795"/>
      <c r="AJ105" s="795"/>
      <c r="AK105" s="795"/>
      <c r="AL105" s="795"/>
      <c r="AM105" s="665"/>
      <c r="AN105" s="665"/>
      <c r="AO105" s="665"/>
      <c r="AP105" s="665"/>
      <c r="AQ105" s="666"/>
      <c r="AR105" s="787"/>
      <c r="AS105" s="787"/>
      <c r="AT105" s="787"/>
      <c r="AU105" s="787"/>
      <c r="AV105" s="787"/>
      <c r="AW105" s="790"/>
      <c r="AX105" s="790"/>
      <c r="AY105" s="790"/>
      <c r="AZ105" s="790"/>
      <c r="BA105" s="790"/>
      <c r="BB105" s="790"/>
      <c r="BC105" s="790"/>
      <c r="BD105" s="790"/>
      <c r="BE105" s="790"/>
      <c r="BF105" s="790"/>
      <c r="BG105" s="790"/>
      <c r="BH105" s="790"/>
      <c r="BI105" s="790"/>
      <c r="BJ105" s="790"/>
      <c r="BK105" s="790"/>
      <c r="BL105" s="790"/>
      <c r="BM105" s="790"/>
      <c r="BN105" s="790"/>
      <c r="BO105" s="790"/>
      <c r="BP105" s="790"/>
      <c r="BQ105" s="790"/>
      <c r="BR105" s="790"/>
      <c r="BS105" s="790"/>
      <c r="BT105" s="790"/>
      <c r="BU105" s="790"/>
      <c r="BV105" s="790"/>
      <c r="BW105" s="790"/>
      <c r="BX105" s="790"/>
      <c r="BY105" s="790"/>
      <c r="BZ105" s="790"/>
      <c r="CA105" s="790"/>
      <c r="CB105" s="790"/>
      <c r="CC105" s="790"/>
      <c r="CD105" s="790"/>
      <c r="CE105" s="790"/>
      <c r="CF105" s="790"/>
      <c r="CG105" s="790"/>
      <c r="CH105" s="790"/>
      <c r="CI105" s="790"/>
      <c r="CJ105" s="790"/>
      <c r="CK105" s="790"/>
      <c r="CL105" s="790"/>
      <c r="CM105" s="790"/>
      <c r="CN105" s="790"/>
      <c r="CO105" s="790"/>
      <c r="CP105" s="819"/>
      <c r="CQ105" s="790"/>
      <c r="CR105" s="790"/>
      <c r="CS105" s="790"/>
      <c r="CT105" s="790"/>
      <c r="CU105" s="790"/>
      <c r="CV105" s="790"/>
      <c r="CW105" s="790"/>
      <c r="CX105" s="790"/>
      <c r="CY105" s="790"/>
      <c r="CZ105" s="790"/>
      <c r="DA105" s="790"/>
      <c r="DB105" s="790"/>
      <c r="DC105" s="790"/>
      <c r="DD105" s="790"/>
      <c r="DE105" s="790"/>
      <c r="DF105" s="790"/>
      <c r="DG105" s="790"/>
      <c r="DH105" s="790"/>
      <c r="DI105" s="790"/>
      <c r="DJ105" s="790"/>
      <c r="DK105" s="790"/>
      <c r="DL105" s="790"/>
      <c r="DM105" s="790"/>
      <c r="DN105" s="790"/>
      <c r="DO105" s="790"/>
      <c r="DP105" s="790"/>
      <c r="DQ105" s="790"/>
      <c r="DR105" s="790"/>
    </row>
    <row r="106" spans="1:122" ht="15.95" customHeight="1">
      <c r="A106" s="793" t="s">
        <v>2457</v>
      </c>
      <c r="B106" s="794">
        <v>119.49455534000001</v>
      </c>
      <c r="C106" s="664">
        <v>119.30625034000001</v>
      </c>
      <c r="D106" s="664">
        <v>119.30625000000001</v>
      </c>
      <c r="E106" s="593">
        <v>112.289063</v>
      </c>
      <c r="F106" s="664">
        <v>112.48625563</v>
      </c>
      <c r="G106" s="664">
        <v>112.76867897</v>
      </c>
      <c r="H106" s="664">
        <v>105.74606136</v>
      </c>
      <c r="I106" s="664">
        <v>105.74100195</v>
      </c>
      <c r="J106" s="664">
        <v>105.73498293</v>
      </c>
      <c r="K106" s="593">
        <v>24.019706510000002</v>
      </c>
      <c r="L106" s="664">
        <v>0.45148349999999998</v>
      </c>
      <c r="M106" s="664">
        <v>0.44630403999999996</v>
      </c>
      <c r="N106" s="664">
        <v>0.44039478000000004</v>
      </c>
      <c r="O106" s="593">
        <v>20.754899780000002</v>
      </c>
      <c r="P106" s="664">
        <v>0.95627418999999991</v>
      </c>
      <c r="Q106" s="664">
        <v>0.94292693999999999</v>
      </c>
      <c r="R106" s="593">
        <v>1.03827666</v>
      </c>
      <c r="S106" s="664">
        <v>1.40527326</v>
      </c>
      <c r="T106" s="664">
        <v>1.38103205</v>
      </c>
      <c r="U106" s="795">
        <v>1.4526903</v>
      </c>
      <c r="V106" s="795">
        <v>1.53126601</v>
      </c>
      <c r="W106" s="795">
        <v>1.8102425200000001</v>
      </c>
      <c r="X106" s="795">
        <v>1.81593559</v>
      </c>
      <c r="Y106" s="795">
        <v>2.6619332999999998</v>
      </c>
      <c r="Z106" s="795">
        <v>2.6905306600000003</v>
      </c>
      <c r="AA106" s="795">
        <v>59.017689750000002</v>
      </c>
      <c r="AB106" s="795">
        <v>59.236836029999999</v>
      </c>
      <c r="AC106" s="795">
        <v>58.907486890000001</v>
      </c>
      <c r="AD106" s="795">
        <v>58.931897870000007</v>
      </c>
      <c r="AE106" s="795">
        <v>57.013748010000008</v>
      </c>
      <c r="AF106" s="795">
        <v>51.077286660000006</v>
      </c>
      <c r="AG106" s="795">
        <v>49.599513710000004</v>
      </c>
      <c r="AH106" s="795">
        <v>46.855433259999998</v>
      </c>
      <c r="AI106" s="795">
        <v>44.036852079999996</v>
      </c>
      <c r="AJ106" s="795">
        <v>48.907155380000006</v>
      </c>
      <c r="AK106" s="795">
        <v>51.11775424999999</v>
      </c>
      <c r="AL106" s="795">
        <v>25.436707629999997</v>
      </c>
      <c r="AM106" s="666">
        <v>47.410901860000003</v>
      </c>
      <c r="AN106" s="666">
        <v>43.159645169999997</v>
      </c>
      <c r="AO106" s="666">
        <v>41.302958429999997</v>
      </c>
      <c r="AP106" s="666">
        <v>45.216777900000004</v>
      </c>
      <c r="AQ106" s="666">
        <v>44.099737509999997</v>
      </c>
      <c r="AR106" s="794">
        <v>45.059103379999996</v>
      </c>
      <c r="AS106" s="794">
        <v>45.224328409999998</v>
      </c>
      <c r="AT106" s="794">
        <v>47.191116170000001</v>
      </c>
      <c r="AU106" s="794">
        <v>43.811339769999996</v>
      </c>
      <c r="AV106" s="794">
        <v>41.335493360000001</v>
      </c>
      <c r="AW106" s="587">
        <v>39.050217979999999</v>
      </c>
      <c r="AX106" s="587">
        <v>37.830638819999997</v>
      </c>
      <c r="AY106" s="587">
        <v>36.384225139999998</v>
      </c>
      <c r="AZ106" s="587">
        <v>35.162277520000004</v>
      </c>
      <c r="BA106" s="587">
        <v>33.40985053</v>
      </c>
      <c r="BB106" s="587">
        <v>33.574761459999998</v>
      </c>
      <c r="BC106" s="587">
        <v>29.755468539999999</v>
      </c>
      <c r="BD106" s="587">
        <v>34.904166840000002</v>
      </c>
      <c r="BE106" s="587">
        <v>34.125251879999993</v>
      </c>
      <c r="BF106" s="587">
        <v>34.632319320000001</v>
      </c>
      <c r="BG106" s="587">
        <v>465.04032915999994</v>
      </c>
      <c r="BH106" s="587">
        <v>466.30826980000001</v>
      </c>
      <c r="BI106" s="587">
        <v>41.138195430000003</v>
      </c>
      <c r="BJ106" s="587">
        <v>38.765016780000003</v>
      </c>
      <c r="BK106" s="587">
        <v>36.797917529999999</v>
      </c>
      <c r="BL106" s="587">
        <v>35.637485759999997</v>
      </c>
      <c r="BM106" s="587">
        <v>35.087282939999994</v>
      </c>
      <c r="BN106" s="587">
        <v>34.263288586750001</v>
      </c>
      <c r="BO106" s="587">
        <v>38.249361739999998</v>
      </c>
      <c r="BP106" s="587">
        <v>21.898889609999998</v>
      </c>
      <c r="BQ106" s="587">
        <v>20.16773263</v>
      </c>
      <c r="BR106" s="587">
        <v>25.65319182</v>
      </c>
      <c r="BS106" s="587">
        <v>17.75135903</v>
      </c>
      <c r="BT106" s="587">
        <v>16.87788802</v>
      </c>
      <c r="BU106" s="587">
        <v>14.272777870000001</v>
      </c>
      <c r="BV106" s="587">
        <v>13.225327569999999</v>
      </c>
      <c r="BW106" s="587">
        <v>12.52046803</v>
      </c>
      <c r="BX106" s="587">
        <v>11.871399</v>
      </c>
      <c r="BY106" s="587">
        <v>11.17329</v>
      </c>
      <c r="BZ106" s="587">
        <v>10.9</v>
      </c>
      <c r="CA106" s="587">
        <v>9.8260235500000004</v>
      </c>
      <c r="CB106" s="587">
        <v>8.2108843300000007</v>
      </c>
      <c r="CC106" s="587">
        <v>403.39722673</v>
      </c>
      <c r="CD106" s="587">
        <v>21.864306820000003</v>
      </c>
      <c r="CE106" s="587">
        <v>19.04434878</v>
      </c>
      <c r="CF106" s="587">
        <v>9.2798890000000007</v>
      </c>
      <c r="CG106" s="587">
        <v>5.2046002800000002</v>
      </c>
      <c r="CH106" s="587">
        <v>3.5374280100000002</v>
      </c>
      <c r="CI106" s="587">
        <v>2.3785914999999997</v>
      </c>
      <c r="CJ106" s="587">
        <v>3.4697751399999999</v>
      </c>
      <c r="CK106" s="587">
        <v>2.4355652700000001</v>
      </c>
      <c r="CL106" s="587">
        <v>16.650414300000001</v>
      </c>
      <c r="CM106" s="587">
        <v>32.544520750000004</v>
      </c>
      <c r="CN106" s="587">
        <v>64.723370339999988</v>
      </c>
      <c r="CO106" s="587">
        <v>71.935314459999987</v>
      </c>
      <c r="CP106" s="820">
        <v>126.1101657</v>
      </c>
      <c r="CQ106" s="587">
        <v>156.06813425000001</v>
      </c>
      <c r="CR106" s="587">
        <v>167.75473380000003</v>
      </c>
      <c r="CS106" s="587">
        <v>129.44003673999998</v>
      </c>
      <c r="CT106" s="587">
        <v>156.21530458999999</v>
      </c>
      <c r="CU106" s="587">
        <v>144.97523511000003</v>
      </c>
      <c r="CV106" s="587">
        <v>147.89160914000001</v>
      </c>
      <c r="CW106" s="587">
        <v>249.51444346999997</v>
      </c>
      <c r="CX106" s="587">
        <v>269.93679225</v>
      </c>
      <c r="CY106" s="587">
        <v>235.56546027000002</v>
      </c>
      <c r="CZ106" s="587">
        <v>234.09562825</v>
      </c>
      <c r="DA106" s="587">
        <v>233.48007157999999</v>
      </c>
      <c r="DB106" s="587">
        <v>281.82136236000002</v>
      </c>
      <c r="DC106" s="587">
        <v>340.39974451999996</v>
      </c>
      <c r="DD106" s="587">
        <v>372.42716636</v>
      </c>
      <c r="DE106" s="587">
        <v>377.80649629999999</v>
      </c>
      <c r="DF106" s="587">
        <v>286.05142635000004</v>
      </c>
      <c r="DG106" s="587">
        <v>286.11735727999996</v>
      </c>
      <c r="DH106" s="587">
        <v>353.56257081000001</v>
      </c>
      <c r="DI106" s="587">
        <v>350.60556394000002</v>
      </c>
      <c r="DJ106" s="587">
        <v>350.21187900000001</v>
      </c>
      <c r="DK106" s="587">
        <v>332.620181</v>
      </c>
      <c r="DL106" s="587">
        <v>332.63612799999999</v>
      </c>
      <c r="DM106" s="587">
        <v>332.93323299999997</v>
      </c>
      <c r="DN106" s="587">
        <v>387.90586695999997</v>
      </c>
      <c r="DO106" s="587">
        <v>364.09180627999996</v>
      </c>
      <c r="DP106" s="587">
        <v>315.063086</v>
      </c>
      <c r="DQ106" s="587">
        <v>297.59656899999999</v>
      </c>
      <c r="DR106" s="587">
        <v>297.93510099999997</v>
      </c>
    </row>
    <row r="107" spans="1:122" ht="15.95" customHeight="1">
      <c r="A107" s="793" t="s">
        <v>2458</v>
      </c>
      <c r="B107" s="794">
        <v>8.6698999999999998E-2</v>
      </c>
      <c r="C107" s="664">
        <v>8.7903999999999996E-2</v>
      </c>
      <c r="D107" s="664">
        <v>0</v>
      </c>
      <c r="E107" s="593">
        <v>0</v>
      </c>
      <c r="F107" s="664">
        <v>0</v>
      </c>
      <c r="G107" s="664">
        <v>0</v>
      </c>
      <c r="H107" s="664">
        <v>0</v>
      </c>
      <c r="I107" s="664">
        <v>0</v>
      </c>
      <c r="J107" s="664">
        <v>0</v>
      </c>
      <c r="K107" s="593">
        <v>0</v>
      </c>
      <c r="L107" s="664">
        <v>0</v>
      </c>
      <c r="M107" s="664">
        <v>0</v>
      </c>
      <c r="N107" s="664">
        <v>1.7000000000000001E-7</v>
      </c>
      <c r="O107" s="593">
        <v>0</v>
      </c>
      <c r="P107" s="664">
        <v>0</v>
      </c>
      <c r="Q107" s="664">
        <v>0</v>
      </c>
      <c r="R107" s="593">
        <v>0</v>
      </c>
      <c r="S107" s="664">
        <v>0</v>
      </c>
      <c r="T107" s="664">
        <v>0</v>
      </c>
      <c r="U107" s="795">
        <v>0</v>
      </c>
      <c r="V107" s="795">
        <v>0</v>
      </c>
      <c r="W107" s="795">
        <v>0</v>
      </c>
      <c r="X107" s="795">
        <v>0</v>
      </c>
      <c r="Y107" s="795">
        <v>0</v>
      </c>
      <c r="Z107" s="795">
        <v>0</v>
      </c>
      <c r="AA107" s="795">
        <v>0</v>
      </c>
      <c r="AB107" s="795">
        <v>0</v>
      </c>
      <c r="AC107" s="795">
        <v>0</v>
      </c>
      <c r="AD107" s="795">
        <v>0</v>
      </c>
      <c r="AE107" s="795">
        <v>0</v>
      </c>
      <c r="AF107" s="795">
        <v>0</v>
      </c>
      <c r="AG107" s="795">
        <v>0.87286981999999991</v>
      </c>
      <c r="AH107" s="795">
        <v>0.83348158999999999</v>
      </c>
      <c r="AI107" s="795">
        <v>0.82566706999999995</v>
      </c>
      <c r="AJ107" s="795">
        <v>0.84184024000000002</v>
      </c>
      <c r="AK107" s="795">
        <v>0.84622047999999994</v>
      </c>
      <c r="AL107" s="795">
        <v>0.80138970999999992</v>
      </c>
      <c r="AM107" s="666">
        <v>0.80229708999999994</v>
      </c>
      <c r="AN107" s="666">
        <v>0.83257758999999998</v>
      </c>
      <c r="AO107" s="666">
        <v>0.83681335999999995</v>
      </c>
      <c r="AP107" s="666">
        <v>0.77550790000000003</v>
      </c>
      <c r="AQ107" s="666">
        <v>0.82390682000000004</v>
      </c>
      <c r="AR107" s="794">
        <v>0.77461053000000002</v>
      </c>
      <c r="AS107" s="794">
        <v>0.80295496000000011</v>
      </c>
      <c r="AT107" s="794">
        <v>0.78176608999999997</v>
      </c>
      <c r="AU107" s="794">
        <v>0.81492243999999991</v>
      </c>
      <c r="AV107" s="794">
        <v>0.87455806000000003</v>
      </c>
      <c r="AW107" s="587">
        <v>0.89304991999999994</v>
      </c>
      <c r="AX107" s="587">
        <v>0.88163465000000008</v>
      </c>
      <c r="AY107" s="587">
        <v>0.80285133000000009</v>
      </c>
      <c r="AZ107" s="587">
        <v>0.85393606000000011</v>
      </c>
      <c r="BA107" s="587">
        <v>0.89275982000000009</v>
      </c>
      <c r="BB107" s="587">
        <v>0.93817373999999998</v>
      </c>
      <c r="BC107" s="587">
        <v>0.89677717999999995</v>
      </c>
      <c r="BD107" s="587">
        <v>0.82711160000000006</v>
      </c>
      <c r="BE107" s="587">
        <v>0.82887506999999994</v>
      </c>
      <c r="BF107" s="587">
        <v>0.87387207000000011</v>
      </c>
      <c r="BG107" s="587">
        <v>0.83807326000000004</v>
      </c>
      <c r="BH107" s="587">
        <v>0.79597003</v>
      </c>
      <c r="BI107" s="587">
        <v>0.74438353000000002</v>
      </c>
      <c r="BJ107" s="587">
        <v>0.81301922999999998</v>
      </c>
      <c r="BK107" s="587">
        <v>0.89484501999999999</v>
      </c>
      <c r="BL107" s="587">
        <v>0.83976812000000001</v>
      </c>
      <c r="BM107" s="587">
        <v>0.77374410999999987</v>
      </c>
      <c r="BN107" s="587">
        <v>0.74394908000000004</v>
      </c>
      <c r="BO107" s="587">
        <v>0.95615585999999997</v>
      </c>
      <c r="BP107" s="587">
        <v>0.70921234000000011</v>
      </c>
      <c r="BQ107" s="587">
        <v>0.76676848000000009</v>
      </c>
      <c r="BR107" s="587">
        <v>0.78927779999999992</v>
      </c>
      <c r="BS107" s="587">
        <v>0.70710201000000006</v>
      </c>
      <c r="BT107" s="587">
        <v>0.75653966999999989</v>
      </c>
      <c r="BU107" s="587">
        <v>169.49915914499999</v>
      </c>
      <c r="BV107" s="587">
        <v>0.7341534999999999</v>
      </c>
      <c r="BW107" s="587">
        <v>1.5788452951299998</v>
      </c>
      <c r="BX107" s="587">
        <v>0.68706699999999998</v>
      </c>
      <c r="BY107" s="587">
        <v>0.63937699999999997</v>
      </c>
      <c r="BZ107" s="587">
        <v>0.7</v>
      </c>
      <c r="CA107" s="587">
        <v>0.66250910000000007</v>
      </c>
      <c r="CB107" s="587">
        <v>0.62058137000000002</v>
      </c>
      <c r="CC107" s="587">
        <v>0.64621927999999995</v>
      </c>
      <c r="CD107" s="587">
        <v>0.64745849999999994</v>
      </c>
      <c r="CE107" s="587">
        <v>0.59894466000000002</v>
      </c>
      <c r="CF107" s="587">
        <v>0.60216871000000005</v>
      </c>
      <c r="CG107" s="587">
        <v>0.59884506000000004</v>
      </c>
      <c r="CH107" s="587">
        <v>0.3291482</v>
      </c>
      <c r="CI107" s="587">
        <v>0.30758937000000003</v>
      </c>
      <c r="CJ107" s="587">
        <v>0.34192033999999993</v>
      </c>
      <c r="CK107" s="587">
        <v>0.33796384999999995</v>
      </c>
      <c r="CL107" s="587">
        <v>0.26031196999999995</v>
      </c>
      <c r="CM107" s="587">
        <v>0.32560691999999997</v>
      </c>
      <c r="CN107" s="587">
        <v>0.20557094000000001</v>
      </c>
      <c r="CO107" s="587">
        <v>0.16930111</v>
      </c>
      <c r="CP107" s="820">
        <v>0.25293156</v>
      </c>
      <c r="CQ107" s="587">
        <v>0.19770417999999998</v>
      </c>
      <c r="CR107" s="587">
        <v>0.27725835999999998</v>
      </c>
      <c r="CS107" s="587">
        <v>0.13611614999999999</v>
      </c>
      <c r="CT107" s="587">
        <v>3.7074570000000001E-2</v>
      </c>
      <c r="CU107" s="587">
        <v>0.11044973</v>
      </c>
      <c r="CV107" s="587">
        <v>0.12256629999999999</v>
      </c>
      <c r="CW107" s="587">
        <v>0.15521771000000001</v>
      </c>
      <c r="CX107" s="587">
        <v>0.11679244</v>
      </c>
      <c r="CY107" s="587">
        <v>9.779003E-2</v>
      </c>
      <c r="CZ107" s="587">
        <v>9.6887199999999996E-3</v>
      </c>
      <c r="DA107" s="587">
        <v>0.17491887</v>
      </c>
      <c r="DB107" s="587">
        <v>6.0992989999999997E-2</v>
      </c>
      <c r="DC107" s="587">
        <v>0.16526191999999998</v>
      </c>
      <c r="DD107" s="587">
        <v>9.3909430000000002E-2</v>
      </c>
      <c r="DE107" s="587">
        <v>3.9655199999999995E-2</v>
      </c>
      <c r="DF107" s="587">
        <v>0.12710466000000001</v>
      </c>
      <c r="DG107" s="587">
        <v>0.11402672</v>
      </c>
      <c r="DH107" s="587">
        <v>0.11514231</v>
      </c>
      <c r="DI107" s="587">
        <v>0.18028776000000002</v>
      </c>
      <c r="DJ107" s="587">
        <v>0.11009701</v>
      </c>
      <c r="DK107" s="587">
        <v>8.9523939999999996E-2</v>
      </c>
      <c r="DL107" s="587">
        <v>0</v>
      </c>
      <c r="DM107" s="587">
        <v>0</v>
      </c>
      <c r="DN107" s="587">
        <v>0</v>
      </c>
      <c r="DO107" s="587">
        <v>0</v>
      </c>
      <c r="DP107" s="587">
        <v>2.1949E-2</v>
      </c>
      <c r="DQ107" s="587">
        <v>8.3470000000000003E-3</v>
      </c>
      <c r="DR107" s="587">
        <v>2.8045E-2</v>
      </c>
    </row>
    <row r="108" spans="1:122" ht="15.95" customHeight="1">
      <c r="A108" s="793" t="s">
        <v>2459</v>
      </c>
      <c r="B108" s="794">
        <v>1319.58720836</v>
      </c>
      <c r="C108" s="664">
        <v>1346.0016246800001</v>
      </c>
      <c r="D108" s="664">
        <v>1242.73591231</v>
      </c>
      <c r="E108" s="593">
        <v>1572.2854826100001</v>
      </c>
      <c r="F108" s="664">
        <v>1560.9065010899999</v>
      </c>
      <c r="G108" s="664">
        <v>1585.3775773699999</v>
      </c>
      <c r="H108" s="664">
        <v>1721.5423900999999</v>
      </c>
      <c r="I108" s="664">
        <v>1981.72471215</v>
      </c>
      <c r="J108" s="664">
        <v>1912.35082405</v>
      </c>
      <c r="K108" s="593">
        <v>2120.2220272499999</v>
      </c>
      <c r="L108" s="664">
        <v>2296.5238972900001</v>
      </c>
      <c r="M108" s="664">
        <v>2451.2847674</v>
      </c>
      <c r="N108" s="664">
        <v>2786.516032406827</v>
      </c>
      <c r="O108" s="593">
        <v>2985.8160611999997</v>
      </c>
      <c r="P108" s="664">
        <v>2893.4227878400002</v>
      </c>
      <c r="Q108" s="664">
        <v>3215.2856183099998</v>
      </c>
      <c r="R108" s="593">
        <v>3204.9002545967996</v>
      </c>
      <c r="S108" s="664">
        <v>3168.6164450880001</v>
      </c>
      <c r="T108" s="664">
        <v>3390.6271246749998</v>
      </c>
      <c r="U108" s="795">
        <v>3659.5488182685999</v>
      </c>
      <c r="V108" s="795">
        <v>3497.147517511225</v>
      </c>
      <c r="W108" s="795">
        <v>3849.4241273387997</v>
      </c>
      <c r="X108" s="795">
        <v>3910.4604776198003</v>
      </c>
      <c r="Y108" s="795">
        <v>3898.9584248482724</v>
      </c>
      <c r="Z108" s="795">
        <v>4075.0927027111379</v>
      </c>
      <c r="AA108" s="795">
        <v>4612.2420968709675</v>
      </c>
      <c r="AB108" s="795">
        <v>4623.8598898145292</v>
      </c>
      <c r="AC108" s="795">
        <v>5363.4843688043211</v>
      </c>
      <c r="AD108" s="795">
        <v>5174.6025133200001</v>
      </c>
      <c r="AE108" s="795">
        <v>5176.9895113700004</v>
      </c>
      <c r="AF108" s="795">
        <v>5175.3655062399994</v>
      </c>
      <c r="AG108" s="795">
        <v>5115.5871677599998</v>
      </c>
      <c r="AH108" s="795">
        <v>5088.6933811600002</v>
      </c>
      <c r="AI108" s="795">
        <v>5015.0515038200001</v>
      </c>
      <c r="AJ108" s="795">
        <v>5052.1303271600009</v>
      </c>
      <c r="AK108" s="795">
        <v>5034.8292972400004</v>
      </c>
      <c r="AL108" s="795">
        <v>5004.8375547700007</v>
      </c>
      <c r="AM108" s="666">
        <v>5829.4497738800001</v>
      </c>
      <c r="AN108" s="666">
        <v>4929.5849083399999</v>
      </c>
      <c r="AO108" s="666">
        <v>4968.2986028400001</v>
      </c>
      <c r="AP108" s="666">
        <v>5029.3694211400007</v>
      </c>
      <c r="AQ108" s="666">
        <v>4860.9992540900002</v>
      </c>
      <c r="AR108" s="794">
        <v>4843.83837726</v>
      </c>
      <c r="AS108" s="794">
        <v>4829.9899116300003</v>
      </c>
      <c r="AT108" s="794">
        <v>4949.3120753600006</v>
      </c>
      <c r="AU108" s="794">
        <v>5070.2892873400006</v>
      </c>
      <c r="AV108" s="794">
        <v>5058.7642513500004</v>
      </c>
      <c r="AW108" s="587">
        <v>5030.5074466900005</v>
      </c>
      <c r="AX108" s="587">
        <v>5035.8267314900004</v>
      </c>
      <c r="AY108" s="587">
        <v>4954.3828010300003</v>
      </c>
      <c r="AZ108" s="587">
        <v>4818.5299336300004</v>
      </c>
      <c r="BA108" s="587">
        <v>4795.4212070799986</v>
      </c>
      <c r="BB108" s="587">
        <v>4826.1915849399993</v>
      </c>
      <c r="BC108" s="587">
        <v>4814.5322764699995</v>
      </c>
      <c r="BD108" s="587">
        <v>4538.6064292900001</v>
      </c>
      <c r="BE108" s="587">
        <v>4576.0364318099992</v>
      </c>
      <c r="BF108" s="587">
        <v>4549.8133272599989</v>
      </c>
      <c r="BG108" s="587">
        <v>4416.3221045199998</v>
      </c>
      <c r="BH108" s="587">
        <v>4389.6163489</v>
      </c>
      <c r="BI108" s="587">
        <v>4409.6554666700004</v>
      </c>
      <c r="BJ108" s="587">
        <v>4412.4316824099997</v>
      </c>
      <c r="BK108" s="587">
        <v>4301.3054654000007</v>
      </c>
      <c r="BL108" s="587">
        <v>4303.9825675500006</v>
      </c>
      <c r="BM108" s="587">
        <v>4201.8497396499997</v>
      </c>
      <c r="BN108" s="587">
        <v>4197.0589122947504</v>
      </c>
      <c r="BO108" s="587">
        <v>4217.8194457</v>
      </c>
      <c r="BP108" s="587">
        <v>4264.6437833400005</v>
      </c>
      <c r="BQ108" s="587">
        <v>4251.7259982899996</v>
      </c>
      <c r="BR108" s="587">
        <v>4214.8323523300005</v>
      </c>
      <c r="BS108" s="587">
        <v>4261.8394221799999</v>
      </c>
      <c r="BT108" s="587">
        <v>4208.7910649800006</v>
      </c>
      <c r="BU108" s="587">
        <v>4259.3839909247999</v>
      </c>
      <c r="BV108" s="587">
        <v>4489.1992416898283</v>
      </c>
      <c r="BW108" s="587">
        <v>4427.7451519286096</v>
      </c>
      <c r="BX108" s="587">
        <v>4339.8851194660001</v>
      </c>
      <c r="BY108" s="587">
        <v>4448.9700860049006</v>
      </c>
      <c r="BZ108" s="587">
        <v>4366.5</v>
      </c>
      <c r="CA108" s="587">
        <v>4349.2459709611421</v>
      </c>
      <c r="CB108" s="587">
        <v>4441.2232165070554</v>
      </c>
      <c r="CC108" s="587">
        <v>4327.2875934964195</v>
      </c>
      <c r="CD108" s="587">
        <v>4246.3807298002403</v>
      </c>
      <c r="CE108" s="587">
        <v>4160.090667905074</v>
      </c>
      <c r="CF108" s="587">
        <v>4434.0156219142282</v>
      </c>
      <c r="CG108" s="587">
        <v>4398.5630761263819</v>
      </c>
      <c r="CH108" s="587">
        <v>4609.233803477754</v>
      </c>
      <c r="CI108" s="587">
        <v>4586.4869699307737</v>
      </c>
      <c r="CJ108" s="587">
        <v>4081.2354941919698</v>
      </c>
      <c r="CK108" s="587">
        <v>3983.91017562052</v>
      </c>
      <c r="CL108" s="587">
        <v>4076.316736397242</v>
      </c>
      <c r="CM108" s="587">
        <v>4095.7705147939887</v>
      </c>
      <c r="CN108" s="587">
        <v>4381.7516204980566</v>
      </c>
      <c r="CO108" s="587">
        <v>4034.1868612702842</v>
      </c>
      <c r="CP108" s="820">
        <v>3960.6658996163746</v>
      </c>
      <c r="CQ108" s="587">
        <v>3963.2876127698501</v>
      </c>
      <c r="CR108" s="587">
        <v>3945.0676558906093</v>
      </c>
      <c r="CS108" s="587">
        <v>3990.3513962188426</v>
      </c>
      <c r="CT108" s="587">
        <v>3956.2977441966632</v>
      </c>
      <c r="CU108" s="587">
        <v>3798.0446118831273</v>
      </c>
      <c r="CV108" s="587">
        <v>3746.017907814281</v>
      </c>
      <c r="CW108" s="587">
        <v>3746.526408129052</v>
      </c>
      <c r="CX108" s="587">
        <v>3702.2864087934136</v>
      </c>
      <c r="CY108" s="587">
        <v>3725.6687366379765</v>
      </c>
      <c r="CZ108" s="587">
        <v>3731.4219861369943</v>
      </c>
      <c r="DA108" s="587">
        <v>3681.0439711257918</v>
      </c>
      <c r="DB108" s="587">
        <v>3619.3027628722593</v>
      </c>
      <c r="DC108" s="587">
        <v>3587.3192996222497</v>
      </c>
      <c r="DD108" s="587">
        <v>3524.698354581586</v>
      </c>
      <c r="DE108" s="587">
        <v>3495.9771721605434</v>
      </c>
      <c r="DF108" s="587">
        <v>3503.5251420123882</v>
      </c>
      <c r="DG108" s="587">
        <v>3514.3026274284657</v>
      </c>
      <c r="DH108" s="587">
        <v>3382.1073713613855</v>
      </c>
      <c r="DI108" s="587">
        <v>3408.8409003668189</v>
      </c>
      <c r="DJ108" s="587">
        <v>3374.9248819190861</v>
      </c>
      <c r="DK108" s="587">
        <v>3359.4284272859736</v>
      </c>
      <c r="DL108" s="587">
        <v>3377.9241005011968</v>
      </c>
      <c r="DM108" s="587">
        <v>3358.8356121284846</v>
      </c>
      <c r="DN108" s="587">
        <v>3328.6313936878382</v>
      </c>
      <c r="DO108" s="587">
        <v>3330.2342072700376</v>
      </c>
      <c r="DP108" s="587">
        <v>3209.3918843719766</v>
      </c>
      <c r="DQ108" s="587">
        <v>3198.4406046870477</v>
      </c>
      <c r="DR108" s="587">
        <v>3454.6652093027151</v>
      </c>
    </row>
    <row r="109" spans="1:122" ht="15.95" customHeight="1">
      <c r="A109" s="793" t="s">
        <v>2460</v>
      </c>
      <c r="B109" s="794">
        <v>0.81684999999999997</v>
      </c>
      <c r="C109" s="664">
        <v>0</v>
      </c>
      <c r="D109" s="664">
        <v>11.844215</v>
      </c>
      <c r="E109" s="593">
        <v>6.8813989999999992</v>
      </c>
      <c r="F109" s="664">
        <v>6.0880850000000004</v>
      </c>
      <c r="G109" s="664">
        <v>8.1711910000000003</v>
      </c>
      <c r="H109" s="664">
        <v>8.1863609099999994</v>
      </c>
      <c r="I109" s="664">
        <v>8.9182209100000005</v>
      </c>
      <c r="J109" s="664">
        <v>10.50457791</v>
      </c>
      <c r="K109" s="593">
        <v>10.390245910000001</v>
      </c>
      <c r="L109" s="664">
        <v>9.1430439099999994</v>
      </c>
      <c r="M109" s="664">
        <v>7.4867906500000005</v>
      </c>
      <c r="N109" s="664">
        <v>7.2407209100000003</v>
      </c>
      <c r="O109" s="593">
        <v>8.7733349199999999</v>
      </c>
      <c r="P109" s="664">
        <v>10.23856928</v>
      </c>
      <c r="Q109" s="664">
        <v>8.5962449099999994</v>
      </c>
      <c r="R109" s="593">
        <v>11.016232909999999</v>
      </c>
      <c r="S109" s="664">
        <v>12.863376909999999</v>
      </c>
      <c r="T109" s="664">
        <v>10.09026534</v>
      </c>
      <c r="U109" s="795">
        <v>11.67338152</v>
      </c>
      <c r="V109" s="795">
        <v>11.16142391</v>
      </c>
      <c r="W109" s="795">
        <v>10.774765</v>
      </c>
      <c r="X109" s="795">
        <v>10.509497849999999</v>
      </c>
      <c r="Y109" s="795">
        <v>9.0157019100000007</v>
      </c>
      <c r="Z109" s="795">
        <v>12.978799909999999</v>
      </c>
      <c r="AA109" s="795">
        <v>7.9233559099999997</v>
      </c>
      <c r="AB109" s="795">
        <v>7.9181519099999997</v>
      </c>
      <c r="AC109" s="795">
        <v>9.4929859099999998</v>
      </c>
      <c r="AD109" s="795">
        <v>10.089240910000001</v>
      </c>
      <c r="AE109" s="795">
        <v>5.18979313</v>
      </c>
      <c r="AF109" s="795">
        <v>11.56585475</v>
      </c>
      <c r="AG109" s="795">
        <v>15.37978461</v>
      </c>
      <c r="AH109" s="795">
        <v>14.12042258</v>
      </c>
      <c r="AI109" s="795">
        <v>14.404598179999999</v>
      </c>
      <c r="AJ109" s="795">
        <v>6.5812866799999998</v>
      </c>
      <c r="AK109" s="795">
        <v>8.5091888299999994</v>
      </c>
      <c r="AL109" s="795">
        <v>7.5591589099999998</v>
      </c>
      <c r="AM109" s="666">
        <v>10.80766068</v>
      </c>
      <c r="AN109" s="666">
        <v>9.7869349999999997</v>
      </c>
      <c r="AO109" s="666">
        <v>11.759848199999999</v>
      </c>
      <c r="AP109" s="666">
        <v>14.98682466</v>
      </c>
      <c r="AQ109" s="666">
        <v>15.743302760000001</v>
      </c>
      <c r="AR109" s="794">
        <v>11.847971509999999</v>
      </c>
      <c r="AS109" s="794">
        <v>18.601202390000001</v>
      </c>
      <c r="AT109" s="794">
        <v>11.677629509999999</v>
      </c>
      <c r="AU109" s="794">
        <v>17.40752311</v>
      </c>
      <c r="AV109" s="794">
        <v>17.416470610000001</v>
      </c>
      <c r="AW109" s="587">
        <v>26.68121932</v>
      </c>
      <c r="AX109" s="587">
        <v>20.425204000000001</v>
      </c>
      <c r="AY109" s="587">
        <v>26.0479713</v>
      </c>
      <c r="AZ109" s="587">
        <v>28.16887088</v>
      </c>
      <c r="BA109" s="587">
        <v>28.152225999999999</v>
      </c>
      <c r="BB109" s="587">
        <v>23.520713000000001</v>
      </c>
      <c r="BC109" s="587">
        <v>25.044303729999999</v>
      </c>
      <c r="BD109" s="587">
        <v>23.834988980000002</v>
      </c>
      <c r="BE109" s="587">
        <v>26.000541329999997</v>
      </c>
      <c r="BF109" s="587">
        <v>22.890717600000002</v>
      </c>
      <c r="BG109" s="587">
        <v>22.487036979999999</v>
      </c>
      <c r="BH109" s="587">
        <v>25.070526430000001</v>
      </c>
      <c r="BI109" s="587">
        <v>23.788984750000001</v>
      </c>
      <c r="BJ109" s="587">
        <v>17.35900401</v>
      </c>
      <c r="BK109" s="587">
        <v>28.07215489</v>
      </c>
      <c r="BL109" s="587">
        <v>22.056186230000002</v>
      </c>
      <c r="BM109" s="587">
        <v>22.104652999999999</v>
      </c>
      <c r="BN109" s="587">
        <v>32.884591620000002</v>
      </c>
      <c r="BO109" s="587">
        <v>23.542453119999998</v>
      </c>
      <c r="BP109" s="587">
        <v>19.302671509999996</v>
      </c>
      <c r="BQ109" s="587">
        <v>15.77436159</v>
      </c>
      <c r="BR109" s="587">
        <v>23.609853189999999</v>
      </c>
      <c r="BS109" s="587">
        <v>25.716662410000001</v>
      </c>
      <c r="BT109" s="587">
        <v>29.603765509999999</v>
      </c>
      <c r="BU109" s="587">
        <v>26.531213649999998</v>
      </c>
      <c r="BV109" s="587">
        <v>33.183538390279999</v>
      </c>
      <c r="BW109" s="587">
        <v>43.526287574195003</v>
      </c>
      <c r="BX109" s="587">
        <v>45.661362313000005</v>
      </c>
      <c r="BY109" s="587">
        <v>38.596264365699994</v>
      </c>
      <c r="BZ109" s="587">
        <v>39.799999999999997</v>
      </c>
      <c r="CA109" s="587">
        <v>35.331133653400002</v>
      </c>
      <c r="CB109" s="587">
        <v>45.5031258908</v>
      </c>
      <c r="CC109" s="587">
        <v>55.242610352699998</v>
      </c>
      <c r="CD109" s="587">
        <v>57.959092523351991</v>
      </c>
      <c r="CE109" s="587">
        <v>57.291352610758352</v>
      </c>
      <c r="CF109" s="587">
        <v>61.720470467269998</v>
      </c>
      <c r="CG109" s="587">
        <v>56.667438807496652</v>
      </c>
      <c r="CH109" s="587">
        <v>60.005597887442995</v>
      </c>
      <c r="CI109" s="587">
        <v>59.944224292605284</v>
      </c>
      <c r="CJ109" s="587">
        <v>59.054715681393994</v>
      </c>
      <c r="CK109" s="587">
        <v>60.059581362655997</v>
      </c>
      <c r="CL109" s="587">
        <v>50.669229443998837</v>
      </c>
      <c r="CM109" s="587">
        <v>50.952494412469001</v>
      </c>
      <c r="CN109" s="587">
        <v>55.309514801311998</v>
      </c>
      <c r="CO109" s="587">
        <v>58.978096684732009</v>
      </c>
      <c r="CP109" s="820">
        <v>59.073533460999997</v>
      </c>
      <c r="CQ109" s="587">
        <v>59.470399623816995</v>
      </c>
      <c r="CR109" s="587">
        <v>55.403731329305003</v>
      </c>
      <c r="CS109" s="587">
        <v>39.7586456774468</v>
      </c>
      <c r="CT109" s="587">
        <v>49.973931981904087</v>
      </c>
      <c r="CU109" s="587">
        <v>49.764422158119366</v>
      </c>
      <c r="CV109" s="587">
        <v>63.382406027045334</v>
      </c>
      <c r="CW109" s="587">
        <v>70.206544419826372</v>
      </c>
      <c r="CX109" s="587">
        <v>69.59165311163585</v>
      </c>
      <c r="CY109" s="587">
        <v>74.435184614655327</v>
      </c>
      <c r="CZ109" s="587">
        <v>82.637889790461045</v>
      </c>
      <c r="DA109" s="587">
        <v>85.679788891152242</v>
      </c>
      <c r="DB109" s="587">
        <v>92.208453579090971</v>
      </c>
      <c r="DC109" s="587">
        <v>93.824811667668342</v>
      </c>
      <c r="DD109" s="587">
        <v>98.281675756712602</v>
      </c>
      <c r="DE109" s="587">
        <v>97.089121299126404</v>
      </c>
      <c r="DF109" s="587">
        <v>104.34044902823371</v>
      </c>
      <c r="DG109" s="587">
        <v>107.062506018828</v>
      </c>
      <c r="DH109" s="587">
        <v>106.21204279177115</v>
      </c>
      <c r="DI109" s="587">
        <v>122.85883167143666</v>
      </c>
      <c r="DJ109" s="587">
        <v>124.30654103087386</v>
      </c>
      <c r="DK109" s="587">
        <v>110.90833115000001</v>
      </c>
      <c r="DL109" s="587">
        <v>121.97625658</v>
      </c>
      <c r="DM109" s="587">
        <v>105.62119839</v>
      </c>
      <c r="DN109" s="587">
        <v>103.95325864</v>
      </c>
      <c r="DO109" s="587">
        <v>103.40642833</v>
      </c>
      <c r="DP109" s="587">
        <v>90.458877279999996</v>
      </c>
      <c r="DQ109" s="587">
        <v>92.403473730000002</v>
      </c>
      <c r="DR109" s="587">
        <v>95.981744019999994</v>
      </c>
    </row>
    <row r="110" spans="1:122" ht="15.95" customHeight="1">
      <c r="A110" s="793" t="s">
        <v>2461</v>
      </c>
      <c r="B110" s="794">
        <v>29.916249409999995</v>
      </c>
      <c r="C110" s="664">
        <v>13.868404450000002</v>
      </c>
      <c r="D110" s="664">
        <v>11.16747</v>
      </c>
      <c r="E110" s="593">
        <v>40.664183999999999</v>
      </c>
      <c r="F110" s="664">
        <v>55.99290036</v>
      </c>
      <c r="G110" s="664">
        <v>26.74011617</v>
      </c>
      <c r="H110" s="664">
        <v>60.275657619999997</v>
      </c>
      <c r="I110" s="664">
        <v>25.37442854</v>
      </c>
      <c r="J110" s="664">
        <v>25.906917989999997</v>
      </c>
      <c r="K110" s="593">
        <v>44.361882489999992</v>
      </c>
      <c r="L110" s="664">
        <v>13.727620009999999</v>
      </c>
      <c r="M110" s="664">
        <v>28.545128579999997</v>
      </c>
      <c r="N110" s="664">
        <v>0.43871838000000002</v>
      </c>
      <c r="O110" s="593">
        <v>1.7868999999999999E-2</v>
      </c>
      <c r="P110" s="664">
        <v>1.8152999999999999E-2</v>
      </c>
      <c r="Q110" s="664">
        <v>2.1349E-2</v>
      </c>
      <c r="R110" s="593">
        <v>2.1707000000000001E-2</v>
      </c>
      <c r="S110" s="664">
        <v>2.2145000000000001E-2</v>
      </c>
      <c r="T110" s="664">
        <v>2.2516999999999999E-2</v>
      </c>
      <c r="U110" s="795">
        <v>2.2904000000000001E-2</v>
      </c>
      <c r="V110" s="795">
        <v>2.4581590200000001</v>
      </c>
      <c r="W110" s="795">
        <v>2.43941498</v>
      </c>
      <c r="X110" s="795">
        <v>13.451742380000001</v>
      </c>
      <c r="Y110" s="795">
        <v>2.4659810000000001E-2</v>
      </c>
      <c r="Z110" s="795">
        <v>2.5070290000000002E-2</v>
      </c>
      <c r="AA110" s="795">
        <v>2.536153E-2</v>
      </c>
      <c r="AB110" s="795">
        <v>2.5763999999999999E-2</v>
      </c>
      <c r="AC110" s="795">
        <v>2.6197999999999999E-2</v>
      </c>
      <c r="AD110" s="795">
        <v>2.6654000000000001E-2</v>
      </c>
      <c r="AE110" s="795">
        <v>2.7189000000000001E-2</v>
      </c>
      <c r="AF110" s="795">
        <v>2.7744540000000002E-2</v>
      </c>
      <c r="AG110" s="795">
        <v>-6.1803580000000004E-2</v>
      </c>
      <c r="AH110" s="795">
        <v>2.8865990000000001E-2</v>
      </c>
      <c r="AI110" s="795">
        <v>2.9451540000000002E-2</v>
      </c>
      <c r="AJ110" s="795">
        <v>2.9561E-2</v>
      </c>
      <c r="AK110" s="795">
        <v>3.027024E-2</v>
      </c>
      <c r="AL110" s="795">
        <v>3.0887589999999999E-2</v>
      </c>
      <c r="AM110" s="666">
        <v>3.1533699999999998E-2</v>
      </c>
      <c r="AN110" s="666">
        <v>3.1607999999999997E-2</v>
      </c>
      <c r="AO110" s="666">
        <v>6.172735E-2</v>
      </c>
      <c r="AP110" s="666">
        <v>24.771238</v>
      </c>
      <c r="AQ110" s="666">
        <v>21.010031650000002</v>
      </c>
      <c r="AR110" s="794">
        <v>20.170415849999998</v>
      </c>
      <c r="AS110" s="794">
        <v>17.80718821</v>
      </c>
      <c r="AT110" s="794">
        <v>3.4746470000000002E-2</v>
      </c>
      <c r="AU110" s="794">
        <v>3.5263000000000003E-2</v>
      </c>
      <c r="AV110" s="794">
        <v>3.5751999999999999E-2</v>
      </c>
      <c r="AW110" s="587">
        <v>3.6351000000000001E-2</v>
      </c>
      <c r="AX110" s="587">
        <v>3.6854999999999999E-2</v>
      </c>
      <c r="AY110" s="587">
        <v>3.7383E-2</v>
      </c>
      <c r="AZ110" s="587">
        <v>3.7919000000000001E-2</v>
      </c>
      <c r="BA110" s="587">
        <v>21.525558589999999</v>
      </c>
      <c r="BB110" s="587">
        <v>3.8996000000000003E-2</v>
      </c>
      <c r="BC110" s="587">
        <v>3.9622999999999998E-2</v>
      </c>
      <c r="BD110" s="587">
        <v>4.0343540000000004E-2</v>
      </c>
      <c r="BE110" s="587">
        <v>4.0835769999999993E-2</v>
      </c>
      <c r="BF110" s="587">
        <v>7.1233828499999996</v>
      </c>
      <c r="BG110" s="587">
        <v>4.1887000000000001E-2</v>
      </c>
      <c r="BH110" s="587">
        <v>4.2467999999999999E-2</v>
      </c>
      <c r="BI110" s="587">
        <v>4.3163E-2</v>
      </c>
      <c r="BJ110" s="587">
        <v>0.43112899999999998</v>
      </c>
      <c r="BK110" s="587">
        <v>33.240719640000002</v>
      </c>
      <c r="BL110" s="587">
        <v>10.31700418</v>
      </c>
      <c r="BM110" s="587">
        <v>15.924604240000001</v>
      </c>
      <c r="BN110" s="587">
        <v>8.2077499999999998E-2</v>
      </c>
      <c r="BO110" s="587">
        <v>0.51479399999999997</v>
      </c>
      <c r="BP110" s="587">
        <v>0.53654800000000002</v>
      </c>
      <c r="BQ110" s="587">
        <v>0.31197200000000003</v>
      </c>
      <c r="BR110" s="587">
        <v>1.0670120000000001</v>
      </c>
      <c r="BS110" s="587">
        <v>1.434744</v>
      </c>
      <c r="BT110" s="587">
        <v>0.54786199999999996</v>
      </c>
      <c r="BU110" s="587">
        <v>1.5273110000000001</v>
      </c>
      <c r="BV110" s="587">
        <v>0.64276699999999998</v>
      </c>
      <c r="BW110" s="587">
        <v>0.45477499999999998</v>
      </c>
      <c r="BX110" s="587">
        <v>8.1784999999999997E-2</v>
      </c>
      <c r="BY110" s="587">
        <v>3.1196999999999999E-2</v>
      </c>
      <c r="BZ110" s="587">
        <v>0.2</v>
      </c>
      <c r="CA110" s="587">
        <v>3.139057E-2</v>
      </c>
      <c r="CB110" s="587">
        <v>2.9498E-2</v>
      </c>
      <c r="CC110" s="587">
        <v>0.59469905000000001</v>
      </c>
      <c r="CD110" s="587">
        <v>0.12504047000000001</v>
      </c>
      <c r="CE110" s="587">
        <v>4.0900079599999994</v>
      </c>
      <c r="CF110" s="587">
        <v>4.45019864</v>
      </c>
      <c r="CG110" s="587">
        <v>5.1712630099999997</v>
      </c>
      <c r="CH110" s="587">
        <v>5.6681377500000014</v>
      </c>
      <c r="CI110" s="587">
        <v>5.8521851600000003</v>
      </c>
      <c r="CJ110" s="587">
        <v>7.0132549999999991</v>
      </c>
      <c r="CK110" s="587">
        <v>6.7578200600000002</v>
      </c>
      <c r="CL110" s="587">
        <v>6.4334912700000002</v>
      </c>
      <c r="CM110" s="587">
        <v>6.7079111699999991</v>
      </c>
      <c r="CN110" s="587">
        <v>8.0455208900000006</v>
      </c>
      <c r="CO110" s="587">
        <v>9.6373011599999998</v>
      </c>
      <c r="CP110" s="820">
        <v>7.8520066699999997</v>
      </c>
      <c r="CQ110" s="587">
        <v>11.03027741</v>
      </c>
      <c r="CR110" s="587">
        <v>12.03505354</v>
      </c>
      <c r="CS110" s="587">
        <v>12.277125120000001</v>
      </c>
      <c r="CT110" s="587">
        <v>13.64131373</v>
      </c>
      <c r="CU110" s="587">
        <v>15.645325780000002</v>
      </c>
      <c r="CV110" s="587">
        <v>14.7011734</v>
      </c>
      <c r="CW110" s="587">
        <v>13.769044510000001</v>
      </c>
      <c r="CX110" s="587">
        <v>13.90520793</v>
      </c>
      <c r="CY110" s="587">
        <v>13.02092524</v>
      </c>
      <c r="CZ110" s="587">
        <v>10.32619686</v>
      </c>
      <c r="DA110" s="587">
        <v>14.3598275</v>
      </c>
      <c r="DB110" s="587">
        <v>12.20924525</v>
      </c>
      <c r="DC110" s="587">
        <v>10.72723493</v>
      </c>
      <c r="DD110" s="587">
        <v>4.7879301500000002</v>
      </c>
      <c r="DE110" s="587">
        <v>5.6682780999999993</v>
      </c>
      <c r="DF110" s="587">
        <v>5.58874592</v>
      </c>
      <c r="DG110" s="587">
        <v>7.5539407300000008</v>
      </c>
      <c r="DH110" s="587">
        <v>7.7572548899999996</v>
      </c>
      <c r="DI110" s="587">
        <v>5.3010146300000009</v>
      </c>
      <c r="DJ110" s="587">
        <v>6.6370799800000002</v>
      </c>
      <c r="DK110" s="587">
        <v>5.9488780400000003</v>
      </c>
      <c r="DL110" s="587">
        <v>3.9556453999999999</v>
      </c>
      <c r="DM110" s="587">
        <v>4.99694137</v>
      </c>
      <c r="DN110" s="587">
        <v>4.6984855799999998</v>
      </c>
      <c r="DO110" s="587">
        <v>5.8747404100000002</v>
      </c>
      <c r="DP110" s="587">
        <v>5.4171617599999999</v>
      </c>
      <c r="DQ110" s="587">
        <v>6.3060221700000003</v>
      </c>
      <c r="DR110" s="587">
        <v>5.0503485200000009</v>
      </c>
    </row>
    <row r="111" spans="1:122" ht="15.95" customHeight="1">
      <c r="A111" s="793" t="s">
        <v>2389</v>
      </c>
      <c r="B111" s="794">
        <v>39.808188000000001</v>
      </c>
      <c r="C111" s="664">
        <v>43.870163820000002</v>
      </c>
      <c r="D111" s="664">
        <v>50.399976229219611</v>
      </c>
      <c r="E111" s="593">
        <v>45.577684269999999</v>
      </c>
      <c r="F111" s="664">
        <v>47.539727130000003</v>
      </c>
      <c r="G111" s="664">
        <v>49.913739730000003</v>
      </c>
      <c r="H111" s="664">
        <v>32.886085919999999</v>
      </c>
      <c r="I111" s="664">
        <v>37.968741959999996</v>
      </c>
      <c r="J111" s="664">
        <v>41.782385519999998</v>
      </c>
      <c r="K111" s="593">
        <v>41.922945420000005</v>
      </c>
      <c r="L111" s="664">
        <v>39.267882790000002</v>
      </c>
      <c r="M111" s="664">
        <v>44.285980510000009</v>
      </c>
      <c r="N111" s="664">
        <v>38.159601090000002</v>
      </c>
      <c r="O111" s="593">
        <v>41.35594133</v>
      </c>
      <c r="P111" s="664">
        <v>46.1698193</v>
      </c>
      <c r="Q111" s="664">
        <v>46.90295622</v>
      </c>
      <c r="R111" s="593">
        <v>44.034826760000009</v>
      </c>
      <c r="S111" s="664">
        <v>39.592320289999996</v>
      </c>
      <c r="T111" s="664">
        <v>44.436436230000005</v>
      </c>
      <c r="U111" s="795">
        <v>49.623876689999996</v>
      </c>
      <c r="V111" s="795">
        <v>43.086922429999994</v>
      </c>
      <c r="W111" s="795">
        <v>42.303923670000003</v>
      </c>
      <c r="X111" s="795">
        <v>43.94534496</v>
      </c>
      <c r="Y111" s="795">
        <v>44.425051400000001</v>
      </c>
      <c r="Z111" s="795">
        <v>45.880252169999999</v>
      </c>
      <c r="AA111" s="795">
        <v>40.066831729999997</v>
      </c>
      <c r="AB111" s="795">
        <v>40.332494179999998</v>
      </c>
      <c r="AC111" s="795">
        <v>40.115637960000001</v>
      </c>
      <c r="AD111" s="795">
        <v>40.548597099999995</v>
      </c>
      <c r="AE111" s="795">
        <v>38.856968740000006</v>
      </c>
      <c r="AF111" s="795">
        <v>59.426712139999999</v>
      </c>
      <c r="AG111" s="795">
        <v>111.51507171000002</v>
      </c>
      <c r="AH111" s="795">
        <v>102.42180258</v>
      </c>
      <c r="AI111" s="795">
        <v>117.04465282</v>
      </c>
      <c r="AJ111" s="795">
        <v>149.21275578999999</v>
      </c>
      <c r="AK111" s="795">
        <v>127.56341133999999</v>
      </c>
      <c r="AL111" s="795">
        <v>86.265994759999984</v>
      </c>
      <c r="AM111" s="666">
        <v>112.6218295</v>
      </c>
      <c r="AN111" s="666">
        <v>88.559360749999996</v>
      </c>
      <c r="AO111" s="666">
        <v>112.46038829999999</v>
      </c>
      <c r="AP111" s="666">
        <v>99.673968483300001</v>
      </c>
      <c r="AQ111" s="666">
        <v>76.594419039800002</v>
      </c>
      <c r="AR111" s="794">
        <v>90.270719468400003</v>
      </c>
      <c r="AS111" s="794">
        <v>100.16186679</v>
      </c>
      <c r="AT111" s="794">
        <v>84.628802092799987</v>
      </c>
      <c r="AU111" s="794">
        <v>95.576948409599993</v>
      </c>
      <c r="AV111" s="794">
        <v>94.98698294099998</v>
      </c>
      <c r="AW111" s="587">
        <v>95.718676541400015</v>
      </c>
      <c r="AX111" s="587">
        <v>75.291948166599994</v>
      </c>
      <c r="AY111" s="587">
        <v>99.821521298699992</v>
      </c>
      <c r="AZ111" s="587">
        <v>86.899578316800003</v>
      </c>
      <c r="BA111" s="587">
        <v>73.482631300600005</v>
      </c>
      <c r="BB111" s="587">
        <v>83.959482385999991</v>
      </c>
      <c r="BC111" s="587">
        <v>121.0825911238</v>
      </c>
      <c r="BD111" s="587">
        <v>80.820333634800008</v>
      </c>
      <c r="BE111" s="587">
        <v>102.26543481509999</v>
      </c>
      <c r="BF111" s="587">
        <v>122.50637852199999</v>
      </c>
      <c r="BG111" s="587">
        <v>107.05668313499999</v>
      </c>
      <c r="BH111" s="587">
        <v>102.77087046060002</v>
      </c>
      <c r="BI111" s="587">
        <v>124.51872675649999</v>
      </c>
      <c r="BJ111" s="587">
        <v>156.8900682293</v>
      </c>
      <c r="BK111" s="587">
        <v>207.040722176</v>
      </c>
      <c r="BL111" s="587">
        <v>231.19286578359998</v>
      </c>
      <c r="BM111" s="587">
        <v>240.24716259959996</v>
      </c>
      <c r="BN111" s="587">
        <v>238.5877942036</v>
      </c>
      <c r="BO111" s="587">
        <v>234.58709090600001</v>
      </c>
      <c r="BP111" s="587">
        <v>288.92889159689997</v>
      </c>
      <c r="BQ111" s="587">
        <v>249.2895681947</v>
      </c>
      <c r="BR111" s="587">
        <v>267.86570842959998</v>
      </c>
      <c r="BS111" s="587">
        <v>254.02701364000001</v>
      </c>
      <c r="BT111" s="587">
        <v>228.91114647355502</v>
      </c>
      <c r="BU111" s="587">
        <v>270.903994729658</v>
      </c>
      <c r="BV111" s="587">
        <v>332.94097498204599</v>
      </c>
      <c r="BW111" s="587">
        <v>335.10717976647504</v>
      </c>
      <c r="BX111" s="587">
        <v>380.39816035900003</v>
      </c>
      <c r="BY111" s="587">
        <v>419.18819772929999</v>
      </c>
      <c r="BZ111" s="587">
        <v>432.1</v>
      </c>
      <c r="CA111" s="587">
        <v>442.84443802250007</v>
      </c>
      <c r="CB111" s="587">
        <v>513.33174246080011</v>
      </c>
      <c r="CC111" s="587">
        <v>460.54465826823792</v>
      </c>
      <c r="CD111" s="587">
        <v>471.65916741738994</v>
      </c>
      <c r="CE111" s="587">
        <v>531.79000100959479</v>
      </c>
      <c r="CF111" s="587">
        <v>500.30622676896968</v>
      </c>
      <c r="CG111" s="587">
        <v>517.79394150450003</v>
      </c>
      <c r="CH111" s="587">
        <v>661.02272867938598</v>
      </c>
      <c r="CI111" s="587">
        <v>449.44614285787361</v>
      </c>
      <c r="CJ111" s="587">
        <v>458.76940723819001</v>
      </c>
      <c r="CK111" s="587">
        <v>466.18309852766799</v>
      </c>
      <c r="CL111" s="587">
        <v>438.73678636075556</v>
      </c>
      <c r="CM111" s="587">
        <v>425.35442872144893</v>
      </c>
      <c r="CN111" s="587">
        <v>429.66788687406142</v>
      </c>
      <c r="CO111" s="587">
        <v>426.86984902302208</v>
      </c>
      <c r="CP111" s="820">
        <v>449.79347087510001</v>
      </c>
      <c r="CQ111" s="587">
        <v>447.4998961628915</v>
      </c>
      <c r="CR111" s="587">
        <v>393.98362678509005</v>
      </c>
      <c r="CS111" s="587">
        <v>380.33863479780547</v>
      </c>
      <c r="CT111" s="587">
        <v>352.48750639498621</v>
      </c>
      <c r="CU111" s="587">
        <v>371.93413715394354</v>
      </c>
      <c r="CV111" s="587">
        <v>324.76228670055059</v>
      </c>
      <c r="CW111" s="587">
        <v>318.56241569796725</v>
      </c>
      <c r="CX111" s="587">
        <v>359.30630490008946</v>
      </c>
      <c r="CY111" s="587">
        <v>358.72204983761117</v>
      </c>
      <c r="CZ111" s="587">
        <v>411.93547839369478</v>
      </c>
      <c r="DA111" s="587">
        <v>361.79850920022511</v>
      </c>
      <c r="DB111" s="587">
        <v>357.84928685471817</v>
      </c>
      <c r="DC111" s="587">
        <v>348.4459210471706</v>
      </c>
      <c r="DD111" s="587">
        <v>399.18711884102163</v>
      </c>
      <c r="DE111" s="587">
        <v>394.85157223334403</v>
      </c>
      <c r="DF111" s="587">
        <v>433.80069203723417</v>
      </c>
      <c r="DG111" s="587">
        <v>429.38360311171863</v>
      </c>
      <c r="DH111" s="587">
        <v>419.19209654853762</v>
      </c>
      <c r="DI111" s="587">
        <v>422.41826674787666</v>
      </c>
      <c r="DJ111" s="587">
        <v>419.64090327398492</v>
      </c>
      <c r="DK111" s="587">
        <v>394.16204068587007</v>
      </c>
      <c r="DL111" s="587">
        <v>426.81200981456305</v>
      </c>
      <c r="DM111" s="587">
        <v>426.65465971607262</v>
      </c>
      <c r="DN111" s="587">
        <v>430.25400837963002</v>
      </c>
      <c r="DO111" s="587">
        <v>440.8974529117217</v>
      </c>
      <c r="DP111" s="587">
        <v>422.69765911451628</v>
      </c>
      <c r="DQ111" s="587">
        <v>445.87231254807534</v>
      </c>
      <c r="DR111" s="587">
        <v>398.04857654779448</v>
      </c>
    </row>
    <row r="112" spans="1:122" ht="7.7" customHeight="1">
      <c r="A112" s="786"/>
      <c r="B112" s="787"/>
      <c r="C112" s="584"/>
      <c r="D112" s="584"/>
      <c r="E112" s="596"/>
      <c r="F112" s="584"/>
      <c r="G112" s="584"/>
      <c r="H112" s="664"/>
      <c r="I112" s="664"/>
      <c r="J112" s="664"/>
      <c r="K112" s="593"/>
      <c r="L112" s="664"/>
      <c r="M112" s="664"/>
      <c r="N112" s="664"/>
      <c r="O112" s="593"/>
      <c r="P112" s="664"/>
      <c r="Q112" s="664"/>
      <c r="R112" s="593"/>
      <c r="S112" s="664"/>
      <c r="T112" s="664"/>
      <c r="U112" s="795"/>
      <c r="V112" s="795"/>
      <c r="W112" s="795"/>
      <c r="X112" s="795"/>
      <c r="Y112" s="795"/>
      <c r="Z112" s="795"/>
      <c r="AA112" s="795"/>
      <c r="AB112" s="795"/>
      <c r="AC112" s="795"/>
      <c r="AD112" s="795"/>
      <c r="AE112" s="795"/>
      <c r="AF112" s="795"/>
      <c r="AG112" s="795"/>
      <c r="AH112" s="795"/>
      <c r="AI112" s="795"/>
      <c r="AJ112" s="795"/>
      <c r="AK112" s="795"/>
      <c r="AL112" s="795"/>
      <c r="AM112" s="665"/>
      <c r="AN112" s="665"/>
      <c r="AO112" s="665"/>
      <c r="AP112" s="665"/>
      <c r="AQ112" s="666"/>
      <c r="AR112" s="787"/>
      <c r="AS112" s="787"/>
      <c r="AT112" s="787"/>
      <c r="AU112" s="787"/>
      <c r="AV112" s="787"/>
      <c r="AW112" s="790"/>
      <c r="AX112" s="790"/>
      <c r="AY112" s="790"/>
      <c r="AZ112" s="790"/>
      <c r="BA112" s="790"/>
      <c r="BB112" s="790"/>
      <c r="BC112" s="790"/>
      <c r="BD112" s="790"/>
      <c r="BE112" s="790"/>
      <c r="BF112" s="790"/>
      <c r="BG112" s="790"/>
      <c r="BH112" s="790"/>
      <c r="BI112" s="790"/>
      <c r="BJ112" s="790"/>
      <c r="BK112" s="790"/>
      <c r="BL112" s="790"/>
      <c r="BM112" s="790"/>
      <c r="BN112" s="790"/>
      <c r="BO112" s="790"/>
      <c r="BP112" s="790"/>
      <c r="BQ112" s="790"/>
      <c r="BR112" s="790"/>
      <c r="BS112" s="790"/>
      <c r="BT112" s="790"/>
      <c r="BU112" s="790"/>
      <c r="BV112" s="790"/>
      <c r="BW112" s="790"/>
      <c r="BX112" s="790"/>
      <c r="BY112" s="790"/>
      <c r="BZ112" s="790"/>
      <c r="CA112" s="790"/>
      <c r="CB112" s="790"/>
      <c r="CC112" s="790"/>
      <c r="CD112" s="790"/>
      <c r="CE112" s="790"/>
      <c r="CF112" s="790"/>
      <c r="CG112" s="790"/>
      <c r="CH112" s="790"/>
      <c r="CI112" s="790"/>
      <c r="CJ112" s="790"/>
      <c r="CK112" s="790"/>
      <c r="CL112" s="790"/>
      <c r="CM112" s="790"/>
      <c r="CN112" s="790"/>
      <c r="CO112" s="790"/>
      <c r="CP112" s="819"/>
      <c r="CQ112" s="790"/>
      <c r="CR112" s="587"/>
      <c r="CS112" s="587"/>
      <c r="CT112" s="587"/>
      <c r="CU112" s="587"/>
      <c r="CV112" s="587"/>
      <c r="CW112" s="587"/>
      <c r="CX112" s="587"/>
      <c r="CY112" s="587"/>
      <c r="CZ112" s="587"/>
      <c r="DA112" s="587"/>
      <c r="DB112" s="587"/>
      <c r="DC112" s="587"/>
      <c r="DD112" s="587"/>
      <c r="DE112" s="587"/>
      <c r="DF112" s="587"/>
      <c r="DG112" s="587"/>
      <c r="DH112" s="587"/>
      <c r="DI112" s="587"/>
      <c r="DJ112" s="587"/>
      <c r="DK112" s="587"/>
      <c r="DL112" s="587"/>
      <c r="DM112" s="587"/>
      <c r="DN112" s="587"/>
      <c r="DO112" s="587"/>
      <c r="DP112" s="587"/>
      <c r="DQ112" s="587"/>
      <c r="DR112" s="587"/>
    </row>
    <row r="113" spans="1:122" ht="18" customHeight="1">
      <c r="A113" s="786" t="s">
        <v>2462</v>
      </c>
      <c r="B113" s="787">
        <v>43.150614399999995</v>
      </c>
      <c r="C113" s="584">
        <v>42.207274249999998</v>
      </c>
      <c r="D113" s="584">
        <v>42.512318749999999</v>
      </c>
      <c r="E113" s="596">
        <v>41.809370599999994</v>
      </c>
      <c r="F113" s="584">
        <v>47.301994409999999</v>
      </c>
      <c r="G113" s="584">
        <v>199.47419263999998</v>
      </c>
      <c r="H113" s="584">
        <v>62.735003629999994</v>
      </c>
      <c r="I113" s="584">
        <v>59.889912649999999</v>
      </c>
      <c r="J113" s="584">
        <v>65.213463569999988</v>
      </c>
      <c r="K113" s="596">
        <v>71.142156270000001</v>
      </c>
      <c r="L113" s="584">
        <v>80.642934280000006</v>
      </c>
      <c r="M113" s="584">
        <v>80.446369410000003</v>
      </c>
      <c r="N113" s="584">
        <v>79.685080139999997</v>
      </c>
      <c r="O113" s="596">
        <v>82.64223527</v>
      </c>
      <c r="P113" s="584">
        <v>94.409450730000003</v>
      </c>
      <c r="Q113" s="584">
        <v>104.50950939000001</v>
      </c>
      <c r="R113" s="596">
        <v>98.667446409999997</v>
      </c>
      <c r="S113" s="584">
        <v>108.93932369999999</v>
      </c>
      <c r="T113" s="584">
        <v>121.25759981</v>
      </c>
      <c r="U113" s="586">
        <v>138.49179686000002</v>
      </c>
      <c r="V113" s="586">
        <v>146.85775838000004</v>
      </c>
      <c r="W113" s="586">
        <v>146.53598158000003</v>
      </c>
      <c r="X113" s="586">
        <v>146.58059299999999</v>
      </c>
      <c r="Y113" s="586">
        <v>146.72446094999998</v>
      </c>
      <c r="Z113" s="586">
        <v>95.140797540000008</v>
      </c>
      <c r="AA113" s="586">
        <v>53.62281668</v>
      </c>
      <c r="AB113" s="586">
        <v>53.616845520000005</v>
      </c>
      <c r="AC113" s="586">
        <v>52.152415769999998</v>
      </c>
      <c r="AD113" s="586">
        <v>52.342236230000005</v>
      </c>
      <c r="AE113" s="586">
        <v>55.405798879999999</v>
      </c>
      <c r="AF113" s="586">
        <v>55.671171610000002</v>
      </c>
      <c r="AG113" s="586">
        <v>48.651752860000002</v>
      </c>
      <c r="AH113" s="586">
        <v>48.309266000000001</v>
      </c>
      <c r="AI113" s="586">
        <v>48.683567750000002</v>
      </c>
      <c r="AJ113" s="586">
        <v>48.213574289999997</v>
      </c>
      <c r="AK113" s="586">
        <v>48.213015290000001</v>
      </c>
      <c r="AL113" s="586">
        <v>47.749111720000002</v>
      </c>
      <c r="AM113" s="665">
        <v>47.243044304499996</v>
      </c>
      <c r="AN113" s="665">
        <v>47.243352719999997</v>
      </c>
      <c r="AO113" s="665">
        <v>46.795961959999993</v>
      </c>
      <c r="AP113" s="665">
        <v>47.020105870000002</v>
      </c>
      <c r="AQ113" s="665">
        <v>45.856592560000003</v>
      </c>
      <c r="AR113" s="787">
        <v>45.206261120000008</v>
      </c>
      <c r="AS113" s="787">
        <v>148.69999999999999</v>
      </c>
      <c r="AT113" s="787">
        <v>48.81600928999999</v>
      </c>
      <c r="AU113" s="787">
        <v>48.946116539999998</v>
      </c>
      <c r="AV113" s="787">
        <v>48.133050670000003</v>
      </c>
      <c r="AW113" s="790">
        <v>44.245487049999994</v>
      </c>
      <c r="AX113" s="790">
        <v>49.020420189999996</v>
      </c>
      <c r="AY113" s="790">
        <v>4.6218399999999997</v>
      </c>
      <c r="AZ113" s="790">
        <v>8.1419823999999998</v>
      </c>
      <c r="BA113" s="790">
        <v>4.9027830000000003</v>
      </c>
      <c r="BB113" s="790">
        <v>8.0384530099999996</v>
      </c>
      <c r="BC113" s="790">
        <v>8.4703702300000003</v>
      </c>
      <c r="BD113" s="790">
        <v>7.9456505399999999</v>
      </c>
      <c r="BE113" s="790">
        <v>4.00258</v>
      </c>
      <c r="BF113" s="790">
        <v>7.3090130100000001</v>
      </c>
      <c r="BG113" s="790">
        <v>7.2887738899999999</v>
      </c>
      <c r="BH113" s="790">
        <v>7.2096222499999998</v>
      </c>
      <c r="BI113" s="790">
        <v>7.14423545</v>
      </c>
      <c r="BJ113" s="790">
        <v>7.1485296399999996</v>
      </c>
      <c r="BK113" s="790">
        <v>6.5151346800000001</v>
      </c>
      <c r="BL113" s="790">
        <v>6.4557929299999994</v>
      </c>
      <c r="BM113" s="790">
        <v>66.207861170000015</v>
      </c>
      <c r="BN113" s="790">
        <v>6.33510039</v>
      </c>
      <c r="BO113" s="790">
        <v>6.2741989500000006</v>
      </c>
      <c r="BP113" s="790">
        <v>6.2117400099999998</v>
      </c>
      <c r="BQ113" s="790">
        <v>5.6498558799999996</v>
      </c>
      <c r="BR113" s="790">
        <v>5.5873898300000002</v>
      </c>
      <c r="BS113" s="790">
        <v>5.5224426399999995</v>
      </c>
      <c r="BT113" s="790">
        <v>5.4587292699999992</v>
      </c>
      <c r="BU113" s="790">
        <v>5.3939733399999996</v>
      </c>
      <c r="BV113" s="790">
        <v>7.5654054200000003</v>
      </c>
      <c r="BW113" s="790">
        <v>5.22774406</v>
      </c>
      <c r="BX113" s="790">
        <v>5.4301870000000001</v>
      </c>
      <c r="BY113" s="790">
        <v>5.8820139999999999</v>
      </c>
      <c r="BZ113" s="790">
        <v>5.4</v>
      </c>
      <c r="CA113" s="790">
        <v>5.3</v>
      </c>
      <c r="CB113" s="790">
        <v>3.6</v>
      </c>
      <c r="CC113" s="790">
        <v>3.0946150000000001</v>
      </c>
      <c r="CD113" s="790">
        <v>3.0779450000000002</v>
      </c>
      <c r="CE113" s="790">
        <v>3.016289</v>
      </c>
      <c r="CF113" s="790">
        <v>2.0226440000000001</v>
      </c>
      <c r="CG113" s="790">
        <v>3.04628649</v>
      </c>
      <c r="CH113" s="790">
        <v>3.0264083199999998</v>
      </c>
      <c r="CI113" s="790">
        <v>2.50541379</v>
      </c>
      <c r="CJ113" s="790">
        <v>2.4662520699999999</v>
      </c>
      <c r="CK113" s="790">
        <v>2.4441150599999997</v>
      </c>
      <c r="CL113" s="790">
        <v>2.4319014010000002</v>
      </c>
      <c r="CM113" s="790">
        <v>2.4139252600000001</v>
      </c>
      <c r="CN113" s="790">
        <v>2.4324319000000001</v>
      </c>
      <c r="CO113" s="790">
        <v>1.8798628399999999</v>
      </c>
      <c r="CP113" s="819">
        <v>1.88009979</v>
      </c>
      <c r="CQ113" s="790">
        <v>1.90022414</v>
      </c>
      <c r="CR113" s="790">
        <v>301.82635457999999</v>
      </c>
      <c r="CS113" s="790">
        <v>1.80462184</v>
      </c>
      <c r="CT113" s="790">
        <v>1.8158073100000001</v>
      </c>
      <c r="CU113" s="790">
        <v>1.7627058899999999</v>
      </c>
      <c r="CV113" s="790">
        <v>0.74193392000000002</v>
      </c>
      <c r="CW113" s="790">
        <v>0.7327681800000001</v>
      </c>
      <c r="CX113" s="790">
        <v>0.71183520999999994</v>
      </c>
      <c r="CY113" s="790">
        <v>0.69220099999999996</v>
      </c>
      <c r="CZ113" s="790">
        <v>0.67395708999999993</v>
      </c>
      <c r="DA113" s="790">
        <v>0.65337118000000005</v>
      </c>
      <c r="DB113" s="790">
        <v>0.63178003999999999</v>
      </c>
      <c r="DC113" s="790">
        <v>0.61001378000000006</v>
      </c>
      <c r="DD113" s="790">
        <v>0.60121451000000004</v>
      </c>
      <c r="DE113" s="790">
        <v>0.57232901999999997</v>
      </c>
      <c r="DF113" s="790">
        <v>0.55168834</v>
      </c>
      <c r="DG113" s="790">
        <v>0.52686173999999997</v>
      </c>
      <c r="DH113" s="790">
        <v>0.21219825</v>
      </c>
      <c r="DI113" s="790">
        <v>0.19268010999999999</v>
      </c>
      <c r="DJ113" s="790">
        <v>0.17627303</v>
      </c>
      <c r="DK113" s="790">
        <v>0.15529604999999999</v>
      </c>
      <c r="DL113" s="790">
        <v>2.4492400000000001E-2</v>
      </c>
      <c r="DM113" s="790">
        <v>1.7509E-2</v>
      </c>
      <c r="DN113" s="790">
        <v>2.5222999999999999E-2</v>
      </c>
      <c r="DO113" s="790">
        <v>2.4886540000000002E-2</v>
      </c>
      <c r="DP113" s="790">
        <v>204.88330175646249</v>
      </c>
      <c r="DQ113" s="790">
        <v>203.49539198450898</v>
      </c>
      <c r="DR113" s="790">
        <v>199.523304</v>
      </c>
    </row>
    <row r="114" spans="1:122" ht="7.7" customHeight="1">
      <c r="A114" s="786"/>
      <c r="B114" s="787"/>
      <c r="C114" s="584"/>
      <c r="D114" s="584"/>
      <c r="E114" s="596"/>
      <c r="F114" s="584"/>
      <c r="G114" s="584"/>
      <c r="H114" s="664"/>
      <c r="I114" s="664"/>
      <c r="J114" s="664"/>
      <c r="K114" s="593"/>
      <c r="L114" s="664"/>
      <c r="M114" s="664"/>
      <c r="N114" s="664"/>
      <c r="O114" s="593"/>
      <c r="P114" s="664"/>
      <c r="Q114" s="664"/>
      <c r="R114" s="593"/>
      <c r="S114" s="664"/>
      <c r="T114" s="664"/>
      <c r="U114" s="795"/>
      <c r="V114" s="795"/>
      <c r="W114" s="795"/>
      <c r="X114" s="795"/>
      <c r="Y114" s="795"/>
      <c r="Z114" s="795"/>
      <c r="AA114" s="795"/>
      <c r="AB114" s="795"/>
      <c r="AC114" s="795"/>
      <c r="AD114" s="795"/>
      <c r="AE114" s="795"/>
      <c r="AF114" s="795"/>
      <c r="AG114" s="795"/>
      <c r="AH114" s="795"/>
      <c r="AI114" s="795"/>
      <c r="AJ114" s="795"/>
      <c r="AK114" s="795"/>
      <c r="AL114" s="795"/>
      <c r="AM114" s="665"/>
      <c r="AN114" s="665"/>
      <c r="AO114" s="665"/>
      <c r="AP114" s="665"/>
      <c r="AQ114" s="665"/>
      <c r="AR114" s="787"/>
      <c r="AS114" s="787"/>
      <c r="AT114" s="787"/>
      <c r="AU114" s="787"/>
      <c r="AV114" s="787"/>
      <c r="AW114" s="790"/>
      <c r="AX114" s="790"/>
      <c r="AY114" s="790"/>
      <c r="AZ114" s="790"/>
      <c r="BA114" s="790"/>
      <c r="BB114" s="790"/>
      <c r="BC114" s="790"/>
      <c r="BD114" s="790"/>
      <c r="BE114" s="790"/>
      <c r="BF114" s="790"/>
      <c r="BG114" s="790"/>
      <c r="BH114" s="790"/>
      <c r="BI114" s="790"/>
      <c r="BJ114" s="790"/>
      <c r="BK114" s="790"/>
      <c r="BL114" s="790"/>
      <c r="BM114" s="790"/>
      <c r="BN114" s="790"/>
      <c r="BO114" s="790"/>
      <c r="BP114" s="790"/>
      <c r="BQ114" s="790"/>
      <c r="BR114" s="790"/>
      <c r="BS114" s="790"/>
      <c r="BT114" s="790"/>
      <c r="BU114" s="790"/>
      <c r="BV114" s="790"/>
      <c r="BW114" s="790"/>
      <c r="BX114" s="790"/>
      <c r="BY114" s="790"/>
      <c r="BZ114" s="790"/>
      <c r="CA114" s="790"/>
      <c r="CB114" s="790"/>
      <c r="CC114" s="790"/>
      <c r="CD114" s="790"/>
      <c r="CE114" s="790"/>
      <c r="CF114" s="790"/>
      <c r="CG114" s="790"/>
      <c r="CH114" s="790"/>
      <c r="CI114" s="790"/>
      <c r="CJ114" s="790"/>
      <c r="CK114" s="790"/>
      <c r="CL114" s="790"/>
      <c r="CM114" s="790"/>
      <c r="CN114" s="790"/>
      <c r="CO114" s="790"/>
      <c r="CP114" s="819"/>
      <c r="CQ114" s="790"/>
      <c r="CR114" s="790"/>
      <c r="CS114" s="790"/>
      <c r="CT114" s="790"/>
      <c r="CU114" s="790"/>
      <c r="CV114" s="790"/>
      <c r="CW114" s="790"/>
      <c r="CX114" s="790"/>
      <c r="CY114" s="790"/>
      <c r="CZ114" s="790"/>
      <c r="DA114" s="790"/>
      <c r="DB114" s="790"/>
      <c r="DC114" s="790"/>
      <c r="DD114" s="790"/>
      <c r="DE114" s="790"/>
      <c r="DF114" s="790"/>
      <c r="DG114" s="790"/>
      <c r="DH114" s="790"/>
      <c r="DI114" s="790"/>
      <c r="DJ114" s="790"/>
      <c r="DK114" s="790"/>
      <c r="DL114" s="790"/>
      <c r="DM114" s="790"/>
      <c r="DN114" s="790"/>
      <c r="DO114" s="790"/>
      <c r="DP114" s="790"/>
      <c r="DQ114" s="790"/>
      <c r="DR114" s="790"/>
    </row>
    <row r="115" spans="1:122" ht="18" customHeight="1">
      <c r="A115" s="786" t="s">
        <v>2463</v>
      </c>
      <c r="B115" s="787">
        <v>6087.5339999999997</v>
      </c>
      <c r="C115" s="584">
        <v>6282.2809999999999</v>
      </c>
      <c r="D115" s="584">
        <v>6278.3530000000001</v>
      </c>
      <c r="E115" s="596">
        <v>6540.0770000000002</v>
      </c>
      <c r="F115" s="584">
        <v>7791.7597525270503</v>
      </c>
      <c r="G115" s="584">
        <v>8301.3367181460035</v>
      </c>
      <c r="H115" s="584">
        <v>9681.1409026227993</v>
      </c>
      <c r="I115" s="584">
        <v>9148.4428674504306</v>
      </c>
      <c r="J115" s="584">
        <v>8837.0183888883985</v>
      </c>
      <c r="K115" s="596">
        <v>9765.5623922953801</v>
      </c>
      <c r="L115" s="584">
        <v>9904.6604144988996</v>
      </c>
      <c r="M115" s="584">
        <v>9146.6745993924997</v>
      </c>
      <c r="N115" s="584">
        <v>8938.3034120034863</v>
      </c>
      <c r="O115" s="596">
        <v>9012.8890734600009</v>
      </c>
      <c r="P115" s="584">
        <v>9640.0199489482911</v>
      </c>
      <c r="Q115" s="584">
        <v>10191.4248335068</v>
      </c>
      <c r="R115" s="596">
        <v>10434.874630715985</v>
      </c>
      <c r="S115" s="584">
        <v>9915.4804170865864</v>
      </c>
      <c r="T115" s="584">
        <v>9325.0663377259862</v>
      </c>
      <c r="U115" s="586">
        <v>8383.1485167143164</v>
      </c>
      <c r="V115" s="586">
        <v>8354.5385764243238</v>
      </c>
      <c r="W115" s="586">
        <v>7942.615334895987</v>
      </c>
      <c r="X115" s="586">
        <v>7621.1513219999997</v>
      </c>
      <c r="Y115" s="586">
        <v>7247.1779320284859</v>
      </c>
      <c r="Z115" s="586">
        <v>6904.1</v>
      </c>
      <c r="AA115" s="586">
        <v>6596.2549728348622</v>
      </c>
      <c r="AB115" s="586">
        <v>6824.8353906312623</v>
      </c>
      <c r="AC115" s="586">
        <v>6772.2111154775102</v>
      </c>
      <c r="AD115" s="586">
        <v>6484.9072354850105</v>
      </c>
      <c r="AE115" s="586">
        <v>6828.2469018691863</v>
      </c>
      <c r="AF115" s="586">
        <v>6886.4714352862666</v>
      </c>
      <c r="AG115" s="586">
        <v>7455.1138198725166</v>
      </c>
      <c r="AH115" s="586">
        <v>7374.7690133325168</v>
      </c>
      <c r="AI115" s="586">
        <v>7264.4454413325157</v>
      </c>
      <c r="AJ115" s="586">
        <v>7264.2725329717005</v>
      </c>
      <c r="AK115" s="586">
        <v>7109.0688772004696</v>
      </c>
      <c r="AL115" s="586">
        <v>7768.0838362606182</v>
      </c>
      <c r="AM115" s="665">
        <v>6874.5503868074684</v>
      </c>
      <c r="AN115" s="665">
        <v>7139.4956924856006</v>
      </c>
      <c r="AO115" s="665">
        <v>8563.0663027631017</v>
      </c>
      <c r="AP115" s="665">
        <v>7619.511050453787</v>
      </c>
      <c r="AQ115" s="665">
        <v>8425.0455872916864</v>
      </c>
      <c r="AR115" s="787">
        <v>9206.2720706570453</v>
      </c>
      <c r="AS115" s="787">
        <v>10288.1</v>
      </c>
      <c r="AT115" s="787">
        <v>11983.528431303679</v>
      </c>
      <c r="AU115" s="787">
        <v>11905.548058594413</v>
      </c>
      <c r="AV115" s="787">
        <v>11976.820928203735</v>
      </c>
      <c r="AW115" s="790">
        <v>12136.830411973338</v>
      </c>
      <c r="AX115" s="790">
        <v>12136.735695298354</v>
      </c>
      <c r="AY115" s="790">
        <v>12375.565437237236</v>
      </c>
      <c r="AZ115" s="790">
        <v>11946.025530794048</v>
      </c>
      <c r="BA115" s="790">
        <v>11968.77704559256</v>
      </c>
      <c r="BB115" s="790">
        <v>12104.112189095818</v>
      </c>
      <c r="BC115" s="790">
        <v>10317.39016114209</v>
      </c>
      <c r="BD115" s="790">
        <v>10928.459762339055</v>
      </c>
      <c r="BE115" s="790">
        <v>10519.436166373454</v>
      </c>
      <c r="BF115" s="790">
        <v>10005.688965027455</v>
      </c>
      <c r="BG115" s="790">
        <v>10381.779196739439</v>
      </c>
      <c r="BH115" s="790">
        <v>9623.3347607017604</v>
      </c>
      <c r="BI115" s="790">
        <v>10529.082894091322</v>
      </c>
      <c r="BJ115" s="790">
        <v>10248.054642308682</v>
      </c>
      <c r="BK115" s="790">
        <v>9603.0785451887896</v>
      </c>
      <c r="BL115" s="790">
        <v>8441.3102252899371</v>
      </c>
      <c r="BM115" s="790">
        <v>8401.1349433418</v>
      </c>
      <c r="BN115" s="790">
        <v>8361.2331617861255</v>
      </c>
      <c r="BO115" s="790">
        <v>7823.9781826218095</v>
      </c>
      <c r="BP115" s="790">
        <v>8957.2432000743593</v>
      </c>
      <c r="BQ115" s="790">
        <v>7437.6127609682599</v>
      </c>
      <c r="BR115" s="790">
        <v>7405.7139424756606</v>
      </c>
      <c r="BS115" s="790">
        <v>7468.0103895869597</v>
      </c>
      <c r="BT115" s="790">
        <v>6843.9208039492114</v>
      </c>
      <c r="BU115" s="790">
        <v>6897.8749128561594</v>
      </c>
      <c r="BV115" s="790">
        <v>7083.6699501072599</v>
      </c>
      <c r="BW115" s="790">
        <v>6692.5169704858399</v>
      </c>
      <c r="BX115" s="790">
        <v>6892.6479768524996</v>
      </c>
      <c r="BY115" s="790">
        <v>6858.5721894185444</v>
      </c>
      <c r="BZ115" s="790">
        <v>7082.6</v>
      </c>
      <c r="CA115" s="790">
        <v>6534.3329141403501</v>
      </c>
      <c r="CB115" s="790">
        <v>3878.3103971488567</v>
      </c>
      <c r="CC115" s="790">
        <v>4235.4853295428575</v>
      </c>
      <c r="CD115" s="790">
        <v>4568.6010120400206</v>
      </c>
      <c r="CE115" s="790">
        <v>4466.3129372281783</v>
      </c>
      <c r="CF115" s="790">
        <v>4829.0300226617501</v>
      </c>
      <c r="CG115" s="790">
        <v>4887.4298985143396</v>
      </c>
      <c r="CH115" s="790">
        <v>4898.3645975176578</v>
      </c>
      <c r="CI115" s="790">
        <v>5457.1038770263049</v>
      </c>
      <c r="CJ115" s="790">
        <v>5344.7690008277323</v>
      </c>
      <c r="CK115" s="790">
        <v>5636.1930700774219</v>
      </c>
      <c r="CL115" s="790">
        <v>6595.1493897188029</v>
      </c>
      <c r="CM115" s="790">
        <v>5302.0541086554767</v>
      </c>
      <c r="CN115" s="790">
        <v>6478.7426833224245</v>
      </c>
      <c r="CO115" s="790">
        <v>6247.3900088797291</v>
      </c>
      <c r="CP115" s="819">
        <v>7009.0905848993571</v>
      </c>
      <c r="CQ115" s="790">
        <v>5858.7873998827072</v>
      </c>
      <c r="CR115" s="790">
        <v>5828.7412038260081</v>
      </c>
      <c r="CS115" s="790">
        <v>6540.9886476797583</v>
      </c>
      <c r="CT115" s="790">
        <v>5642.9206136366747</v>
      </c>
      <c r="CU115" s="790">
        <v>3992.7850374250811</v>
      </c>
      <c r="CV115" s="790">
        <v>5420.6963934396153</v>
      </c>
      <c r="CW115" s="790">
        <v>5433.4190024353693</v>
      </c>
      <c r="CX115" s="790">
        <v>4972.3342587107581</v>
      </c>
      <c r="CY115" s="790">
        <v>5049.5503351533816</v>
      </c>
      <c r="CZ115" s="790">
        <v>5795.7906707042985</v>
      </c>
      <c r="DA115" s="790">
        <v>3315.5223480265895</v>
      </c>
      <c r="DB115" s="790">
        <v>4561.7163298290943</v>
      </c>
      <c r="DC115" s="790">
        <v>4648.8899293142986</v>
      </c>
      <c r="DD115" s="790">
        <v>3296.1013152392338</v>
      </c>
      <c r="DE115" s="790">
        <v>4367.0836896670053</v>
      </c>
      <c r="DF115" s="790">
        <v>3451.6480580910743</v>
      </c>
      <c r="DG115" s="790">
        <v>4738.4628709182698</v>
      </c>
      <c r="DH115" s="790">
        <v>4276.9844922336988</v>
      </c>
      <c r="DI115" s="790">
        <v>2999.8332972555158</v>
      </c>
      <c r="DJ115" s="790">
        <v>4647.0093190448233</v>
      </c>
      <c r="DK115" s="790">
        <v>3740.9378651900029</v>
      </c>
      <c r="DL115" s="790">
        <v>4019.8671690951746</v>
      </c>
      <c r="DM115" s="790">
        <v>4049.2061243122084</v>
      </c>
      <c r="DN115" s="790">
        <v>2815.9859232095801</v>
      </c>
      <c r="DO115" s="790">
        <v>3467.5979973728458</v>
      </c>
      <c r="DP115" s="790">
        <v>3182.1603019689264</v>
      </c>
      <c r="DQ115" s="790">
        <v>2248.3817624936351</v>
      </c>
      <c r="DR115" s="790">
        <v>3120.7566096015034</v>
      </c>
    </row>
    <row r="116" spans="1:122" ht="7.7" customHeight="1">
      <c r="A116" s="786"/>
      <c r="B116" s="787"/>
      <c r="C116" s="584"/>
      <c r="D116" s="584"/>
      <c r="E116" s="596"/>
      <c r="F116" s="584"/>
      <c r="G116" s="584"/>
      <c r="H116" s="664"/>
      <c r="I116" s="664"/>
      <c r="J116" s="664"/>
      <c r="K116" s="593"/>
      <c r="L116" s="664"/>
      <c r="M116" s="664"/>
      <c r="N116" s="664"/>
      <c r="O116" s="593"/>
      <c r="P116" s="664"/>
      <c r="Q116" s="664"/>
      <c r="R116" s="593"/>
      <c r="S116" s="664"/>
      <c r="T116" s="664"/>
      <c r="U116" s="795"/>
      <c r="V116" s="795"/>
      <c r="W116" s="795"/>
      <c r="X116" s="795"/>
      <c r="Y116" s="795"/>
      <c r="Z116" s="795"/>
      <c r="AA116" s="795"/>
      <c r="AB116" s="795"/>
      <c r="AC116" s="795"/>
      <c r="AD116" s="795"/>
      <c r="AE116" s="795"/>
      <c r="AF116" s="795"/>
      <c r="AG116" s="795"/>
      <c r="AH116" s="795"/>
      <c r="AI116" s="795"/>
      <c r="AJ116" s="795"/>
      <c r="AK116" s="795"/>
      <c r="AL116" s="795"/>
      <c r="AM116" s="665"/>
      <c r="AN116" s="665"/>
      <c r="AO116" s="665"/>
      <c r="AP116" s="665"/>
      <c r="AQ116" s="665"/>
      <c r="AR116" s="787"/>
      <c r="AS116" s="787"/>
      <c r="AT116" s="787"/>
      <c r="AU116" s="787"/>
      <c r="AV116" s="787"/>
      <c r="AW116" s="790"/>
      <c r="AX116" s="790"/>
      <c r="AY116" s="790"/>
      <c r="AZ116" s="790"/>
      <c r="BA116" s="790"/>
      <c r="BB116" s="790"/>
      <c r="BC116" s="790"/>
      <c r="BD116" s="790"/>
      <c r="BE116" s="790"/>
      <c r="BF116" s="790"/>
      <c r="BG116" s="790"/>
      <c r="BH116" s="790"/>
      <c r="BI116" s="790"/>
      <c r="BJ116" s="790"/>
      <c r="BK116" s="790"/>
      <c r="BL116" s="790"/>
      <c r="BM116" s="790"/>
      <c r="BN116" s="790"/>
      <c r="BO116" s="790"/>
      <c r="BP116" s="790"/>
      <c r="BQ116" s="790"/>
      <c r="BR116" s="790"/>
      <c r="BS116" s="790"/>
      <c r="BT116" s="790"/>
      <c r="BU116" s="790"/>
      <c r="BV116" s="790"/>
      <c r="BW116" s="790"/>
      <c r="BX116" s="790"/>
      <c r="BY116" s="790"/>
      <c r="BZ116" s="790"/>
      <c r="CA116" s="790"/>
      <c r="CB116" s="790"/>
      <c r="CC116" s="790"/>
      <c r="CD116" s="790"/>
      <c r="CE116" s="790"/>
      <c r="CF116" s="790"/>
      <c r="CG116" s="790"/>
      <c r="CH116" s="790"/>
      <c r="CI116" s="790"/>
      <c r="CJ116" s="790"/>
      <c r="CK116" s="790"/>
      <c r="CL116" s="790"/>
      <c r="CM116" s="790"/>
      <c r="CN116" s="790"/>
      <c r="CO116" s="790"/>
      <c r="CP116" s="819"/>
      <c r="CQ116" s="790"/>
      <c r="CR116" s="790"/>
      <c r="CS116" s="790"/>
      <c r="CT116" s="790"/>
      <c r="CU116" s="790"/>
      <c r="CV116" s="790"/>
      <c r="CW116" s="790"/>
      <c r="CX116" s="790"/>
      <c r="CY116" s="790"/>
      <c r="CZ116" s="790"/>
      <c r="DA116" s="790"/>
      <c r="DB116" s="790"/>
      <c r="DC116" s="790"/>
      <c r="DD116" s="790"/>
      <c r="DE116" s="790"/>
      <c r="DF116" s="790"/>
      <c r="DG116" s="790"/>
      <c r="DH116" s="790"/>
      <c r="DI116" s="790"/>
      <c r="DJ116" s="790"/>
      <c r="DK116" s="790"/>
      <c r="DL116" s="790"/>
      <c r="DM116" s="790"/>
      <c r="DN116" s="790"/>
      <c r="DO116" s="790"/>
      <c r="DP116" s="790"/>
      <c r="DQ116" s="790"/>
      <c r="DR116" s="790"/>
    </row>
    <row r="117" spans="1:122" ht="18" customHeight="1">
      <c r="A117" s="786" t="s">
        <v>2464</v>
      </c>
      <c r="B117" s="787">
        <v>0</v>
      </c>
      <c r="C117" s="584">
        <v>0</v>
      </c>
      <c r="D117" s="584">
        <v>0</v>
      </c>
      <c r="E117" s="596">
        <v>0</v>
      </c>
      <c r="F117" s="584">
        <v>0</v>
      </c>
      <c r="G117" s="584">
        <v>0</v>
      </c>
      <c r="H117" s="584">
        <v>0</v>
      </c>
      <c r="I117" s="584">
        <v>0</v>
      </c>
      <c r="J117" s="584">
        <v>0</v>
      </c>
      <c r="K117" s="596">
        <v>0</v>
      </c>
      <c r="L117" s="584">
        <v>0</v>
      </c>
      <c r="M117" s="584">
        <v>1.4883000000000002E-4</v>
      </c>
      <c r="N117" s="584">
        <v>0</v>
      </c>
      <c r="O117" s="596">
        <v>0</v>
      </c>
      <c r="P117" s="584">
        <v>2.5469999999999998E-5</v>
      </c>
      <c r="Q117" s="584">
        <v>1.1640999999999999E-4</v>
      </c>
      <c r="R117" s="596">
        <v>2.0886E-4</v>
      </c>
      <c r="S117" s="584">
        <v>0</v>
      </c>
      <c r="T117" s="584">
        <v>0</v>
      </c>
      <c r="U117" s="586">
        <v>8.5140000000000001E-5</v>
      </c>
      <c r="V117" s="586">
        <v>0</v>
      </c>
      <c r="W117" s="586">
        <v>0</v>
      </c>
      <c r="X117" s="586">
        <v>0</v>
      </c>
      <c r="Y117" s="586">
        <v>0</v>
      </c>
      <c r="Z117" s="586">
        <v>0</v>
      </c>
      <c r="AA117" s="586">
        <v>0</v>
      </c>
      <c r="AB117" s="586">
        <v>0</v>
      </c>
      <c r="AC117" s="586">
        <v>2.0101E-4</v>
      </c>
      <c r="AD117" s="586">
        <v>0</v>
      </c>
      <c r="AE117" s="586">
        <v>0</v>
      </c>
      <c r="AF117" s="586">
        <v>0</v>
      </c>
      <c r="AG117" s="586">
        <v>0</v>
      </c>
      <c r="AH117" s="586">
        <v>0</v>
      </c>
      <c r="AI117" s="586">
        <v>0</v>
      </c>
      <c r="AJ117" s="586">
        <v>0</v>
      </c>
      <c r="AK117" s="586">
        <v>0.50244900000000003</v>
      </c>
      <c r="AL117" s="586">
        <v>0.49416765000000001</v>
      </c>
      <c r="AM117" s="665">
        <v>0.48826822999999997</v>
      </c>
      <c r="AN117" s="665">
        <v>0</v>
      </c>
      <c r="AO117" s="665">
        <v>0</v>
      </c>
      <c r="AP117" s="665">
        <v>0</v>
      </c>
      <c r="AQ117" s="665">
        <v>0</v>
      </c>
      <c r="AR117" s="787">
        <v>0</v>
      </c>
      <c r="AS117" s="787">
        <v>0</v>
      </c>
      <c r="AT117" s="787">
        <v>0</v>
      </c>
      <c r="AU117" s="787">
        <v>0</v>
      </c>
      <c r="AV117" s="787">
        <v>0</v>
      </c>
      <c r="AW117" s="790">
        <v>0</v>
      </c>
      <c r="AX117" s="790">
        <v>0</v>
      </c>
      <c r="AY117" s="790">
        <v>0</v>
      </c>
      <c r="AZ117" s="790">
        <v>0</v>
      </c>
      <c r="BA117" s="790">
        <v>0</v>
      </c>
      <c r="BB117" s="790">
        <v>0</v>
      </c>
      <c r="BC117" s="790">
        <v>0</v>
      </c>
      <c r="BD117" s="790">
        <v>0</v>
      </c>
      <c r="BE117" s="790">
        <v>0</v>
      </c>
      <c r="BF117" s="790">
        <v>0</v>
      </c>
      <c r="BG117" s="790">
        <v>0</v>
      </c>
      <c r="BH117" s="790">
        <v>0</v>
      </c>
      <c r="BI117" s="790">
        <v>0</v>
      </c>
      <c r="BJ117" s="790">
        <v>0</v>
      </c>
      <c r="BK117" s="790">
        <v>0</v>
      </c>
      <c r="BL117" s="790">
        <v>0</v>
      </c>
      <c r="BM117" s="790">
        <v>2.4752959999999997E-2</v>
      </c>
      <c r="BN117" s="790">
        <v>2.4512889999999999E-2</v>
      </c>
      <c r="BO117" s="790">
        <v>2.4298400000000001E-2</v>
      </c>
      <c r="BP117" s="790">
        <v>2.4071950000000002E-2</v>
      </c>
      <c r="BQ117" s="790">
        <v>2.3842560000000002E-2</v>
      </c>
      <c r="BR117" s="790">
        <v>2.3582869999999999E-2</v>
      </c>
      <c r="BS117" s="790">
        <v>2.3347360000000001E-2</v>
      </c>
      <c r="BT117" s="790">
        <v>2.309137E-2</v>
      </c>
      <c r="BU117" s="790">
        <v>2.285912E-2</v>
      </c>
      <c r="BV117" s="790">
        <v>2.260653E-2</v>
      </c>
      <c r="BW117" s="790">
        <v>2.234216E-2</v>
      </c>
      <c r="BX117" s="790">
        <v>2.2100999999999999E-2</v>
      </c>
      <c r="BY117" s="790">
        <v>2.1847999999999999E-2</v>
      </c>
      <c r="BZ117" s="790">
        <v>0</v>
      </c>
      <c r="CA117" s="790">
        <v>2.1323330000000001E-2</v>
      </c>
      <c r="CB117" s="790">
        <v>2.105255E-2</v>
      </c>
      <c r="CC117" s="790">
        <v>2.0794630000000001E-2</v>
      </c>
      <c r="CD117" s="790">
        <v>2.0509939999999997E-2</v>
      </c>
      <c r="CE117" s="790">
        <v>2.0229839999999999E-2</v>
      </c>
      <c r="CF117" s="790">
        <v>1.9953950000000002E-2</v>
      </c>
      <c r="CG117" s="790">
        <v>1.9674520000000001E-2</v>
      </c>
      <c r="CH117" s="790">
        <v>1.937695E-2</v>
      </c>
      <c r="CI117" s="790">
        <v>1.9098299999999999E-2</v>
      </c>
      <c r="CJ117" s="790">
        <v>1.8809119999999999E-2</v>
      </c>
      <c r="CK117" s="790">
        <v>1.8494409999999999E-2</v>
      </c>
      <c r="CL117" s="790">
        <v>1.8211950000000001E-2</v>
      </c>
      <c r="CM117" s="790">
        <v>1.7904929999999999E-2</v>
      </c>
      <c r="CN117" s="790">
        <v>1.7600900000000003E-2</v>
      </c>
      <c r="CO117" s="790">
        <v>1.7292990000000001E-2</v>
      </c>
      <c r="CP117" s="819">
        <v>1.69617E-2</v>
      </c>
      <c r="CQ117" s="790">
        <v>1.6633419999999999E-2</v>
      </c>
      <c r="CR117" s="790">
        <v>1.632049E-2</v>
      </c>
      <c r="CS117" s="790">
        <v>0</v>
      </c>
      <c r="CT117" s="790">
        <v>0</v>
      </c>
      <c r="CU117" s="790">
        <v>0</v>
      </c>
      <c r="CV117" s="790">
        <v>0</v>
      </c>
      <c r="CW117" s="790">
        <v>0</v>
      </c>
      <c r="CX117" s="790">
        <v>0</v>
      </c>
      <c r="CY117" s="790">
        <v>0</v>
      </c>
      <c r="CZ117" s="790">
        <v>0</v>
      </c>
      <c r="DA117" s="790">
        <v>0</v>
      </c>
      <c r="DB117" s="790">
        <v>0</v>
      </c>
      <c r="DC117" s="790">
        <v>0</v>
      </c>
      <c r="DD117" s="790">
        <v>0</v>
      </c>
      <c r="DE117" s="790">
        <v>0</v>
      </c>
      <c r="DF117" s="790">
        <v>0.18181270999999999</v>
      </c>
      <c r="DG117" s="790">
        <v>0.19791302999999999</v>
      </c>
      <c r="DH117" s="790">
        <v>0.19809220000000002</v>
      </c>
      <c r="DI117" s="790">
        <v>0.20092886999999998</v>
      </c>
      <c r="DJ117" s="790">
        <v>0.19949617</v>
      </c>
      <c r="DK117" s="790">
        <v>0.20276225</v>
      </c>
      <c r="DL117" s="790">
        <v>0.20409121999999999</v>
      </c>
      <c r="DM117" s="790">
        <v>0.20277281</v>
      </c>
      <c r="DN117" s="790">
        <v>0.20397317000000001</v>
      </c>
      <c r="DO117" s="790">
        <v>0.20084919000000001</v>
      </c>
      <c r="DP117" s="790">
        <v>0.20211548999999998</v>
      </c>
      <c r="DQ117" s="790">
        <v>0.20131164999999998</v>
      </c>
      <c r="DR117" s="790">
        <v>0.20116624</v>
      </c>
    </row>
    <row r="118" spans="1:122" ht="7.7" customHeight="1">
      <c r="A118" s="786"/>
      <c r="B118" s="787"/>
      <c r="C118" s="584"/>
      <c r="D118" s="584"/>
      <c r="E118" s="596"/>
      <c r="F118" s="584"/>
      <c r="G118" s="584"/>
      <c r="H118" s="664"/>
      <c r="I118" s="664"/>
      <c r="J118" s="664"/>
      <c r="K118" s="593"/>
      <c r="L118" s="664"/>
      <c r="M118" s="664"/>
      <c r="N118" s="664"/>
      <c r="O118" s="593"/>
      <c r="P118" s="664"/>
      <c r="Q118" s="664"/>
      <c r="R118" s="596"/>
      <c r="S118" s="664"/>
      <c r="T118" s="664"/>
      <c r="U118" s="795"/>
      <c r="V118" s="795"/>
      <c r="W118" s="795"/>
      <c r="X118" s="795"/>
      <c r="Y118" s="795"/>
      <c r="Z118" s="795"/>
      <c r="AA118" s="795"/>
      <c r="AB118" s="795"/>
      <c r="AC118" s="795"/>
      <c r="AD118" s="795"/>
      <c r="AE118" s="795"/>
      <c r="AF118" s="795"/>
      <c r="AG118" s="795"/>
      <c r="AH118" s="795"/>
      <c r="AI118" s="795"/>
      <c r="AJ118" s="795"/>
      <c r="AK118" s="795"/>
      <c r="AL118" s="795"/>
      <c r="AM118" s="665"/>
      <c r="AN118" s="665"/>
      <c r="AO118" s="665"/>
      <c r="AP118" s="665"/>
      <c r="AQ118" s="665"/>
      <c r="AR118" s="787"/>
      <c r="AS118" s="787"/>
      <c r="AT118" s="787"/>
      <c r="AU118" s="787"/>
      <c r="AV118" s="787"/>
      <c r="AW118" s="790"/>
      <c r="AX118" s="790"/>
      <c r="AY118" s="790"/>
      <c r="AZ118" s="790"/>
      <c r="BA118" s="790"/>
      <c r="BB118" s="790"/>
      <c r="BC118" s="790"/>
      <c r="BD118" s="790"/>
      <c r="BE118" s="790"/>
      <c r="BF118" s="790"/>
      <c r="BG118" s="790"/>
      <c r="BH118" s="790"/>
      <c r="BI118" s="790"/>
      <c r="BJ118" s="790"/>
      <c r="BK118" s="790"/>
      <c r="BL118" s="790"/>
      <c r="BM118" s="790"/>
      <c r="BN118" s="790"/>
      <c r="BO118" s="790"/>
      <c r="BP118" s="790"/>
      <c r="BQ118" s="790"/>
      <c r="BR118" s="790"/>
      <c r="BS118" s="790"/>
      <c r="BT118" s="790"/>
      <c r="BU118" s="790"/>
      <c r="BV118" s="790"/>
      <c r="BW118" s="790"/>
      <c r="BX118" s="790"/>
      <c r="BY118" s="790"/>
      <c r="BZ118" s="790"/>
      <c r="CA118" s="790"/>
      <c r="CB118" s="790"/>
      <c r="CC118" s="790"/>
      <c r="CD118" s="790"/>
      <c r="CE118" s="790"/>
      <c r="CF118" s="790"/>
      <c r="CG118" s="790"/>
      <c r="CH118" s="790"/>
      <c r="CI118" s="790"/>
      <c r="CJ118" s="790"/>
      <c r="CK118" s="790"/>
      <c r="CL118" s="790"/>
      <c r="CM118" s="790"/>
      <c r="CN118" s="790"/>
      <c r="CO118" s="790"/>
      <c r="CP118" s="819"/>
      <c r="CQ118" s="790"/>
      <c r="CR118" s="790"/>
      <c r="CS118" s="790"/>
      <c r="CT118" s="790"/>
      <c r="CU118" s="790"/>
      <c r="CV118" s="790"/>
      <c r="CW118" s="790"/>
      <c r="CX118" s="790"/>
      <c r="CY118" s="790"/>
      <c r="CZ118" s="790"/>
      <c r="DA118" s="790"/>
      <c r="DB118" s="790"/>
      <c r="DC118" s="790"/>
      <c r="DD118" s="790"/>
      <c r="DE118" s="790"/>
      <c r="DF118" s="790"/>
      <c r="DG118" s="790"/>
      <c r="DH118" s="790"/>
      <c r="DI118" s="790"/>
      <c r="DJ118" s="790"/>
      <c r="DK118" s="790"/>
      <c r="DL118" s="790"/>
      <c r="DM118" s="790"/>
      <c r="DN118" s="790"/>
      <c r="DO118" s="790"/>
      <c r="DP118" s="790"/>
      <c r="DQ118" s="790"/>
      <c r="DR118" s="790"/>
    </row>
    <row r="119" spans="1:122" ht="18" customHeight="1">
      <c r="A119" s="786" t="s">
        <v>2465</v>
      </c>
      <c r="B119" s="787">
        <v>0</v>
      </c>
      <c r="C119" s="584">
        <v>0</v>
      </c>
      <c r="D119" s="584">
        <v>0</v>
      </c>
      <c r="E119" s="596">
        <v>0</v>
      </c>
      <c r="F119" s="584">
        <v>0</v>
      </c>
      <c r="G119" s="584">
        <v>0</v>
      </c>
      <c r="H119" s="584">
        <v>0</v>
      </c>
      <c r="I119" s="584">
        <v>0</v>
      </c>
      <c r="J119" s="584">
        <v>0</v>
      </c>
      <c r="K119" s="596">
        <v>0</v>
      </c>
      <c r="L119" s="584">
        <v>0</v>
      </c>
      <c r="M119" s="584">
        <v>0</v>
      </c>
      <c r="N119" s="584">
        <v>0</v>
      </c>
      <c r="O119" s="596">
        <v>0</v>
      </c>
      <c r="P119" s="584">
        <v>0</v>
      </c>
      <c r="Q119" s="584">
        <v>0</v>
      </c>
      <c r="R119" s="596">
        <v>0</v>
      </c>
      <c r="S119" s="584">
        <v>0</v>
      </c>
      <c r="T119" s="584">
        <v>0</v>
      </c>
      <c r="U119" s="586">
        <v>0</v>
      </c>
      <c r="V119" s="586">
        <v>0</v>
      </c>
      <c r="W119" s="586">
        <v>0</v>
      </c>
      <c r="X119" s="586">
        <v>0.5</v>
      </c>
      <c r="Y119" s="586">
        <v>0.5</v>
      </c>
      <c r="Z119" s="586">
        <v>0.5</v>
      </c>
      <c r="AA119" s="586">
        <v>0.49168200000000001</v>
      </c>
      <c r="AB119" s="586">
        <v>0.5</v>
      </c>
      <c r="AC119" s="586">
        <v>0.47814400000000001</v>
      </c>
      <c r="AD119" s="586">
        <v>0.48294900000000002</v>
      </c>
      <c r="AE119" s="586">
        <v>0.48796400000000001</v>
      </c>
      <c r="AF119" s="586">
        <v>0.49321199999999998</v>
      </c>
      <c r="AG119" s="586">
        <v>0.49831999999999999</v>
      </c>
      <c r="AH119" s="586">
        <v>0.50212699999999999</v>
      </c>
      <c r="AI119" s="586">
        <v>0.50164900000000001</v>
      </c>
      <c r="AJ119" s="586">
        <v>0.5</v>
      </c>
      <c r="AK119" s="586">
        <v>0.5</v>
      </c>
      <c r="AL119" s="586">
        <v>0.5</v>
      </c>
      <c r="AM119" s="665">
        <v>21.547833710000003</v>
      </c>
      <c r="AN119" s="665">
        <v>0</v>
      </c>
      <c r="AO119" s="665">
        <v>0</v>
      </c>
      <c r="AP119" s="665">
        <v>0</v>
      </c>
      <c r="AQ119" s="665">
        <v>0</v>
      </c>
      <c r="AR119" s="787">
        <v>0</v>
      </c>
      <c r="AS119" s="787">
        <v>0</v>
      </c>
      <c r="AT119" s="787">
        <v>0</v>
      </c>
      <c r="AU119" s="787">
        <v>0.12320594999999999</v>
      </c>
      <c r="AV119" s="787">
        <v>0</v>
      </c>
      <c r="AW119" s="790">
        <v>0</v>
      </c>
      <c r="AX119" s="790">
        <v>0</v>
      </c>
      <c r="AY119" s="790">
        <v>0</v>
      </c>
      <c r="AZ119" s="790">
        <v>0</v>
      </c>
      <c r="BA119" s="790">
        <v>0</v>
      </c>
      <c r="BB119" s="790">
        <v>0</v>
      </c>
      <c r="BC119" s="790">
        <v>0</v>
      </c>
      <c r="BD119" s="790">
        <v>0</v>
      </c>
      <c r="BE119" s="790">
        <v>0</v>
      </c>
      <c r="BF119" s="790">
        <v>0</v>
      </c>
      <c r="BG119" s="790">
        <v>0</v>
      </c>
      <c r="BH119" s="790">
        <v>0</v>
      </c>
      <c r="BI119" s="790">
        <v>0</v>
      </c>
      <c r="BJ119" s="790">
        <v>0</v>
      </c>
      <c r="BK119" s="790">
        <v>0</v>
      </c>
      <c r="BL119" s="790">
        <v>0</v>
      </c>
      <c r="BM119" s="790">
        <v>0</v>
      </c>
      <c r="BN119" s="790">
        <v>0</v>
      </c>
      <c r="BO119" s="790">
        <v>0</v>
      </c>
      <c r="BP119" s="790">
        <v>0</v>
      </c>
      <c r="BQ119" s="790">
        <v>0</v>
      </c>
      <c r="BR119" s="790">
        <v>0</v>
      </c>
      <c r="BS119" s="790">
        <v>0</v>
      </c>
      <c r="BT119" s="790">
        <v>0</v>
      </c>
      <c r="BU119" s="790">
        <v>0</v>
      </c>
      <c r="BV119" s="790">
        <v>0</v>
      </c>
      <c r="BW119" s="790">
        <v>0</v>
      </c>
      <c r="BX119" s="790">
        <v>0</v>
      </c>
      <c r="BY119" s="790">
        <v>0</v>
      </c>
      <c r="BZ119" s="790">
        <v>0</v>
      </c>
      <c r="CA119" s="790">
        <v>0</v>
      </c>
      <c r="CB119" s="790">
        <v>0</v>
      </c>
      <c r="CC119" s="790">
        <v>0</v>
      </c>
      <c r="CD119" s="790">
        <v>0</v>
      </c>
      <c r="CE119" s="790">
        <v>0</v>
      </c>
      <c r="CF119" s="790">
        <v>0</v>
      </c>
      <c r="CG119" s="790">
        <v>0</v>
      </c>
      <c r="CH119" s="790">
        <v>0</v>
      </c>
      <c r="CI119" s="790">
        <v>0</v>
      </c>
      <c r="CJ119" s="790">
        <v>6.8999999999999997E-5</v>
      </c>
      <c r="CK119" s="790">
        <v>0</v>
      </c>
      <c r="CL119" s="790">
        <v>0</v>
      </c>
      <c r="CM119" s="790">
        <v>0</v>
      </c>
      <c r="CN119" s="790">
        <v>0</v>
      </c>
      <c r="CO119" s="790">
        <v>0</v>
      </c>
      <c r="CP119" s="819">
        <v>0</v>
      </c>
      <c r="CQ119" s="790">
        <v>0</v>
      </c>
      <c r="CR119" s="790">
        <v>0</v>
      </c>
      <c r="CS119" s="790">
        <v>0</v>
      </c>
      <c r="CT119" s="790">
        <v>0</v>
      </c>
      <c r="CU119" s="790">
        <v>0</v>
      </c>
      <c r="CV119" s="790">
        <v>0</v>
      </c>
      <c r="CW119" s="790">
        <v>0</v>
      </c>
      <c r="CX119" s="790">
        <v>0</v>
      </c>
      <c r="CY119" s="790">
        <v>0</v>
      </c>
      <c r="CZ119" s="790">
        <v>0</v>
      </c>
      <c r="DA119" s="790">
        <v>0</v>
      </c>
      <c r="DB119" s="790">
        <v>0</v>
      </c>
      <c r="DC119" s="790">
        <v>0</v>
      </c>
      <c r="DD119" s="790">
        <v>0</v>
      </c>
      <c r="DE119" s="790">
        <v>0</v>
      </c>
      <c r="DF119" s="790">
        <v>0</v>
      </c>
      <c r="DG119" s="790">
        <v>0</v>
      </c>
      <c r="DH119" s="790">
        <v>0</v>
      </c>
      <c r="DI119" s="790">
        <v>0</v>
      </c>
      <c r="DJ119" s="790">
        <v>3.3623800000000003E-3</v>
      </c>
      <c r="DK119" s="790">
        <v>0</v>
      </c>
      <c r="DL119" s="790">
        <v>0</v>
      </c>
      <c r="DM119" s="790">
        <v>0</v>
      </c>
      <c r="DN119" s="790">
        <v>0</v>
      </c>
      <c r="DO119" s="790">
        <v>1.0247E-4</v>
      </c>
      <c r="DP119" s="790">
        <v>3.3909999999999999E-5</v>
      </c>
      <c r="DQ119" s="790">
        <v>1.3456999999999998E-4</v>
      </c>
      <c r="DR119" s="790">
        <v>1.3663E-4</v>
      </c>
    </row>
    <row r="120" spans="1:122" ht="7.7" customHeight="1">
      <c r="A120" s="786"/>
      <c r="B120" s="787"/>
      <c r="C120" s="584"/>
      <c r="D120" s="584"/>
      <c r="E120" s="596"/>
      <c r="F120" s="584"/>
      <c r="G120" s="584"/>
      <c r="H120" s="664"/>
      <c r="I120" s="664"/>
      <c r="J120" s="664"/>
      <c r="K120" s="593"/>
      <c r="L120" s="664"/>
      <c r="M120" s="664"/>
      <c r="N120" s="664"/>
      <c r="O120" s="593"/>
      <c r="P120" s="664"/>
      <c r="Q120" s="664"/>
      <c r="R120" s="593"/>
      <c r="S120" s="664"/>
      <c r="T120" s="664"/>
      <c r="U120" s="795"/>
      <c r="V120" s="795"/>
      <c r="W120" s="795"/>
      <c r="X120" s="795"/>
      <c r="Y120" s="795"/>
      <c r="Z120" s="795"/>
      <c r="AA120" s="795"/>
      <c r="AB120" s="795"/>
      <c r="AC120" s="795"/>
      <c r="AD120" s="795"/>
      <c r="AE120" s="795"/>
      <c r="AF120" s="795"/>
      <c r="AG120" s="795"/>
      <c r="AH120" s="795"/>
      <c r="AI120" s="795"/>
      <c r="AJ120" s="795"/>
      <c r="AK120" s="795"/>
      <c r="AL120" s="795"/>
      <c r="AM120" s="665"/>
      <c r="AN120" s="665"/>
      <c r="AO120" s="665"/>
      <c r="AP120" s="665"/>
      <c r="AQ120" s="665"/>
      <c r="AR120" s="787"/>
      <c r="AS120" s="787"/>
      <c r="AT120" s="787"/>
      <c r="AU120" s="787"/>
      <c r="AV120" s="787"/>
      <c r="AW120" s="790"/>
      <c r="AX120" s="790"/>
      <c r="AY120" s="790"/>
      <c r="AZ120" s="790"/>
      <c r="BA120" s="790"/>
      <c r="BB120" s="790"/>
      <c r="BC120" s="790"/>
      <c r="BD120" s="790"/>
      <c r="BE120" s="790"/>
      <c r="BF120" s="790"/>
      <c r="BG120" s="790"/>
      <c r="BH120" s="790"/>
      <c r="BI120" s="790"/>
      <c r="BJ120" s="790"/>
      <c r="BK120" s="790"/>
      <c r="BL120" s="790"/>
      <c r="BM120" s="790"/>
      <c r="BN120" s="790"/>
      <c r="BO120" s="790"/>
      <c r="BP120" s="790"/>
      <c r="BQ120" s="790"/>
      <c r="BR120" s="790"/>
      <c r="BS120" s="790"/>
      <c r="BT120" s="790"/>
      <c r="BU120" s="790"/>
      <c r="BV120" s="790"/>
      <c r="BW120" s="790"/>
      <c r="BX120" s="790"/>
      <c r="BY120" s="790"/>
      <c r="BZ120" s="790"/>
      <c r="CA120" s="790"/>
      <c r="CB120" s="790"/>
      <c r="CC120" s="790"/>
      <c r="CD120" s="790"/>
      <c r="CE120" s="790"/>
      <c r="CF120" s="790"/>
      <c r="CG120" s="790"/>
      <c r="CH120" s="790"/>
      <c r="CI120" s="790"/>
      <c r="CJ120" s="790"/>
      <c r="CK120" s="790"/>
      <c r="CL120" s="790"/>
      <c r="CM120" s="790"/>
      <c r="CN120" s="790"/>
      <c r="CO120" s="790"/>
      <c r="CP120" s="819"/>
      <c r="CQ120" s="790"/>
      <c r="CR120" s="790"/>
      <c r="CS120" s="790"/>
      <c r="CT120" s="790"/>
      <c r="CU120" s="790"/>
      <c r="CV120" s="790"/>
      <c r="CW120" s="790"/>
      <c r="CX120" s="790"/>
      <c r="CY120" s="790"/>
      <c r="CZ120" s="790"/>
      <c r="DA120" s="790"/>
      <c r="DB120" s="790"/>
      <c r="DC120" s="790"/>
      <c r="DD120" s="790"/>
      <c r="DE120" s="790"/>
      <c r="DF120" s="790"/>
      <c r="DG120" s="790"/>
      <c r="DH120" s="790"/>
      <c r="DI120" s="790"/>
      <c r="DJ120" s="790"/>
      <c r="DK120" s="790"/>
      <c r="DL120" s="790"/>
      <c r="DM120" s="790"/>
      <c r="DN120" s="790"/>
      <c r="DO120" s="790"/>
      <c r="DP120" s="790"/>
      <c r="DQ120" s="790"/>
      <c r="DR120" s="790"/>
    </row>
    <row r="121" spans="1:122" ht="18" customHeight="1">
      <c r="A121" s="786" t="s">
        <v>2466</v>
      </c>
      <c r="B121" s="787">
        <v>192.01951221000002</v>
      </c>
      <c r="C121" s="584">
        <v>235.97923191000001</v>
      </c>
      <c r="D121" s="584">
        <v>222.77310564999999</v>
      </c>
      <c r="E121" s="596">
        <v>328.35369524999999</v>
      </c>
      <c r="F121" s="584">
        <v>298.92589276389003</v>
      </c>
      <c r="G121" s="584">
        <v>315.70135072696672</v>
      </c>
      <c r="H121" s="584">
        <v>308.77856265807998</v>
      </c>
      <c r="I121" s="584">
        <v>338.71059661696006</v>
      </c>
      <c r="J121" s="584">
        <v>288.23941493000001</v>
      </c>
      <c r="K121" s="596">
        <v>244.13335043999999</v>
      </c>
      <c r="L121" s="584">
        <v>254.35291572999998</v>
      </c>
      <c r="M121" s="584">
        <v>316.76744101499997</v>
      </c>
      <c r="N121" s="584">
        <v>355.94994093999998</v>
      </c>
      <c r="O121" s="596">
        <v>326.38525176999997</v>
      </c>
      <c r="P121" s="584">
        <v>299.53073412419997</v>
      </c>
      <c r="Q121" s="584">
        <v>295.95905259000006</v>
      </c>
      <c r="R121" s="596">
        <v>279.10486991999994</v>
      </c>
      <c r="S121" s="584">
        <v>326.57767074000003</v>
      </c>
      <c r="T121" s="584">
        <v>299.72776546999995</v>
      </c>
      <c r="U121" s="586">
        <v>353.15642659000002</v>
      </c>
      <c r="V121" s="586">
        <v>311.63890915999997</v>
      </c>
      <c r="W121" s="586">
        <v>387.74889279000001</v>
      </c>
      <c r="X121" s="586">
        <v>334.29616931999999</v>
      </c>
      <c r="Y121" s="586">
        <v>376.36085786000001</v>
      </c>
      <c r="Z121" s="586">
        <v>320.22612536999998</v>
      </c>
      <c r="AA121" s="586">
        <v>312.08657906999997</v>
      </c>
      <c r="AB121" s="586">
        <v>321.70331481999995</v>
      </c>
      <c r="AC121" s="586">
        <v>320.87883112000003</v>
      </c>
      <c r="AD121" s="586">
        <v>339.37122112000003</v>
      </c>
      <c r="AE121" s="586">
        <v>370.10273545999996</v>
      </c>
      <c r="AF121" s="586">
        <v>388.47943285000002</v>
      </c>
      <c r="AG121" s="586">
        <v>473.94413900000001</v>
      </c>
      <c r="AH121" s="586">
        <v>370.34552758000001</v>
      </c>
      <c r="AI121" s="586">
        <v>448.24496029999995</v>
      </c>
      <c r="AJ121" s="586">
        <v>469.50031194000002</v>
      </c>
      <c r="AK121" s="586">
        <v>531.65268503000004</v>
      </c>
      <c r="AL121" s="586">
        <v>488.35580938999999</v>
      </c>
      <c r="AM121" s="665">
        <v>453.84445075999997</v>
      </c>
      <c r="AN121" s="665">
        <v>461.19285909999996</v>
      </c>
      <c r="AO121" s="665">
        <v>442.76116218000004</v>
      </c>
      <c r="AP121" s="665">
        <v>442.59654288109999</v>
      </c>
      <c r="AQ121" s="665">
        <v>522.8364317214</v>
      </c>
      <c r="AR121" s="787">
        <v>498.09112754999995</v>
      </c>
      <c r="AS121" s="787">
        <v>492.31680511000002</v>
      </c>
      <c r="AT121" s="787">
        <v>417.21709975459999</v>
      </c>
      <c r="AU121" s="787">
        <v>431.57107893541098</v>
      </c>
      <c r="AV121" s="787">
        <v>442.43659571196002</v>
      </c>
      <c r="AW121" s="790">
        <v>465.66307396300806</v>
      </c>
      <c r="AX121" s="790">
        <v>650.52181283149002</v>
      </c>
      <c r="AY121" s="790">
        <v>686.832253480031</v>
      </c>
      <c r="AZ121" s="790">
        <v>713.94402035169787</v>
      </c>
      <c r="BA121" s="790">
        <v>727.84612771812408</v>
      </c>
      <c r="BB121" s="790">
        <v>657.86232802095992</v>
      </c>
      <c r="BC121" s="790">
        <v>710.12737937048507</v>
      </c>
      <c r="BD121" s="790">
        <v>634.37569963012299</v>
      </c>
      <c r="BE121" s="790">
        <v>647.97382662779</v>
      </c>
      <c r="BF121" s="790">
        <v>537.88422335361201</v>
      </c>
      <c r="BG121" s="790">
        <v>627.61083330546705</v>
      </c>
      <c r="BH121" s="790">
        <v>663.40927889077591</v>
      </c>
      <c r="BI121" s="790">
        <v>728.34664285774807</v>
      </c>
      <c r="BJ121" s="790">
        <v>707.78712348586896</v>
      </c>
      <c r="BK121" s="790">
        <v>526.40086285119298</v>
      </c>
      <c r="BL121" s="790">
        <v>485.52887384065707</v>
      </c>
      <c r="BM121" s="790">
        <v>490.471644806722</v>
      </c>
      <c r="BN121" s="790">
        <v>485.75293444996026</v>
      </c>
      <c r="BO121" s="790">
        <v>455.68923262062003</v>
      </c>
      <c r="BP121" s="790">
        <v>513.23423920703692</v>
      </c>
      <c r="BQ121" s="790">
        <v>479.00872848077796</v>
      </c>
      <c r="BR121" s="790">
        <v>518.53530125219891</v>
      </c>
      <c r="BS121" s="790">
        <v>501.36558687436201</v>
      </c>
      <c r="BT121" s="790">
        <v>465.01497381285702</v>
      </c>
      <c r="BU121" s="790">
        <v>513.62045026578505</v>
      </c>
      <c r="BV121" s="790">
        <v>485.15274489162999</v>
      </c>
      <c r="BW121" s="790">
        <v>534.20309589646297</v>
      </c>
      <c r="BX121" s="790">
        <v>565.91842836649994</v>
      </c>
      <c r="BY121" s="790">
        <v>536.36884661930003</v>
      </c>
      <c r="BZ121" s="790">
        <v>456.6</v>
      </c>
      <c r="CA121" s="790">
        <v>508.84501449909203</v>
      </c>
      <c r="CB121" s="790">
        <v>450.13484469470802</v>
      </c>
      <c r="CC121" s="790">
        <v>461.26877017055995</v>
      </c>
      <c r="CD121" s="790">
        <v>477.92985982939206</v>
      </c>
      <c r="CE121" s="790">
        <v>468.70256496830564</v>
      </c>
      <c r="CF121" s="790">
        <v>502.50511292237599</v>
      </c>
      <c r="CG121" s="790">
        <v>546.64038052038325</v>
      </c>
      <c r="CH121" s="790">
        <v>568.53301375424587</v>
      </c>
      <c r="CI121" s="790">
        <v>546.46712202075094</v>
      </c>
      <c r="CJ121" s="790">
        <v>500.03160609152997</v>
      </c>
      <c r="CK121" s="790">
        <v>494.53909139215398</v>
      </c>
      <c r="CL121" s="790">
        <v>535.00024466534353</v>
      </c>
      <c r="CM121" s="790">
        <v>515.52924364255546</v>
      </c>
      <c r="CN121" s="790">
        <v>488.90663818366602</v>
      </c>
      <c r="CO121" s="790">
        <v>483.39833002803698</v>
      </c>
      <c r="CP121" s="819">
        <v>465.55856046745498</v>
      </c>
      <c r="CQ121" s="790">
        <v>499.265924426347</v>
      </c>
      <c r="CR121" s="790">
        <v>509.76004001978998</v>
      </c>
      <c r="CS121" s="790">
        <v>494.02512018802497</v>
      </c>
      <c r="CT121" s="790">
        <v>425.2729932694408</v>
      </c>
      <c r="CU121" s="790">
        <v>405.72348979354598</v>
      </c>
      <c r="CV121" s="790">
        <v>472.94536556023598</v>
      </c>
      <c r="CW121" s="790">
        <v>468.61268423495994</v>
      </c>
      <c r="CX121" s="790">
        <v>455.05219909027795</v>
      </c>
      <c r="CY121" s="790">
        <v>461.18873389208795</v>
      </c>
      <c r="CZ121" s="790">
        <v>437.67376122272003</v>
      </c>
      <c r="DA121" s="790">
        <v>444.08965383719601</v>
      </c>
      <c r="DB121" s="790">
        <v>452.47806701246986</v>
      </c>
      <c r="DC121" s="790">
        <v>428.70039774683397</v>
      </c>
      <c r="DD121" s="790">
        <v>427.12108649212996</v>
      </c>
      <c r="DE121" s="790">
        <v>427.85080719622601</v>
      </c>
      <c r="DF121" s="790">
        <v>431.18448374849498</v>
      </c>
      <c r="DG121" s="790">
        <v>378.91432907000006</v>
      </c>
      <c r="DH121" s="790">
        <v>391.55050915999999</v>
      </c>
      <c r="DI121" s="790">
        <v>422.55661952999998</v>
      </c>
      <c r="DJ121" s="790">
        <v>429.28308268000001</v>
      </c>
      <c r="DK121" s="790">
        <v>399.22621856999996</v>
      </c>
      <c r="DL121" s="790">
        <v>408.20971189675004</v>
      </c>
      <c r="DM121" s="790">
        <v>428.94939647000001</v>
      </c>
      <c r="DN121" s="790">
        <v>434.31478287668</v>
      </c>
      <c r="DO121" s="790">
        <v>439.22026870770003</v>
      </c>
      <c r="DP121" s="790">
        <v>432.62105803292002</v>
      </c>
      <c r="DQ121" s="790">
        <v>432.13257005120005</v>
      </c>
      <c r="DR121" s="790">
        <v>435.2081762844</v>
      </c>
    </row>
    <row r="122" spans="1:122" ht="7.7" customHeight="1">
      <c r="A122" s="786"/>
      <c r="B122" s="787"/>
      <c r="C122" s="584"/>
      <c r="D122" s="584"/>
      <c r="E122" s="596"/>
      <c r="F122" s="584"/>
      <c r="G122" s="584"/>
      <c r="H122" s="584"/>
      <c r="I122" s="584"/>
      <c r="J122" s="584"/>
      <c r="K122" s="596"/>
      <c r="L122" s="584"/>
      <c r="M122" s="584"/>
      <c r="N122" s="584"/>
      <c r="O122" s="596"/>
      <c r="P122" s="584"/>
      <c r="Q122" s="584"/>
      <c r="R122" s="596"/>
      <c r="S122" s="584"/>
      <c r="T122" s="584"/>
      <c r="U122" s="586"/>
      <c r="V122" s="586"/>
      <c r="W122" s="586"/>
      <c r="X122" s="586"/>
      <c r="Y122" s="586"/>
      <c r="Z122" s="586"/>
      <c r="AA122" s="586"/>
      <c r="AB122" s="586"/>
      <c r="AC122" s="586"/>
      <c r="AD122" s="586"/>
      <c r="AE122" s="586"/>
      <c r="AF122" s="586"/>
      <c r="AG122" s="586"/>
      <c r="AH122" s="586"/>
      <c r="AI122" s="586"/>
      <c r="AJ122" s="586"/>
      <c r="AK122" s="586"/>
      <c r="AL122" s="586"/>
      <c r="AM122" s="665"/>
      <c r="AN122" s="665"/>
      <c r="AO122" s="665"/>
      <c r="AP122" s="665"/>
      <c r="AQ122" s="665"/>
      <c r="AR122" s="787"/>
      <c r="AS122" s="787"/>
      <c r="AT122" s="787"/>
      <c r="AU122" s="787"/>
      <c r="AV122" s="787"/>
      <c r="AW122" s="790"/>
      <c r="AX122" s="790"/>
      <c r="AY122" s="790"/>
      <c r="AZ122" s="790"/>
      <c r="BA122" s="790"/>
      <c r="BB122" s="790"/>
      <c r="BC122" s="790"/>
      <c r="BD122" s="790"/>
      <c r="BE122" s="790"/>
      <c r="BF122" s="790"/>
      <c r="BG122" s="790"/>
      <c r="BH122" s="790"/>
      <c r="BI122" s="790"/>
      <c r="BJ122" s="790"/>
      <c r="BK122" s="790"/>
      <c r="BL122" s="790"/>
      <c r="BM122" s="790"/>
      <c r="BN122" s="790"/>
      <c r="BO122" s="790"/>
      <c r="BP122" s="790"/>
      <c r="BQ122" s="790"/>
      <c r="BR122" s="790"/>
      <c r="BS122" s="790"/>
      <c r="BT122" s="790"/>
      <c r="BU122" s="790"/>
      <c r="BV122" s="790"/>
      <c r="BW122" s="790"/>
      <c r="BX122" s="790"/>
      <c r="BY122" s="790"/>
      <c r="BZ122" s="790"/>
      <c r="CA122" s="790"/>
      <c r="CB122" s="790"/>
      <c r="CC122" s="790"/>
      <c r="CD122" s="790"/>
      <c r="CE122" s="790"/>
      <c r="CF122" s="790"/>
      <c r="CG122" s="790"/>
      <c r="CH122" s="790"/>
      <c r="CI122" s="790"/>
      <c r="CJ122" s="790"/>
      <c r="CK122" s="790"/>
      <c r="CL122" s="790"/>
      <c r="CM122" s="790"/>
      <c r="CN122" s="790"/>
      <c r="CO122" s="790"/>
      <c r="CP122" s="819"/>
      <c r="CQ122" s="790"/>
      <c r="CR122" s="790"/>
      <c r="CS122" s="790"/>
      <c r="CT122" s="790"/>
      <c r="CU122" s="790"/>
      <c r="CV122" s="790"/>
      <c r="CW122" s="790"/>
      <c r="CX122" s="790"/>
      <c r="CY122" s="790"/>
      <c r="CZ122" s="790"/>
      <c r="DA122" s="790"/>
      <c r="DB122" s="790"/>
      <c r="DC122" s="790"/>
      <c r="DD122" s="790"/>
      <c r="DE122" s="790"/>
      <c r="DF122" s="790"/>
      <c r="DG122" s="790"/>
      <c r="DH122" s="790"/>
      <c r="DI122" s="790"/>
      <c r="DJ122" s="790"/>
      <c r="DK122" s="790"/>
      <c r="DL122" s="790"/>
      <c r="DM122" s="790"/>
      <c r="DN122" s="790"/>
      <c r="DO122" s="790"/>
      <c r="DP122" s="790"/>
      <c r="DQ122" s="790"/>
      <c r="DR122" s="790"/>
    </row>
    <row r="123" spans="1:122" ht="18" customHeight="1">
      <c r="A123" s="786" t="s">
        <v>2467</v>
      </c>
      <c r="B123" s="787">
        <v>22.896724710000001</v>
      </c>
      <c r="C123" s="584">
        <v>23.930499189999999</v>
      </c>
      <c r="D123" s="584">
        <v>21.771200949999997</v>
      </c>
      <c r="E123" s="596">
        <v>21.311337690000002</v>
      </c>
      <c r="F123" s="584">
        <v>22.385842310000001</v>
      </c>
      <c r="G123" s="584">
        <v>23.233362689999996</v>
      </c>
      <c r="H123" s="584">
        <v>23.580355480000001</v>
      </c>
      <c r="I123" s="584">
        <v>23.529080230000002</v>
      </c>
      <c r="J123" s="584">
        <v>23.54986761</v>
      </c>
      <c r="K123" s="596">
        <v>25.251241350000001</v>
      </c>
      <c r="L123" s="584">
        <v>27.155479019999998</v>
      </c>
      <c r="M123" s="584">
        <v>26.195889389999998</v>
      </c>
      <c r="N123" s="584">
        <v>27.685987150000003</v>
      </c>
      <c r="O123" s="596">
        <v>53.465920170000004</v>
      </c>
      <c r="P123" s="584">
        <v>53.160079099999997</v>
      </c>
      <c r="Q123" s="584">
        <v>53.535575270000002</v>
      </c>
      <c r="R123" s="596">
        <v>55.322908229999996</v>
      </c>
      <c r="S123" s="584">
        <v>58.121747859999999</v>
      </c>
      <c r="T123" s="584">
        <v>58.569311729999995</v>
      </c>
      <c r="U123" s="586">
        <v>55.885943249999997</v>
      </c>
      <c r="V123" s="586">
        <v>58.05498369</v>
      </c>
      <c r="W123" s="586">
        <v>66.578060450000009</v>
      </c>
      <c r="X123" s="586">
        <v>65.956417860000002</v>
      </c>
      <c r="Y123" s="586">
        <v>65.611733479999998</v>
      </c>
      <c r="Z123" s="586">
        <v>64.422081540000008</v>
      </c>
      <c r="AA123" s="586">
        <v>57.374158710000003</v>
      </c>
      <c r="AB123" s="586">
        <v>55.552250749999999</v>
      </c>
      <c r="AC123" s="586">
        <v>55.499747559999996</v>
      </c>
      <c r="AD123" s="586">
        <v>61.388863400000005</v>
      </c>
      <c r="AE123" s="586">
        <v>60.400083690000002</v>
      </c>
      <c r="AF123" s="586">
        <v>74.928552969999998</v>
      </c>
      <c r="AG123" s="586">
        <v>76.824820310000007</v>
      </c>
      <c r="AH123" s="586">
        <v>73.240572389999997</v>
      </c>
      <c r="AI123" s="586">
        <v>73.781270960000015</v>
      </c>
      <c r="AJ123" s="586">
        <v>72.424761520000004</v>
      </c>
      <c r="AK123" s="586">
        <v>73.89141223</v>
      </c>
      <c r="AL123" s="586">
        <v>72.014711359999993</v>
      </c>
      <c r="AM123" s="665">
        <v>66.513168229999991</v>
      </c>
      <c r="AN123" s="665">
        <v>70.982842469999994</v>
      </c>
      <c r="AO123" s="665">
        <v>68.225400809999996</v>
      </c>
      <c r="AP123" s="665">
        <v>67.693869339200006</v>
      </c>
      <c r="AQ123" s="665">
        <v>69.855168853799995</v>
      </c>
      <c r="AR123" s="787">
        <v>158.67615725920001</v>
      </c>
      <c r="AS123" s="787">
        <v>236.32443824000001</v>
      </c>
      <c r="AT123" s="787">
        <v>226.02536978800001</v>
      </c>
      <c r="AU123" s="787">
        <v>331.35528857699995</v>
      </c>
      <c r="AV123" s="787">
        <v>351.05741903400002</v>
      </c>
      <c r="AW123" s="790">
        <v>362.7615856164</v>
      </c>
      <c r="AX123" s="790">
        <v>465.88054793000009</v>
      </c>
      <c r="AY123" s="790">
        <v>392.98434266000004</v>
      </c>
      <c r="AZ123" s="790">
        <v>372.78182311999996</v>
      </c>
      <c r="BA123" s="790">
        <v>371.82525555000001</v>
      </c>
      <c r="BB123" s="790">
        <v>369.62381545</v>
      </c>
      <c r="BC123" s="790">
        <v>368.35598655000001</v>
      </c>
      <c r="BD123" s="790">
        <v>430.94066263000002</v>
      </c>
      <c r="BE123" s="790">
        <v>431.92189302999992</v>
      </c>
      <c r="BF123" s="790">
        <v>428.85056360999994</v>
      </c>
      <c r="BG123" s="790">
        <v>423.95907757999993</v>
      </c>
      <c r="BH123" s="790">
        <v>448.53600299999999</v>
      </c>
      <c r="BI123" s="790">
        <v>450.30419853000001</v>
      </c>
      <c r="BJ123" s="790">
        <v>557.21806895999998</v>
      </c>
      <c r="BK123" s="790">
        <v>564.87396211999999</v>
      </c>
      <c r="BL123" s="790">
        <v>562.47330939999995</v>
      </c>
      <c r="BM123" s="790">
        <v>563.27044503999991</v>
      </c>
      <c r="BN123" s="790">
        <v>565.04797779000012</v>
      </c>
      <c r="BO123" s="790">
        <v>561.35771807000003</v>
      </c>
      <c r="BP123" s="790">
        <v>552.14333354000007</v>
      </c>
      <c r="BQ123" s="790">
        <v>554.23283441000001</v>
      </c>
      <c r="BR123" s="790">
        <v>556.17932862999999</v>
      </c>
      <c r="BS123" s="790">
        <v>564.25831009000001</v>
      </c>
      <c r="BT123" s="790">
        <v>563.03809707000016</v>
      </c>
      <c r="BU123" s="790">
        <v>559.93400370999996</v>
      </c>
      <c r="BV123" s="790">
        <v>573.12150758999985</v>
      </c>
      <c r="BW123" s="790">
        <v>574.98574414000007</v>
      </c>
      <c r="BX123" s="790">
        <v>568.19618385000001</v>
      </c>
      <c r="BY123" s="790">
        <v>572.85721200000012</v>
      </c>
      <c r="BZ123" s="790">
        <v>569.4</v>
      </c>
      <c r="CA123" s="790">
        <v>583.75626207999994</v>
      </c>
      <c r="CB123" s="790">
        <v>582.78793920999999</v>
      </c>
      <c r="CC123" s="790">
        <v>592.13248998999995</v>
      </c>
      <c r="CD123" s="790">
        <v>569.98832315999994</v>
      </c>
      <c r="CE123" s="790">
        <v>564.79191700000001</v>
      </c>
      <c r="CF123" s="790">
        <v>561.91405387000009</v>
      </c>
      <c r="CG123" s="790">
        <v>553.35197152000012</v>
      </c>
      <c r="CH123" s="790">
        <v>563.27310087000001</v>
      </c>
      <c r="CI123" s="790">
        <v>562.02645163000011</v>
      </c>
      <c r="CJ123" s="790">
        <v>675.63768110000001</v>
      </c>
      <c r="CK123" s="790">
        <v>673.72784215000001</v>
      </c>
      <c r="CL123" s="790">
        <v>669.50396338999997</v>
      </c>
      <c r="CM123" s="790">
        <v>663.41997140000012</v>
      </c>
      <c r="CN123" s="790">
        <v>640.99952871000005</v>
      </c>
      <c r="CO123" s="790">
        <v>662.20459431999996</v>
      </c>
      <c r="CP123" s="819">
        <v>657.68921922000004</v>
      </c>
      <c r="CQ123" s="790">
        <v>662.05957423999996</v>
      </c>
      <c r="CR123" s="790">
        <v>656.42291297999998</v>
      </c>
      <c r="CS123" s="790">
        <v>669.81928072000005</v>
      </c>
      <c r="CT123" s="790">
        <v>652.96205355999996</v>
      </c>
      <c r="CU123" s="790">
        <v>236.54785200000001</v>
      </c>
      <c r="CV123" s="790">
        <v>227.82573628</v>
      </c>
      <c r="CW123" s="790">
        <v>225.44831076999998</v>
      </c>
      <c r="CX123" s="790">
        <v>222.54340289999999</v>
      </c>
      <c r="CY123" s="790">
        <v>223.28071204000003</v>
      </c>
      <c r="CZ123" s="790">
        <v>237.51249261999999</v>
      </c>
      <c r="DA123" s="790">
        <v>262.17832880000003</v>
      </c>
      <c r="DB123" s="790">
        <v>261.24808803000002</v>
      </c>
      <c r="DC123" s="790">
        <v>267.30956226000001</v>
      </c>
      <c r="DD123" s="790">
        <v>270.88224986999995</v>
      </c>
      <c r="DE123" s="790">
        <v>282.59881746000002</v>
      </c>
      <c r="DF123" s="790">
        <v>308.75538816999995</v>
      </c>
      <c r="DG123" s="790">
        <v>439.83663511999993</v>
      </c>
      <c r="DH123" s="790">
        <v>441.66699155000015</v>
      </c>
      <c r="DI123" s="790">
        <v>430.23317922000001</v>
      </c>
      <c r="DJ123" s="790">
        <v>459.20054869000012</v>
      </c>
      <c r="DK123" s="790">
        <v>462.24394507000005</v>
      </c>
      <c r="DL123" s="790">
        <v>478.75366625000004</v>
      </c>
      <c r="DM123" s="790">
        <v>471.87253878000001</v>
      </c>
      <c r="DN123" s="790">
        <v>455.87593872728002</v>
      </c>
      <c r="DO123" s="790">
        <v>467.99062126000001</v>
      </c>
      <c r="DP123" s="790">
        <v>375.30158009257616</v>
      </c>
      <c r="DQ123" s="790">
        <v>374.59558050960004</v>
      </c>
      <c r="DR123" s="790">
        <v>371.24784116167996</v>
      </c>
    </row>
    <row r="124" spans="1:122" ht="7.7" customHeight="1">
      <c r="A124" s="786"/>
      <c r="B124" s="787"/>
      <c r="C124" s="584"/>
      <c r="D124" s="584"/>
      <c r="E124" s="596"/>
      <c r="F124" s="584"/>
      <c r="G124" s="584"/>
      <c r="H124" s="664"/>
      <c r="I124" s="664"/>
      <c r="J124" s="664"/>
      <c r="K124" s="593"/>
      <c r="L124" s="664"/>
      <c r="M124" s="664"/>
      <c r="N124" s="664"/>
      <c r="O124" s="593"/>
      <c r="P124" s="664"/>
      <c r="Q124" s="664"/>
      <c r="R124" s="596"/>
      <c r="S124" s="664"/>
      <c r="T124" s="664"/>
      <c r="U124" s="795"/>
      <c r="V124" s="795"/>
      <c r="W124" s="795"/>
      <c r="X124" s="795"/>
      <c r="Y124" s="795"/>
      <c r="Z124" s="795"/>
      <c r="AA124" s="795"/>
      <c r="AB124" s="795"/>
      <c r="AC124" s="795"/>
      <c r="AD124" s="795"/>
      <c r="AE124" s="795"/>
      <c r="AF124" s="795"/>
      <c r="AG124" s="795"/>
      <c r="AH124" s="795"/>
      <c r="AI124" s="795"/>
      <c r="AJ124" s="795"/>
      <c r="AK124" s="795"/>
      <c r="AL124" s="795"/>
      <c r="AM124" s="665"/>
      <c r="AN124" s="665"/>
      <c r="AO124" s="665"/>
      <c r="AP124" s="665"/>
      <c r="AQ124" s="665"/>
      <c r="AR124" s="787"/>
      <c r="AS124" s="787"/>
      <c r="AT124" s="787"/>
      <c r="AU124" s="787"/>
      <c r="AV124" s="787"/>
      <c r="AW124" s="790"/>
      <c r="AX124" s="790"/>
      <c r="AY124" s="790"/>
      <c r="AZ124" s="790"/>
      <c r="BA124" s="790"/>
      <c r="BB124" s="790"/>
      <c r="BC124" s="790"/>
      <c r="BD124" s="790"/>
      <c r="BE124" s="790"/>
      <c r="BF124" s="790"/>
      <c r="BG124" s="790"/>
      <c r="BH124" s="790"/>
      <c r="BI124" s="790"/>
      <c r="BJ124" s="790"/>
      <c r="BK124" s="790"/>
      <c r="BL124" s="790"/>
      <c r="BM124" s="790"/>
      <c r="BN124" s="790"/>
      <c r="BO124" s="790"/>
      <c r="BP124" s="790"/>
      <c r="BQ124" s="790"/>
      <c r="BR124" s="790"/>
      <c r="BS124" s="790"/>
      <c r="BT124" s="790"/>
      <c r="BU124" s="790"/>
      <c r="BV124" s="790"/>
      <c r="BW124" s="790"/>
      <c r="BX124" s="790"/>
      <c r="BY124" s="790"/>
      <c r="BZ124" s="790"/>
      <c r="CA124" s="790"/>
      <c r="CB124" s="790"/>
      <c r="CC124" s="790"/>
      <c r="CD124" s="790"/>
      <c r="CE124" s="790"/>
      <c r="CF124" s="790"/>
      <c r="CG124" s="790"/>
      <c r="CH124" s="790"/>
      <c r="CI124" s="790"/>
      <c r="CJ124" s="790"/>
      <c r="CK124" s="790"/>
      <c r="CL124" s="790"/>
      <c r="CM124" s="790"/>
      <c r="CN124" s="790"/>
      <c r="CO124" s="790"/>
      <c r="CP124" s="819"/>
      <c r="CQ124" s="790"/>
      <c r="CR124" s="790"/>
      <c r="CS124" s="790"/>
      <c r="CT124" s="790"/>
      <c r="CU124" s="790"/>
      <c r="CV124" s="790"/>
      <c r="CW124" s="790"/>
      <c r="CX124" s="790"/>
      <c r="CY124" s="790"/>
      <c r="CZ124" s="790"/>
      <c r="DA124" s="790"/>
      <c r="DB124" s="790"/>
      <c r="DC124" s="790"/>
      <c r="DD124" s="790"/>
      <c r="DE124" s="790"/>
      <c r="DF124" s="790"/>
      <c r="DG124" s="790"/>
      <c r="DH124" s="790"/>
      <c r="DI124" s="790"/>
      <c r="DJ124" s="790"/>
      <c r="DK124" s="790"/>
      <c r="DL124" s="790"/>
      <c r="DM124" s="790"/>
      <c r="DN124" s="790"/>
      <c r="DO124" s="790"/>
      <c r="DP124" s="790"/>
      <c r="DQ124" s="790"/>
      <c r="DR124" s="790"/>
    </row>
    <row r="125" spans="1:122" ht="18" customHeight="1">
      <c r="A125" s="786" t="s">
        <v>2481</v>
      </c>
      <c r="B125" s="787">
        <v>0</v>
      </c>
      <c r="C125" s="584">
        <v>0.10020628999999999</v>
      </c>
      <c r="D125" s="584">
        <v>6.761955E-2</v>
      </c>
      <c r="E125" s="596">
        <v>9.1557119999999992E-2</v>
      </c>
      <c r="F125" s="584">
        <v>8.0903940000000008E-2</v>
      </c>
      <c r="G125" s="584">
        <v>9.8683999999999994E-2</v>
      </c>
      <c r="H125" s="584">
        <v>0</v>
      </c>
      <c r="I125" s="584">
        <v>5.6153000000000002E-2</v>
      </c>
      <c r="J125" s="584">
        <v>0</v>
      </c>
      <c r="K125" s="596">
        <v>9.98E-2</v>
      </c>
      <c r="L125" s="584">
        <v>0.1011533</v>
      </c>
      <c r="M125" s="584">
        <v>0.10257558</v>
      </c>
      <c r="N125" s="584">
        <v>3.3465179999999997E-2</v>
      </c>
      <c r="O125" s="596">
        <v>0.1</v>
      </c>
      <c r="P125" s="584">
        <v>3.4433360000000003E-2</v>
      </c>
      <c r="Q125" s="584">
        <v>9.6010520000000002E-2</v>
      </c>
      <c r="R125" s="596">
        <v>3.1390910000000001E-2</v>
      </c>
      <c r="S125" s="584">
        <v>6.2217429999999997E-2</v>
      </c>
      <c r="T125" s="584">
        <v>0.14941817000000002</v>
      </c>
      <c r="U125" s="586">
        <v>0.16524712</v>
      </c>
      <c r="V125" s="586">
        <v>9.5903779999999994E-2</v>
      </c>
      <c r="W125" s="586">
        <v>0.12796542</v>
      </c>
      <c r="X125" s="586">
        <v>9.8810070000000014E-2</v>
      </c>
      <c r="Y125" s="586">
        <v>0.17254763000000001</v>
      </c>
      <c r="Z125" s="586">
        <v>0.10180569</v>
      </c>
      <c r="AA125" s="586">
        <v>0.15710617999999998</v>
      </c>
      <c r="AB125" s="586">
        <v>0.10312319</v>
      </c>
      <c r="AC125" s="586">
        <v>0.10086730000000001</v>
      </c>
      <c r="AD125" s="586">
        <v>0.11887236999999999</v>
      </c>
      <c r="AE125" s="586">
        <v>0.10578132000000001</v>
      </c>
      <c r="AF125" s="586">
        <v>0.10267535000000001</v>
      </c>
      <c r="AG125" s="586">
        <v>0.10157836000000001</v>
      </c>
      <c r="AH125" s="586">
        <v>0.11142025999999999</v>
      </c>
      <c r="AI125" s="586">
        <v>1.9604E-4</v>
      </c>
      <c r="AJ125" s="586">
        <v>1.5587370000000001E-2</v>
      </c>
      <c r="AK125" s="586">
        <v>7.8306880000000009E-2</v>
      </c>
      <c r="AL125" s="586">
        <v>5.3264699999999998E-2</v>
      </c>
      <c r="AM125" s="665">
        <v>7.9935800000000001E-3</v>
      </c>
      <c r="AN125" s="665">
        <v>6.2540600000000005E-3</v>
      </c>
      <c r="AO125" s="665">
        <v>9.5938509999999991E-2</v>
      </c>
      <c r="AP125" s="665">
        <v>2.2045550000000001E-2</v>
      </c>
      <c r="AQ125" s="665">
        <v>8.771669E-2</v>
      </c>
      <c r="AR125" s="787">
        <v>2.2879769999999997E-2</v>
      </c>
      <c r="AS125" s="787">
        <v>2.6735385299999996</v>
      </c>
      <c r="AT125" s="787">
        <v>2.7082639999999998E-2</v>
      </c>
      <c r="AU125" s="787">
        <v>8.5475720000000005E-2</v>
      </c>
      <c r="AV125" s="787">
        <v>0</v>
      </c>
      <c r="AW125" s="790">
        <v>0</v>
      </c>
      <c r="AX125" s="790">
        <v>0</v>
      </c>
      <c r="AY125" s="790">
        <v>2.9583299999999999E-3</v>
      </c>
      <c r="AZ125" s="790">
        <v>0.34326441999999996</v>
      </c>
      <c r="BA125" s="790">
        <v>0.35115745000000004</v>
      </c>
      <c r="BB125" s="790">
        <v>0.39273246999999994</v>
      </c>
      <c r="BC125" s="790">
        <v>0.35254471000000004</v>
      </c>
      <c r="BD125" s="790">
        <v>0.26229183</v>
      </c>
      <c r="BE125" s="790">
        <v>0.23854133999999999</v>
      </c>
      <c r="BF125" s="790">
        <v>0.21045760999999999</v>
      </c>
      <c r="BG125" s="790">
        <v>0.1980634</v>
      </c>
      <c r="BH125" s="790">
        <v>0.27884430999999998</v>
      </c>
      <c r="BI125" s="790">
        <v>0.48020114000000003</v>
      </c>
      <c r="BJ125" s="790">
        <v>0.6479838</v>
      </c>
      <c r="BK125" s="790">
        <v>0.49181095000000002</v>
      </c>
      <c r="BL125" s="790">
        <v>0.51331262</v>
      </c>
      <c r="BM125" s="790">
        <v>0.47312671999999995</v>
      </c>
      <c r="BN125" s="790">
        <v>0.48631702999999998</v>
      </c>
      <c r="BO125" s="790">
        <v>0.44240933999999998</v>
      </c>
      <c r="BP125" s="790">
        <v>0.51672671999999997</v>
      </c>
      <c r="BQ125" s="790">
        <v>0.47716392000000002</v>
      </c>
      <c r="BR125" s="790">
        <v>0.48608786999999998</v>
      </c>
      <c r="BS125" s="790">
        <v>0.36313711999999998</v>
      </c>
      <c r="BT125" s="790">
        <v>9.6190479999999995E-2</v>
      </c>
      <c r="BU125" s="790">
        <v>0.17090801999999999</v>
      </c>
      <c r="BV125" s="790">
        <v>0.16124117999999998</v>
      </c>
      <c r="BW125" s="790">
        <v>0.18289442</v>
      </c>
      <c r="BX125" s="790">
        <v>0.195213</v>
      </c>
      <c r="BY125" s="790">
        <v>0.25817200000000001</v>
      </c>
      <c r="BZ125" s="790">
        <v>0.1</v>
      </c>
      <c r="CA125" s="790">
        <v>0.12053949999999999</v>
      </c>
      <c r="CB125" s="790">
        <v>0.10335031</v>
      </c>
      <c r="CC125" s="790">
        <v>0.23272893</v>
      </c>
      <c r="CD125" s="790">
        <v>0.15786333</v>
      </c>
      <c r="CE125" s="790">
        <v>0.17289642999999999</v>
      </c>
      <c r="CF125" s="790">
        <v>8.004246000000001E-2</v>
      </c>
      <c r="CG125" s="790">
        <v>0.26916702000000003</v>
      </c>
      <c r="CH125" s="790">
        <v>0.14101710000000001</v>
      </c>
      <c r="CI125" s="790">
        <v>0.14179847000000001</v>
      </c>
      <c r="CJ125" s="790">
        <v>7.2719359999999997E-2</v>
      </c>
      <c r="CK125" s="790">
        <v>0.12986126000000001</v>
      </c>
      <c r="CL125" s="790">
        <v>0.24060016000000001</v>
      </c>
      <c r="CM125" s="790">
        <v>8.2547750000000003E-2</v>
      </c>
      <c r="CN125" s="790">
        <v>0.17928139000000001</v>
      </c>
      <c r="CO125" s="790">
        <v>0.11504833</v>
      </c>
      <c r="CP125" s="819">
        <v>0.26650253999999995</v>
      </c>
      <c r="CQ125" s="790">
        <v>0.17321108999999998</v>
      </c>
      <c r="CR125" s="790">
        <v>0.20612103000000001</v>
      </c>
      <c r="CS125" s="790">
        <v>0.13155331000000001</v>
      </c>
      <c r="CT125" s="790">
        <v>0</v>
      </c>
      <c r="CU125" s="790">
        <v>0.19337573000000002</v>
      </c>
      <c r="CV125" s="790">
        <v>3.1000949999999999E-2</v>
      </c>
      <c r="CW125" s="790">
        <v>3.3348849999999999E-2</v>
      </c>
      <c r="CX125" s="790">
        <v>0.13406142999999998</v>
      </c>
      <c r="CY125" s="790">
        <v>0.18827368</v>
      </c>
      <c r="CZ125" s="790">
        <v>0.19678567999999999</v>
      </c>
      <c r="DA125" s="790">
        <v>0.25669026</v>
      </c>
      <c r="DB125" s="790">
        <v>0.11809965</v>
      </c>
      <c r="DC125" s="790">
        <v>0.15546795000000002</v>
      </c>
      <c r="DD125" s="790">
        <v>0.13217195000000001</v>
      </c>
      <c r="DE125" s="790">
        <v>0.15082960000000001</v>
      </c>
      <c r="DF125" s="790">
        <v>0.10627814999999999</v>
      </c>
      <c r="DG125" s="790">
        <v>0.20917427999999999</v>
      </c>
      <c r="DH125" s="790">
        <v>0.20413275</v>
      </c>
      <c r="DI125" s="790">
        <v>0.14292795999999999</v>
      </c>
      <c r="DJ125" s="790">
        <v>0.23557198999999998</v>
      </c>
      <c r="DK125" s="790">
        <v>0.23655242000000001</v>
      </c>
      <c r="DL125" s="790">
        <v>6.2321169999999995E-2</v>
      </c>
      <c r="DM125" s="790">
        <v>0.18683093000000001</v>
      </c>
      <c r="DN125" s="790">
        <v>0</v>
      </c>
      <c r="DO125" s="790">
        <v>0.18459942000000001</v>
      </c>
      <c r="DP125" s="790">
        <v>0.20988065</v>
      </c>
      <c r="DQ125" s="790">
        <v>0.10333321000000001</v>
      </c>
      <c r="DR125" s="790">
        <v>0.25982075999999998</v>
      </c>
    </row>
    <row r="126" spans="1:122" ht="7.7" customHeight="1">
      <c r="A126" s="786"/>
      <c r="B126" s="787"/>
      <c r="C126" s="584"/>
      <c r="D126" s="584"/>
      <c r="E126" s="596"/>
      <c r="F126" s="584"/>
      <c r="G126" s="584"/>
      <c r="H126" s="664"/>
      <c r="I126" s="664"/>
      <c r="J126" s="664"/>
      <c r="K126" s="593"/>
      <c r="L126" s="664"/>
      <c r="M126" s="664"/>
      <c r="N126" s="664"/>
      <c r="O126" s="593"/>
      <c r="P126" s="664"/>
      <c r="Q126" s="664"/>
      <c r="R126" s="596"/>
      <c r="S126" s="664"/>
      <c r="T126" s="664"/>
      <c r="U126" s="795"/>
      <c r="V126" s="795"/>
      <c r="W126" s="795"/>
      <c r="X126" s="795"/>
      <c r="Y126" s="795"/>
      <c r="Z126" s="795"/>
      <c r="AA126" s="795"/>
      <c r="AB126" s="795"/>
      <c r="AC126" s="795"/>
      <c r="AD126" s="795"/>
      <c r="AE126" s="795"/>
      <c r="AF126" s="795"/>
      <c r="AG126" s="795"/>
      <c r="AH126" s="795"/>
      <c r="AI126" s="795"/>
      <c r="AJ126" s="795"/>
      <c r="AK126" s="795"/>
      <c r="AL126" s="795"/>
      <c r="AM126" s="665"/>
      <c r="AN126" s="665"/>
      <c r="AO126" s="665"/>
      <c r="AP126" s="665"/>
      <c r="AQ126" s="665"/>
      <c r="AR126" s="787"/>
      <c r="AS126" s="787"/>
      <c r="AT126" s="787"/>
      <c r="AU126" s="787"/>
      <c r="AV126" s="787"/>
      <c r="AW126" s="790"/>
      <c r="AX126" s="790"/>
      <c r="AY126" s="790"/>
      <c r="AZ126" s="790"/>
      <c r="BA126" s="790"/>
      <c r="BB126" s="790"/>
      <c r="BC126" s="790"/>
      <c r="BD126" s="790"/>
      <c r="BE126" s="790"/>
      <c r="BF126" s="790"/>
      <c r="BG126" s="790"/>
      <c r="BH126" s="790"/>
      <c r="BI126" s="790"/>
      <c r="BJ126" s="790"/>
      <c r="BK126" s="790"/>
      <c r="BL126" s="790"/>
      <c r="BM126" s="790"/>
      <c r="BN126" s="790"/>
      <c r="BO126" s="790"/>
      <c r="BP126" s="790"/>
      <c r="BQ126" s="790"/>
      <c r="BR126" s="790"/>
      <c r="BS126" s="790"/>
      <c r="BT126" s="790"/>
      <c r="BU126" s="790"/>
      <c r="BV126" s="790"/>
      <c r="BW126" s="790"/>
      <c r="BX126" s="790"/>
      <c r="BY126" s="790"/>
      <c r="BZ126" s="790"/>
      <c r="CA126" s="790"/>
      <c r="CB126" s="790"/>
      <c r="CC126" s="790"/>
      <c r="CD126" s="790"/>
      <c r="CE126" s="790"/>
      <c r="CF126" s="790"/>
      <c r="CG126" s="790"/>
      <c r="CH126" s="790"/>
      <c r="CI126" s="790"/>
      <c r="CJ126" s="790"/>
      <c r="CK126" s="790"/>
      <c r="CL126" s="790"/>
      <c r="CM126" s="790"/>
      <c r="CN126" s="790"/>
      <c r="CO126" s="790"/>
      <c r="CP126" s="819"/>
      <c r="CQ126" s="790"/>
      <c r="CR126" s="790"/>
      <c r="CS126" s="790"/>
      <c r="CT126" s="790"/>
      <c r="CU126" s="790"/>
      <c r="CV126" s="790"/>
      <c r="CW126" s="790"/>
      <c r="CX126" s="790"/>
      <c r="CY126" s="790"/>
      <c r="CZ126" s="790"/>
      <c r="DA126" s="790"/>
      <c r="DB126" s="790"/>
      <c r="DC126" s="790"/>
      <c r="DD126" s="790"/>
      <c r="DE126" s="790"/>
      <c r="DF126" s="790"/>
      <c r="DG126" s="790"/>
      <c r="DH126" s="790"/>
      <c r="DI126" s="790"/>
      <c r="DJ126" s="790"/>
      <c r="DK126" s="790"/>
      <c r="DL126" s="790"/>
      <c r="DM126" s="790"/>
      <c r="DN126" s="790"/>
      <c r="DO126" s="790"/>
      <c r="DP126" s="790"/>
      <c r="DQ126" s="790"/>
      <c r="DR126" s="790"/>
    </row>
    <row r="127" spans="1:122" ht="18" customHeight="1">
      <c r="A127" s="786" t="s">
        <v>2482</v>
      </c>
      <c r="B127" s="787">
        <v>9790.045050772891</v>
      </c>
      <c r="C127" s="584">
        <v>9986.3961003334498</v>
      </c>
      <c r="D127" s="584">
        <v>10209.995867710812</v>
      </c>
      <c r="E127" s="596">
        <v>10432.8348678612</v>
      </c>
      <c r="F127" s="584">
        <v>10514.343421066342</v>
      </c>
      <c r="G127" s="584">
        <v>10558.572846353722</v>
      </c>
      <c r="H127" s="584">
        <v>10650.817464525007</v>
      </c>
      <c r="I127" s="584">
        <v>10865.470252023104</v>
      </c>
      <c r="J127" s="584">
        <v>10808.406246173154</v>
      </c>
      <c r="K127" s="596">
        <v>10889.744637304719</v>
      </c>
      <c r="L127" s="584">
        <v>11062.191939743261</v>
      </c>
      <c r="M127" s="584">
        <v>11169.928581971792</v>
      </c>
      <c r="N127" s="584">
        <v>11342.374480553241</v>
      </c>
      <c r="O127" s="596">
        <v>11513.742697203381</v>
      </c>
      <c r="P127" s="584">
        <v>11774.519083411018</v>
      </c>
      <c r="Q127" s="584">
        <v>11900.311620778139</v>
      </c>
      <c r="R127" s="596">
        <v>12027.583041713906</v>
      </c>
      <c r="S127" s="584">
        <v>12228.994347227699</v>
      </c>
      <c r="T127" s="584">
        <v>12333.674972365743</v>
      </c>
      <c r="U127" s="586">
        <v>12244.001248503282</v>
      </c>
      <c r="V127" s="586">
        <v>12464.2</v>
      </c>
      <c r="W127" s="586">
        <v>12636.652618985401</v>
      </c>
      <c r="X127" s="586">
        <v>12861.332507102421</v>
      </c>
      <c r="Y127" s="586">
        <v>13083.296898922819</v>
      </c>
      <c r="Z127" s="586">
        <v>13683.234964317679</v>
      </c>
      <c r="AA127" s="586">
        <v>13793.725565746914</v>
      </c>
      <c r="AB127" s="586">
        <v>13982.668306506057</v>
      </c>
      <c r="AC127" s="586">
        <v>14416.67917953707</v>
      </c>
      <c r="AD127" s="586">
        <v>14551.626994553373</v>
      </c>
      <c r="AE127" s="586">
        <v>14572.817867088917</v>
      </c>
      <c r="AF127" s="586">
        <v>14603.941787074096</v>
      </c>
      <c r="AG127" s="586">
        <v>14815.562716546658</v>
      </c>
      <c r="AH127" s="586">
        <v>15015.769864481666</v>
      </c>
      <c r="AI127" s="586">
        <v>15022.676045626004</v>
      </c>
      <c r="AJ127" s="586">
        <v>15447.09179016795</v>
      </c>
      <c r="AK127" s="586">
        <v>15630.598440553978</v>
      </c>
      <c r="AL127" s="586">
        <v>15887.422199267327</v>
      </c>
      <c r="AM127" s="665">
        <v>15962.735813987501</v>
      </c>
      <c r="AN127" s="665">
        <v>16371.418397999467</v>
      </c>
      <c r="AO127" s="665">
        <v>16420.080103193748</v>
      </c>
      <c r="AP127" s="665">
        <v>16107.465390099163</v>
      </c>
      <c r="AQ127" s="665">
        <v>16491.299348792898</v>
      </c>
      <c r="AR127" s="787">
        <v>16227.661819672245</v>
      </c>
      <c r="AS127" s="787">
        <v>16059.329087977025</v>
      </c>
      <c r="AT127" s="787">
        <v>16295.837263044999</v>
      </c>
      <c r="AU127" s="787">
        <v>16078.241918447135</v>
      </c>
      <c r="AV127" s="787">
        <v>16358.111570699528</v>
      </c>
      <c r="AW127" s="790">
        <v>16515.208503223741</v>
      </c>
      <c r="AX127" s="790">
        <v>16545.692590268452</v>
      </c>
      <c r="AY127" s="790">
        <v>16687.192837372349</v>
      </c>
      <c r="AZ127" s="790">
        <v>16909.525077160015</v>
      </c>
      <c r="BA127" s="790">
        <v>17166.63407633148</v>
      </c>
      <c r="BB127" s="790">
        <v>17151.264039742859</v>
      </c>
      <c r="BC127" s="790">
        <v>17340.838347319463</v>
      </c>
      <c r="BD127" s="790">
        <v>17497.170825648853</v>
      </c>
      <c r="BE127" s="790">
        <v>17517.162705528153</v>
      </c>
      <c r="BF127" s="790">
        <v>17555.48410475018</v>
      </c>
      <c r="BG127" s="790">
        <v>17700.387852660984</v>
      </c>
      <c r="BH127" s="790">
        <v>18061.029446577362</v>
      </c>
      <c r="BI127" s="790">
        <v>18257.117385018057</v>
      </c>
      <c r="BJ127" s="790">
        <v>18697.693358555691</v>
      </c>
      <c r="BK127" s="790">
        <v>19022.022843857656</v>
      </c>
      <c r="BL127" s="790">
        <v>19330.271049491424</v>
      </c>
      <c r="BM127" s="790">
        <v>19297.925347383687</v>
      </c>
      <c r="BN127" s="790">
        <v>19513.226306280776</v>
      </c>
      <c r="BO127" s="790">
        <v>19514.56770589696</v>
      </c>
      <c r="BP127" s="790">
        <v>19628.551855321362</v>
      </c>
      <c r="BQ127" s="790">
        <v>19656.370448151294</v>
      </c>
      <c r="BR127" s="790">
        <v>19911.448382358667</v>
      </c>
      <c r="BS127" s="790">
        <v>19854.57600142336</v>
      </c>
      <c r="BT127" s="790">
        <v>20139.833453830524</v>
      </c>
      <c r="BU127" s="790">
        <v>20146.787427912044</v>
      </c>
      <c r="BV127" s="790">
        <v>20398.12057305262</v>
      </c>
      <c r="BW127" s="790">
        <v>20635.070604589255</v>
      </c>
      <c r="BX127" s="790">
        <v>20526.429714971</v>
      </c>
      <c r="BY127" s="790">
        <v>20793.933260346261</v>
      </c>
      <c r="BZ127" s="790">
        <v>20877.900000000001</v>
      </c>
      <c r="CA127" s="790">
        <v>21023.808850275538</v>
      </c>
      <c r="CB127" s="790">
        <v>21076.539777110454</v>
      </c>
      <c r="CC127" s="790">
        <v>20965.060474669979</v>
      </c>
      <c r="CD127" s="790">
        <v>21460.59754397806</v>
      </c>
      <c r="CE127" s="790">
        <v>20959.809601039939</v>
      </c>
      <c r="CF127" s="790">
        <v>21211.885401975993</v>
      </c>
      <c r="CG127" s="790">
        <v>21700.471021414629</v>
      </c>
      <c r="CH127" s="790">
        <v>22201.886394609784</v>
      </c>
      <c r="CI127" s="790">
        <v>22269.388728977763</v>
      </c>
      <c r="CJ127" s="790">
        <v>22515.227323714975</v>
      </c>
      <c r="CK127" s="790">
        <v>23044.113819403501</v>
      </c>
      <c r="CL127" s="790">
        <v>23112.787964617382</v>
      </c>
      <c r="CM127" s="790">
        <v>23387.988670274819</v>
      </c>
      <c r="CN127" s="790">
        <v>23605.689522440694</v>
      </c>
      <c r="CO127" s="790">
        <v>23729.654381368855</v>
      </c>
      <c r="CP127" s="819">
        <v>24123.110387106459</v>
      </c>
      <c r="CQ127" s="790">
        <v>24386.924135629735</v>
      </c>
      <c r="CR127" s="790">
        <v>25796.00350412543</v>
      </c>
      <c r="CS127" s="790">
        <v>26721.211402952809</v>
      </c>
      <c r="CT127" s="790">
        <v>27297.862562228893</v>
      </c>
      <c r="CU127" s="790">
        <v>27206.606858269104</v>
      </c>
      <c r="CV127" s="790">
        <v>27405.553873781431</v>
      </c>
      <c r="CW127" s="790">
        <v>27678.932395670807</v>
      </c>
      <c r="CX127" s="790">
        <v>27686.432898514304</v>
      </c>
      <c r="CY127" s="790">
        <v>29381.437846120716</v>
      </c>
      <c r="CZ127" s="790">
        <v>29034.81155981425</v>
      </c>
      <c r="DA127" s="790">
        <v>28969.602672547266</v>
      </c>
      <c r="DB127" s="790">
        <v>29400.162794170024</v>
      </c>
      <c r="DC127" s="790">
        <v>29383.430697671844</v>
      </c>
      <c r="DD127" s="790">
        <v>29532.024694106527</v>
      </c>
      <c r="DE127" s="790">
        <v>29781.64141184013</v>
      </c>
      <c r="DF127" s="790">
        <v>30015.070404671205</v>
      </c>
      <c r="DG127" s="790">
        <v>30044.515860582851</v>
      </c>
      <c r="DH127" s="790">
        <v>30469.284231599271</v>
      </c>
      <c r="DI127" s="790">
        <v>30320.823496568577</v>
      </c>
      <c r="DJ127" s="790">
        <v>30183.236842296701</v>
      </c>
      <c r="DK127" s="790">
        <v>30621.798294396944</v>
      </c>
      <c r="DL127" s="790">
        <v>29631.873247776748</v>
      </c>
      <c r="DM127" s="790">
        <v>29542.301887613161</v>
      </c>
      <c r="DN127" s="790">
        <v>29388.834517449883</v>
      </c>
      <c r="DO127" s="790">
        <v>29344.954904631111</v>
      </c>
      <c r="DP127" s="790">
        <v>29026.39029827412</v>
      </c>
      <c r="DQ127" s="790">
        <v>29385.023059500552</v>
      </c>
      <c r="DR127" s="790">
        <v>29304.12401273807</v>
      </c>
    </row>
    <row r="128" spans="1:122" ht="7.7" customHeight="1">
      <c r="A128" s="786"/>
      <c r="B128" s="787"/>
      <c r="C128" s="584"/>
      <c r="D128" s="584"/>
      <c r="E128" s="596"/>
      <c r="F128" s="584"/>
      <c r="G128" s="584"/>
      <c r="H128" s="584"/>
      <c r="I128" s="584"/>
      <c r="J128" s="584"/>
      <c r="K128" s="596"/>
      <c r="L128" s="584"/>
      <c r="M128" s="584"/>
      <c r="N128" s="584"/>
      <c r="O128" s="596"/>
      <c r="P128" s="584"/>
      <c r="Q128" s="584"/>
      <c r="R128" s="596"/>
      <c r="S128" s="584"/>
      <c r="T128" s="584"/>
      <c r="U128" s="586"/>
      <c r="V128" s="586"/>
      <c r="W128" s="586"/>
      <c r="X128" s="586"/>
      <c r="Y128" s="586"/>
      <c r="Z128" s="586"/>
      <c r="AA128" s="586"/>
      <c r="AB128" s="586"/>
      <c r="AC128" s="586"/>
      <c r="AD128" s="586"/>
      <c r="AE128" s="586"/>
      <c r="AF128" s="586"/>
      <c r="AG128" s="586"/>
      <c r="AH128" s="586"/>
      <c r="AI128" s="586"/>
      <c r="AJ128" s="586"/>
      <c r="AK128" s="586"/>
      <c r="AL128" s="586"/>
      <c r="AM128" s="665"/>
      <c r="AN128" s="665"/>
      <c r="AO128" s="665"/>
      <c r="AP128" s="665"/>
      <c r="AQ128" s="665"/>
      <c r="AR128" s="787"/>
      <c r="AS128" s="787"/>
      <c r="AT128" s="787"/>
      <c r="AU128" s="787"/>
      <c r="AV128" s="787"/>
      <c r="AW128" s="790"/>
      <c r="AX128" s="790"/>
      <c r="AY128" s="790"/>
      <c r="AZ128" s="790"/>
      <c r="BA128" s="790"/>
      <c r="BB128" s="790"/>
      <c r="BC128" s="790"/>
      <c r="BD128" s="790"/>
      <c r="BE128" s="790"/>
      <c r="BF128" s="790"/>
      <c r="BG128" s="790"/>
      <c r="BH128" s="790"/>
      <c r="BI128" s="790"/>
      <c r="BJ128" s="790"/>
      <c r="BK128" s="790"/>
      <c r="BL128" s="790"/>
      <c r="BM128" s="790"/>
      <c r="BN128" s="790"/>
      <c r="BO128" s="790"/>
      <c r="BP128" s="790"/>
      <c r="BQ128" s="790"/>
      <c r="BR128" s="790"/>
      <c r="BS128" s="790"/>
      <c r="BT128" s="790"/>
      <c r="BU128" s="790"/>
      <c r="BV128" s="790"/>
      <c r="BW128" s="790"/>
      <c r="BX128" s="790"/>
      <c r="BY128" s="790"/>
      <c r="BZ128" s="790"/>
      <c r="CA128" s="790"/>
      <c r="CB128" s="790"/>
      <c r="CC128" s="790"/>
      <c r="CD128" s="790"/>
      <c r="CE128" s="790"/>
      <c r="CF128" s="790"/>
      <c r="CG128" s="790"/>
      <c r="CH128" s="790"/>
      <c r="CI128" s="790"/>
      <c r="CJ128" s="790"/>
      <c r="CK128" s="790"/>
      <c r="CL128" s="790"/>
      <c r="CM128" s="790"/>
      <c r="CN128" s="790"/>
      <c r="CO128" s="790"/>
      <c r="CP128" s="819"/>
      <c r="CQ128" s="790"/>
      <c r="CR128" s="790"/>
      <c r="CS128" s="790"/>
      <c r="CT128" s="790"/>
      <c r="CU128" s="790"/>
      <c r="CV128" s="790"/>
      <c r="CW128" s="790"/>
      <c r="CX128" s="790"/>
      <c r="CY128" s="790"/>
      <c r="CZ128" s="790"/>
      <c r="DA128" s="790"/>
      <c r="DB128" s="790"/>
      <c r="DC128" s="790"/>
      <c r="DD128" s="790"/>
      <c r="DE128" s="790"/>
      <c r="DF128" s="790"/>
      <c r="DG128" s="790"/>
      <c r="DH128" s="790"/>
      <c r="DI128" s="790"/>
      <c r="DJ128" s="790"/>
      <c r="DK128" s="790"/>
      <c r="DL128" s="790"/>
      <c r="DM128" s="790"/>
      <c r="DN128" s="790"/>
      <c r="DO128" s="790"/>
      <c r="DP128" s="790"/>
      <c r="DQ128" s="790"/>
      <c r="DR128" s="790"/>
    </row>
    <row r="129" spans="1:122" ht="18" customHeight="1">
      <c r="A129" s="786" t="s">
        <v>2483</v>
      </c>
      <c r="B129" s="787">
        <v>912.91156464100015</v>
      </c>
      <c r="C129" s="584">
        <v>858.02914912959989</v>
      </c>
      <c r="D129" s="584">
        <v>835.47886478579721</v>
      </c>
      <c r="E129" s="596">
        <v>832.01588761540006</v>
      </c>
      <c r="F129" s="584">
        <v>901.81610340600002</v>
      </c>
      <c r="G129" s="584">
        <v>888.76451449264357</v>
      </c>
      <c r="H129" s="584">
        <v>833.58597364359991</v>
      </c>
      <c r="I129" s="584">
        <v>543.64790147990016</v>
      </c>
      <c r="J129" s="584">
        <v>593.66346007869993</v>
      </c>
      <c r="K129" s="596">
        <v>619.07801239879984</v>
      </c>
      <c r="L129" s="584">
        <v>631.81408800310828</v>
      </c>
      <c r="M129" s="584">
        <v>598.36736978520503</v>
      </c>
      <c r="N129" s="584">
        <v>600.48597685376956</v>
      </c>
      <c r="O129" s="596">
        <v>597.47430760564907</v>
      </c>
      <c r="P129" s="584">
        <v>554.91005578771433</v>
      </c>
      <c r="Q129" s="584">
        <v>540.66411722859993</v>
      </c>
      <c r="R129" s="596">
        <v>577.69079041029988</v>
      </c>
      <c r="S129" s="584">
        <v>580.84468701339995</v>
      </c>
      <c r="T129" s="584">
        <v>574.40200295499994</v>
      </c>
      <c r="U129" s="586">
        <v>599.63241908378689</v>
      </c>
      <c r="V129" s="586">
        <v>688</v>
      </c>
      <c r="W129" s="586">
        <v>621.16093315720013</v>
      </c>
      <c r="X129" s="586">
        <v>649.10251401168216</v>
      </c>
      <c r="Y129" s="586">
        <v>652.28850199914746</v>
      </c>
      <c r="Z129" s="586">
        <v>628.10836872099992</v>
      </c>
      <c r="AA129" s="586">
        <v>658.92311999178821</v>
      </c>
      <c r="AB129" s="586">
        <v>746.89077627295069</v>
      </c>
      <c r="AC129" s="586">
        <v>633.2124955132</v>
      </c>
      <c r="AD129" s="586">
        <v>587.3209362005</v>
      </c>
      <c r="AE129" s="586">
        <v>600.56279515166671</v>
      </c>
      <c r="AF129" s="586">
        <v>628.15293203124997</v>
      </c>
      <c r="AG129" s="586">
        <v>687.56889687600005</v>
      </c>
      <c r="AH129" s="586">
        <v>589.03119065600004</v>
      </c>
      <c r="AI129" s="586">
        <v>659.82843347760002</v>
      </c>
      <c r="AJ129" s="586">
        <v>658.24947077360002</v>
      </c>
      <c r="AK129" s="586">
        <v>767.25957665480007</v>
      </c>
      <c r="AL129" s="586">
        <v>805.25311067819996</v>
      </c>
      <c r="AM129" s="665">
        <v>694.90716569050005</v>
      </c>
      <c r="AN129" s="665">
        <v>690.4710326846</v>
      </c>
      <c r="AO129" s="665">
        <v>696.07028465594999</v>
      </c>
      <c r="AP129" s="665">
        <v>711.73778179559997</v>
      </c>
      <c r="AQ129" s="665">
        <v>686.64684909995992</v>
      </c>
      <c r="AR129" s="787">
        <v>840.51029365880004</v>
      </c>
      <c r="AS129" s="787">
        <v>788.80625844999997</v>
      </c>
      <c r="AT129" s="787">
        <v>718.34460550879999</v>
      </c>
      <c r="AU129" s="787">
        <v>742.36900684199998</v>
      </c>
      <c r="AV129" s="787">
        <v>734.2667839500001</v>
      </c>
      <c r="AW129" s="790">
        <v>750.81807837999997</v>
      </c>
      <c r="AX129" s="790">
        <v>755.843785723</v>
      </c>
      <c r="AY129" s="790">
        <v>768.17419093629996</v>
      </c>
      <c r="AZ129" s="790">
        <v>747.607448374</v>
      </c>
      <c r="BA129" s="790">
        <v>678.55194184959998</v>
      </c>
      <c r="BB129" s="790">
        <v>648.2424623009</v>
      </c>
      <c r="BC129" s="790">
        <v>750.7384607322</v>
      </c>
      <c r="BD129" s="790">
        <v>662.97466185840005</v>
      </c>
      <c r="BE129" s="790">
        <v>643.71501702579997</v>
      </c>
      <c r="BF129" s="790">
        <v>632.15434574599988</v>
      </c>
      <c r="BG129" s="790">
        <v>654.35852916899989</v>
      </c>
      <c r="BH129" s="790">
        <v>680.45328931359995</v>
      </c>
      <c r="BI129" s="790">
        <v>666.63816514680047</v>
      </c>
      <c r="BJ129" s="790">
        <v>836.48565125389996</v>
      </c>
      <c r="BK129" s="790">
        <v>742.4565244700002</v>
      </c>
      <c r="BL129" s="790">
        <v>693.03701535719745</v>
      </c>
      <c r="BM129" s="790">
        <v>717.04803844100115</v>
      </c>
      <c r="BN129" s="790">
        <v>677.63960194266792</v>
      </c>
      <c r="BO129" s="790">
        <v>693.77349805719996</v>
      </c>
      <c r="BP129" s="790">
        <v>727.43059189790074</v>
      </c>
      <c r="BQ129" s="790">
        <v>801.70350740029994</v>
      </c>
      <c r="BR129" s="790">
        <v>700.48942487170007</v>
      </c>
      <c r="BS129" s="790">
        <v>861.05334692399992</v>
      </c>
      <c r="BT129" s="790">
        <v>670.07253059156494</v>
      </c>
      <c r="BU129" s="790">
        <v>740.99160060224608</v>
      </c>
      <c r="BV129" s="790">
        <v>746.37360501299588</v>
      </c>
      <c r="BW129" s="790">
        <v>753.56223608414018</v>
      </c>
      <c r="BX129" s="790">
        <v>763.31914179699993</v>
      </c>
      <c r="BY129" s="790">
        <v>814.0253472638999</v>
      </c>
      <c r="BZ129" s="790">
        <v>841.9</v>
      </c>
      <c r="CA129" s="790">
        <v>857.7121836857001</v>
      </c>
      <c r="CB129" s="790">
        <v>832.98429684200005</v>
      </c>
      <c r="CC129" s="790">
        <v>831.19036345785003</v>
      </c>
      <c r="CD129" s="790">
        <v>833.53082311455216</v>
      </c>
      <c r="CE129" s="790">
        <v>1004.8134084108306</v>
      </c>
      <c r="CF129" s="790">
        <v>1059.1479246732576</v>
      </c>
      <c r="CG129" s="790">
        <v>1143.1815193269565</v>
      </c>
      <c r="CH129" s="790">
        <v>1184.5878360448382</v>
      </c>
      <c r="CI129" s="790">
        <v>1182.6782492037455</v>
      </c>
      <c r="CJ129" s="790">
        <v>1175.6355657950678</v>
      </c>
      <c r="CK129" s="790">
        <v>1296.7354863664912</v>
      </c>
      <c r="CL129" s="790">
        <v>1343.3719536913623</v>
      </c>
      <c r="CM129" s="790">
        <v>1333.0661792074238</v>
      </c>
      <c r="CN129" s="790">
        <v>1385.1083399816494</v>
      </c>
      <c r="CO129" s="790">
        <v>1353.37802701598</v>
      </c>
      <c r="CP129" s="819">
        <v>1357.2162448253</v>
      </c>
      <c r="CQ129" s="790">
        <v>1349.8871222458529</v>
      </c>
      <c r="CR129" s="790">
        <v>1333.8783044637999</v>
      </c>
      <c r="CS129" s="790">
        <v>1364.6881903572043</v>
      </c>
      <c r="CT129" s="790">
        <v>1277.7141084120242</v>
      </c>
      <c r="CU129" s="790">
        <v>1301.0824504051443</v>
      </c>
      <c r="CV129" s="790">
        <v>1275.3636118489335</v>
      </c>
      <c r="CW129" s="790">
        <v>1296.5984219153559</v>
      </c>
      <c r="CX129" s="790">
        <v>1275.1137791899184</v>
      </c>
      <c r="CY129" s="790">
        <v>1305.0585763842246</v>
      </c>
      <c r="CZ129" s="790">
        <v>1288.5601832087093</v>
      </c>
      <c r="DA129" s="790">
        <v>1282.7059405505081</v>
      </c>
      <c r="DB129" s="790">
        <v>1315.9481826000181</v>
      </c>
      <c r="DC129" s="790">
        <v>1314.8901094145065</v>
      </c>
      <c r="DD129" s="790">
        <v>1299.2646442834168</v>
      </c>
      <c r="DE129" s="790">
        <v>1307.5441508215526</v>
      </c>
      <c r="DF129" s="790">
        <v>1305.2183114658285</v>
      </c>
      <c r="DG129" s="790">
        <v>1329.9895934018566</v>
      </c>
      <c r="DH129" s="790">
        <v>1350.9341358051934</v>
      </c>
      <c r="DI129" s="790">
        <v>1357.0775397330256</v>
      </c>
      <c r="DJ129" s="790">
        <v>1406.9862536133403</v>
      </c>
      <c r="DK129" s="790">
        <v>1369.6125851154081</v>
      </c>
      <c r="DL129" s="790">
        <v>1336.022061894781</v>
      </c>
      <c r="DM129" s="790">
        <v>1347.1668856819931</v>
      </c>
      <c r="DN129" s="790">
        <v>1303.3339280828675</v>
      </c>
      <c r="DO129" s="790">
        <v>1288.5876468093934</v>
      </c>
      <c r="DP129" s="790">
        <v>1241.2676145323715</v>
      </c>
      <c r="DQ129" s="790">
        <v>1221.4763986020837</v>
      </c>
      <c r="DR129" s="790">
        <v>1260.6494773721565</v>
      </c>
    </row>
    <row r="130" spans="1:122" ht="7.7" customHeight="1">
      <c r="A130" s="786"/>
      <c r="B130" s="787"/>
      <c r="C130" s="584"/>
      <c r="D130" s="584"/>
      <c r="E130" s="596"/>
      <c r="F130" s="584"/>
      <c r="G130" s="584"/>
      <c r="H130" s="584"/>
      <c r="I130" s="584"/>
      <c r="J130" s="584"/>
      <c r="K130" s="596"/>
      <c r="L130" s="584"/>
      <c r="M130" s="584"/>
      <c r="N130" s="584"/>
      <c r="O130" s="596"/>
      <c r="P130" s="584"/>
      <c r="Q130" s="584"/>
      <c r="R130" s="596"/>
      <c r="S130" s="584"/>
      <c r="T130" s="584"/>
      <c r="U130" s="586"/>
      <c r="V130" s="586"/>
      <c r="W130" s="586"/>
      <c r="X130" s="586"/>
      <c r="Y130" s="586"/>
      <c r="Z130" s="586"/>
      <c r="AA130" s="586"/>
      <c r="AB130" s="586"/>
      <c r="AC130" s="586"/>
      <c r="AD130" s="586"/>
      <c r="AE130" s="586"/>
      <c r="AF130" s="586"/>
      <c r="AG130" s="586"/>
      <c r="AH130" s="586"/>
      <c r="AI130" s="586"/>
      <c r="AJ130" s="586"/>
      <c r="AK130" s="586"/>
      <c r="AL130" s="586"/>
      <c r="AM130" s="665"/>
      <c r="AN130" s="665"/>
      <c r="AO130" s="665"/>
      <c r="AP130" s="665"/>
      <c r="AQ130" s="665"/>
      <c r="AR130" s="787"/>
      <c r="AS130" s="787"/>
      <c r="AT130" s="787"/>
      <c r="AU130" s="787"/>
      <c r="AV130" s="787"/>
      <c r="AW130" s="790"/>
      <c r="AX130" s="790"/>
      <c r="AY130" s="790"/>
      <c r="AZ130" s="790"/>
      <c r="BA130" s="790"/>
      <c r="BB130" s="790"/>
      <c r="BC130" s="790"/>
      <c r="BD130" s="790"/>
      <c r="BE130" s="790"/>
      <c r="BF130" s="790"/>
      <c r="BG130" s="790"/>
      <c r="BH130" s="790"/>
      <c r="BI130" s="790"/>
      <c r="BJ130" s="790"/>
      <c r="BK130" s="790"/>
      <c r="BL130" s="790"/>
      <c r="BM130" s="790"/>
      <c r="BN130" s="790"/>
      <c r="BO130" s="790"/>
      <c r="BP130" s="790"/>
      <c r="BQ130" s="790"/>
      <c r="BR130" s="790"/>
      <c r="BS130" s="790"/>
      <c r="BT130" s="790"/>
      <c r="BU130" s="790"/>
      <c r="BV130" s="790"/>
      <c r="BW130" s="790"/>
      <c r="BX130" s="790"/>
      <c r="BY130" s="790"/>
      <c r="BZ130" s="790"/>
      <c r="CA130" s="790"/>
      <c r="CB130" s="790"/>
      <c r="CC130" s="790"/>
      <c r="CD130" s="790"/>
      <c r="CE130" s="790"/>
      <c r="CF130" s="790"/>
      <c r="CG130" s="790"/>
      <c r="CH130" s="790"/>
      <c r="CI130" s="790"/>
      <c r="CJ130" s="790"/>
      <c r="CK130" s="790"/>
      <c r="CL130" s="790"/>
      <c r="CM130" s="790"/>
      <c r="CN130" s="790"/>
      <c r="CO130" s="790"/>
      <c r="CP130" s="819"/>
      <c r="CQ130" s="790"/>
      <c r="CR130" s="790"/>
      <c r="CS130" s="790"/>
      <c r="CT130" s="790"/>
      <c r="CU130" s="790"/>
      <c r="CV130" s="790"/>
      <c r="CW130" s="790"/>
      <c r="CX130" s="790"/>
      <c r="CY130" s="790"/>
      <c r="CZ130" s="790"/>
      <c r="DA130" s="790"/>
      <c r="DB130" s="790"/>
      <c r="DC130" s="790"/>
      <c r="DD130" s="790"/>
      <c r="DE130" s="790"/>
      <c r="DF130" s="790"/>
      <c r="DG130" s="790"/>
      <c r="DH130" s="790"/>
      <c r="DI130" s="790"/>
      <c r="DJ130" s="790"/>
      <c r="DK130" s="790"/>
      <c r="DL130" s="790"/>
      <c r="DM130" s="790"/>
      <c r="DN130" s="790"/>
      <c r="DO130" s="790"/>
      <c r="DP130" s="790"/>
      <c r="DQ130" s="790"/>
      <c r="DR130" s="790"/>
    </row>
    <row r="131" spans="1:122" ht="18" customHeight="1">
      <c r="A131" s="786" t="s">
        <v>2471</v>
      </c>
      <c r="B131" s="787">
        <v>304.36347623</v>
      </c>
      <c r="C131" s="584">
        <v>314.96145514</v>
      </c>
      <c r="D131" s="584">
        <v>326.13509745000005</v>
      </c>
      <c r="E131" s="596">
        <v>337.68083187000002</v>
      </c>
      <c r="F131" s="584">
        <v>346.92900789999999</v>
      </c>
      <c r="G131" s="584">
        <v>362.92917839</v>
      </c>
      <c r="H131" s="584">
        <v>382.30194532000002</v>
      </c>
      <c r="I131" s="584">
        <v>382.97806269</v>
      </c>
      <c r="J131" s="584">
        <v>386.06934164999996</v>
      </c>
      <c r="K131" s="596">
        <v>383.56153938</v>
      </c>
      <c r="L131" s="584">
        <v>385.85855573000003</v>
      </c>
      <c r="M131" s="584">
        <v>382.08209017000001</v>
      </c>
      <c r="N131" s="584">
        <v>393.24178702</v>
      </c>
      <c r="O131" s="596">
        <v>416.36670764999997</v>
      </c>
      <c r="P131" s="584">
        <v>423.25744320000001</v>
      </c>
      <c r="Q131" s="584">
        <v>435.40900687999999</v>
      </c>
      <c r="R131" s="596">
        <v>454.49319216999993</v>
      </c>
      <c r="S131" s="584">
        <v>465.69068589999995</v>
      </c>
      <c r="T131" s="584">
        <v>475.6515790499999</v>
      </c>
      <c r="U131" s="586">
        <v>464.14658149000002</v>
      </c>
      <c r="V131" s="586">
        <v>459.63675174000002</v>
      </c>
      <c r="W131" s="586">
        <v>456.83237245000004</v>
      </c>
      <c r="X131" s="586">
        <v>456.8735628</v>
      </c>
      <c r="Y131" s="586">
        <v>454.63978777</v>
      </c>
      <c r="Z131" s="586">
        <v>466.42195318999995</v>
      </c>
      <c r="AA131" s="586">
        <v>470.07178521999998</v>
      </c>
      <c r="AB131" s="586">
        <v>472.19411570000005</v>
      </c>
      <c r="AC131" s="586">
        <v>471.89908602999998</v>
      </c>
      <c r="AD131" s="586">
        <v>474.48604018999998</v>
      </c>
      <c r="AE131" s="586">
        <v>477.47318732999997</v>
      </c>
      <c r="AF131" s="586">
        <v>486.20314439999999</v>
      </c>
      <c r="AG131" s="586">
        <v>478.58200696</v>
      </c>
      <c r="AH131" s="586">
        <v>487</v>
      </c>
      <c r="AI131" s="586">
        <v>499.83343634999994</v>
      </c>
      <c r="AJ131" s="586">
        <v>497.09910931999997</v>
      </c>
      <c r="AK131" s="586">
        <v>498.64532009999999</v>
      </c>
      <c r="AL131" s="586">
        <v>499.29630337999998</v>
      </c>
      <c r="AM131" s="665">
        <v>502.75928594000004</v>
      </c>
      <c r="AN131" s="665">
        <v>494.52795729000002</v>
      </c>
      <c r="AO131" s="665">
        <v>504.22063879000007</v>
      </c>
      <c r="AP131" s="665">
        <v>512.98139380769999</v>
      </c>
      <c r="AQ131" s="665">
        <v>529.11186431840008</v>
      </c>
      <c r="AR131" s="787">
        <v>536.97237490400005</v>
      </c>
      <c r="AS131" s="787">
        <v>527.89159414999995</v>
      </c>
      <c r="AT131" s="787">
        <v>526.44875625960003</v>
      </c>
      <c r="AU131" s="787">
        <v>536.28765548720003</v>
      </c>
      <c r="AV131" s="787">
        <v>546.6275412839999</v>
      </c>
      <c r="AW131" s="790">
        <v>548.04175296519998</v>
      </c>
      <c r="AX131" s="790">
        <v>590.97455289879997</v>
      </c>
      <c r="AY131" s="790">
        <v>599.42666034580009</v>
      </c>
      <c r="AZ131" s="790">
        <v>609.37487650550008</v>
      </c>
      <c r="BA131" s="790">
        <v>624.97790164560001</v>
      </c>
      <c r="BB131" s="790">
        <v>662.04897005160012</v>
      </c>
      <c r="BC131" s="790">
        <v>666.80158721919997</v>
      </c>
      <c r="BD131" s="790">
        <v>704.22667159939988</v>
      </c>
      <c r="BE131" s="790">
        <v>1019.0821344881998</v>
      </c>
      <c r="BF131" s="790">
        <v>1028.5938823699998</v>
      </c>
      <c r="BG131" s="790">
        <v>1076.4897914419998</v>
      </c>
      <c r="BH131" s="790">
        <v>1110.64080355647</v>
      </c>
      <c r="BI131" s="790">
        <v>1103.5038416586001</v>
      </c>
      <c r="BJ131" s="790">
        <v>1154.4182329623</v>
      </c>
      <c r="BK131" s="790">
        <v>864.34829495809993</v>
      </c>
      <c r="BL131" s="790">
        <v>1033.0580009147002</v>
      </c>
      <c r="BM131" s="790">
        <v>1040.4267757096</v>
      </c>
      <c r="BN131" s="790">
        <v>1059.3984358232001</v>
      </c>
      <c r="BO131" s="790">
        <v>1062.3156250695999</v>
      </c>
      <c r="BP131" s="790">
        <v>1107.3469645217997</v>
      </c>
      <c r="BQ131" s="790">
        <v>1104.0479586801</v>
      </c>
      <c r="BR131" s="790">
        <v>1112.0439739963999</v>
      </c>
      <c r="BS131" s="790">
        <v>1084.6852148664</v>
      </c>
      <c r="BT131" s="790">
        <v>1080.1513221408702</v>
      </c>
      <c r="BU131" s="790">
        <v>1071.7691171030162</v>
      </c>
      <c r="BV131" s="790">
        <v>1083.7863959399219</v>
      </c>
      <c r="BW131" s="790">
        <v>1088.6046281558151</v>
      </c>
      <c r="BX131" s="790">
        <v>1079.423092406</v>
      </c>
      <c r="BY131" s="790">
        <v>1099.4585695211001</v>
      </c>
      <c r="BZ131" s="790">
        <v>1087.3</v>
      </c>
      <c r="CA131" s="790">
        <v>1115.2883358414997</v>
      </c>
      <c r="CB131" s="790">
        <v>1144.9953883807998</v>
      </c>
      <c r="CC131" s="790">
        <v>1187.8044081367798</v>
      </c>
      <c r="CD131" s="790">
        <v>1274.7880631758478</v>
      </c>
      <c r="CE131" s="798">
        <v>1188.5999999999999</v>
      </c>
      <c r="CF131" s="798">
        <v>1229.7512019121282</v>
      </c>
      <c r="CG131" s="798">
        <v>1225.6581429908902</v>
      </c>
      <c r="CH131" s="798">
        <v>1239.369685146017</v>
      </c>
      <c r="CI131" s="798">
        <v>1232.8816483718724</v>
      </c>
      <c r="CJ131" s="798">
        <v>1232.5152536053861</v>
      </c>
      <c r="CK131" s="798">
        <v>1239.116302612877</v>
      </c>
      <c r="CL131" s="798">
        <v>1258.3494018586159</v>
      </c>
      <c r="CM131" s="798">
        <v>1256.9757655295275</v>
      </c>
      <c r="CN131" s="798">
        <v>1309.2419396538839</v>
      </c>
      <c r="CO131" s="798">
        <v>1299.9861182861703</v>
      </c>
      <c r="CP131" s="821">
        <v>1311.6203361937501</v>
      </c>
      <c r="CQ131" s="790">
        <v>1301.1982632057752</v>
      </c>
      <c r="CR131" s="790">
        <v>1302.7291931038797</v>
      </c>
      <c r="CS131" s="790">
        <v>1295.7808582814487</v>
      </c>
      <c r="CT131" s="790">
        <v>1298.4891242139674</v>
      </c>
      <c r="CU131" s="790">
        <v>1303.800770604907</v>
      </c>
      <c r="CV131" s="790">
        <v>1285.2193067627848</v>
      </c>
      <c r="CW131" s="790">
        <v>1294.4576212947709</v>
      </c>
      <c r="CX131" s="790">
        <v>1302.1307770589631</v>
      </c>
      <c r="CY131" s="790">
        <v>1316.6552250368675</v>
      </c>
      <c r="CZ131" s="790">
        <v>1348.2347901376411</v>
      </c>
      <c r="DA131" s="790">
        <v>1333.784351780406</v>
      </c>
      <c r="DB131" s="790">
        <v>1342.9654907019644</v>
      </c>
      <c r="DC131" s="790">
        <v>1365.1395913368067</v>
      </c>
      <c r="DD131" s="790">
        <v>1408.6511784548093</v>
      </c>
      <c r="DE131" s="790">
        <v>1398.4500986701059</v>
      </c>
      <c r="DF131" s="790">
        <v>1409.6167713826762</v>
      </c>
      <c r="DG131" s="790">
        <v>1402.6838092958442</v>
      </c>
      <c r="DH131" s="790">
        <v>1405.1181399953186</v>
      </c>
      <c r="DI131" s="790">
        <v>1389.5035374607878</v>
      </c>
      <c r="DJ131" s="790">
        <v>1409.9927076648353</v>
      </c>
      <c r="DK131" s="790">
        <v>1430.0488055353894</v>
      </c>
      <c r="DL131" s="790">
        <v>1430.4181363425553</v>
      </c>
      <c r="DM131" s="790">
        <v>1426.3337996588743</v>
      </c>
      <c r="DN131" s="790">
        <v>1407.5741232213443</v>
      </c>
      <c r="DO131" s="790">
        <v>1409.7028500934905</v>
      </c>
      <c r="DP131" s="790">
        <v>1409.363569148338</v>
      </c>
      <c r="DQ131" s="790">
        <v>1405.7684257654266</v>
      </c>
      <c r="DR131" s="790">
        <v>1421.9885232636707</v>
      </c>
    </row>
    <row r="132" spans="1:122" ht="7.7" customHeight="1">
      <c r="A132" s="786"/>
      <c r="B132" s="787"/>
      <c r="C132" s="584"/>
      <c r="D132" s="584"/>
      <c r="E132" s="596"/>
      <c r="F132" s="584"/>
      <c r="G132" s="584"/>
      <c r="H132" s="584"/>
      <c r="I132" s="584"/>
      <c r="J132" s="584"/>
      <c r="K132" s="596"/>
      <c r="L132" s="584"/>
      <c r="M132" s="584"/>
      <c r="N132" s="584"/>
      <c r="O132" s="596"/>
      <c r="P132" s="584"/>
      <c r="Q132" s="584"/>
      <c r="R132" s="596"/>
      <c r="S132" s="584"/>
      <c r="T132" s="584"/>
      <c r="U132" s="586"/>
      <c r="V132" s="586"/>
      <c r="W132" s="586"/>
      <c r="X132" s="586"/>
      <c r="Y132" s="586"/>
      <c r="Z132" s="586"/>
      <c r="AA132" s="586"/>
      <c r="AB132" s="586"/>
      <c r="AC132" s="586"/>
      <c r="AD132" s="586"/>
      <c r="AE132" s="586"/>
      <c r="AF132" s="586"/>
      <c r="AG132" s="586"/>
      <c r="AH132" s="586"/>
      <c r="AI132" s="586"/>
      <c r="AJ132" s="586"/>
      <c r="AK132" s="586"/>
      <c r="AL132" s="586"/>
      <c r="AM132" s="665"/>
      <c r="AN132" s="665"/>
      <c r="AO132" s="665"/>
      <c r="AP132" s="665"/>
      <c r="AQ132" s="665"/>
      <c r="AR132" s="787"/>
      <c r="AS132" s="787"/>
      <c r="AT132" s="787"/>
      <c r="AU132" s="787"/>
      <c r="AV132" s="787"/>
      <c r="AW132" s="790"/>
      <c r="AX132" s="790"/>
      <c r="AY132" s="790"/>
      <c r="AZ132" s="790"/>
      <c r="BA132" s="790"/>
      <c r="BB132" s="790"/>
      <c r="BC132" s="790"/>
      <c r="BD132" s="790"/>
      <c r="BE132" s="790"/>
      <c r="BF132" s="790"/>
      <c r="BG132" s="790"/>
      <c r="BH132" s="790"/>
      <c r="BI132" s="790"/>
      <c r="BJ132" s="790"/>
      <c r="BK132" s="790"/>
      <c r="BL132" s="790"/>
      <c r="BM132" s="790"/>
      <c r="BN132" s="790"/>
      <c r="BO132" s="790"/>
      <c r="BP132" s="790"/>
      <c r="BQ132" s="790"/>
      <c r="BR132" s="790"/>
      <c r="BS132" s="790"/>
      <c r="BT132" s="790"/>
      <c r="BU132" s="790"/>
      <c r="BV132" s="790"/>
      <c r="BW132" s="790"/>
      <c r="BX132" s="790"/>
      <c r="BY132" s="790"/>
      <c r="BZ132" s="790"/>
      <c r="CA132" s="790"/>
      <c r="CB132" s="790"/>
      <c r="CC132" s="790"/>
      <c r="CD132" s="790"/>
      <c r="CE132" s="790"/>
      <c r="CF132" s="790"/>
      <c r="CG132" s="790"/>
      <c r="CH132" s="790"/>
      <c r="CI132" s="790"/>
      <c r="CJ132" s="790"/>
      <c r="CK132" s="790"/>
      <c r="CL132" s="790"/>
      <c r="CM132" s="790"/>
      <c r="CN132" s="790"/>
      <c r="CO132" s="790"/>
      <c r="CP132" s="819"/>
      <c r="CQ132" s="790"/>
      <c r="CR132" s="790"/>
      <c r="CS132" s="790"/>
      <c r="CT132" s="790"/>
      <c r="CU132" s="790"/>
      <c r="CV132" s="790"/>
      <c r="CW132" s="790"/>
      <c r="CX132" s="790"/>
      <c r="CY132" s="790"/>
      <c r="CZ132" s="790"/>
      <c r="DA132" s="790"/>
      <c r="DB132" s="790"/>
      <c r="DC132" s="790"/>
      <c r="DD132" s="790"/>
      <c r="DE132" s="790"/>
      <c r="DF132" s="790"/>
      <c r="DG132" s="790"/>
      <c r="DH132" s="790"/>
      <c r="DI132" s="790"/>
      <c r="DJ132" s="790"/>
      <c r="DK132" s="790"/>
      <c r="DL132" s="790"/>
      <c r="DM132" s="790"/>
      <c r="DN132" s="790"/>
      <c r="DO132" s="790"/>
      <c r="DP132" s="790"/>
      <c r="DQ132" s="790"/>
      <c r="DR132" s="790"/>
    </row>
    <row r="133" spans="1:122" ht="18" customHeight="1">
      <c r="A133" s="786" t="s">
        <v>2472</v>
      </c>
      <c r="B133" s="787">
        <v>0</v>
      </c>
      <c r="C133" s="584">
        <v>0</v>
      </c>
      <c r="D133" s="584">
        <v>0</v>
      </c>
      <c r="E133" s="596">
        <v>0</v>
      </c>
      <c r="F133" s="584">
        <v>0</v>
      </c>
      <c r="G133" s="584">
        <v>0</v>
      </c>
      <c r="H133" s="584">
        <v>0</v>
      </c>
      <c r="I133" s="584">
        <v>0</v>
      </c>
      <c r="J133" s="584">
        <v>0</v>
      </c>
      <c r="K133" s="596">
        <v>0</v>
      </c>
      <c r="L133" s="584">
        <v>0</v>
      </c>
      <c r="M133" s="584">
        <v>0</v>
      </c>
      <c r="N133" s="584">
        <v>0</v>
      </c>
      <c r="O133" s="596">
        <v>0</v>
      </c>
      <c r="P133" s="584">
        <v>0</v>
      </c>
      <c r="Q133" s="584">
        <v>0</v>
      </c>
      <c r="R133" s="596">
        <v>0.10087672</v>
      </c>
      <c r="S133" s="584">
        <v>9.3033859999999996E-2</v>
      </c>
      <c r="T133" s="584">
        <v>8.5084060000000003E-2</v>
      </c>
      <c r="U133" s="586">
        <v>8.6348800000000003E-2</v>
      </c>
      <c r="V133" s="586">
        <v>8.7475210000000012E-2</v>
      </c>
      <c r="W133" s="586">
        <v>8.1019270000000004E-2</v>
      </c>
      <c r="X133" s="586">
        <v>8.0608159999999998E-2</v>
      </c>
      <c r="Y133" s="586">
        <v>7.5373609999999994E-2</v>
      </c>
      <c r="Z133" s="586">
        <v>6.4261949999999998E-2</v>
      </c>
      <c r="AA133" s="586">
        <v>6.4527399999999999E-2</v>
      </c>
      <c r="AB133" s="586">
        <v>5.9065160000000005E-2</v>
      </c>
      <c r="AC133" s="586">
        <v>4.712595E-2</v>
      </c>
      <c r="AD133" s="586">
        <v>5.4468410000000002E-2</v>
      </c>
      <c r="AE133" s="586">
        <v>5.5329330000000003E-2</v>
      </c>
      <c r="AF133" s="586">
        <v>5.6124629999999995E-2</v>
      </c>
      <c r="AG133" s="586">
        <v>5.690539E-2</v>
      </c>
      <c r="AH133" s="586">
        <v>5.690539E-2</v>
      </c>
      <c r="AI133" s="586">
        <v>5.850934E-2</v>
      </c>
      <c r="AJ133" s="586">
        <v>2.697577E-2</v>
      </c>
      <c r="AK133" s="586">
        <v>2.7261859999999999E-2</v>
      </c>
      <c r="AL133" s="586">
        <v>2.1912669999999999E-2</v>
      </c>
      <c r="AM133" s="665">
        <v>2.2206689999999998E-2</v>
      </c>
      <c r="AN133" s="665">
        <v>0.50482453999999999</v>
      </c>
      <c r="AO133" s="665">
        <v>0.49515736999999999</v>
      </c>
      <c r="AP133" s="665">
        <v>0.48937787999999999</v>
      </c>
      <c r="AQ133" s="665">
        <v>0.47841082000000001</v>
      </c>
      <c r="AR133" s="787">
        <v>1.2447743500000001</v>
      </c>
      <c r="AS133" s="787">
        <v>1.26986339</v>
      </c>
      <c r="AT133" s="787">
        <v>1.407357</v>
      </c>
      <c r="AU133" s="787">
        <v>1.35975286</v>
      </c>
      <c r="AV133" s="787">
        <v>1.41136353</v>
      </c>
      <c r="AW133" s="790">
        <v>1.4193197500000001</v>
      </c>
      <c r="AX133" s="790">
        <v>1.4985454299999998</v>
      </c>
      <c r="AY133" s="790">
        <v>1.52212258</v>
      </c>
      <c r="AZ133" s="790">
        <v>1.5623691499999999</v>
      </c>
      <c r="BA133" s="790">
        <v>1.4861826699999998</v>
      </c>
      <c r="BB133" s="790">
        <v>1.4688475999999999</v>
      </c>
      <c r="BC133" s="790">
        <v>1.6668795900000002</v>
      </c>
      <c r="BD133" s="790">
        <v>4.2797597500000002</v>
      </c>
      <c r="BE133" s="790">
        <v>4.2309027700000001</v>
      </c>
      <c r="BF133" s="790">
        <v>4.1587023299999997</v>
      </c>
      <c r="BG133" s="790">
        <v>4.0860712999999995</v>
      </c>
      <c r="BH133" s="790">
        <v>4.4041465400000002</v>
      </c>
      <c r="BI133" s="790">
        <v>4.3032301200000003</v>
      </c>
      <c r="BJ133" s="790">
        <v>4.2721442500000002</v>
      </c>
      <c r="BK133" s="790">
        <v>4.2994641999999992</v>
      </c>
      <c r="BL133" s="790">
        <v>4.2201177100000002</v>
      </c>
      <c r="BM133" s="790">
        <v>4.1759818200000005</v>
      </c>
      <c r="BN133" s="790">
        <v>5.66691813</v>
      </c>
      <c r="BO133" s="790">
        <v>5.6341868699999997</v>
      </c>
      <c r="BP133" s="790">
        <v>4.1425310899999994</v>
      </c>
      <c r="BQ133" s="790">
        <v>4.0465567599999996</v>
      </c>
      <c r="BR133" s="790">
        <v>3.9127315700000005</v>
      </c>
      <c r="BS133" s="790">
        <v>3.9312320900000004</v>
      </c>
      <c r="BT133" s="790">
        <v>3.86538921</v>
      </c>
      <c r="BU133" s="790">
        <v>3.76318895</v>
      </c>
      <c r="BV133" s="790">
        <v>3.7179904000000006</v>
      </c>
      <c r="BW133" s="790">
        <v>3.7351206800000005</v>
      </c>
      <c r="BX133" s="790">
        <v>6.23620485</v>
      </c>
      <c r="BY133" s="790">
        <v>4.7085188799999997</v>
      </c>
      <c r="BZ133" s="790">
        <v>3.4</v>
      </c>
      <c r="CA133" s="790">
        <v>3.4210703699999998</v>
      </c>
      <c r="CB133" s="790">
        <v>2.4444298500000001</v>
      </c>
      <c r="CC133" s="790">
        <v>0.90229826000000002</v>
      </c>
      <c r="CD133" s="790">
        <v>3.3509531199999998</v>
      </c>
      <c r="CE133" s="790">
        <v>3.3274249600000001</v>
      </c>
      <c r="CF133" s="790">
        <v>1.7847882999999998</v>
      </c>
      <c r="CG133" s="790">
        <v>1.7609860799999997</v>
      </c>
      <c r="CH133" s="790">
        <v>1.75812875</v>
      </c>
      <c r="CI133" s="790">
        <v>1.74559453</v>
      </c>
      <c r="CJ133" s="790">
        <v>1.7236261900000001</v>
      </c>
      <c r="CK133" s="790">
        <v>1.72698434</v>
      </c>
      <c r="CL133" s="790">
        <v>1.70347311</v>
      </c>
      <c r="CM133" s="790">
        <v>1.6894532600000001</v>
      </c>
      <c r="CN133" s="790">
        <v>1.6849875400000001</v>
      </c>
      <c r="CO133" s="790">
        <v>1.6601772299999999</v>
      </c>
      <c r="CP133" s="819">
        <v>1.6535258799999999</v>
      </c>
      <c r="CQ133" s="790">
        <v>1.61877743</v>
      </c>
      <c r="CR133" s="790">
        <v>1.6041352099999999</v>
      </c>
      <c r="CS133" s="790">
        <v>1.5931632900000001</v>
      </c>
      <c r="CT133" s="790">
        <v>1.11301249</v>
      </c>
      <c r="CU133" s="790">
        <v>2.6472495400000002</v>
      </c>
      <c r="CV133" s="790">
        <v>2.6417987699999999</v>
      </c>
      <c r="CW133" s="790">
        <v>2.6359863300000002</v>
      </c>
      <c r="CX133" s="790">
        <v>2.6302913000000001</v>
      </c>
      <c r="CY133" s="790">
        <v>2.62455354</v>
      </c>
      <c r="CZ133" s="790">
        <v>2.61421423</v>
      </c>
      <c r="DA133" s="790">
        <v>2.60846673</v>
      </c>
      <c r="DB133" s="790">
        <v>2.4627651699999999</v>
      </c>
      <c r="DC133" s="790">
        <v>2.4622479500000001</v>
      </c>
      <c r="DD133" s="790">
        <v>2.4618804300000003</v>
      </c>
      <c r="DE133" s="790">
        <v>2.4617918400000005</v>
      </c>
      <c r="DF133" s="790">
        <v>2.4615379500000003</v>
      </c>
      <c r="DG133" s="790">
        <v>2.4615379500000003</v>
      </c>
      <c r="DH133" s="790">
        <v>2.4615379500000003</v>
      </c>
      <c r="DI133" s="790">
        <v>2.4554254599999998</v>
      </c>
      <c r="DJ133" s="790">
        <v>2.4554254599999998</v>
      </c>
      <c r="DK133" s="790">
        <v>2.4615379500000003</v>
      </c>
      <c r="DL133" s="790">
        <v>2.4719543000000002</v>
      </c>
      <c r="DM133" s="790">
        <v>2.4716207900000002</v>
      </c>
      <c r="DN133" s="790">
        <v>2.4705379500000002</v>
      </c>
      <c r="DO133" s="790">
        <v>2.4714400300000001</v>
      </c>
      <c r="DP133" s="790">
        <v>2.4720171</v>
      </c>
      <c r="DQ133" s="790">
        <v>2.4703912900000002</v>
      </c>
      <c r="DR133" s="790">
        <v>2.4714399999999999</v>
      </c>
    </row>
    <row r="134" spans="1:122" ht="7.7" customHeight="1">
      <c r="A134" s="786"/>
      <c r="B134" s="787"/>
      <c r="C134" s="584"/>
      <c r="D134" s="584"/>
      <c r="E134" s="596"/>
      <c r="F134" s="584"/>
      <c r="G134" s="584"/>
      <c r="H134" s="584"/>
      <c r="I134" s="584"/>
      <c r="J134" s="584"/>
      <c r="K134" s="596"/>
      <c r="L134" s="584"/>
      <c r="M134" s="584"/>
      <c r="N134" s="584"/>
      <c r="O134" s="596"/>
      <c r="P134" s="584"/>
      <c r="Q134" s="584"/>
      <c r="R134" s="596"/>
      <c r="S134" s="584"/>
      <c r="T134" s="584"/>
      <c r="U134" s="586"/>
      <c r="V134" s="586"/>
      <c r="W134" s="586"/>
      <c r="X134" s="586"/>
      <c r="Y134" s="586"/>
      <c r="Z134" s="586"/>
      <c r="AA134" s="586"/>
      <c r="AB134" s="586"/>
      <c r="AC134" s="586"/>
      <c r="AD134" s="586"/>
      <c r="AE134" s="586"/>
      <c r="AF134" s="586"/>
      <c r="AG134" s="586"/>
      <c r="AH134" s="586"/>
      <c r="AI134" s="586"/>
      <c r="AJ134" s="586"/>
      <c r="AK134" s="586"/>
      <c r="AL134" s="586"/>
      <c r="AM134" s="665"/>
      <c r="AN134" s="665"/>
      <c r="AO134" s="665"/>
      <c r="AP134" s="665"/>
      <c r="AQ134" s="665"/>
      <c r="AR134" s="787"/>
      <c r="AS134" s="787"/>
      <c r="AT134" s="787"/>
      <c r="AU134" s="787"/>
      <c r="AV134" s="787"/>
      <c r="AW134" s="790"/>
      <c r="AX134" s="790"/>
      <c r="AY134" s="790"/>
      <c r="AZ134" s="790"/>
      <c r="BA134" s="790"/>
      <c r="BB134" s="790"/>
      <c r="BC134" s="790"/>
      <c r="BD134" s="790"/>
      <c r="BE134" s="790"/>
      <c r="BF134" s="790"/>
      <c r="BG134" s="790"/>
      <c r="BH134" s="790"/>
      <c r="BI134" s="790"/>
      <c r="BJ134" s="790"/>
      <c r="BK134" s="790"/>
      <c r="BL134" s="790"/>
      <c r="BM134" s="790"/>
      <c r="BN134" s="790"/>
      <c r="BO134" s="790"/>
      <c r="BP134" s="790"/>
      <c r="BQ134" s="790"/>
      <c r="BR134" s="790"/>
      <c r="BS134" s="790"/>
      <c r="BT134" s="790"/>
      <c r="BU134" s="790"/>
      <c r="BV134" s="790"/>
      <c r="BW134" s="790"/>
      <c r="BX134" s="790"/>
      <c r="BY134" s="790"/>
      <c r="BZ134" s="790"/>
      <c r="CA134" s="790"/>
      <c r="CB134" s="790"/>
      <c r="CC134" s="790"/>
      <c r="CD134" s="790"/>
      <c r="CE134" s="790"/>
      <c r="CF134" s="790"/>
      <c r="CG134" s="790"/>
      <c r="CH134" s="790"/>
      <c r="CI134" s="790"/>
      <c r="CJ134" s="790"/>
      <c r="CK134" s="790"/>
      <c r="CL134" s="790"/>
      <c r="CM134" s="790"/>
      <c r="CN134" s="790"/>
      <c r="CO134" s="790"/>
      <c r="CP134" s="819"/>
      <c r="CQ134" s="790"/>
      <c r="CR134" s="790"/>
      <c r="CS134" s="790"/>
      <c r="CT134" s="790"/>
      <c r="CU134" s="790"/>
      <c r="CV134" s="790"/>
      <c r="CW134" s="790"/>
      <c r="CX134" s="790"/>
      <c r="CY134" s="790"/>
      <c r="CZ134" s="790"/>
      <c r="DA134" s="790"/>
      <c r="DB134" s="790"/>
      <c r="DC134" s="790"/>
      <c r="DD134" s="790"/>
      <c r="DE134" s="790"/>
      <c r="DF134" s="790"/>
      <c r="DG134" s="790"/>
      <c r="DH134" s="790"/>
      <c r="DI134" s="790"/>
      <c r="DJ134" s="790"/>
      <c r="DK134" s="790"/>
      <c r="DL134" s="790"/>
      <c r="DM134" s="790"/>
      <c r="DN134" s="790"/>
      <c r="DO134" s="790"/>
      <c r="DP134" s="790"/>
      <c r="DQ134" s="790"/>
      <c r="DR134" s="790"/>
    </row>
    <row r="135" spans="1:122" ht="18" customHeight="1">
      <c r="A135" s="786" t="s">
        <v>2473</v>
      </c>
      <c r="B135" s="787">
        <v>287.22859534000003</v>
      </c>
      <c r="C135" s="584">
        <v>268.57461703999996</v>
      </c>
      <c r="D135" s="584">
        <v>271.80349010999998</v>
      </c>
      <c r="E135" s="596">
        <v>278.44013769999998</v>
      </c>
      <c r="F135" s="584">
        <v>286.90412488999999</v>
      </c>
      <c r="G135" s="584">
        <v>288.87144493</v>
      </c>
      <c r="H135" s="584">
        <v>304.88393629999996</v>
      </c>
      <c r="I135" s="584">
        <v>302.04580614999998</v>
      </c>
      <c r="J135" s="584">
        <v>287.17521111000002</v>
      </c>
      <c r="K135" s="596">
        <v>266.01630877999997</v>
      </c>
      <c r="L135" s="584">
        <v>260.37415947</v>
      </c>
      <c r="M135" s="584">
        <v>254.00115382999999</v>
      </c>
      <c r="N135" s="584">
        <v>255.75935575999998</v>
      </c>
      <c r="O135" s="596">
        <v>265.67784211999998</v>
      </c>
      <c r="P135" s="584">
        <v>253.07559228</v>
      </c>
      <c r="Q135" s="584">
        <v>275.52187121999998</v>
      </c>
      <c r="R135" s="596">
        <v>264.80898824000002</v>
      </c>
      <c r="S135" s="584">
        <v>259.68262701999998</v>
      </c>
      <c r="T135" s="584">
        <v>260.29933140999998</v>
      </c>
      <c r="U135" s="586">
        <v>255.57459994000004</v>
      </c>
      <c r="V135" s="586">
        <v>257.82740379999996</v>
      </c>
      <c r="W135" s="586">
        <v>266.17066385000004</v>
      </c>
      <c r="X135" s="586">
        <v>263.3591194</v>
      </c>
      <c r="Y135" s="586">
        <v>261.91781927</v>
      </c>
      <c r="Z135" s="586">
        <v>376.70388485000001</v>
      </c>
      <c r="AA135" s="586">
        <v>373.41571051</v>
      </c>
      <c r="AB135" s="586">
        <v>373.60009302999998</v>
      </c>
      <c r="AC135" s="586">
        <v>310.98088115999997</v>
      </c>
      <c r="AD135" s="586">
        <v>290.2583755</v>
      </c>
      <c r="AE135" s="586">
        <v>304.09377171</v>
      </c>
      <c r="AF135" s="586">
        <v>328.52009240999996</v>
      </c>
      <c r="AG135" s="586">
        <v>308.09669937000001</v>
      </c>
      <c r="AH135" s="586">
        <v>368.9</v>
      </c>
      <c r="AI135" s="586">
        <v>523.92891439999994</v>
      </c>
      <c r="AJ135" s="586">
        <v>960.62879655559993</v>
      </c>
      <c r="AK135" s="586">
        <v>992.86634496319994</v>
      </c>
      <c r="AL135" s="586">
        <v>1013.8833783937943</v>
      </c>
      <c r="AM135" s="665">
        <v>565.47108052999999</v>
      </c>
      <c r="AN135" s="665">
        <v>543.84651354999994</v>
      </c>
      <c r="AO135" s="665">
        <v>539.95432477999998</v>
      </c>
      <c r="AP135" s="665">
        <v>536.61775257159991</v>
      </c>
      <c r="AQ135" s="665">
        <v>524.84483341319992</v>
      </c>
      <c r="AR135" s="787">
        <v>540.47310786119999</v>
      </c>
      <c r="AS135" s="787">
        <v>558.36207001999981</v>
      </c>
      <c r="AT135" s="787">
        <v>540.76934286680012</v>
      </c>
      <c r="AU135" s="787">
        <v>588.80363264519985</v>
      </c>
      <c r="AV135" s="787">
        <v>582.07076023253592</v>
      </c>
      <c r="AW135" s="790">
        <v>552.3987414515359</v>
      </c>
      <c r="AX135" s="790">
        <v>534.69526793</v>
      </c>
      <c r="AY135" s="790">
        <v>664.00430821229997</v>
      </c>
      <c r="AZ135" s="790">
        <v>680.07968300240009</v>
      </c>
      <c r="BA135" s="790">
        <v>692.8799637692</v>
      </c>
      <c r="BB135" s="790">
        <v>686.9660406859</v>
      </c>
      <c r="BC135" s="790">
        <v>678.24094486519994</v>
      </c>
      <c r="BD135" s="790">
        <v>720.8361377494</v>
      </c>
      <c r="BE135" s="790">
        <v>717.95302152829993</v>
      </c>
      <c r="BF135" s="790">
        <v>751.933831295</v>
      </c>
      <c r="BG135" s="790">
        <v>853.79386115799991</v>
      </c>
      <c r="BH135" s="790">
        <v>801.10988066959987</v>
      </c>
      <c r="BI135" s="790">
        <v>721.80350617299996</v>
      </c>
      <c r="BJ135" s="790">
        <v>725.91047188439984</v>
      </c>
      <c r="BK135" s="790">
        <v>717.14237654440001</v>
      </c>
      <c r="BL135" s="790">
        <v>720.14964042409997</v>
      </c>
      <c r="BM135" s="790">
        <v>747.15079339259989</v>
      </c>
      <c r="BN135" s="790">
        <v>750.4841369984</v>
      </c>
      <c r="BO135" s="790">
        <v>740.01755033759991</v>
      </c>
      <c r="BP135" s="790">
        <v>748.76030110579995</v>
      </c>
      <c r="BQ135" s="790">
        <v>777.59325813099997</v>
      </c>
      <c r="BR135" s="790">
        <v>782.57548280519995</v>
      </c>
      <c r="BS135" s="790">
        <v>856.2739621472</v>
      </c>
      <c r="BT135" s="790">
        <v>831.50493774565996</v>
      </c>
      <c r="BU135" s="790">
        <v>775.87189530757985</v>
      </c>
      <c r="BV135" s="790">
        <v>834.00912094664784</v>
      </c>
      <c r="BW135" s="790">
        <v>848.81595775108985</v>
      </c>
      <c r="BX135" s="790">
        <v>860.85738501499986</v>
      </c>
      <c r="BY135" s="790">
        <v>822.34834222079996</v>
      </c>
      <c r="BZ135" s="790">
        <v>817.9</v>
      </c>
      <c r="CA135" s="790">
        <v>855.84220932099993</v>
      </c>
      <c r="CB135" s="790">
        <v>844.1303506595998</v>
      </c>
      <c r="CC135" s="790">
        <v>845.40651498400007</v>
      </c>
      <c r="CD135" s="790">
        <v>851.8241941721559</v>
      </c>
      <c r="CE135" s="790">
        <v>879.45149189775145</v>
      </c>
      <c r="CF135" s="790">
        <v>847.42423840325171</v>
      </c>
      <c r="CG135" s="790">
        <v>930.98119326842675</v>
      </c>
      <c r="CH135" s="790">
        <v>907.2158339312831</v>
      </c>
      <c r="CI135" s="790">
        <v>900.6764657024205</v>
      </c>
      <c r="CJ135" s="790">
        <v>904.56211778885222</v>
      </c>
      <c r="CK135" s="790">
        <v>906.93730028648292</v>
      </c>
      <c r="CL135" s="790">
        <v>891.49755444556877</v>
      </c>
      <c r="CM135" s="790">
        <v>879.31322582952362</v>
      </c>
      <c r="CN135" s="790">
        <v>891.03589320329581</v>
      </c>
      <c r="CO135" s="790">
        <v>901.59371009464996</v>
      </c>
      <c r="CP135" s="819">
        <v>898.47083334900003</v>
      </c>
      <c r="CQ135" s="790">
        <v>860.62865851580045</v>
      </c>
      <c r="CR135" s="790">
        <v>818.63846881380005</v>
      </c>
      <c r="CS135" s="790">
        <v>797.71078354716428</v>
      </c>
      <c r="CT135" s="790">
        <v>774.64583047026292</v>
      </c>
      <c r="CU135" s="790">
        <v>786.34225321999986</v>
      </c>
      <c r="CV135" s="790">
        <v>767.36605586999997</v>
      </c>
      <c r="CW135" s="790">
        <v>765.64428003</v>
      </c>
      <c r="CX135" s="790">
        <v>746.00475429999995</v>
      </c>
      <c r="CY135" s="790">
        <v>749.9742449306566</v>
      </c>
      <c r="CZ135" s="790">
        <v>754.41266814492781</v>
      </c>
      <c r="DA135" s="790">
        <v>771.5635490162382</v>
      </c>
      <c r="DB135" s="790">
        <v>773.95310087568714</v>
      </c>
      <c r="DC135" s="790">
        <v>821.95893290021331</v>
      </c>
      <c r="DD135" s="790">
        <v>782.86765844573677</v>
      </c>
      <c r="DE135" s="790">
        <v>767.90108917109694</v>
      </c>
      <c r="DF135" s="790">
        <v>756.27169115575009</v>
      </c>
      <c r="DG135" s="790">
        <v>761.61426595219996</v>
      </c>
      <c r="DH135" s="790">
        <v>762.32739877799986</v>
      </c>
      <c r="DI135" s="790">
        <v>737.778176534267</v>
      </c>
      <c r="DJ135" s="790">
        <v>724.98576555237196</v>
      </c>
      <c r="DK135" s="790">
        <v>722.81563064809995</v>
      </c>
      <c r="DL135" s="790">
        <v>738.72874860402942</v>
      </c>
      <c r="DM135" s="790">
        <v>750.79375091250006</v>
      </c>
      <c r="DN135" s="790">
        <v>752.05772466572114</v>
      </c>
      <c r="DO135" s="790">
        <v>767.44194938519991</v>
      </c>
      <c r="DP135" s="790">
        <v>1118.4337006675921</v>
      </c>
      <c r="DQ135" s="790">
        <v>1103.5421009328199</v>
      </c>
      <c r="DR135" s="790">
        <v>905.92171600255017</v>
      </c>
    </row>
    <row r="136" spans="1:122" ht="7.7" customHeight="1">
      <c r="A136" s="786"/>
      <c r="B136" s="787"/>
      <c r="C136" s="584"/>
      <c r="D136" s="584"/>
      <c r="E136" s="596"/>
      <c r="F136" s="584"/>
      <c r="G136" s="584"/>
      <c r="H136" s="584"/>
      <c r="I136" s="584"/>
      <c r="J136" s="584"/>
      <c r="K136" s="596"/>
      <c r="L136" s="584"/>
      <c r="M136" s="584"/>
      <c r="N136" s="584"/>
      <c r="O136" s="596"/>
      <c r="P136" s="584"/>
      <c r="Q136" s="584"/>
      <c r="R136" s="596"/>
      <c r="S136" s="584"/>
      <c r="T136" s="584"/>
      <c r="U136" s="586"/>
      <c r="V136" s="586"/>
      <c r="W136" s="586"/>
      <c r="X136" s="586"/>
      <c r="Y136" s="586"/>
      <c r="Z136" s="586"/>
      <c r="AA136" s="586"/>
      <c r="AB136" s="586"/>
      <c r="AC136" s="586"/>
      <c r="AD136" s="586"/>
      <c r="AE136" s="586"/>
      <c r="AF136" s="586"/>
      <c r="AG136" s="586"/>
      <c r="AH136" s="586"/>
      <c r="AI136" s="586"/>
      <c r="AJ136" s="586"/>
      <c r="AK136" s="586"/>
      <c r="AL136" s="586"/>
      <c r="AM136" s="665"/>
      <c r="AN136" s="665"/>
      <c r="AO136" s="665"/>
      <c r="AP136" s="665"/>
      <c r="AQ136" s="665"/>
      <c r="AR136" s="787"/>
      <c r="AS136" s="787"/>
      <c r="AT136" s="787"/>
      <c r="AU136" s="787"/>
      <c r="AV136" s="787"/>
      <c r="AW136" s="790"/>
      <c r="AX136" s="790"/>
      <c r="AY136" s="790"/>
      <c r="AZ136" s="790"/>
      <c r="BA136" s="790"/>
      <c r="BB136" s="790"/>
      <c r="BC136" s="790"/>
      <c r="BD136" s="790"/>
      <c r="BE136" s="790"/>
      <c r="BF136" s="790"/>
      <c r="BG136" s="790"/>
      <c r="BH136" s="790"/>
      <c r="BI136" s="790"/>
      <c r="BJ136" s="790"/>
      <c r="BK136" s="790"/>
      <c r="BL136" s="790"/>
      <c r="BM136" s="790"/>
      <c r="BN136" s="790"/>
      <c r="BO136" s="790"/>
      <c r="BP136" s="790"/>
      <c r="BQ136" s="790"/>
      <c r="BR136" s="790"/>
      <c r="BS136" s="790"/>
      <c r="BT136" s="790"/>
      <c r="BU136" s="790"/>
      <c r="BV136" s="790"/>
      <c r="BW136" s="790"/>
      <c r="BX136" s="790"/>
      <c r="BY136" s="790"/>
      <c r="BZ136" s="790"/>
      <c r="CA136" s="790"/>
      <c r="CB136" s="790"/>
      <c r="CC136" s="790"/>
      <c r="CD136" s="790"/>
      <c r="CE136" s="790"/>
      <c r="CF136" s="790"/>
      <c r="CG136" s="790"/>
      <c r="CH136" s="790"/>
      <c r="CI136" s="790"/>
      <c r="CJ136" s="790"/>
      <c r="CK136" s="790"/>
      <c r="CL136" s="790"/>
      <c r="CM136" s="790"/>
      <c r="CN136" s="790"/>
      <c r="CO136" s="790"/>
      <c r="CP136" s="819"/>
      <c r="CQ136" s="790"/>
      <c r="CR136" s="790"/>
      <c r="CS136" s="790"/>
      <c r="CT136" s="790"/>
      <c r="CU136" s="790"/>
      <c r="CV136" s="790"/>
      <c r="CW136" s="790"/>
      <c r="CX136" s="790"/>
      <c r="CY136" s="790"/>
      <c r="CZ136" s="790"/>
      <c r="DA136" s="790"/>
      <c r="DB136" s="790"/>
      <c r="DC136" s="790"/>
      <c r="DD136" s="790"/>
      <c r="DE136" s="790"/>
      <c r="DF136" s="790"/>
      <c r="DG136" s="790"/>
      <c r="DH136" s="790"/>
      <c r="DI136" s="790"/>
      <c r="DJ136" s="790"/>
      <c r="DK136" s="790"/>
      <c r="DL136" s="790"/>
      <c r="DM136" s="790"/>
      <c r="DN136" s="790"/>
      <c r="DO136" s="790"/>
      <c r="DP136" s="790"/>
      <c r="DQ136" s="790"/>
      <c r="DR136" s="790"/>
    </row>
    <row r="137" spans="1:122" ht="18" customHeight="1">
      <c r="A137" s="786" t="s">
        <v>2305</v>
      </c>
      <c r="B137" s="787">
        <v>3495.4060436655004</v>
      </c>
      <c r="C137" s="584">
        <v>3463.0868282900005</v>
      </c>
      <c r="D137" s="584">
        <v>3503.1578714400007</v>
      </c>
      <c r="E137" s="596">
        <v>3483.4067525400001</v>
      </c>
      <c r="F137" s="584">
        <v>3602.61958383</v>
      </c>
      <c r="G137" s="584">
        <v>3670.8665471857644</v>
      </c>
      <c r="H137" s="584">
        <v>3689.0085963916008</v>
      </c>
      <c r="I137" s="584">
        <v>3705.8467303952002</v>
      </c>
      <c r="J137" s="584">
        <v>3732.1354258000001</v>
      </c>
      <c r="K137" s="596">
        <v>3734.0565967800003</v>
      </c>
      <c r="L137" s="584">
        <v>3759.0404508899996</v>
      </c>
      <c r="M137" s="584">
        <v>3730.4103821800009</v>
      </c>
      <c r="N137" s="584">
        <v>3779.6788263600001</v>
      </c>
      <c r="O137" s="596">
        <v>3745.8267996322002</v>
      </c>
      <c r="P137" s="584">
        <v>3775.3151233425074</v>
      </c>
      <c r="Q137" s="584">
        <v>3774.4853250792703</v>
      </c>
      <c r="R137" s="596">
        <v>3814.1635492099999</v>
      </c>
      <c r="S137" s="584">
        <v>3771.2450374700002</v>
      </c>
      <c r="T137" s="584">
        <v>3932.4980923250005</v>
      </c>
      <c r="U137" s="586">
        <v>3944.4684254852641</v>
      </c>
      <c r="V137" s="586">
        <v>3921.2089620711199</v>
      </c>
      <c r="W137" s="586">
        <v>4119.4561187726003</v>
      </c>
      <c r="X137" s="586">
        <v>4186.4620973402816</v>
      </c>
      <c r="Y137" s="586">
        <v>4160.0414260899906</v>
      </c>
      <c r="Z137" s="586">
        <v>4188.7184778990477</v>
      </c>
      <c r="AA137" s="586">
        <v>4122.2671755176079</v>
      </c>
      <c r="AB137" s="586">
        <v>4141.6132560283495</v>
      </c>
      <c r="AC137" s="586">
        <v>3898.0161843115002</v>
      </c>
      <c r="AD137" s="586">
        <v>4029.7373025354223</v>
      </c>
      <c r="AE137" s="586">
        <v>3973.9226638123228</v>
      </c>
      <c r="AF137" s="586">
        <v>4004.3397574744381</v>
      </c>
      <c r="AG137" s="586">
        <v>4079.3047442599245</v>
      </c>
      <c r="AH137" s="586">
        <v>4215.7</v>
      </c>
      <c r="AI137" s="586">
        <v>2462.7319088359995</v>
      </c>
      <c r="AJ137" s="586">
        <v>2775.2731997699998</v>
      </c>
      <c r="AK137" s="586">
        <v>2845.9925425557999</v>
      </c>
      <c r="AL137" s="586">
        <v>2837.6308934987046</v>
      </c>
      <c r="AM137" s="665">
        <v>2994.6119232731303</v>
      </c>
      <c r="AN137" s="665">
        <v>3144.7994182091443</v>
      </c>
      <c r="AO137" s="665">
        <v>2889.6156511134482</v>
      </c>
      <c r="AP137" s="665">
        <v>2777.1144497336099</v>
      </c>
      <c r="AQ137" s="665">
        <v>3018.215215511972</v>
      </c>
      <c r="AR137" s="787">
        <v>3201.9728741976014</v>
      </c>
      <c r="AS137" s="787">
        <v>3121.5566809412148</v>
      </c>
      <c r="AT137" s="787">
        <v>2620.4928808828722</v>
      </c>
      <c r="AU137" s="787">
        <v>2559.6456402468311</v>
      </c>
      <c r="AV137" s="787">
        <v>2610.9228676949997</v>
      </c>
      <c r="AW137" s="790">
        <v>2703.7054057018004</v>
      </c>
      <c r="AX137" s="790">
        <v>2739.8482486984003</v>
      </c>
      <c r="AY137" s="790">
        <v>2622.4679033689022</v>
      </c>
      <c r="AZ137" s="790">
        <v>2678.5375096307034</v>
      </c>
      <c r="BA137" s="790">
        <v>2617.8935571328011</v>
      </c>
      <c r="BB137" s="790">
        <v>2801.1162319305026</v>
      </c>
      <c r="BC137" s="790">
        <v>2941.0691630948991</v>
      </c>
      <c r="BD137" s="790">
        <v>2997.8981908490996</v>
      </c>
      <c r="BE137" s="790">
        <v>3017.73419649775</v>
      </c>
      <c r="BF137" s="790">
        <v>3151.9361739134597</v>
      </c>
      <c r="BG137" s="790">
        <v>3372.6850810739998</v>
      </c>
      <c r="BH137" s="790">
        <v>2955.6650639512973</v>
      </c>
      <c r="BI137" s="790">
        <v>2969.1681793196899</v>
      </c>
      <c r="BJ137" s="790">
        <v>3110.1530933591939</v>
      </c>
      <c r="BK137" s="790">
        <v>3030.9645218530968</v>
      </c>
      <c r="BL137" s="790">
        <v>3110.4851732094876</v>
      </c>
      <c r="BM137" s="790">
        <v>2991.4671679805929</v>
      </c>
      <c r="BN137" s="790">
        <v>3189.4581636220132</v>
      </c>
      <c r="BO137" s="790">
        <v>3144.4655955957974</v>
      </c>
      <c r="BP137" s="790">
        <v>3194.3426015998025</v>
      </c>
      <c r="BQ137" s="790">
        <v>3222.8904434173969</v>
      </c>
      <c r="BR137" s="790">
        <v>3336.5052414087991</v>
      </c>
      <c r="BS137" s="790">
        <v>3286.1066347392289</v>
      </c>
      <c r="BT137" s="790">
        <v>3392.8866640527458</v>
      </c>
      <c r="BU137" s="790">
        <v>3543.9502632694848</v>
      </c>
      <c r="BV137" s="790">
        <v>3655.0392261147399</v>
      </c>
      <c r="BW137" s="790">
        <v>3469.0694648409908</v>
      </c>
      <c r="BX137" s="790">
        <v>3580.6173286935004</v>
      </c>
      <c r="BY137" s="790">
        <v>3482.9893226881004</v>
      </c>
      <c r="BZ137" s="790">
        <v>3501.2</v>
      </c>
      <c r="CA137" s="790">
        <v>3575.6429674932019</v>
      </c>
      <c r="CB137" s="790">
        <v>3732.5913901994022</v>
      </c>
      <c r="CC137" s="790">
        <v>3778.12939158071</v>
      </c>
      <c r="CD137" s="790">
        <v>3773.33948217446</v>
      </c>
      <c r="CE137" s="790">
        <v>3880.0944014819638</v>
      </c>
      <c r="CF137" s="790">
        <v>3825.3364619346812</v>
      </c>
      <c r="CG137" s="790">
        <v>3910.7728696278741</v>
      </c>
      <c r="CH137" s="790">
        <v>4064.676398511127</v>
      </c>
      <c r="CI137" s="790">
        <v>3926.5127865058316</v>
      </c>
      <c r="CJ137" s="790">
        <v>3880.4472806399667</v>
      </c>
      <c r="CK137" s="790">
        <v>3914.3336355180759</v>
      </c>
      <c r="CL137" s="790">
        <v>4177.935634621821</v>
      </c>
      <c r="CM137" s="790">
        <v>4388.3289618207818</v>
      </c>
      <c r="CN137" s="790">
        <v>4418.2484915072973</v>
      </c>
      <c r="CO137" s="790">
        <v>4287.9070101081552</v>
      </c>
      <c r="CP137" s="819">
        <v>4450.0745939365497</v>
      </c>
      <c r="CQ137" s="790">
        <v>4414.5542276500246</v>
      </c>
      <c r="CR137" s="790">
        <v>4228.1866369521595</v>
      </c>
      <c r="CS137" s="790">
        <v>3643.8162029642785</v>
      </c>
      <c r="CT137" s="790">
        <v>3517.3942258972816</v>
      </c>
      <c r="CU137" s="790">
        <v>3682.8323869530741</v>
      </c>
      <c r="CV137" s="790">
        <v>3112.1734134348353</v>
      </c>
      <c r="CW137" s="790">
        <v>3164.107898412597</v>
      </c>
      <c r="CX137" s="790">
        <v>3283.8196822750156</v>
      </c>
      <c r="CY137" s="790">
        <v>3442.8228660888581</v>
      </c>
      <c r="CZ137" s="790">
        <v>3726.2780157122579</v>
      </c>
      <c r="DA137" s="790">
        <v>3839.3185973463405</v>
      </c>
      <c r="DB137" s="790">
        <v>3827.2469729321028</v>
      </c>
      <c r="DC137" s="790">
        <v>3426.731309662508</v>
      </c>
      <c r="DD137" s="790">
        <v>3816.7446234835515</v>
      </c>
      <c r="DE137" s="790">
        <v>3805.1943355516441</v>
      </c>
      <c r="DF137" s="790">
        <v>3808.1759664241167</v>
      </c>
      <c r="DG137" s="790">
        <v>3805.5709010132891</v>
      </c>
      <c r="DH137" s="790">
        <v>3798.8029588734412</v>
      </c>
      <c r="DI137" s="790">
        <v>3861.1447428492279</v>
      </c>
      <c r="DJ137" s="790">
        <v>3824.2655458724594</v>
      </c>
      <c r="DK137" s="790">
        <v>3822.0961450874661</v>
      </c>
      <c r="DL137" s="790">
        <v>3701.9610608330372</v>
      </c>
      <c r="DM137" s="790">
        <v>3762.027699747774</v>
      </c>
      <c r="DN137" s="790">
        <v>3890.4416230095812</v>
      </c>
      <c r="DO137" s="790">
        <v>3776.9623065803316</v>
      </c>
      <c r="DP137" s="790">
        <v>3934.023154317545</v>
      </c>
      <c r="DQ137" s="790">
        <v>3960.1377130184901</v>
      </c>
      <c r="DR137" s="790">
        <v>4181.8500191304993</v>
      </c>
    </row>
    <row r="138" spans="1:122">
      <c r="A138" s="786"/>
      <c r="B138" s="787"/>
      <c r="C138" s="584"/>
      <c r="D138" s="584"/>
      <c r="E138" s="596"/>
      <c r="F138" s="584"/>
      <c r="G138" s="584"/>
      <c r="H138" s="584"/>
      <c r="I138" s="584"/>
      <c r="J138" s="584"/>
      <c r="K138" s="596"/>
      <c r="L138" s="584"/>
      <c r="M138" s="584"/>
      <c r="N138" s="584"/>
      <c r="O138" s="596"/>
      <c r="P138" s="584"/>
      <c r="Q138" s="584"/>
      <c r="R138" s="596"/>
      <c r="S138" s="584"/>
      <c r="T138" s="584"/>
      <c r="U138" s="586"/>
      <c r="V138" s="586"/>
      <c r="W138" s="586"/>
      <c r="X138" s="586"/>
      <c r="Y138" s="586"/>
      <c r="Z138" s="586"/>
      <c r="AA138" s="586"/>
      <c r="AB138" s="586"/>
      <c r="AC138" s="586"/>
      <c r="AD138" s="586"/>
      <c r="AE138" s="586"/>
      <c r="AF138" s="586"/>
      <c r="AG138" s="586"/>
      <c r="AH138" s="586"/>
      <c r="AI138" s="586"/>
      <c r="AJ138" s="586"/>
      <c r="AK138" s="586"/>
      <c r="AL138" s="586"/>
      <c r="AM138" s="665"/>
      <c r="AN138" s="665"/>
      <c r="AO138" s="665"/>
      <c r="AP138" s="665"/>
      <c r="AQ138" s="666"/>
      <c r="AR138" s="787"/>
      <c r="AS138" s="787"/>
      <c r="AT138" s="787"/>
      <c r="AU138" s="787"/>
      <c r="AV138" s="787"/>
      <c r="AW138" s="790"/>
      <c r="AX138" s="790"/>
      <c r="AY138" s="790"/>
      <c r="AZ138" s="790"/>
      <c r="BA138" s="790"/>
      <c r="BB138" s="790"/>
      <c r="BC138" s="790"/>
      <c r="BD138" s="790"/>
      <c r="BE138" s="790"/>
      <c r="BF138" s="790"/>
      <c r="BG138" s="790"/>
      <c r="BH138" s="790"/>
      <c r="BI138" s="790"/>
      <c r="BJ138" s="790"/>
      <c r="BK138" s="790"/>
      <c r="BL138" s="790"/>
      <c r="BM138" s="790"/>
      <c r="BN138" s="790"/>
      <c r="BO138" s="790"/>
      <c r="BP138" s="790"/>
      <c r="BQ138" s="790"/>
      <c r="BR138" s="790"/>
      <c r="BS138" s="790"/>
      <c r="BT138" s="790"/>
      <c r="BU138" s="790"/>
      <c r="BV138" s="790"/>
      <c r="BW138" s="790"/>
      <c r="BX138" s="790"/>
      <c r="BY138" s="790"/>
      <c r="BZ138" s="790"/>
      <c r="CA138" s="790"/>
      <c r="CB138" s="790"/>
      <c r="CC138" s="790"/>
      <c r="CD138" s="790"/>
      <c r="CE138" s="790"/>
      <c r="CF138" s="790"/>
      <c r="CG138" s="790"/>
      <c r="CH138" s="790"/>
      <c r="CI138" s="790"/>
      <c r="CJ138" s="790"/>
      <c r="CK138" s="790"/>
      <c r="CL138" s="790"/>
      <c r="CM138" s="790"/>
      <c r="CN138" s="790"/>
      <c r="CO138" s="790"/>
      <c r="CP138" s="819"/>
      <c r="CQ138" s="790"/>
      <c r="CR138" s="790"/>
      <c r="CS138" s="790"/>
      <c r="CT138" s="790"/>
      <c r="CU138" s="790"/>
      <c r="CV138" s="790"/>
      <c r="CW138" s="790"/>
      <c r="CX138" s="790"/>
      <c r="CY138" s="790"/>
      <c r="CZ138" s="790"/>
      <c r="DA138" s="790"/>
      <c r="DB138" s="790"/>
      <c r="DC138" s="790"/>
      <c r="DD138" s="790"/>
      <c r="DE138" s="790"/>
      <c r="DF138" s="790"/>
      <c r="DG138" s="790"/>
      <c r="DH138" s="790"/>
      <c r="DI138" s="790"/>
      <c r="DJ138" s="790"/>
      <c r="DK138" s="790"/>
      <c r="DL138" s="790"/>
      <c r="DM138" s="790"/>
      <c r="DN138" s="790"/>
      <c r="DO138" s="790"/>
      <c r="DP138" s="790"/>
      <c r="DQ138" s="790"/>
      <c r="DR138" s="790"/>
    </row>
    <row r="139" spans="1:122" ht="28.5" customHeight="1" thickBot="1">
      <c r="A139" s="822" t="s">
        <v>54</v>
      </c>
      <c r="B139" s="823">
        <f>B4+B16+B36+B46+B53+B69+B83+B93+B104+B113+B115+B117+B119+B121+B123+B125+B127+B129+B131+B133+B135+B137</f>
        <v>105066.44738915763</v>
      </c>
      <c r="C139" s="824">
        <f>C4+C16+C36+C46+C53+C69+C83+C93+C104+C113+C115+C117+C119+C121+C123+C125+C127+C129+C131+C133+C135+C137</f>
        <v>106387.98206130305</v>
      </c>
      <c r="D139" s="824">
        <f>D4+D16+D36+D46+D53+D69+D83+D93+D104+D113+D115+D117+D119+D121+D123+D125+D127+D129+D131+D133+D135+D137</f>
        <v>105751.44392507621</v>
      </c>
      <c r="E139" s="825">
        <f>E4+E16+E36+E46+E53+E69+E83+E93+E104+E113+E115+E117+E119+E121+E123+E125+E127+E129+E131+E133+E135+E137</f>
        <v>109143.81420217246</v>
      </c>
      <c r="F139" s="824">
        <v>111006.9700187656</v>
      </c>
      <c r="G139" s="824">
        <v>112633.48531363475</v>
      </c>
      <c r="H139" s="824">
        <f>116014.177660686+0.1</f>
        <v>116014.277660686</v>
      </c>
      <c r="I139" s="824">
        <v>115365.01556880238</v>
      </c>
      <c r="J139" s="824">
        <v>115374.80138122493</v>
      </c>
      <c r="K139" s="825">
        <v>115187.43252135989</v>
      </c>
      <c r="L139" s="824">
        <v>117809.48173978864</v>
      </c>
      <c r="M139" s="824">
        <v>118389.64262317181</v>
      </c>
      <c r="N139" s="824">
        <v>119471.44921010851</v>
      </c>
      <c r="O139" s="825">
        <v>122489.69981252497</v>
      </c>
      <c r="P139" s="824">
        <v>124473.72340609964</v>
      </c>
      <c r="Q139" s="824">
        <v>125528.91399626393</v>
      </c>
      <c r="R139" s="825">
        <v>127522.71225632911</v>
      </c>
      <c r="S139" s="824">
        <v>129013.04939609711</v>
      </c>
      <c r="T139" s="824">
        <v>131332.53047524224</v>
      </c>
      <c r="U139" s="826">
        <v>131417.67363209874</v>
      </c>
      <c r="V139" s="826">
        <v>130153.87655828777</v>
      </c>
      <c r="W139" s="826">
        <v>130240.43106546746</v>
      </c>
      <c r="X139" s="826">
        <v>130167.708</v>
      </c>
      <c r="Y139" s="826">
        <v>129289.92308643575</v>
      </c>
      <c r="Z139" s="826">
        <v>131381</v>
      </c>
      <c r="AA139" s="826">
        <v>131346.90959974233</v>
      </c>
      <c r="AB139" s="826">
        <v>134752.59892060608</v>
      </c>
      <c r="AC139" s="826">
        <v>135521.74101220103</v>
      </c>
      <c r="AD139" s="826">
        <v>138251.29535184326</v>
      </c>
      <c r="AE139" s="826">
        <v>140161.11722737836</v>
      </c>
      <c r="AF139" s="826">
        <v>145312.16251779645</v>
      </c>
      <c r="AG139" s="826">
        <v>147312.52759034661</v>
      </c>
      <c r="AH139" s="826">
        <v>147155.9</v>
      </c>
      <c r="AI139" s="826">
        <v>148058.6219404086</v>
      </c>
      <c r="AJ139" s="826">
        <v>150285.86448609616</v>
      </c>
      <c r="AK139" s="826">
        <v>152894.7702483997</v>
      </c>
      <c r="AL139" s="826">
        <v>155847.04161019632</v>
      </c>
      <c r="AM139" s="827">
        <v>159158.03487041316</v>
      </c>
      <c r="AN139" s="827">
        <v>159961.94220362703</v>
      </c>
      <c r="AO139" s="827">
        <v>166659.06347528775</v>
      </c>
      <c r="AP139" s="827">
        <v>169990.72098901286</v>
      </c>
      <c r="AQ139" s="665">
        <v>174227.13479766902</v>
      </c>
      <c r="AR139" s="823">
        <v>178924.55683905896</v>
      </c>
      <c r="AS139" s="823">
        <v>178413.0052715787</v>
      </c>
      <c r="AT139" s="823">
        <v>179015.02899586226</v>
      </c>
      <c r="AU139" s="823">
        <v>180230.98627791257</v>
      </c>
      <c r="AV139" s="823">
        <v>180559.19136943814</v>
      </c>
      <c r="AW139" s="828">
        <v>180922.88182509568</v>
      </c>
      <c r="AX139" s="828">
        <v>182681.42841028146</v>
      </c>
      <c r="AY139" s="828">
        <v>183340.94624707245</v>
      </c>
      <c r="AZ139" s="828">
        <v>183257.24700655282</v>
      </c>
      <c r="BA139" s="828">
        <v>181828.06830667562</v>
      </c>
      <c r="BB139" s="828">
        <v>181937.46630088161</v>
      </c>
      <c r="BC139" s="828">
        <v>182475.39384223995</v>
      </c>
      <c r="BD139" s="828">
        <v>184649.7119032123</v>
      </c>
      <c r="BE139" s="828">
        <v>184838.64385492675</v>
      </c>
      <c r="BF139" s="828">
        <v>185718.54753487738</v>
      </c>
      <c r="BG139" s="828">
        <v>188527.22214210039</v>
      </c>
      <c r="BH139" s="828">
        <v>188747.35259042089</v>
      </c>
      <c r="BI139" s="828">
        <v>192682.31333726743</v>
      </c>
      <c r="BJ139" s="828">
        <v>197816.45518417677</v>
      </c>
      <c r="BK139" s="828">
        <v>197245.32228771379</v>
      </c>
      <c r="BL139" s="790">
        <v>199695.79664051268</v>
      </c>
      <c r="BM139" s="790">
        <v>201328.75788357155</v>
      </c>
      <c r="BN139" s="790">
        <v>203273.25358399548</v>
      </c>
      <c r="BO139" s="790">
        <v>205107.19099190805</v>
      </c>
      <c r="BP139" s="790">
        <v>209569.52233308143</v>
      </c>
      <c r="BQ139" s="790">
        <v>207568.98456094388</v>
      </c>
      <c r="BR139" s="790">
        <v>209549.09140138922</v>
      </c>
      <c r="BS139" s="790">
        <v>209888.60986707319</v>
      </c>
      <c r="BT139" s="790">
        <v>211800.46138989946</v>
      </c>
      <c r="BU139" s="790">
        <v>212768.37474378379</v>
      </c>
      <c r="BV139" s="790">
        <v>216575.1715983022</v>
      </c>
      <c r="BW139" s="790">
        <v>218523.59266863906</v>
      </c>
      <c r="BX139" s="790">
        <v>220548.85725317549</v>
      </c>
      <c r="BY139" s="790">
        <v>222972.4538581646</v>
      </c>
      <c r="BZ139" s="790">
        <v>224812.79999999999</v>
      </c>
      <c r="CA139" s="790">
        <v>227091.29748322355</v>
      </c>
      <c r="CB139" s="790">
        <v>227043.85779236624</v>
      </c>
      <c r="CC139" s="790">
        <v>226985.83246727078</v>
      </c>
      <c r="CD139" s="790">
        <v>227198.93230258458</v>
      </c>
      <c r="CE139" s="790">
        <v>227801.3222094317</v>
      </c>
      <c r="CF139" s="790">
        <v>229270.21018310881</v>
      </c>
      <c r="CG139" s="790">
        <v>233658.74336860396</v>
      </c>
      <c r="CH139" s="790">
        <v>239760.28391368265</v>
      </c>
      <c r="CI139" s="790">
        <v>241238.13508193026</v>
      </c>
      <c r="CJ139" s="790">
        <v>243746.9147957883</v>
      </c>
      <c r="CK139" s="790">
        <v>245348.93434200805</v>
      </c>
      <c r="CL139" s="790">
        <v>248597.05051805204</v>
      </c>
      <c r="CM139" s="790">
        <v>251397.12366484999</v>
      </c>
      <c r="CN139" s="790">
        <v>256025.13014473565</v>
      </c>
      <c r="CO139" s="790">
        <v>255001.6336831318</v>
      </c>
      <c r="CP139" s="819">
        <v>257387.32143570355</v>
      </c>
      <c r="CQ139" s="790">
        <v>257643.67660763819</v>
      </c>
      <c r="CR139" s="790">
        <v>257670.66242184059</v>
      </c>
      <c r="CS139" s="790">
        <v>256179.44728160565</v>
      </c>
      <c r="CT139" s="790">
        <v>258852.45213714559</v>
      </c>
      <c r="CU139" s="790">
        <v>260128.75094780556</v>
      </c>
      <c r="CV139" s="790">
        <v>263783.04143004393</v>
      </c>
      <c r="CW139" s="790">
        <v>267359.17556932016</v>
      </c>
      <c r="CX139" s="790">
        <v>266006.03698277473</v>
      </c>
      <c r="CY139" s="790">
        <v>269219.67555346497</v>
      </c>
      <c r="CZ139" s="790">
        <v>271247.48784599046</v>
      </c>
      <c r="DA139" s="790">
        <v>269591.54167981009</v>
      </c>
      <c r="DB139" s="790">
        <v>270590.40538475133</v>
      </c>
      <c r="DC139" s="790">
        <v>271015.3508820681</v>
      </c>
      <c r="DD139" s="790">
        <v>270098.43101347232</v>
      </c>
      <c r="DE139" s="790">
        <v>267723.53365661314</v>
      </c>
      <c r="DF139" s="790">
        <v>268044.96930909943</v>
      </c>
      <c r="DG139" s="790">
        <v>266955.98553816153</v>
      </c>
      <c r="DH139" s="790">
        <v>265186.16516963299</v>
      </c>
      <c r="DI139" s="790">
        <v>265796.56535512098</v>
      </c>
      <c r="DJ139" s="790">
        <v>267718.25517783168</v>
      </c>
      <c r="DK139" s="790">
        <v>273050.75039239757</v>
      </c>
      <c r="DL139" s="790">
        <v>274646.60771470465</v>
      </c>
      <c r="DM139" s="790">
        <v>273834.09189040656</v>
      </c>
      <c r="DN139" s="790">
        <v>273721.65855077124</v>
      </c>
      <c r="DO139" s="790">
        <v>278141.09275418392</v>
      </c>
      <c r="DP139" s="790">
        <v>274344.42462304875</v>
      </c>
      <c r="DQ139" s="790">
        <v>274427.27156528441</v>
      </c>
      <c r="DR139" s="790">
        <v>275266.0622954446</v>
      </c>
    </row>
    <row r="140" spans="1:122" ht="18" customHeight="1" thickTop="1" thickBot="1">
      <c r="A140" s="829" t="s">
        <v>2484</v>
      </c>
      <c r="B140" s="823">
        <v>7498</v>
      </c>
      <c r="C140" s="824">
        <v>7801.2</v>
      </c>
      <c r="D140" s="824">
        <v>7108.8</v>
      </c>
      <c r="E140" s="825">
        <v>6593</v>
      </c>
      <c r="F140" s="824">
        <v>6877.6435424908495</v>
      </c>
      <c r="G140" s="824">
        <v>7023.7998040963384</v>
      </c>
      <c r="H140" s="824">
        <v>6878.8</v>
      </c>
      <c r="I140" s="824">
        <v>6423.5</v>
      </c>
      <c r="J140" s="824">
        <v>7200.5</v>
      </c>
      <c r="K140" s="825">
        <v>6846</v>
      </c>
      <c r="L140" s="824">
        <v>7935.1</v>
      </c>
      <c r="M140" s="824">
        <v>8482.2999999999993</v>
      </c>
      <c r="N140" s="824">
        <v>8907.1</v>
      </c>
      <c r="O140" s="825">
        <v>7674.4</v>
      </c>
      <c r="P140" s="824">
        <v>7668.3</v>
      </c>
      <c r="Q140" s="824">
        <v>8508.2000000000007</v>
      </c>
      <c r="R140" s="825">
        <v>8648</v>
      </c>
      <c r="S140" s="824">
        <v>7537.1</v>
      </c>
      <c r="T140" s="824">
        <v>6819.8</v>
      </c>
      <c r="U140" s="826">
        <v>7363.5</v>
      </c>
      <c r="V140" s="826">
        <v>7094.1</v>
      </c>
      <c r="W140" s="826">
        <v>8165</v>
      </c>
      <c r="X140" s="826">
        <v>8660.9</v>
      </c>
      <c r="Y140" s="826">
        <v>10905.9</v>
      </c>
      <c r="Z140" s="826">
        <v>10158.200000000001</v>
      </c>
      <c r="AA140" s="826">
        <v>9810.4</v>
      </c>
      <c r="AB140" s="826">
        <v>9212.4</v>
      </c>
      <c r="AC140" s="826">
        <v>9457.2000000000007</v>
      </c>
      <c r="AD140" s="826">
        <v>10963.168</v>
      </c>
      <c r="AE140" s="826">
        <v>11087.178157012506</v>
      </c>
      <c r="AF140" s="826">
        <v>11746.8</v>
      </c>
      <c r="AG140" s="826">
        <v>12332.9</v>
      </c>
      <c r="AH140" s="826">
        <v>11070.7</v>
      </c>
      <c r="AI140" s="826">
        <v>10935.915015071438</v>
      </c>
      <c r="AJ140" s="826">
        <v>10116.96743827206</v>
      </c>
      <c r="AK140" s="826">
        <v>11784.059728036329</v>
      </c>
      <c r="AL140" s="826">
        <v>11264.009010570229</v>
      </c>
      <c r="AM140" s="826">
        <v>11573</v>
      </c>
      <c r="AN140" s="826">
        <v>12792.744410392674</v>
      </c>
      <c r="AO140" s="826">
        <v>14425.787912189246</v>
      </c>
      <c r="AP140" s="826">
        <v>12741</v>
      </c>
      <c r="AQ140" s="830">
        <v>16099.8</v>
      </c>
      <c r="AR140" s="823">
        <v>16653.7</v>
      </c>
      <c r="AS140" s="823">
        <v>17631.3</v>
      </c>
      <c r="AT140" s="823">
        <v>20040.5</v>
      </c>
      <c r="AU140" s="823">
        <v>19553.944</v>
      </c>
      <c r="AV140" s="823">
        <v>19389.5</v>
      </c>
      <c r="AW140" s="828">
        <v>19944.599999999999</v>
      </c>
      <c r="AX140" s="828">
        <v>18644.900000000001</v>
      </c>
      <c r="AY140" s="828">
        <v>17930.5</v>
      </c>
      <c r="AZ140" s="828">
        <v>17577.400000000001</v>
      </c>
      <c r="BA140" s="828">
        <v>17626.8</v>
      </c>
      <c r="BB140" s="828">
        <v>16983.099999999999</v>
      </c>
      <c r="BC140" s="828">
        <v>17191.099999999999</v>
      </c>
      <c r="BD140" s="828">
        <v>16984.090662227558</v>
      </c>
      <c r="BE140" s="828">
        <v>15314.8</v>
      </c>
      <c r="BF140" s="828">
        <v>16513.5</v>
      </c>
      <c r="BG140" s="828">
        <v>16240.2</v>
      </c>
      <c r="BH140" s="828">
        <v>15217.2</v>
      </c>
      <c r="BI140" s="828">
        <v>18727.099999999999</v>
      </c>
      <c r="BJ140" s="828">
        <v>19242.2</v>
      </c>
      <c r="BK140" s="828">
        <v>19176.599999999999</v>
      </c>
      <c r="BL140" s="830">
        <v>20414.599999999999</v>
      </c>
      <c r="BM140" s="830">
        <v>19903.400000000001</v>
      </c>
      <c r="BN140" s="830">
        <v>19536</v>
      </c>
      <c r="BO140" s="830">
        <v>19692.2</v>
      </c>
      <c r="BP140" s="830">
        <v>20427.7</v>
      </c>
      <c r="BQ140" s="830">
        <v>20451.3</v>
      </c>
      <c r="BR140" s="830">
        <v>20691.099999999999</v>
      </c>
      <c r="BS140" s="830">
        <v>21549.599999999999</v>
      </c>
      <c r="BT140" s="830">
        <v>20818.2</v>
      </c>
      <c r="BU140" s="830">
        <v>21804.3</v>
      </c>
      <c r="BV140" s="830">
        <v>21697.200000000001</v>
      </c>
      <c r="BW140" s="830">
        <v>22126</v>
      </c>
      <c r="BX140" s="830">
        <v>21644.799999999999</v>
      </c>
      <c r="BY140" s="830">
        <v>22114.799999999999</v>
      </c>
      <c r="BZ140" s="830">
        <v>23066</v>
      </c>
      <c r="CA140" s="830">
        <v>21712.1542625732</v>
      </c>
      <c r="CB140" s="830">
        <f>21696255110.8371/1000000</f>
        <v>21696.255110837101</v>
      </c>
      <c r="CC140" s="830">
        <v>21860.7</v>
      </c>
      <c r="CD140" s="830">
        <v>21590.5</v>
      </c>
      <c r="CE140" s="830">
        <v>24633.3</v>
      </c>
      <c r="CF140" s="830">
        <v>25617.1</v>
      </c>
      <c r="CG140" s="830">
        <v>25871.3</v>
      </c>
      <c r="CH140" s="830">
        <v>27463.1</v>
      </c>
      <c r="CI140" s="830">
        <v>25789.9</v>
      </c>
      <c r="CJ140" s="830">
        <v>26319.8</v>
      </c>
      <c r="CK140" s="830">
        <v>24825.5</v>
      </c>
      <c r="CL140" s="830">
        <v>24639.4</v>
      </c>
      <c r="CM140" s="830">
        <v>25261.9</v>
      </c>
      <c r="CN140" s="830">
        <v>24522.991999999998</v>
      </c>
      <c r="CO140" s="830">
        <v>24587.882000000001</v>
      </c>
      <c r="CP140" s="831">
        <v>24577.1</v>
      </c>
      <c r="CQ140" s="830">
        <v>25392</v>
      </c>
      <c r="CR140" s="830">
        <v>26377.200000000001</v>
      </c>
      <c r="CS140" s="830">
        <v>25009.374336639696</v>
      </c>
      <c r="CT140" s="830">
        <v>25578</v>
      </c>
      <c r="CU140" s="830">
        <v>28453.399479701216</v>
      </c>
      <c r="CV140" s="830">
        <v>29189.758735680382</v>
      </c>
      <c r="CW140" s="830">
        <v>29573.916580027872</v>
      </c>
      <c r="CX140" s="830">
        <v>30639.468371773848</v>
      </c>
      <c r="CY140" s="830">
        <v>30624.318209656696</v>
      </c>
      <c r="CZ140" s="830">
        <v>33709.939182923496</v>
      </c>
      <c r="DA140" s="830">
        <v>34534.598701656847</v>
      </c>
      <c r="DB140" s="830">
        <v>33295.519640815255</v>
      </c>
      <c r="DC140" s="830">
        <v>31751.160609195871</v>
      </c>
      <c r="DD140" s="830">
        <v>31689.688584023108</v>
      </c>
      <c r="DE140" s="830">
        <v>35159.629754696769</v>
      </c>
      <c r="DF140" s="830">
        <v>34493.732392353086</v>
      </c>
      <c r="DG140" s="830">
        <v>34558.313115591722</v>
      </c>
      <c r="DH140" s="830">
        <v>37320.369150139013</v>
      </c>
      <c r="DI140" s="830">
        <v>36937.144859480009</v>
      </c>
      <c r="DJ140" s="830">
        <v>38588.068086102889</v>
      </c>
      <c r="DK140" s="830">
        <v>37311.071565382495</v>
      </c>
      <c r="DL140" s="830">
        <v>37418.929106908188</v>
      </c>
      <c r="DM140" s="830">
        <v>38942.071299104238</v>
      </c>
      <c r="DN140" s="830">
        <v>39123.374621540264</v>
      </c>
      <c r="DO140" s="830">
        <v>45104.057822078285</v>
      </c>
      <c r="DP140" s="830">
        <v>39438.014354035746</v>
      </c>
      <c r="DQ140" s="830">
        <v>38892.5427779772</v>
      </c>
      <c r="DR140" s="830">
        <v>41427.287141513545</v>
      </c>
    </row>
    <row r="141" spans="1:122" ht="18.75" thickTop="1">
      <c r="A141" s="624" t="s">
        <v>2485</v>
      </c>
      <c r="B141" s="629" t="s">
        <v>2346</v>
      </c>
      <c r="F141" s="832"/>
      <c r="G141" s="832"/>
      <c r="N141" s="628" t="s">
        <v>2346</v>
      </c>
      <c r="R141" s="588"/>
      <c r="AR141" s="629"/>
      <c r="AS141" s="629"/>
      <c r="AT141" s="629"/>
      <c r="BG141" s="588"/>
      <c r="BX141" s="629"/>
      <c r="BY141" s="629" t="s">
        <v>2346</v>
      </c>
      <c r="DJ141" s="588"/>
      <c r="DK141" s="588"/>
      <c r="DL141" s="588"/>
      <c r="DM141" s="588"/>
      <c r="DN141" s="588"/>
      <c r="DO141" s="588"/>
      <c r="DP141" s="588"/>
      <c r="DQ141" s="588"/>
      <c r="DR141" s="588"/>
    </row>
    <row r="142" spans="1:122" ht="18">
      <c r="A142" s="624" t="s">
        <v>2486</v>
      </c>
      <c r="H142" s="588"/>
      <c r="R142" s="588"/>
      <c r="AH142" s="588">
        <f>AH139-AH115</f>
        <v>139781.13098666747</v>
      </c>
      <c r="AI142" s="596">
        <v>167031.5</v>
      </c>
      <c r="AM142" s="541">
        <f>AL142/AH142*100</f>
        <v>0</v>
      </c>
      <c r="BG142" s="588"/>
      <c r="DL142" s="588"/>
      <c r="DM142" s="588"/>
      <c r="DN142" s="588"/>
      <c r="DO142" s="588"/>
      <c r="DP142" s="588"/>
      <c r="DQ142" s="588"/>
      <c r="DR142" s="588"/>
    </row>
    <row r="143" spans="1:122" s="629" customFormat="1">
      <c r="A143" s="629" t="s">
        <v>2053</v>
      </c>
      <c r="R143" s="630"/>
      <c r="AA143" s="630"/>
      <c r="AN143" s="630"/>
      <c r="AO143" s="630"/>
      <c r="BG143" s="588"/>
    </row>
    <row r="144" spans="1:122" s="629" customFormat="1">
      <c r="R144" s="630"/>
      <c r="AA144" s="630"/>
      <c r="AN144" s="630"/>
      <c r="AO144" s="630"/>
    </row>
    <row r="145" spans="18:105">
      <c r="R145" s="588"/>
      <c r="CG145" s="833"/>
      <c r="CH145" s="833"/>
      <c r="CI145" s="833"/>
      <c r="CJ145" s="833"/>
      <c r="CK145" s="833"/>
      <c r="CL145" s="833"/>
      <c r="CM145" s="833"/>
      <c r="CN145" s="833"/>
      <c r="CO145" s="833"/>
      <c r="CP145" s="833"/>
      <c r="CQ145" s="833"/>
      <c r="CR145" s="833"/>
      <c r="CS145" s="833"/>
      <c r="CT145" s="833"/>
      <c r="CU145" s="833"/>
      <c r="CV145" s="833"/>
      <c r="CW145" s="833"/>
      <c r="CX145" s="833"/>
      <c r="CY145" s="833"/>
      <c r="CZ145" s="833"/>
      <c r="DA145" s="833"/>
    </row>
    <row r="146" spans="18:105">
      <c r="R146" s="588"/>
    </row>
    <row r="147" spans="18:105">
      <c r="R147" s="588"/>
    </row>
    <row r="148" spans="18:105">
      <c r="R148" s="588"/>
    </row>
    <row r="149" spans="18:105">
      <c r="R149" s="588"/>
    </row>
    <row r="150" spans="18:105">
      <c r="R150" s="588"/>
    </row>
    <row r="151" spans="18:105">
      <c r="R151" s="588"/>
    </row>
    <row r="152" spans="18:105">
      <c r="R152" s="588"/>
    </row>
    <row r="153" spans="18:105">
      <c r="R153" s="588"/>
    </row>
    <row r="154" spans="18:105">
      <c r="R154" s="588"/>
    </row>
    <row r="155" spans="18:105">
      <c r="R155" s="588"/>
    </row>
    <row r="156" spans="18:105">
      <c r="R156" s="588"/>
    </row>
    <row r="157" spans="18:105">
      <c r="R157" s="588"/>
    </row>
    <row r="158" spans="18:105">
      <c r="R158" s="588"/>
    </row>
    <row r="159" spans="18:105">
      <c r="R159" s="588"/>
    </row>
    <row r="160" spans="18:105">
      <c r="R160" s="588"/>
    </row>
    <row r="161" spans="18:18">
      <c r="R161" s="588"/>
    </row>
    <row r="162" spans="18:18">
      <c r="R162" s="588"/>
    </row>
    <row r="163" spans="18:18">
      <c r="R163" s="588"/>
    </row>
    <row r="164" spans="18:18">
      <c r="R164" s="588"/>
    </row>
    <row r="165" spans="18:18">
      <c r="R165" s="588"/>
    </row>
    <row r="166" spans="18:18">
      <c r="R166" s="588"/>
    </row>
    <row r="167" spans="18:18">
      <c r="R167" s="588"/>
    </row>
    <row r="168" spans="18:18">
      <c r="R168" s="588"/>
    </row>
    <row r="169" spans="18:18">
      <c r="R169" s="588"/>
    </row>
    <row r="170" spans="18:18">
      <c r="R170" s="588"/>
    </row>
    <row r="171" spans="18:18">
      <c r="R171" s="588"/>
    </row>
    <row r="172" spans="18:18">
      <c r="R172" s="588"/>
    </row>
    <row r="173" spans="18:18">
      <c r="R173" s="588"/>
    </row>
    <row r="174" spans="18:18">
      <c r="R174" s="588"/>
    </row>
    <row r="175" spans="18:18">
      <c r="R175" s="588"/>
    </row>
    <row r="176" spans="18:18">
      <c r="R176" s="588"/>
    </row>
    <row r="177" spans="18:18">
      <c r="R177" s="588"/>
    </row>
    <row r="178" spans="18:18">
      <c r="R178" s="588"/>
    </row>
    <row r="179" spans="18:18">
      <c r="R179" s="588"/>
    </row>
    <row r="180" spans="18:18">
      <c r="R180" s="588"/>
    </row>
    <row r="181" spans="18:18">
      <c r="R181" s="588"/>
    </row>
    <row r="182" spans="18:18">
      <c r="R182" s="588"/>
    </row>
    <row r="183" spans="18:18">
      <c r="R183" s="588"/>
    </row>
    <row r="184" spans="18:18">
      <c r="R184" s="588"/>
    </row>
    <row r="185" spans="18:18">
      <c r="R185" s="588"/>
    </row>
    <row r="186" spans="18:18">
      <c r="R186" s="588"/>
    </row>
    <row r="187" spans="18:18">
      <c r="R187" s="588"/>
    </row>
    <row r="188" spans="18:18">
      <c r="R188" s="588"/>
    </row>
    <row r="189" spans="18:18">
      <c r="R189" s="588"/>
    </row>
    <row r="190" spans="18:18">
      <c r="R190" s="588"/>
    </row>
    <row r="191" spans="18:18">
      <c r="R191" s="588"/>
    </row>
    <row r="192" spans="18:18">
      <c r="R192" s="588"/>
    </row>
    <row r="193" spans="18:18">
      <c r="R193" s="588"/>
    </row>
    <row r="194" spans="18:18">
      <c r="R194" s="588"/>
    </row>
    <row r="195" spans="18:18">
      <c r="R195" s="588"/>
    </row>
    <row r="196" spans="18:18">
      <c r="R196" s="588"/>
    </row>
    <row r="197" spans="18:18">
      <c r="R197" s="588"/>
    </row>
    <row r="198" spans="18:18">
      <c r="R198" s="588"/>
    </row>
    <row r="199" spans="18:18">
      <c r="R199" s="588"/>
    </row>
    <row r="200" spans="18:18">
      <c r="R200" s="588"/>
    </row>
    <row r="201" spans="18:18">
      <c r="R201" s="588"/>
    </row>
    <row r="202" spans="18:18">
      <c r="R202" s="588"/>
    </row>
    <row r="203" spans="18:18">
      <c r="R203" s="588"/>
    </row>
    <row r="204" spans="18:18">
      <c r="R204" s="588"/>
    </row>
    <row r="205" spans="18:18">
      <c r="R205" s="588"/>
    </row>
    <row r="206" spans="18:18">
      <c r="R206" s="588"/>
    </row>
    <row r="207" spans="18:18">
      <c r="R207" s="588"/>
    </row>
    <row r="208" spans="18:18">
      <c r="R208" s="588"/>
    </row>
    <row r="209" spans="18:18">
      <c r="R209" s="588"/>
    </row>
    <row r="210" spans="18:18">
      <c r="R210" s="588"/>
    </row>
    <row r="211" spans="18:18">
      <c r="R211" s="588"/>
    </row>
    <row r="212" spans="18:18">
      <c r="R212" s="588"/>
    </row>
    <row r="213" spans="18:18">
      <c r="R213" s="588"/>
    </row>
    <row r="214" spans="18:18">
      <c r="R214" s="588"/>
    </row>
    <row r="215" spans="18:18">
      <c r="R215" s="588"/>
    </row>
    <row r="216" spans="18:18">
      <c r="R216" s="588"/>
    </row>
    <row r="217" spans="18:18">
      <c r="R217" s="588"/>
    </row>
    <row r="218" spans="18:18">
      <c r="R218" s="588"/>
    </row>
    <row r="219" spans="18:18">
      <c r="R219" s="588"/>
    </row>
    <row r="220" spans="18:18">
      <c r="R220" s="588"/>
    </row>
    <row r="221" spans="18:18">
      <c r="R221" s="588"/>
    </row>
    <row r="222" spans="18:18">
      <c r="R222" s="588"/>
    </row>
    <row r="223" spans="18:18">
      <c r="R223" s="588"/>
    </row>
    <row r="224" spans="18:18">
      <c r="R224" s="588"/>
    </row>
    <row r="225" spans="18:18">
      <c r="R225" s="588"/>
    </row>
    <row r="226" spans="18:18">
      <c r="R226" s="588"/>
    </row>
    <row r="227" spans="18:18">
      <c r="R227" s="588"/>
    </row>
    <row r="228" spans="18:18">
      <c r="R228" s="588"/>
    </row>
    <row r="229" spans="18:18">
      <c r="R229" s="588"/>
    </row>
    <row r="230" spans="18:18">
      <c r="R230" s="588"/>
    </row>
    <row r="231" spans="18:18">
      <c r="R231" s="588"/>
    </row>
    <row r="232" spans="18:18">
      <c r="R232" s="588"/>
    </row>
    <row r="233" spans="18:18">
      <c r="R233" s="588"/>
    </row>
    <row r="234" spans="18:18">
      <c r="R234" s="588"/>
    </row>
    <row r="235" spans="18:18">
      <c r="R235" s="588"/>
    </row>
    <row r="236" spans="18:18">
      <c r="R236" s="588"/>
    </row>
    <row r="237" spans="18:18">
      <c r="R237" s="588"/>
    </row>
    <row r="238" spans="18:18">
      <c r="R238" s="588"/>
    </row>
    <row r="239" spans="18:18">
      <c r="R239" s="588"/>
    </row>
    <row r="240" spans="18:18">
      <c r="R240" s="588"/>
    </row>
    <row r="241" spans="18:18">
      <c r="R241" s="588"/>
    </row>
    <row r="242" spans="18:18">
      <c r="R242" s="588"/>
    </row>
    <row r="243" spans="18:18">
      <c r="R243" s="588"/>
    </row>
    <row r="244" spans="18:18">
      <c r="R244" s="588"/>
    </row>
    <row r="245" spans="18:18">
      <c r="R245" s="588"/>
    </row>
    <row r="246" spans="18:18">
      <c r="R246" s="588"/>
    </row>
    <row r="247" spans="18:18">
      <c r="R247" s="588"/>
    </row>
    <row r="248" spans="18:18">
      <c r="R248" s="588"/>
    </row>
    <row r="249" spans="18:18">
      <c r="R249" s="588"/>
    </row>
    <row r="250" spans="18:18">
      <c r="R250" s="588"/>
    </row>
    <row r="251" spans="18:18">
      <c r="R251" s="588"/>
    </row>
    <row r="252" spans="18:18">
      <c r="R252" s="588"/>
    </row>
    <row r="253" spans="18:18">
      <c r="R253" s="588"/>
    </row>
    <row r="254" spans="18:18">
      <c r="R254" s="588"/>
    </row>
    <row r="255" spans="18:18">
      <c r="R255" s="588"/>
    </row>
    <row r="256" spans="18:18">
      <c r="R256" s="588"/>
    </row>
    <row r="257" spans="18:18">
      <c r="R257" s="588"/>
    </row>
    <row r="258" spans="18:18">
      <c r="R258" s="588"/>
    </row>
    <row r="259" spans="18:18">
      <c r="R259" s="588"/>
    </row>
    <row r="260" spans="18:18">
      <c r="R260" s="588"/>
    </row>
    <row r="261" spans="18:18">
      <c r="R261" s="588"/>
    </row>
    <row r="262" spans="18:18">
      <c r="R262" s="588"/>
    </row>
    <row r="263" spans="18:18">
      <c r="R263" s="588"/>
    </row>
    <row r="264" spans="18:18">
      <c r="R264" s="588"/>
    </row>
    <row r="265" spans="18:18">
      <c r="R265" s="588"/>
    </row>
    <row r="266" spans="18:18">
      <c r="R266" s="588"/>
    </row>
    <row r="267" spans="18:18">
      <c r="R267" s="588"/>
    </row>
    <row r="268" spans="18:18">
      <c r="R268" s="588"/>
    </row>
    <row r="269" spans="18:18">
      <c r="R269" s="588"/>
    </row>
    <row r="270" spans="18:18">
      <c r="R270" s="588"/>
    </row>
    <row r="271" spans="18:18">
      <c r="R271" s="588"/>
    </row>
    <row r="272" spans="18:18">
      <c r="R272" s="588"/>
    </row>
    <row r="273" spans="18:18">
      <c r="R273" s="588"/>
    </row>
    <row r="274" spans="18:18">
      <c r="R274" s="588"/>
    </row>
    <row r="275" spans="18:18">
      <c r="R275" s="588"/>
    </row>
    <row r="276" spans="18:18">
      <c r="R276" s="588"/>
    </row>
    <row r="277" spans="18:18">
      <c r="R277" s="588"/>
    </row>
    <row r="278" spans="18:18">
      <c r="R278" s="588"/>
    </row>
    <row r="279" spans="18:18">
      <c r="R279" s="588"/>
    </row>
    <row r="280" spans="18:18">
      <c r="R280" s="588"/>
    </row>
    <row r="281" spans="18:18">
      <c r="R281" s="588"/>
    </row>
    <row r="282" spans="18:18">
      <c r="R282" s="588"/>
    </row>
    <row r="283" spans="18:18">
      <c r="R283" s="588"/>
    </row>
    <row r="284" spans="18:18">
      <c r="R284" s="588"/>
    </row>
    <row r="285" spans="18:18">
      <c r="R285" s="588"/>
    </row>
    <row r="286" spans="18:18">
      <c r="R286" s="588"/>
    </row>
    <row r="287" spans="18:18">
      <c r="R287" s="588"/>
    </row>
    <row r="288" spans="18:18">
      <c r="R288" s="588"/>
    </row>
    <row r="289" spans="18:18">
      <c r="R289" s="588"/>
    </row>
    <row r="290" spans="18:18">
      <c r="R290" s="588"/>
    </row>
    <row r="291" spans="18:18">
      <c r="R291" s="588"/>
    </row>
    <row r="292" spans="18:18">
      <c r="R292" s="588"/>
    </row>
    <row r="293" spans="18:18">
      <c r="R293" s="588"/>
    </row>
    <row r="294" spans="18:18">
      <c r="R294" s="588"/>
    </row>
    <row r="295" spans="18:18">
      <c r="R295" s="588"/>
    </row>
    <row r="296" spans="18:18">
      <c r="R296" s="588"/>
    </row>
    <row r="297" spans="18:18">
      <c r="R297" s="588"/>
    </row>
    <row r="298" spans="18:18">
      <c r="R298" s="588"/>
    </row>
    <row r="299" spans="18:18">
      <c r="R299" s="588"/>
    </row>
    <row r="300" spans="18:18">
      <c r="R300" s="588"/>
    </row>
    <row r="301" spans="18:18">
      <c r="R301" s="588"/>
    </row>
    <row r="302" spans="18:18">
      <c r="R302" s="588"/>
    </row>
    <row r="303" spans="18:18">
      <c r="R303" s="588"/>
    </row>
    <row r="304" spans="18:18">
      <c r="R304" s="588"/>
    </row>
    <row r="305" spans="18:18">
      <c r="R305" s="588"/>
    </row>
    <row r="306" spans="18:18">
      <c r="R306" s="588"/>
    </row>
    <row r="307" spans="18:18">
      <c r="R307" s="588"/>
    </row>
    <row r="308" spans="18:18">
      <c r="R308" s="588"/>
    </row>
    <row r="309" spans="18:18">
      <c r="R309" s="588"/>
    </row>
    <row r="310" spans="18:18">
      <c r="R310" s="588"/>
    </row>
    <row r="311" spans="18:18">
      <c r="R311" s="588"/>
    </row>
    <row r="312" spans="18:18">
      <c r="R312" s="588"/>
    </row>
    <row r="313" spans="18:18">
      <c r="R313" s="588"/>
    </row>
    <row r="314" spans="18:18">
      <c r="R314" s="588"/>
    </row>
    <row r="315" spans="18:18">
      <c r="R315" s="588"/>
    </row>
    <row r="316" spans="18:18">
      <c r="R316" s="588"/>
    </row>
    <row r="317" spans="18:18">
      <c r="R317" s="588"/>
    </row>
    <row r="318" spans="18:18">
      <c r="R318" s="588"/>
    </row>
    <row r="319" spans="18:18">
      <c r="R319" s="588"/>
    </row>
    <row r="320" spans="18:18">
      <c r="R320" s="588"/>
    </row>
    <row r="321" spans="18:18">
      <c r="R321" s="588"/>
    </row>
    <row r="322" spans="18:18">
      <c r="R322" s="588"/>
    </row>
    <row r="323" spans="18:18">
      <c r="R323" s="588"/>
    </row>
    <row r="324" spans="18:18">
      <c r="R324" s="588"/>
    </row>
    <row r="325" spans="18:18">
      <c r="R325" s="588"/>
    </row>
    <row r="326" spans="18:18">
      <c r="R326" s="588"/>
    </row>
    <row r="327" spans="18:18">
      <c r="R327" s="588"/>
    </row>
    <row r="328" spans="18:18">
      <c r="R328" s="588"/>
    </row>
    <row r="329" spans="18:18">
      <c r="R329" s="588"/>
    </row>
    <row r="330" spans="18:18">
      <c r="R330" s="588"/>
    </row>
    <row r="331" spans="18:18">
      <c r="R331" s="588"/>
    </row>
    <row r="332" spans="18:18">
      <c r="R332" s="588"/>
    </row>
    <row r="333" spans="18:18">
      <c r="R333" s="588"/>
    </row>
    <row r="334" spans="18:18">
      <c r="R334" s="588"/>
    </row>
    <row r="335" spans="18:18">
      <c r="R335" s="588"/>
    </row>
    <row r="336" spans="18:18">
      <c r="R336" s="588"/>
    </row>
    <row r="337" spans="18:18">
      <c r="R337" s="588"/>
    </row>
    <row r="338" spans="18:18">
      <c r="R338" s="588"/>
    </row>
    <row r="339" spans="18:18">
      <c r="R339" s="588"/>
    </row>
    <row r="340" spans="18:18">
      <c r="R340" s="588"/>
    </row>
    <row r="341" spans="18:18">
      <c r="R341" s="588"/>
    </row>
    <row r="342" spans="18:18">
      <c r="R342" s="588"/>
    </row>
    <row r="343" spans="18:18">
      <c r="R343" s="588"/>
    </row>
    <row r="344" spans="18:18">
      <c r="R344" s="588"/>
    </row>
    <row r="345" spans="18:18">
      <c r="R345" s="588"/>
    </row>
    <row r="346" spans="18:18">
      <c r="R346" s="588"/>
    </row>
    <row r="347" spans="18:18">
      <c r="R347" s="588"/>
    </row>
    <row r="348" spans="18:18">
      <c r="R348" s="588"/>
    </row>
    <row r="349" spans="18:18">
      <c r="R349" s="588"/>
    </row>
    <row r="350" spans="18:18">
      <c r="R350" s="588"/>
    </row>
    <row r="351" spans="18:18">
      <c r="R351" s="588"/>
    </row>
    <row r="352" spans="18:18">
      <c r="R352" s="588"/>
    </row>
    <row r="353" spans="18:18">
      <c r="R353" s="588"/>
    </row>
    <row r="354" spans="18:18">
      <c r="R354" s="588"/>
    </row>
    <row r="355" spans="18:18">
      <c r="R355" s="588"/>
    </row>
    <row r="356" spans="18:18">
      <c r="R356" s="588"/>
    </row>
    <row r="357" spans="18:18">
      <c r="R357" s="588"/>
    </row>
    <row r="358" spans="18:18">
      <c r="R358" s="588"/>
    </row>
    <row r="359" spans="18:18">
      <c r="R359" s="588"/>
    </row>
    <row r="360" spans="18:18">
      <c r="R360" s="588"/>
    </row>
    <row r="361" spans="18:18">
      <c r="R361" s="588"/>
    </row>
    <row r="362" spans="18:18">
      <c r="R362" s="588"/>
    </row>
    <row r="363" spans="18:18">
      <c r="R363" s="588"/>
    </row>
    <row r="364" spans="18:18">
      <c r="R364" s="588"/>
    </row>
    <row r="365" spans="18:18">
      <c r="R365" s="588"/>
    </row>
    <row r="366" spans="18:18">
      <c r="R366" s="588"/>
    </row>
    <row r="367" spans="18:18">
      <c r="R367" s="588"/>
    </row>
    <row r="368" spans="18:18">
      <c r="R368" s="588"/>
    </row>
    <row r="369" spans="18:18">
      <c r="R369" s="588"/>
    </row>
    <row r="370" spans="18:18">
      <c r="R370" s="588"/>
    </row>
    <row r="371" spans="18:18">
      <c r="R371" s="588"/>
    </row>
    <row r="372" spans="18:18">
      <c r="R372" s="588"/>
    </row>
    <row r="373" spans="18:18">
      <c r="R373" s="588"/>
    </row>
    <row r="374" spans="18:18">
      <c r="R374" s="588"/>
    </row>
    <row r="375" spans="18:18">
      <c r="R375" s="588"/>
    </row>
    <row r="376" spans="18:18">
      <c r="R376" s="588"/>
    </row>
    <row r="377" spans="18:18">
      <c r="R377" s="588"/>
    </row>
    <row r="378" spans="18:18">
      <c r="R378" s="588"/>
    </row>
    <row r="379" spans="18:18">
      <c r="R379" s="588"/>
    </row>
    <row r="380" spans="18:18">
      <c r="R380" s="588"/>
    </row>
    <row r="381" spans="18:18">
      <c r="R381" s="588"/>
    </row>
    <row r="382" spans="18:18">
      <c r="R382" s="588"/>
    </row>
    <row r="383" spans="18:18">
      <c r="R383" s="588"/>
    </row>
    <row r="384" spans="18:18">
      <c r="R384" s="588"/>
    </row>
    <row r="385" spans="18:18">
      <c r="R385" s="588"/>
    </row>
    <row r="386" spans="18:18">
      <c r="R386" s="588"/>
    </row>
    <row r="387" spans="18:18">
      <c r="R387" s="588"/>
    </row>
    <row r="388" spans="18:18">
      <c r="R388" s="588"/>
    </row>
    <row r="389" spans="18:18">
      <c r="R389" s="588"/>
    </row>
    <row r="390" spans="18:18">
      <c r="R390" s="588"/>
    </row>
    <row r="391" spans="18:18">
      <c r="R391" s="588"/>
    </row>
    <row r="392" spans="18:18">
      <c r="R392" s="588"/>
    </row>
    <row r="393" spans="18:18">
      <c r="R393" s="588"/>
    </row>
    <row r="394" spans="18:18">
      <c r="R394" s="588"/>
    </row>
    <row r="395" spans="18:18">
      <c r="R395" s="588"/>
    </row>
    <row r="396" spans="18:18">
      <c r="R396" s="588"/>
    </row>
    <row r="397" spans="18:18">
      <c r="R397" s="588"/>
    </row>
    <row r="398" spans="18:18">
      <c r="R398" s="588"/>
    </row>
    <row r="399" spans="18:18">
      <c r="R399" s="588"/>
    </row>
    <row r="400" spans="18:18">
      <c r="R400" s="588"/>
    </row>
    <row r="401" spans="18:18">
      <c r="R401" s="588"/>
    </row>
    <row r="402" spans="18:18">
      <c r="R402" s="588"/>
    </row>
    <row r="403" spans="18:18">
      <c r="R403" s="588"/>
    </row>
    <row r="404" spans="18:18">
      <c r="R404" s="588"/>
    </row>
    <row r="405" spans="18:18">
      <c r="R405" s="588"/>
    </row>
    <row r="406" spans="18:18">
      <c r="R406" s="588"/>
    </row>
    <row r="407" spans="18:18">
      <c r="R407" s="588"/>
    </row>
    <row r="408" spans="18:18">
      <c r="R408" s="588"/>
    </row>
    <row r="409" spans="18:18">
      <c r="R409" s="588"/>
    </row>
    <row r="410" spans="18:18">
      <c r="R410" s="588"/>
    </row>
    <row r="411" spans="18:18">
      <c r="R411" s="588"/>
    </row>
    <row r="412" spans="18:18">
      <c r="R412" s="588"/>
    </row>
    <row r="413" spans="18:18">
      <c r="R413" s="588"/>
    </row>
    <row r="414" spans="18:18">
      <c r="R414" s="588"/>
    </row>
    <row r="415" spans="18:18">
      <c r="R415" s="588"/>
    </row>
    <row r="416" spans="18:18">
      <c r="R416" s="588"/>
    </row>
    <row r="417" spans="18:18">
      <c r="R417" s="588"/>
    </row>
    <row r="418" spans="18:18">
      <c r="R418" s="588"/>
    </row>
    <row r="419" spans="18:18">
      <c r="R419" s="588"/>
    </row>
    <row r="420" spans="18:18">
      <c r="R420" s="588"/>
    </row>
    <row r="421" spans="18:18">
      <c r="R421" s="588"/>
    </row>
    <row r="422" spans="18:18">
      <c r="R422" s="588"/>
    </row>
    <row r="423" spans="18:18">
      <c r="R423" s="588"/>
    </row>
    <row r="424" spans="18:18">
      <c r="R424" s="588"/>
    </row>
    <row r="425" spans="18:18">
      <c r="R425" s="588"/>
    </row>
    <row r="426" spans="18:18">
      <c r="R426" s="588"/>
    </row>
    <row r="427" spans="18:18">
      <c r="R427" s="588"/>
    </row>
    <row r="428" spans="18:18">
      <c r="R428" s="588"/>
    </row>
    <row r="429" spans="18:18">
      <c r="R429" s="588"/>
    </row>
    <row r="430" spans="18:18">
      <c r="R430" s="588"/>
    </row>
    <row r="431" spans="18:18">
      <c r="R431" s="588"/>
    </row>
    <row r="432" spans="18:18">
      <c r="R432" s="588"/>
    </row>
    <row r="433" spans="18:18">
      <c r="R433" s="588"/>
    </row>
    <row r="434" spans="18:18">
      <c r="R434" s="588"/>
    </row>
    <row r="435" spans="18:18">
      <c r="R435" s="588"/>
    </row>
    <row r="436" spans="18:18">
      <c r="R436" s="588"/>
    </row>
    <row r="437" spans="18:18">
      <c r="R437" s="588"/>
    </row>
    <row r="438" spans="18:18">
      <c r="R438" s="588"/>
    </row>
    <row r="439" spans="18:18">
      <c r="R439" s="588"/>
    </row>
    <row r="440" spans="18:18">
      <c r="R440" s="588"/>
    </row>
    <row r="441" spans="18:18">
      <c r="R441" s="588"/>
    </row>
    <row r="442" spans="18:18">
      <c r="R442" s="588"/>
    </row>
    <row r="443" spans="18:18">
      <c r="R443" s="588"/>
    </row>
    <row r="444" spans="18:18">
      <c r="R444" s="588"/>
    </row>
    <row r="445" spans="18:18">
      <c r="R445" s="588"/>
    </row>
    <row r="446" spans="18:18">
      <c r="R446" s="588"/>
    </row>
    <row r="447" spans="18:18">
      <c r="R447" s="588"/>
    </row>
    <row r="448" spans="18:18">
      <c r="R448" s="588"/>
    </row>
    <row r="449" spans="18:18">
      <c r="R449" s="588"/>
    </row>
    <row r="450" spans="18:18">
      <c r="R450" s="588"/>
    </row>
    <row r="451" spans="18:18">
      <c r="R451" s="588"/>
    </row>
    <row r="452" spans="18:18">
      <c r="R452" s="588"/>
    </row>
    <row r="453" spans="18:18">
      <c r="R453" s="588"/>
    </row>
    <row r="454" spans="18:18">
      <c r="R454" s="588"/>
    </row>
    <row r="455" spans="18:18">
      <c r="R455" s="588"/>
    </row>
    <row r="456" spans="18:18">
      <c r="R456" s="588"/>
    </row>
    <row r="457" spans="18:18">
      <c r="R457" s="588"/>
    </row>
    <row r="458" spans="18:18">
      <c r="R458" s="588"/>
    </row>
    <row r="459" spans="18:18">
      <c r="R459" s="588"/>
    </row>
    <row r="460" spans="18:18">
      <c r="R460" s="588"/>
    </row>
    <row r="461" spans="18:18">
      <c r="R461" s="588"/>
    </row>
    <row r="462" spans="18:18">
      <c r="R462" s="588"/>
    </row>
    <row r="463" spans="18:18">
      <c r="R463" s="588"/>
    </row>
    <row r="464" spans="18:18">
      <c r="R464" s="588"/>
    </row>
    <row r="465" spans="18:18">
      <c r="R465" s="588"/>
    </row>
    <row r="466" spans="18:18">
      <c r="R466" s="588"/>
    </row>
    <row r="467" spans="18:18">
      <c r="R467" s="588"/>
    </row>
    <row r="468" spans="18:18">
      <c r="R468" s="588"/>
    </row>
    <row r="469" spans="18:18">
      <c r="R469" s="588"/>
    </row>
    <row r="470" spans="18:18">
      <c r="R470" s="588"/>
    </row>
    <row r="471" spans="18:18">
      <c r="R471" s="588"/>
    </row>
    <row r="472" spans="18:18">
      <c r="R472" s="588"/>
    </row>
    <row r="473" spans="18:18">
      <c r="R473" s="588"/>
    </row>
    <row r="474" spans="18:18">
      <c r="R474" s="588"/>
    </row>
    <row r="475" spans="18:18">
      <c r="R475" s="588"/>
    </row>
    <row r="476" spans="18:18">
      <c r="R476" s="588"/>
    </row>
    <row r="477" spans="18:18">
      <c r="R477" s="588"/>
    </row>
    <row r="478" spans="18:18">
      <c r="R478" s="588"/>
    </row>
    <row r="479" spans="18:18">
      <c r="R479" s="588"/>
    </row>
    <row r="480" spans="18:18">
      <c r="R480" s="588"/>
    </row>
    <row r="481" spans="18:18">
      <c r="R481" s="588"/>
    </row>
    <row r="482" spans="18:18">
      <c r="R482" s="588"/>
    </row>
    <row r="483" spans="18:18">
      <c r="R483" s="588"/>
    </row>
    <row r="484" spans="18:18">
      <c r="R484" s="588"/>
    </row>
    <row r="485" spans="18:18">
      <c r="R485" s="588"/>
    </row>
    <row r="486" spans="18:18">
      <c r="R486" s="588"/>
    </row>
    <row r="487" spans="18:18">
      <c r="R487" s="588"/>
    </row>
    <row r="488" spans="18:18">
      <c r="R488" s="588"/>
    </row>
    <row r="489" spans="18:18">
      <c r="R489" s="588"/>
    </row>
    <row r="490" spans="18:18">
      <c r="R490" s="588"/>
    </row>
    <row r="491" spans="18:18">
      <c r="R491" s="588"/>
    </row>
    <row r="492" spans="18:18">
      <c r="R492" s="588"/>
    </row>
    <row r="493" spans="18:18">
      <c r="R493" s="588"/>
    </row>
    <row r="494" spans="18:18">
      <c r="R494" s="588"/>
    </row>
    <row r="495" spans="18:18">
      <c r="R495" s="588"/>
    </row>
    <row r="496" spans="18:18">
      <c r="R496" s="588"/>
    </row>
    <row r="497" spans="18:18">
      <c r="R497" s="588"/>
    </row>
    <row r="498" spans="18:18">
      <c r="R498" s="588"/>
    </row>
    <row r="499" spans="18:18">
      <c r="R499" s="588"/>
    </row>
    <row r="500" spans="18:18">
      <c r="R500" s="588"/>
    </row>
    <row r="501" spans="18:18">
      <c r="R501" s="588"/>
    </row>
    <row r="502" spans="18:18">
      <c r="R502" s="588"/>
    </row>
    <row r="503" spans="18:18">
      <c r="R503" s="588"/>
    </row>
    <row r="504" spans="18:18">
      <c r="R504" s="588"/>
    </row>
    <row r="505" spans="18:18">
      <c r="R505" s="588"/>
    </row>
    <row r="506" spans="18:18">
      <c r="R506" s="588"/>
    </row>
    <row r="507" spans="18:18">
      <c r="R507" s="588"/>
    </row>
    <row r="508" spans="18:18">
      <c r="R508" s="588"/>
    </row>
    <row r="509" spans="18:18">
      <c r="R509" s="588"/>
    </row>
    <row r="510" spans="18:18">
      <c r="R510" s="588"/>
    </row>
    <row r="511" spans="18:18">
      <c r="R511" s="588"/>
    </row>
    <row r="512" spans="18:18">
      <c r="R512" s="588"/>
    </row>
    <row r="513" spans="18:18">
      <c r="R513" s="588"/>
    </row>
    <row r="514" spans="18:18">
      <c r="R514" s="588"/>
    </row>
    <row r="515" spans="18:18">
      <c r="R515" s="588"/>
    </row>
    <row r="516" spans="18:18">
      <c r="R516" s="588"/>
    </row>
    <row r="517" spans="18:18">
      <c r="R517" s="588"/>
    </row>
    <row r="518" spans="18:18">
      <c r="R518" s="588"/>
    </row>
    <row r="519" spans="18:18">
      <c r="R519" s="588"/>
    </row>
    <row r="520" spans="18:18">
      <c r="R520" s="588"/>
    </row>
    <row r="521" spans="18:18">
      <c r="R521" s="588"/>
    </row>
    <row r="522" spans="18:18">
      <c r="R522" s="588"/>
    </row>
    <row r="523" spans="18:18">
      <c r="R523" s="588"/>
    </row>
    <row r="524" spans="18:18">
      <c r="R524" s="588"/>
    </row>
    <row r="525" spans="18:18">
      <c r="R525" s="588"/>
    </row>
    <row r="526" spans="18:18">
      <c r="R526" s="588"/>
    </row>
    <row r="527" spans="18:18">
      <c r="R527" s="588"/>
    </row>
    <row r="528" spans="18:18">
      <c r="R528" s="588"/>
    </row>
    <row r="529" spans="18:18">
      <c r="R529" s="588"/>
    </row>
    <row r="530" spans="18:18">
      <c r="R530" s="588"/>
    </row>
    <row r="531" spans="18:18">
      <c r="R531" s="588"/>
    </row>
    <row r="532" spans="18:18">
      <c r="R532" s="588"/>
    </row>
    <row r="533" spans="18:18">
      <c r="R533" s="588"/>
    </row>
    <row r="534" spans="18:18">
      <c r="R534" s="588"/>
    </row>
    <row r="535" spans="18:18">
      <c r="R535" s="588"/>
    </row>
    <row r="536" spans="18:18">
      <c r="R536" s="588"/>
    </row>
    <row r="537" spans="18:18">
      <c r="R537" s="588"/>
    </row>
    <row r="538" spans="18:18">
      <c r="R538" s="588"/>
    </row>
    <row r="539" spans="18:18">
      <c r="R539" s="588"/>
    </row>
    <row r="540" spans="18:18">
      <c r="R540" s="588"/>
    </row>
    <row r="541" spans="18:18">
      <c r="R541" s="588"/>
    </row>
    <row r="542" spans="18:18">
      <c r="R542" s="588"/>
    </row>
    <row r="543" spans="18:18">
      <c r="R543" s="588"/>
    </row>
    <row r="544" spans="18:18">
      <c r="R544" s="588"/>
    </row>
    <row r="545" spans="18:18">
      <c r="R545" s="588"/>
    </row>
    <row r="546" spans="18:18">
      <c r="R546" s="588"/>
    </row>
    <row r="547" spans="18:18">
      <c r="R547" s="588"/>
    </row>
    <row r="548" spans="18:18">
      <c r="R548" s="588"/>
    </row>
    <row r="549" spans="18:18">
      <c r="R549" s="588"/>
    </row>
    <row r="550" spans="18:18">
      <c r="R550" s="588"/>
    </row>
    <row r="551" spans="18:18">
      <c r="R551" s="588"/>
    </row>
    <row r="552" spans="18:18">
      <c r="R552" s="588"/>
    </row>
    <row r="553" spans="18:18">
      <c r="R553" s="588"/>
    </row>
    <row r="554" spans="18:18">
      <c r="R554" s="588"/>
    </row>
    <row r="555" spans="18:18">
      <c r="R555" s="588"/>
    </row>
    <row r="556" spans="18:18">
      <c r="R556" s="588"/>
    </row>
    <row r="557" spans="18:18">
      <c r="R557" s="588"/>
    </row>
    <row r="558" spans="18:18">
      <c r="R558" s="588"/>
    </row>
    <row r="559" spans="18:18">
      <c r="R559" s="588"/>
    </row>
    <row r="560" spans="18:18">
      <c r="R560" s="588"/>
    </row>
    <row r="561" spans="18:18">
      <c r="R561" s="588"/>
    </row>
    <row r="562" spans="18:18">
      <c r="R562" s="588"/>
    </row>
    <row r="563" spans="18:18">
      <c r="R563" s="588"/>
    </row>
    <row r="564" spans="18:18">
      <c r="R564" s="588"/>
    </row>
    <row r="565" spans="18:18">
      <c r="R565" s="588"/>
    </row>
    <row r="566" spans="18:18">
      <c r="R566" s="588"/>
    </row>
    <row r="567" spans="18:18">
      <c r="R567" s="588"/>
    </row>
    <row r="568" spans="18:18">
      <c r="R568" s="588"/>
    </row>
    <row r="569" spans="18:18">
      <c r="R569" s="588"/>
    </row>
    <row r="570" spans="18:18">
      <c r="R570" s="588"/>
    </row>
    <row r="571" spans="18:18">
      <c r="R571" s="588"/>
    </row>
    <row r="572" spans="18:18">
      <c r="R572" s="588"/>
    </row>
    <row r="573" spans="18:18">
      <c r="R573" s="588"/>
    </row>
    <row r="574" spans="18:18">
      <c r="R574" s="588"/>
    </row>
    <row r="575" spans="18:18">
      <c r="R575" s="588"/>
    </row>
    <row r="576" spans="18:18">
      <c r="R576" s="588"/>
    </row>
    <row r="577" spans="18:18">
      <c r="R577" s="588"/>
    </row>
    <row r="578" spans="18:18">
      <c r="R578" s="588"/>
    </row>
    <row r="579" spans="18:18">
      <c r="R579" s="588"/>
    </row>
    <row r="580" spans="18:18">
      <c r="R580" s="588"/>
    </row>
    <row r="581" spans="18:18">
      <c r="R581" s="588"/>
    </row>
    <row r="582" spans="18:18">
      <c r="R582" s="588"/>
    </row>
    <row r="583" spans="18:18">
      <c r="R583" s="588"/>
    </row>
    <row r="584" spans="18:18">
      <c r="R584" s="588"/>
    </row>
    <row r="585" spans="18:18">
      <c r="R585" s="588"/>
    </row>
    <row r="586" spans="18:18">
      <c r="R586" s="588"/>
    </row>
    <row r="587" spans="18:18">
      <c r="R587" s="588"/>
    </row>
    <row r="588" spans="18:18">
      <c r="R588" s="588"/>
    </row>
    <row r="589" spans="18:18">
      <c r="R589" s="588"/>
    </row>
    <row r="590" spans="18:18">
      <c r="R590" s="588"/>
    </row>
    <row r="591" spans="18:18">
      <c r="R591" s="588"/>
    </row>
    <row r="592" spans="18:18">
      <c r="R592" s="588"/>
    </row>
    <row r="593" spans="18:18">
      <c r="R593" s="588"/>
    </row>
    <row r="594" spans="18:18">
      <c r="R594" s="588"/>
    </row>
    <row r="595" spans="18:18">
      <c r="R595" s="588"/>
    </row>
    <row r="596" spans="18:18">
      <c r="R596" s="588"/>
    </row>
    <row r="597" spans="18:18">
      <c r="R597" s="588"/>
    </row>
    <row r="598" spans="18:18">
      <c r="R598" s="588"/>
    </row>
    <row r="599" spans="18:18">
      <c r="R599" s="588"/>
    </row>
    <row r="600" spans="18:18">
      <c r="R600" s="588"/>
    </row>
    <row r="601" spans="18:18">
      <c r="R601" s="588"/>
    </row>
    <row r="602" spans="18:18">
      <c r="R602" s="588"/>
    </row>
    <row r="603" spans="18:18">
      <c r="R603" s="588"/>
    </row>
    <row r="604" spans="18:18">
      <c r="R604" s="588"/>
    </row>
    <row r="605" spans="18:18">
      <c r="R605" s="588"/>
    </row>
    <row r="606" spans="18:18">
      <c r="R606" s="588"/>
    </row>
    <row r="607" spans="18:18">
      <c r="R607" s="588"/>
    </row>
    <row r="608" spans="18:18">
      <c r="R608" s="588"/>
    </row>
    <row r="609" spans="18:18">
      <c r="R609" s="588"/>
    </row>
    <row r="610" spans="18:18">
      <c r="R610" s="588"/>
    </row>
    <row r="611" spans="18:18">
      <c r="R611" s="588"/>
    </row>
    <row r="612" spans="18:18">
      <c r="R612" s="588"/>
    </row>
    <row r="613" spans="18:18">
      <c r="R613" s="588"/>
    </row>
    <row r="614" spans="18:18">
      <c r="R614" s="588"/>
    </row>
    <row r="615" spans="18:18">
      <c r="R615" s="588"/>
    </row>
    <row r="616" spans="18:18">
      <c r="R616" s="588"/>
    </row>
    <row r="617" spans="18:18">
      <c r="R617" s="588"/>
    </row>
    <row r="618" spans="18:18">
      <c r="R618" s="588"/>
    </row>
    <row r="619" spans="18:18">
      <c r="R619" s="588"/>
    </row>
    <row r="620" spans="18:18">
      <c r="R620" s="588"/>
    </row>
    <row r="621" spans="18:18">
      <c r="R621" s="588"/>
    </row>
    <row r="622" spans="18:18">
      <c r="R622" s="588"/>
    </row>
    <row r="623" spans="18:18">
      <c r="R623" s="588"/>
    </row>
    <row r="624" spans="18:18">
      <c r="R624" s="588"/>
    </row>
    <row r="625" spans="18:18">
      <c r="R625" s="588"/>
    </row>
    <row r="626" spans="18:18">
      <c r="R626" s="588"/>
    </row>
    <row r="627" spans="18:18">
      <c r="R627" s="588"/>
    </row>
    <row r="628" spans="18:18">
      <c r="R628" s="588"/>
    </row>
    <row r="629" spans="18:18">
      <c r="R629" s="588"/>
    </row>
    <row r="630" spans="18:18">
      <c r="R630" s="588"/>
    </row>
    <row r="631" spans="18:18">
      <c r="R631" s="588"/>
    </row>
    <row r="632" spans="18:18">
      <c r="R632" s="588"/>
    </row>
    <row r="633" spans="18:18">
      <c r="R633" s="588"/>
    </row>
    <row r="634" spans="18:18">
      <c r="R634" s="588"/>
    </row>
    <row r="635" spans="18:18">
      <c r="R635" s="588"/>
    </row>
    <row r="636" spans="18:18">
      <c r="R636" s="588"/>
    </row>
    <row r="637" spans="18:18">
      <c r="R637" s="588"/>
    </row>
    <row r="638" spans="18:18">
      <c r="R638" s="588"/>
    </row>
    <row r="639" spans="18:18">
      <c r="R639" s="588"/>
    </row>
    <row r="640" spans="18:18">
      <c r="R640" s="588"/>
    </row>
    <row r="641" spans="18:18">
      <c r="R641" s="588"/>
    </row>
    <row r="642" spans="18:18">
      <c r="R642" s="588"/>
    </row>
    <row r="643" spans="18:18">
      <c r="R643" s="588"/>
    </row>
    <row r="644" spans="18:18">
      <c r="R644" s="588"/>
    </row>
    <row r="645" spans="18:18">
      <c r="R645" s="588"/>
    </row>
    <row r="646" spans="18:18">
      <c r="R646" s="588"/>
    </row>
    <row r="647" spans="18:18">
      <c r="R647" s="588"/>
    </row>
    <row r="648" spans="18:18">
      <c r="R648" s="588"/>
    </row>
    <row r="649" spans="18:18">
      <c r="R649" s="588"/>
    </row>
    <row r="650" spans="18:18">
      <c r="R650" s="588"/>
    </row>
    <row r="651" spans="18:18">
      <c r="R651" s="588"/>
    </row>
    <row r="652" spans="18:18">
      <c r="R652" s="588"/>
    </row>
    <row r="653" spans="18:18">
      <c r="R653" s="588"/>
    </row>
    <row r="654" spans="18:18">
      <c r="R654" s="588"/>
    </row>
    <row r="655" spans="18:18">
      <c r="R655" s="588"/>
    </row>
    <row r="656" spans="18:18">
      <c r="R656" s="588"/>
    </row>
    <row r="657" spans="18:18">
      <c r="R657" s="588"/>
    </row>
    <row r="658" spans="18:18">
      <c r="R658" s="588"/>
    </row>
    <row r="659" spans="18:18">
      <c r="R659" s="588"/>
    </row>
    <row r="660" spans="18:18">
      <c r="R660" s="588"/>
    </row>
    <row r="661" spans="18:18">
      <c r="R661" s="588"/>
    </row>
    <row r="662" spans="18:18">
      <c r="R662" s="588"/>
    </row>
    <row r="663" spans="18:18">
      <c r="R663" s="588"/>
    </row>
    <row r="664" spans="18:18">
      <c r="R664" s="588"/>
    </row>
    <row r="665" spans="18:18">
      <c r="R665" s="588"/>
    </row>
    <row r="666" spans="18:18">
      <c r="R666" s="588"/>
    </row>
    <row r="667" spans="18:18">
      <c r="R667" s="588"/>
    </row>
    <row r="668" spans="18:18">
      <c r="R668" s="588"/>
    </row>
    <row r="669" spans="18:18">
      <c r="R669" s="588"/>
    </row>
    <row r="670" spans="18:18">
      <c r="R670" s="588"/>
    </row>
    <row r="671" spans="18:18">
      <c r="R671" s="588"/>
    </row>
    <row r="672" spans="18:18">
      <c r="R672" s="588"/>
    </row>
    <row r="673" spans="18:18">
      <c r="R673" s="588"/>
    </row>
    <row r="674" spans="18:18">
      <c r="R674" s="588"/>
    </row>
    <row r="675" spans="18:18">
      <c r="R675" s="588"/>
    </row>
    <row r="676" spans="18:18">
      <c r="R676" s="588"/>
    </row>
    <row r="677" spans="18:18">
      <c r="R677" s="588"/>
    </row>
    <row r="678" spans="18:18">
      <c r="R678" s="588"/>
    </row>
    <row r="679" spans="18:18">
      <c r="R679" s="588"/>
    </row>
    <row r="680" spans="18:18">
      <c r="R680" s="588"/>
    </row>
    <row r="681" spans="18:18">
      <c r="R681" s="588"/>
    </row>
    <row r="682" spans="18:18">
      <c r="R682" s="588"/>
    </row>
    <row r="683" spans="18:18">
      <c r="R683" s="588"/>
    </row>
    <row r="684" spans="18:18">
      <c r="R684" s="588"/>
    </row>
    <row r="685" spans="18:18">
      <c r="R685" s="588"/>
    </row>
    <row r="686" spans="18:18">
      <c r="R686" s="588"/>
    </row>
    <row r="687" spans="18:18">
      <c r="R687" s="588"/>
    </row>
    <row r="688" spans="18:18">
      <c r="R688" s="588"/>
    </row>
    <row r="689" spans="18:18">
      <c r="R689" s="588"/>
    </row>
    <row r="690" spans="18:18">
      <c r="R690" s="588"/>
    </row>
    <row r="691" spans="18:18">
      <c r="R691" s="588"/>
    </row>
    <row r="692" spans="18:18">
      <c r="R692" s="588"/>
    </row>
    <row r="693" spans="18:18">
      <c r="R693" s="588"/>
    </row>
    <row r="694" spans="18:18">
      <c r="R694" s="588"/>
    </row>
    <row r="695" spans="18:18">
      <c r="R695" s="588"/>
    </row>
    <row r="696" spans="18:18">
      <c r="R696" s="588"/>
    </row>
    <row r="697" spans="18:18">
      <c r="R697" s="588"/>
    </row>
    <row r="698" spans="18:18">
      <c r="R698" s="588"/>
    </row>
    <row r="699" spans="18:18">
      <c r="R699" s="588"/>
    </row>
    <row r="700" spans="18:18">
      <c r="R700" s="588"/>
    </row>
    <row r="701" spans="18:18">
      <c r="R701" s="588"/>
    </row>
    <row r="702" spans="18:18">
      <c r="R702" s="588"/>
    </row>
    <row r="703" spans="18:18">
      <c r="R703" s="588"/>
    </row>
    <row r="704" spans="18:18">
      <c r="R704" s="588"/>
    </row>
    <row r="705" spans="18:18">
      <c r="R705" s="588"/>
    </row>
    <row r="706" spans="18:18">
      <c r="R706" s="588"/>
    </row>
    <row r="707" spans="18:18">
      <c r="R707" s="588"/>
    </row>
    <row r="708" spans="18:18">
      <c r="R708" s="588"/>
    </row>
    <row r="709" spans="18:18">
      <c r="R709" s="588"/>
    </row>
    <row r="710" spans="18:18">
      <c r="R710" s="588"/>
    </row>
    <row r="711" spans="18:18">
      <c r="R711" s="588"/>
    </row>
    <row r="712" spans="18:18">
      <c r="R712" s="588"/>
    </row>
    <row r="713" spans="18:18">
      <c r="R713" s="588"/>
    </row>
    <row r="714" spans="18:18">
      <c r="R714" s="588"/>
    </row>
    <row r="715" spans="18:18">
      <c r="R715" s="588"/>
    </row>
    <row r="716" spans="18:18">
      <c r="R716" s="588"/>
    </row>
    <row r="717" spans="18:18">
      <c r="R717" s="588"/>
    </row>
    <row r="718" spans="18:18">
      <c r="R718" s="588"/>
    </row>
    <row r="719" spans="18:18">
      <c r="R719" s="588"/>
    </row>
    <row r="720" spans="18:18">
      <c r="R720" s="588"/>
    </row>
    <row r="721" spans="18:18">
      <c r="R721" s="588"/>
    </row>
    <row r="722" spans="18:18">
      <c r="R722" s="588"/>
    </row>
    <row r="723" spans="18:18">
      <c r="R723" s="588"/>
    </row>
    <row r="724" spans="18:18">
      <c r="R724" s="588"/>
    </row>
    <row r="725" spans="18:18">
      <c r="R725" s="588"/>
    </row>
    <row r="726" spans="18:18">
      <c r="R726" s="588"/>
    </row>
    <row r="727" spans="18:18">
      <c r="R727" s="588"/>
    </row>
    <row r="728" spans="18:18">
      <c r="R728" s="588"/>
    </row>
    <row r="729" spans="18:18">
      <c r="R729" s="588"/>
    </row>
    <row r="730" spans="18:18">
      <c r="R730" s="588"/>
    </row>
    <row r="731" spans="18:18">
      <c r="R731" s="588"/>
    </row>
    <row r="732" spans="18:18">
      <c r="R732" s="588"/>
    </row>
    <row r="733" spans="18:18">
      <c r="R733" s="588"/>
    </row>
    <row r="734" spans="18:18">
      <c r="R734" s="588"/>
    </row>
    <row r="735" spans="18:18">
      <c r="R735" s="588"/>
    </row>
    <row r="736" spans="18:18">
      <c r="R736" s="588"/>
    </row>
    <row r="737" spans="18:18">
      <c r="R737" s="588"/>
    </row>
    <row r="738" spans="18:18">
      <c r="R738" s="588"/>
    </row>
    <row r="739" spans="18:18">
      <c r="R739" s="588"/>
    </row>
    <row r="740" spans="18:18">
      <c r="R740" s="588"/>
    </row>
    <row r="741" spans="18:18">
      <c r="R741" s="588"/>
    </row>
    <row r="742" spans="18:18">
      <c r="R742" s="588"/>
    </row>
    <row r="743" spans="18:18">
      <c r="R743" s="588"/>
    </row>
    <row r="744" spans="18:18">
      <c r="R744" s="588"/>
    </row>
    <row r="745" spans="18:18">
      <c r="R745" s="588"/>
    </row>
    <row r="746" spans="18:18">
      <c r="R746" s="588"/>
    </row>
    <row r="747" spans="18:18">
      <c r="R747" s="588"/>
    </row>
    <row r="748" spans="18:18">
      <c r="R748" s="588"/>
    </row>
    <row r="749" spans="18:18">
      <c r="R749" s="588"/>
    </row>
    <row r="750" spans="18:18">
      <c r="R750" s="588"/>
    </row>
    <row r="751" spans="18:18">
      <c r="R751" s="588"/>
    </row>
    <row r="752" spans="18:18">
      <c r="R752" s="588"/>
    </row>
    <row r="753" spans="18:18">
      <c r="R753" s="588"/>
    </row>
    <row r="754" spans="18:18">
      <c r="R754" s="588"/>
    </row>
    <row r="755" spans="18:18">
      <c r="R755" s="588"/>
    </row>
    <row r="756" spans="18:18">
      <c r="R756" s="588"/>
    </row>
    <row r="757" spans="18:18">
      <c r="R757" s="588"/>
    </row>
    <row r="758" spans="18:18">
      <c r="R758" s="588"/>
    </row>
    <row r="759" spans="18:18">
      <c r="R759" s="588"/>
    </row>
    <row r="760" spans="18:18">
      <c r="R760" s="588"/>
    </row>
    <row r="761" spans="18:18">
      <c r="R761" s="588"/>
    </row>
    <row r="762" spans="18:18">
      <c r="R762" s="588"/>
    </row>
    <row r="763" spans="18:18">
      <c r="R763" s="588"/>
    </row>
    <row r="764" spans="18:18">
      <c r="R764" s="588"/>
    </row>
    <row r="765" spans="18:18">
      <c r="R765" s="588"/>
    </row>
    <row r="766" spans="18:18">
      <c r="R766" s="588"/>
    </row>
    <row r="767" spans="18:18">
      <c r="R767" s="588"/>
    </row>
    <row r="768" spans="18:18">
      <c r="R768" s="588"/>
    </row>
    <row r="769" spans="18:18">
      <c r="R769" s="588"/>
    </row>
    <row r="770" spans="18:18">
      <c r="R770" s="588"/>
    </row>
    <row r="771" spans="18:18">
      <c r="R771" s="588"/>
    </row>
    <row r="772" spans="18:18">
      <c r="R772" s="588"/>
    </row>
    <row r="773" spans="18:18">
      <c r="R773" s="588"/>
    </row>
    <row r="774" spans="18:18">
      <c r="R774" s="588"/>
    </row>
    <row r="775" spans="18:18">
      <c r="R775" s="588"/>
    </row>
    <row r="776" spans="18:18">
      <c r="R776" s="588"/>
    </row>
    <row r="777" spans="18:18">
      <c r="R777" s="588"/>
    </row>
    <row r="778" spans="18:18">
      <c r="R778" s="588"/>
    </row>
    <row r="779" spans="18:18">
      <c r="R779" s="588"/>
    </row>
    <row r="780" spans="18:18">
      <c r="R780" s="588"/>
    </row>
    <row r="781" spans="18:18">
      <c r="R781" s="588"/>
    </row>
    <row r="782" spans="18:18">
      <c r="R782" s="588"/>
    </row>
    <row r="783" spans="18:18">
      <c r="R783" s="588"/>
    </row>
    <row r="784" spans="18:18">
      <c r="R784" s="588"/>
    </row>
    <row r="785" spans="18:18">
      <c r="R785" s="588"/>
    </row>
    <row r="786" spans="18:18">
      <c r="R786" s="588"/>
    </row>
    <row r="787" spans="18:18">
      <c r="R787" s="588"/>
    </row>
    <row r="788" spans="18:18">
      <c r="R788" s="588"/>
    </row>
    <row r="789" spans="18:18">
      <c r="R789" s="588"/>
    </row>
    <row r="790" spans="18:18">
      <c r="R790" s="588"/>
    </row>
    <row r="791" spans="18:18">
      <c r="R791" s="588"/>
    </row>
    <row r="792" spans="18:18">
      <c r="R792" s="588"/>
    </row>
    <row r="793" spans="18:18">
      <c r="R793" s="588"/>
    </row>
    <row r="794" spans="18:18">
      <c r="R794" s="588"/>
    </row>
    <row r="795" spans="18:18">
      <c r="R795" s="588"/>
    </row>
    <row r="796" spans="18:18">
      <c r="R796" s="588"/>
    </row>
    <row r="797" spans="18:18">
      <c r="R797" s="588"/>
    </row>
    <row r="798" spans="18:18">
      <c r="R798" s="588"/>
    </row>
    <row r="799" spans="18:18">
      <c r="R799" s="588"/>
    </row>
    <row r="800" spans="18:18">
      <c r="R800" s="588"/>
    </row>
    <row r="801" spans="18:18">
      <c r="R801" s="588"/>
    </row>
    <row r="802" spans="18:18">
      <c r="R802" s="588"/>
    </row>
    <row r="803" spans="18:18">
      <c r="R803" s="588"/>
    </row>
    <row r="804" spans="18:18">
      <c r="R804" s="588"/>
    </row>
    <row r="805" spans="18:18">
      <c r="R805" s="588"/>
    </row>
    <row r="806" spans="18:18">
      <c r="R806" s="588"/>
    </row>
    <row r="807" spans="18:18">
      <c r="R807" s="588"/>
    </row>
    <row r="808" spans="18:18">
      <c r="R808" s="588"/>
    </row>
    <row r="809" spans="18:18">
      <c r="R809" s="588"/>
    </row>
    <row r="810" spans="18:18">
      <c r="R810" s="588"/>
    </row>
    <row r="811" spans="18:18">
      <c r="R811" s="588"/>
    </row>
    <row r="812" spans="18:18">
      <c r="R812" s="588"/>
    </row>
    <row r="813" spans="18:18">
      <c r="R813" s="588"/>
    </row>
    <row r="814" spans="18:18">
      <c r="R814" s="588"/>
    </row>
    <row r="815" spans="18:18">
      <c r="R815" s="588"/>
    </row>
    <row r="816" spans="18:18">
      <c r="R816" s="588"/>
    </row>
    <row r="817" spans="18:18">
      <c r="R817" s="588"/>
    </row>
    <row r="818" spans="18:18">
      <c r="R818" s="588"/>
    </row>
    <row r="819" spans="18:18">
      <c r="R819" s="588"/>
    </row>
    <row r="820" spans="18:18">
      <c r="R820" s="588"/>
    </row>
    <row r="821" spans="18:18">
      <c r="R821" s="588"/>
    </row>
    <row r="822" spans="18:18">
      <c r="R822" s="588"/>
    </row>
    <row r="823" spans="18:18">
      <c r="R823" s="588"/>
    </row>
    <row r="824" spans="18:18">
      <c r="R824" s="588"/>
    </row>
    <row r="825" spans="18:18">
      <c r="R825" s="588"/>
    </row>
    <row r="826" spans="18:18">
      <c r="R826" s="588"/>
    </row>
    <row r="827" spans="18:18">
      <c r="R827" s="588"/>
    </row>
    <row r="828" spans="18:18">
      <c r="R828" s="588"/>
    </row>
    <row r="829" spans="18:18">
      <c r="R829" s="588"/>
    </row>
    <row r="830" spans="18:18">
      <c r="R830" s="588"/>
    </row>
    <row r="831" spans="18:18">
      <c r="R831" s="588"/>
    </row>
    <row r="832" spans="18:18">
      <c r="R832" s="588"/>
    </row>
    <row r="833" spans="18:18">
      <c r="R833" s="588"/>
    </row>
    <row r="834" spans="18:18">
      <c r="R834" s="588"/>
    </row>
    <row r="835" spans="18:18">
      <c r="R835" s="588"/>
    </row>
    <row r="836" spans="18:18">
      <c r="R836" s="588"/>
    </row>
    <row r="837" spans="18:18">
      <c r="R837" s="588"/>
    </row>
    <row r="838" spans="18:18">
      <c r="R838" s="588"/>
    </row>
    <row r="839" spans="18:18">
      <c r="R839" s="588"/>
    </row>
    <row r="840" spans="18:18">
      <c r="R840" s="588"/>
    </row>
    <row r="841" spans="18:18">
      <c r="R841" s="588"/>
    </row>
    <row r="842" spans="18:18">
      <c r="R842" s="588"/>
    </row>
    <row r="843" spans="18:18">
      <c r="R843" s="588"/>
    </row>
    <row r="844" spans="18:18">
      <c r="R844" s="588"/>
    </row>
    <row r="845" spans="18:18">
      <c r="R845" s="588"/>
    </row>
    <row r="846" spans="18:18">
      <c r="R846" s="588"/>
    </row>
    <row r="847" spans="18:18">
      <c r="R847" s="588"/>
    </row>
    <row r="848" spans="18:18">
      <c r="R848" s="588"/>
    </row>
    <row r="849" spans="18:18">
      <c r="R849" s="588"/>
    </row>
    <row r="850" spans="18:18">
      <c r="R850" s="588"/>
    </row>
    <row r="851" spans="18:18">
      <c r="R851" s="588"/>
    </row>
    <row r="852" spans="18:18">
      <c r="R852" s="588"/>
    </row>
    <row r="853" spans="18:18">
      <c r="R853" s="588"/>
    </row>
    <row r="854" spans="18:18">
      <c r="R854" s="588"/>
    </row>
    <row r="855" spans="18:18">
      <c r="R855" s="588"/>
    </row>
    <row r="856" spans="18:18">
      <c r="R856" s="588"/>
    </row>
    <row r="857" spans="18:18">
      <c r="R857" s="588"/>
    </row>
    <row r="858" spans="18:18">
      <c r="R858" s="588"/>
    </row>
    <row r="859" spans="18:18">
      <c r="R859" s="588"/>
    </row>
    <row r="860" spans="18:18">
      <c r="R860" s="588"/>
    </row>
    <row r="861" spans="18:18">
      <c r="R861" s="588"/>
    </row>
    <row r="862" spans="18:18">
      <c r="R862" s="588"/>
    </row>
    <row r="863" spans="18:18">
      <c r="R863" s="588"/>
    </row>
    <row r="864" spans="18:18">
      <c r="R864" s="588"/>
    </row>
    <row r="865" spans="18:18">
      <c r="R865" s="588"/>
    </row>
    <row r="866" spans="18:18">
      <c r="R866" s="588"/>
    </row>
    <row r="867" spans="18:18">
      <c r="R867" s="588"/>
    </row>
    <row r="868" spans="18:18">
      <c r="R868" s="588"/>
    </row>
    <row r="869" spans="18:18">
      <c r="R869" s="588"/>
    </row>
    <row r="870" spans="18:18">
      <c r="R870" s="588"/>
    </row>
    <row r="871" spans="18:18">
      <c r="R871" s="588"/>
    </row>
    <row r="872" spans="18:18">
      <c r="R872" s="588"/>
    </row>
    <row r="873" spans="18:18">
      <c r="R873" s="588"/>
    </row>
    <row r="874" spans="18:18">
      <c r="R874" s="588"/>
    </row>
    <row r="875" spans="18:18">
      <c r="R875" s="588"/>
    </row>
    <row r="876" spans="18:18">
      <c r="R876" s="588"/>
    </row>
    <row r="877" spans="18:18">
      <c r="R877" s="588"/>
    </row>
    <row r="878" spans="18:18">
      <c r="R878" s="588"/>
    </row>
    <row r="879" spans="18:18">
      <c r="R879" s="588"/>
    </row>
    <row r="880" spans="18:18">
      <c r="R880" s="588"/>
    </row>
    <row r="881" spans="18:18">
      <c r="R881" s="588"/>
    </row>
    <row r="882" spans="18:18">
      <c r="R882" s="588"/>
    </row>
    <row r="883" spans="18:18">
      <c r="R883" s="588"/>
    </row>
    <row r="884" spans="18:18">
      <c r="R884" s="588"/>
    </row>
    <row r="885" spans="18:18">
      <c r="R885" s="588"/>
    </row>
    <row r="886" spans="18:18">
      <c r="R886" s="588"/>
    </row>
    <row r="887" spans="18:18">
      <c r="R887" s="588"/>
    </row>
    <row r="888" spans="18:18">
      <c r="R888" s="588"/>
    </row>
    <row r="889" spans="18:18">
      <c r="R889" s="588"/>
    </row>
    <row r="890" spans="18:18">
      <c r="R890" s="588"/>
    </row>
    <row r="891" spans="18:18">
      <c r="R891" s="588"/>
    </row>
    <row r="892" spans="18:18">
      <c r="R892" s="588"/>
    </row>
    <row r="893" spans="18:18">
      <c r="R893" s="588"/>
    </row>
    <row r="894" spans="18:18">
      <c r="R894" s="588"/>
    </row>
    <row r="895" spans="18:18">
      <c r="R895" s="588"/>
    </row>
    <row r="896" spans="18:18">
      <c r="R896" s="588"/>
    </row>
    <row r="897" spans="18:18">
      <c r="R897" s="588"/>
    </row>
    <row r="898" spans="18:18">
      <c r="R898" s="588"/>
    </row>
    <row r="899" spans="18:18">
      <c r="R899" s="588"/>
    </row>
    <row r="900" spans="18:18">
      <c r="R900" s="588"/>
    </row>
    <row r="901" spans="18:18">
      <c r="R901" s="588"/>
    </row>
    <row r="902" spans="18:18">
      <c r="R902" s="588"/>
    </row>
    <row r="903" spans="18:18">
      <c r="R903" s="588"/>
    </row>
    <row r="904" spans="18:18">
      <c r="R904" s="588"/>
    </row>
    <row r="905" spans="18:18">
      <c r="R905" s="588"/>
    </row>
    <row r="906" spans="18:18">
      <c r="R906" s="588"/>
    </row>
    <row r="907" spans="18:18">
      <c r="R907" s="588"/>
    </row>
    <row r="908" spans="18:18">
      <c r="R908" s="588"/>
    </row>
    <row r="909" spans="18:18">
      <c r="R909" s="588"/>
    </row>
    <row r="910" spans="18:18">
      <c r="R910" s="588"/>
    </row>
    <row r="911" spans="18:18">
      <c r="R911" s="588"/>
    </row>
    <row r="912" spans="18:18">
      <c r="R912" s="588"/>
    </row>
    <row r="913" spans="18:18">
      <c r="R913" s="588"/>
    </row>
    <row r="914" spans="18:18">
      <c r="R914" s="588"/>
    </row>
    <row r="915" spans="18:18">
      <c r="R915" s="588"/>
    </row>
    <row r="916" spans="18:18">
      <c r="R916" s="588"/>
    </row>
    <row r="917" spans="18:18">
      <c r="R917" s="588"/>
    </row>
    <row r="918" spans="18:18">
      <c r="R918" s="588"/>
    </row>
    <row r="919" spans="18:18">
      <c r="R919" s="588"/>
    </row>
    <row r="920" spans="18:18">
      <c r="R920" s="588"/>
    </row>
    <row r="921" spans="18:18">
      <c r="R921" s="588"/>
    </row>
    <row r="922" spans="18:18">
      <c r="R922" s="588"/>
    </row>
    <row r="923" spans="18:18">
      <c r="R923" s="588"/>
    </row>
    <row r="924" spans="18:18">
      <c r="R924" s="588"/>
    </row>
    <row r="925" spans="18:18">
      <c r="R925" s="588"/>
    </row>
    <row r="926" spans="18:18">
      <c r="R926" s="588"/>
    </row>
    <row r="927" spans="18:18">
      <c r="R927" s="588"/>
    </row>
    <row r="928" spans="18:18">
      <c r="R928" s="588"/>
    </row>
    <row r="929" spans="18:18">
      <c r="R929" s="588"/>
    </row>
    <row r="930" spans="18:18">
      <c r="R930" s="588"/>
    </row>
    <row r="931" spans="18:18">
      <c r="R931" s="588"/>
    </row>
    <row r="932" spans="18:18">
      <c r="R932" s="588"/>
    </row>
    <row r="933" spans="18:18">
      <c r="R933" s="588"/>
    </row>
    <row r="934" spans="18:18">
      <c r="R934" s="588"/>
    </row>
    <row r="935" spans="18:18">
      <c r="R935" s="588"/>
    </row>
    <row r="936" spans="18:18">
      <c r="R936" s="588"/>
    </row>
    <row r="937" spans="18:18">
      <c r="R937" s="588"/>
    </row>
    <row r="938" spans="18:18">
      <c r="R938" s="588"/>
    </row>
    <row r="939" spans="18:18">
      <c r="R939" s="588"/>
    </row>
    <row r="940" spans="18:18">
      <c r="R940" s="588"/>
    </row>
    <row r="941" spans="18:18">
      <c r="R941" s="588"/>
    </row>
    <row r="942" spans="18:18">
      <c r="R942" s="588"/>
    </row>
    <row r="943" spans="18:18">
      <c r="R943" s="588"/>
    </row>
    <row r="944" spans="18:18">
      <c r="R944" s="588"/>
    </row>
    <row r="945" spans="18:18">
      <c r="R945" s="588"/>
    </row>
    <row r="946" spans="18:18">
      <c r="R946" s="588"/>
    </row>
    <row r="947" spans="18:18">
      <c r="R947" s="588"/>
    </row>
    <row r="948" spans="18:18">
      <c r="R948" s="588"/>
    </row>
    <row r="949" spans="18:18">
      <c r="R949" s="588"/>
    </row>
    <row r="950" spans="18:18">
      <c r="R950" s="588"/>
    </row>
    <row r="951" spans="18:18">
      <c r="R951" s="588"/>
    </row>
    <row r="952" spans="18:18">
      <c r="R952" s="588"/>
    </row>
    <row r="953" spans="18:18">
      <c r="R953" s="588"/>
    </row>
    <row r="954" spans="18:18">
      <c r="R954" s="588"/>
    </row>
    <row r="955" spans="18:18">
      <c r="R955" s="588"/>
    </row>
    <row r="956" spans="18:18">
      <c r="R956" s="588"/>
    </row>
    <row r="957" spans="18:18">
      <c r="R957" s="588"/>
    </row>
    <row r="958" spans="18:18">
      <c r="R958" s="588"/>
    </row>
    <row r="959" spans="18:18">
      <c r="R959" s="588"/>
    </row>
    <row r="960" spans="18:18">
      <c r="R960" s="588"/>
    </row>
    <row r="961" spans="18:18">
      <c r="R961" s="588"/>
    </row>
    <row r="962" spans="18:18">
      <c r="R962" s="588"/>
    </row>
    <row r="963" spans="18:18">
      <c r="R963" s="588"/>
    </row>
    <row r="964" spans="18:18">
      <c r="R964" s="588"/>
    </row>
    <row r="965" spans="18:18">
      <c r="R965" s="588"/>
    </row>
    <row r="966" spans="18:18">
      <c r="R966" s="588"/>
    </row>
    <row r="967" spans="18:18">
      <c r="R967" s="588"/>
    </row>
    <row r="968" spans="18:18">
      <c r="R968" s="588"/>
    </row>
    <row r="969" spans="18:18">
      <c r="R969" s="588"/>
    </row>
    <row r="970" spans="18:18">
      <c r="R970" s="588"/>
    </row>
    <row r="971" spans="18:18">
      <c r="R971" s="588"/>
    </row>
    <row r="972" spans="18:18">
      <c r="R972" s="588"/>
    </row>
    <row r="973" spans="18:18">
      <c r="R973" s="588"/>
    </row>
    <row r="974" spans="18:18">
      <c r="R974" s="588"/>
    </row>
    <row r="975" spans="18:18">
      <c r="R975" s="588"/>
    </row>
    <row r="976" spans="18:18">
      <c r="R976" s="588"/>
    </row>
    <row r="977" spans="18:18">
      <c r="R977" s="588"/>
    </row>
    <row r="978" spans="18:18">
      <c r="R978" s="588"/>
    </row>
    <row r="979" spans="18:18">
      <c r="R979" s="588"/>
    </row>
    <row r="980" spans="18:18">
      <c r="R980" s="588"/>
    </row>
    <row r="981" spans="18:18">
      <c r="R981" s="588"/>
    </row>
    <row r="982" spans="18:18">
      <c r="R982" s="588"/>
    </row>
    <row r="983" spans="18:18">
      <c r="R983" s="588"/>
    </row>
    <row r="984" spans="18:18">
      <c r="R984" s="588"/>
    </row>
    <row r="985" spans="18:18">
      <c r="R985" s="588"/>
    </row>
    <row r="986" spans="18:18">
      <c r="R986" s="588"/>
    </row>
    <row r="987" spans="18:18">
      <c r="R987" s="588"/>
    </row>
    <row r="988" spans="18:18">
      <c r="R988" s="588"/>
    </row>
    <row r="989" spans="18:18">
      <c r="R989" s="588"/>
    </row>
    <row r="990" spans="18:18">
      <c r="R990" s="588"/>
    </row>
    <row r="991" spans="18:18">
      <c r="R991" s="588"/>
    </row>
    <row r="992" spans="18:18">
      <c r="R992" s="588"/>
    </row>
    <row r="993" spans="18:18">
      <c r="R993" s="588"/>
    </row>
    <row r="994" spans="18:18">
      <c r="R994" s="588"/>
    </row>
    <row r="995" spans="18:18">
      <c r="R995" s="588"/>
    </row>
    <row r="996" spans="18:18">
      <c r="R996" s="588"/>
    </row>
    <row r="997" spans="18:18">
      <c r="R997" s="588"/>
    </row>
    <row r="998" spans="18:18">
      <c r="R998" s="588"/>
    </row>
    <row r="999" spans="18:18">
      <c r="R999" s="588"/>
    </row>
    <row r="1000" spans="18:18">
      <c r="R1000" s="588"/>
    </row>
    <row r="1001" spans="18:18">
      <c r="R1001" s="588"/>
    </row>
    <row r="1002" spans="18:18">
      <c r="R1002" s="588"/>
    </row>
    <row r="1003" spans="18:18">
      <c r="R1003" s="588"/>
    </row>
    <row r="1004" spans="18:18">
      <c r="R1004" s="588"/>
    </row>
    <row r="1005" spans="18:18">
      <c r="R1005" s="588"/>
    </row>
    <row r="1006" spans="18:18">
      <c r="R1006" s="588"/>
    </row>
    <row r="1007" spans="18:18">
      <c r="R1007" s="588"/>
    </row>
    <row r="1008" spans="18:18">
      <c r="R1008" s="588"/>
    </row>
    <row r="1009" spans="18:18">
      <c r="R1009" s="588"/>
    </row>
    <row r="1010" spans="18:18">
      <c r="R1010" s="588"/>
    </row>
    <row r="1011" spans="18:18">
      <c r="R1011" s="588"/>
    </row>
    <row r="1012" spans="18:18">
      <c r="R1012" s="588"/>
    </row>
    <row r="1013" spans="18:18">
      <c r="R1013" s="588"/>
    </row>
    <row r="1014" spans="18:18">
      <c r="R1014" s="588"/>
    </row>
    <row r="1015" spans="18:18">
      <c r="R1015" s="588"/>
    </row>
    <row r="1016" spans="18:18">
      <c r="R1016" s="588"/>
    </row>
    <row r="1017" spans="18:18">
      <c r="R1017" s="588"/>
    </row>
    <row r="1018" spans="18:18">
      <c r="R1018" s="588"/>
    </row>
    <row r="1019" spans="18:18">
      <c r="R1019" s="588"/>
    </row>
    <row r="1020" spans="18:18">
      <c r="R1020" s="588"/>
    </row>
    <row r="1021" spans="18:18">
      <c r="R1021" s="588"/>
    </row>
    <row r="1022" spans="18:18">
      <c r="R1022" s="588"/>
    </row>
    <row r="1023" spans="18:18">
      <c r="R1023" s="588"/>
    </row>
    <row r="1024" spans="18:18">
      <c r="R1024" s="588"/>
    </row>
    <row r="1025" spans="18:18">
      <c r="R1025" s="588"/>
    </row>
    <row r="1026" spans="18:18">
      <c r="R1026" s="588"/>
    </row>
    <row r="1027" spans="18:18">
      <c r="R1027" s="588"/>
    </row>
    <row r="1028" spans="18:18">
      <c r="R1028" s="588"/>
    </row>
    <row r="1029" spans="18:18">
      <c r="R1029" s="588"/>
    </row>
    <row r="1030" spans="18:18">
      <c r="R1030" s="588"/>
    </row>
    <row r="1031" spans="18:18">
      <c r="R1031" s="588"/>
    </row>
    <row r="1032" spans="18:18">
      <c r="R1032" s="588"/>
    </row>
    <row r="1033" spans="18:18">
      <c r="R1033" s="588"/>
    </row>
    <row r="1034" spans="18:18">
      <c r="R1034" s="588"/>
    </row>
    <row r="1035" spans="18:18">
      <c r="R1035" s="588"/>
    </row>
    <row r="1036" spans="18:18">
      <c r="R1036" s="588"/>
    </row>
    <row r="1037" spans="18:18">
      <c r="R1037" s="588"/>
    </row>
    <row r="1038" spans="18:18">
      <c r="R1038" s="588"/>
    </row>
    <row r="1039" spans="18:18">
      <c r="R1039" s="588"/>
    </row>
    <row r="1040" spans="18:18">
      <c r="R1040" s="588"/>
    </row>
    <row r="1041" spans="18:18">
      <c r="R1041" s="588"/>
    </row>
    <row r="1042" spans="18:18">
      <c r="R1042" s="588"/>
    </row>
    <row r="1043" spans="18:18">
      <c r="R1043" s="588"/>
    </row>
    <row r="1044" spans="18:18">
      <c r="R1044" s="588"/>
    </row>
    <row r="1045" spans="18:18">
      <c r="R1045" s="588"/>
    </row>
    <row r="1046" spans="18:18">
      <c r="R1046" s="588"/>
    </row>
    <row r="1047" spans="18:18">
      <c r="R1047" s="588"/>
    </row>
    <row r="1048" spans="18:18">
      <c r="R1048" s="588"/>
    </row>
    <row r="1049" spans="18:18">
      <c r="R1049" s="588"/>
    </row>
    <row r="1050" spans="18:18">
      <c r="R1050" s="588"/>
    </row>
    <row r="1051" spans="18:18">
      <c r="R1051" s="588"/>
    </row>
    <row r="1052" spans="18:18">
      <c r="R1052" s="588"/>
    </row>
    <row r="1053" spans="18:18">
      <c r="R1053" s="588"/>
    </row>
    <row r="1054" spans="18:18">
      <c r="R1054" s="588"/>
    </row>
    <row r="1055" spans="18:18">
      <c r="R1055" s="588"/>
    </row>
    <row r="1056" spans="18:18">
      <c r="R1056" s="588"/>
    </row>
    <row r="1057" spans="18:18">
      <c r="R1057" s="588"/>
    </row>
    <row r="1058" spans="18:18">
      <c r="R1058" s="588"/>
    </row>
    <row r="1059" spans="18:18">
      <c r="R1059" s="588"/>
    </row>
    <row r="1060" spans="18:18">
      <c r="R1060" s="588"/>
    </row>
    <row r="1061" spans="18:18">
      <c r="R1061" s="588"/>
    </row>
    <row r="1062" spans="18:18">
      <c r="R1062" s="588"/>
    </row>
    <row r="1063" spans="18:18">
      <c r="R1063" s="588"/>
    </row>
    <row r="1064" spans="18:18">
      <c r="R1064" s="588"/>
    </row>
    <row r="1065" spans="18:18">
      <c r="R1065" s="588"/>
    </row>
    <row r="1066" spans="18:18">
      <c r="R1066" s="588"/>
    </row>
    <row r="1067" spans="18:18">
      <c r="R1067" s="588"/>
    </row>
    <row r="1068" spans="18:18">
      <c r="R1068" s="588"/>
    </row>
    <row r="1069" spans="18:18">
      <c r="R1069" s="588"/>
    </row>
    <row r="1070" spans="18:18">
      <c r="R1070" s="588"/>
    </row>
    <row r="1071" spans="18:18">
      <c r="R1071" s="588"/>
    </row>
    <row r="1072" spans="18:18">
      <c r="R1072" s="588"/>
    </row>
    <row r="1073" spans="18:18">
      <c r="R1073" s="588"/>
    </row>
    <row r="1074" spans="18:18">
      <c r="R1074" s="588"/>
    </row>
    <row r="1075" spans="18:18">
      <c r="R1075" s="588"/>
    </row>
    <row r="1076" spans="18:18">
      <c r="R1076" s="588"/>
    </row>
    <row r="1077" spans="18:18">
      <c r="R1077" s="588"/>
    </row>
    <row r="1078" spans="18:18">
      <c r="R1078" s="588"/>
    </row>
    <row r="1079" spans="18:18">
      <c r="R1079" s="588"/>
    </row>
    <row r="1080" spans="18:18">
      <c r="R1080" s="588"/>
    </row>
    <row r="1081" spans="18:18">
      <c r="R1081" s="588"/>
    </row>
    <row r="1082" spans="18:18">
      <c r="R1082" s="588"/>
    </row>
    <row r="1083" spans="18:18">
      <c r="R1083" s="588"/>
    </row>
    <row r="1084" spans="18:18">
      <c r="R1084" s="588"/>
    </row>
    <row r="1085" spans="18:18">
      <c r="R1085" s="588"/>
    </row>
    <row r="1086" spans="18:18">
      <c r="R1086" s="588"/>
    </row>
    <row r="1087" spans="18:18">
      <c r="R1087" s="588"/>
    </row>
    <row r="1088" spans="18:18">
      <c r="R1088" s="588"/>
    </row>
    <row r="1089" spans="18:18">
      <c r="R1089" s="588"/>
    </row>
    <row r="1090" spans="18:18">
      <c r="R1090" s="588"/>
    </row>
    <row r="1091" spans="18:18">
      <c r="R1091" s="588"/>
    </row>
    <row r="1092" spans="18:18">
      <c r="R1092" s="588"/>
    </row>
    <row r="1093" spans="18:18">
      <c r="R1093" s="588"/>
    </row>
    <row r="1094" spans="18:18">
      <c r="R1094" s="588"/>
    </row>
    <row r="1095" spans="18:18">
      <c r="R1095" s="588"/>
    </row>
    <row r="1096" spans="18:18">
      <c r="R1096" s="588"/>
    </row>
    <row r="1097" spans="18:18">
      <c r="R1097" s="588"/>
    </row>
    <row r="1098" spans="18:18">
      <c r="R1098" s="588"/>
    </row>
    <row r="1099" spans="18:18">
      <c r="R1099" s="588"/>
    </row>
    <row r="1100" spans="18:18">
      <c r="R1100" s="588"/>
    </row>
    <row r="1101" spans="18:18">
      <c r="R1101" s="588"/>
    </row>
    <row r="1102" spans="18:18">
      <c r="R1102" s="588"/>
    </row>
    <row r="1103" spans="18:18">
      <c r="R1103" s="588"/>
    </row>
    <row r="1104" spans="18:18">
      <c r="R1104" s="588"/>
    </row>
    <row r="1105" spans="18:18">
      <c r="R1105" s="588"/>
    </row>
    <row r="1106" spans="18:18">
      <c r="R1106" s="588"/>
    </row>
    <row r="1107" spans="18:18">
      <c r="R1107" s="588"/>
    </row>
    <row r="1108" spans="18:18">
      <c r="R1108" s="588"/>
    </row>
    <row r="1109" spans="18:18">
      <c r="R1109" s="588"/>
    </row>
    <row r="1110" spans="18:18">
      <c r="R1110" s="588"/>
    </row>
    <row r="1111" spans="18:18">
      <c r="R1111" s="588"/>
    </row>
    <row r="1112" spans="18:18">
      <c r="R1112" s="588"/>
    </row>
    <row r="1113" spans="18:18">
      <c r="R1113" s="588"/>
    </row>
    <row r="1114" spans="18:18">
      <c r="R1114" s="588"/>
    </row>
    <row r="1115" spans="18:18">
      <c r="R1115" s="588"/>
    </row>
    <row r="1116" spans="18:18">
      <c r="R1116" s="588"/>
    </row>
    <row r="1117" spans="18:18">
      <c r="R1117" s="588"/>
    </row>
    <row r="1118" spans="18:18">
      <c r="R1118" s="588"/>
    </row>
    <row r="1119" spans="18:18">
      <c r="R1119" s="588"/>
    </row>
    <row r="1120" spans="18:18">
      <c r="R1120" s="588"/>
    </row>
    <row r="1121" spans="18:18">
      <c r="R1121" s="588"/>
    </row>
    <row r="1122" spans="18:18">
      <c r="R1122" s="588"/>
    </row>
    <row r="1123" spans="18:18">
      <c r="R1123" s="588"/>
    </row>
    <row r="1124" spans="18:18">
      <c r="R1124" s="588"/>
    </row>
    <row r="1125" spans="18:18">
      <c r="R1125" s="588"/>
    </row>
    <row r="1126" spans="18:18">
      <c r="R1126" s="588"/>
    </row>
    <row r="1127" spans="18:18">
      <c r="R1127" s="588"/>
    </row>
    <row r="1128" spans="18:18">
      <c r="R1128" s="588"/>
    </row>
    <row r="1129" spans="18:18">
      <c r="R1129" s="588"/>
    </row>
    <row r="1130" spans="18:18">
      <c r="R1130" s="588"/>
    </row>
    <row r="1131" spans="18:18">
      <c r="R1131" s="588"/>
    </row>
    <row r="1132" spans="18:18">
      <c r="R1132" s="588"/>
    </row>
    <row r="1133" spans="18:18">
      <c r="R1133" s="588"/>
    </row>
    <row r="1134" spans="18:18">
      <c r="R1134" s="588"/>
    </row>
    <row r="1135" spans="18:18">
      <c r="R1135" s="588"/>
    </row>
    <row r="1136" spans="18:18">
      <c r="R1136" s="588"/>
    </row>
    <row r="1137" spans="18:18">
      <c r="R1137" s="588"/>
    </row>
    <row r="1138" spans="18:18">
      <c r="R1138" s="588"/>
    </row>
    <row r="1139" spans="18:18">
      <c r="R1139" s="588"/>
    </row>
    <row r="1140" spans="18:18">
      <c r="R1140" s="588"/>
    </row>
    <row r="1141" spans="18:18">
      <c r="R1141" s="588"/>
    </row>
    <row r="1142" spans="18:18">
      <c r="R1142" s="588"/>
    </row>
    <row r="1143" spans="18:18">
      <c r="R1143" s="588"/>
    </row>
    <row r="1144" spans="18:18">
      <c r="R1144" s="588"/>
    </row>
    <row r="1145" spans="18:18">
      <c r="R1145" s="588"/>
    </row>
    <row r="1146" spans="18:18">
      <c r="R1146" s="588"/>
    </row>
    <row r="1147" spans="18:18">
      <c r="R1147" s="588"/>
    </row>
    <row r="1148" spans="18:18">
      <c r="R1148" s="588"/>
    </row>
    <row r="1149" spans="18:18">
      <c r="R1149" s="588"/>
    </row>
    <row r="1150" spans="18:18">
      <c r="R1150" s="588"/>
    </row>
    <row r="1151" spans="18:18">
      <c r="R1151" s="588"/>
    </row>
    <row r="1152" spans="18:18">
      <c r="R1152" s="588"/>
    </row>
    <row r="1153" spans="18:18">
      <c r="R1153" s="588"/>
    </row>
    <row r="1154" spans="18:18">
      <c r="R1154" s="588"/>
    </row>
    <row r="1155" spans="18:18">
      <c r="R1155" s="588"/>
    </row>
    <row r="1156" spans="18:18">
      <c r="R1156" s="588"/>
    </row>
    <row r="1157" spans="18:18">
      <c r="R1157" s="588"/>
    </row>
    <row r="1158" spans="18:18">
      <c r="R1158" s="588"/>
    </row>
    <row r="1159" spans="18:18">
      <c r="R1159" s="588"/>
    </row>
    <row r="1160" spans="18:18">
      <c r="R1160" s="588"/>
    </row>
    <row r="1161" spans="18:18">
      <c r="R1161" s="588"/>
    </row>
    <row r="1162" spans="18:18">
      <c r="R1162" s="588"/>
    </row>
    <row r="1163" spans="18:18">
      <c r="R1163" s="588"/>
    </row>
    <row r="1164" spans="18:18">
      <c r="R1164" s="588"/>
    </row>
    <row r="1165" spans="18:18">
      <c r="R1165" s="588"/>
    </row>
    <row r="1166" spans="18:18">
      <c r="R1166" s="588"/>
    </row>
    <row r="1167" spans="18:18">
      <c r="R1167" s="588"/>
    </row>
    <row r="1168" spans="18:18">
      <c r="R1168" s="588"/>
    </row>
    <row r="1169" spans="18:18">
      <c r="R1169" s="588"/>
    </row>
    <row r="1170" spans="18:18">
      <c r="R1170" s="588"/>
    </row>
    <row r="1171" spans="18:18">
      <c r="R1171" s="588"/>
    </row>
    <row r="1172" spans="18:18">
      <c r="R1172" s="588"/>
    </row>
    <row r="1173" spans="18:18">
      <c r="R1173" s="588"/>
    </row>
    <row r="1174" spans="18:18">
      <c r="R1174" s="588"/>
    </row>
    <row r="1175" spans="18:18">
      <c r="R1175" s="588"/>
    </row>
    <row r="1176" spans="18:18">
      <c r="R1176" s="588"/>
    </row>
    <row r="1177" spans="18:18">
      <c r="R1177" s="588"/>
    </row>
    <row r="1178" spans="18:18">
      <c r="R1178" s="588"/>
    </row>
    <row r="1179" spans="18:18">
      <c r="R1179" s="588"/>
    </row>
    <row r="1180" spans="18:18">
      <c r="R1180" s="588"/>
    </row>
    <row r="1181" spans="18:18">
      <c r="R1181" s="588"/>
    </row>
    <row r="1182" spans="18:18">
      <c r="R1182" s="588"/>
    </row>
    <row r="1183" spans="18:18">
      <c r="R1183" s="588"/>
    </row>
    <row r="1184" spans="18:18">
      <c r="R1184" s="588"/>
    </row>
    <row r="1185" spans="18:18">
      <c r="R1185" s="588"/>
    </row>
    <row r="1186" spans="18:18">
      <c r="R1186" s="588"/>
    </row>
    <row r="1187" spans="18:18">
      <c r="R1187" s="588"/>
    </row>
    <row r="1188" spans="18:18">
      <c r="R1188" s="588"/>
    </row>
    <row r="1189" spans="18:18">
      <c r="R1189" s="588"/>
    </row>
    <row r="1190" spans="18:18">
      <c r="R1190" s="588"/>
    </row>
    <row r="1191" spans="18:18">
      <c r="R1191" s="588"/>
    </row>
    <row r="1192" spans="18:18">
      <c r="R1192" s="588"/>
    </row>
    <row r="1193" spans="18:18">
      <c r="R1193" s="588"/>
    </row>
    <row r="1194" spans="18:18">
      <c r="R1194" s="588"/>
    </row>
    <row r="1195" spans="18:18">
      <c r="R1195" s="588"/>
    </row>
    <row r="1196" spans="18:18">
      <c r="R1196" s="588"/>
    </row>
    <row r="1197" spans="18:18">
      <c r="R1197" s="588"/>
    </row>
    <row r="1198" spans="18:18">
      <c r="R1198" s="588"/>
    </row>
    <row r="1199" spans="18:18">
      <c r="R1199" s="588"/>
    </row>
    <row r="1200" spans="18:18">
      <c r="R1200" s="588"/>
    </row>
    <row r="1201" spans="18:18">
      <c r="R1201" s="588"/>
    </row>
    <row r="1202" spans="18:18">
      <c r="R1202" s="588"/>
    </row>
    <row r="1203" spans="18:18">
      <c r="R1203" s="588"/>
    </row>
    <row r="1204" spans="18:18">
      <c r="R1204" s="588"/>
    </row>
    <row r="1205" spans="18:18">
      <c r="R1205" s="588"/>
    </row>
    <row r="1206" spans="18:18">
      <c r="R1206" s="588"/>
    </row>
    <row r="1207" spans="18:18">
      <c r="R1207" s="588"/>
    </row>
    <row r="1208" spans="18:18">
      <c r="R1208" s="588"/>
    </row>
    <row r="1209" spans="18:18">
      <c r="R1209" s="588"/>
    </row>
    <row r="1210" spans="18:18">
      <c r="R1210" s="588"/>
    </row>
    <row r="1211" spans="18:18">
      <c r="R1211" s="588"/>
    </row>
    <row r="1212" spans="18:18">
      <c r="R1212" s="588"/>
    </row>
    <row r="1213" spans="18:18">
      <c r="R1213" s="588"/>
    </row>
    <row r="1214" spans="18:18">
      <c r="R1214" s="588"/>
    </row>
    <row r="1215" spans="18:18">
      <c r="R1215" s="588"/>
    </row>
    <row r="1216" spans="18:18">
      <c r="R1216" s="588"/>
    </row>
    <row r="1217" spans="18:18">
      <c r="R1217" s="588"/>
    </row>
    <row r="1218" spans="18:18">
      <c r="R1218" s="588"/>
    </row>
    <row r="1219" spans="18:18">
      <c r="R1219" s="588"/>
    </row>
    <row r="1220" spans="18:18">
      <c r="R1220" s="588"/>
    </row>
    <row r="1221" spans="18:18">
      <c r="R1221" s="588"/>
    </row>
    <row r="1222" spans="18:18">
      <c r="R1222" s="588"/>
    </row>
    <row r="1223" spans="18:18">
      <c r="R1223" s="588"/>
    </row>
    <row r="1224" spans="18:18">
      <c r="R1224" s="588"/>
    </row>
    <row r="1225" spans="18:18">
      <c r="R1225" s="588"/>
    </row>
    <row r="1226" spans="18:18">
      <c r="R1226" s="588"/>
    </row>
    <row r="1227" spans="18:18">
      <c r="R1227" s="588"/>
    </row>
    <row r="1228" spans="18:18">
      <c r="R1228" s="588"/>
    </row>
    <row r="1229" spans="18:18">
      <c r="R1229" s="588"/>
    </row>
    <row r="1230" spans="18:18">
      <c r="R1230" s="588"/>
    </row>
    <row r="1231" spans="18:18">
      <c r="R1231" s="588"/>
    </row>
    <row r="1232" spans="18:18">
      <c r="R1232" s="588"/>
    </row>
    <row r="1233" spans="18:18">
      <c r="R1233" s="588"/>
    </row>
    <row r="1234" spans="18:18">
      <c r="R1234" s="588"/>
    </row>
    <row r="1235" spans="18:18">
      <c r="R1235" s="588"/>
    </row>
    <row r="1236" spans="18:18">
      <c r="R1236" s="588"/>
    </row>
    <row r="1237" spans="18:18">
      <c r="R1237" s="588"/>
    </row>
    <row r="1238" spans="18:18">
      <c r="R1238" s="588"/>
    </row>
    <row r="1239" spans="18:18">
      <c r="R1239" s="588"/>
    </row>
    <row r="1240" spans="18:18">
      <c r="R1240" s="588"/>
    </row>
    <row r="1241" spans="18:18">
      <c r="R1241" s="588"/>
    </row>
    <row r="1242" spans="18:18">
      <c r="R1242" s="588"/>
    </row>
    <row r="1243" spans="18:18">
      <c r="R1243" s="588"/>
    </row>
    <row r="1244" spans="18:18">
      <c r="R1244" s="588"/>
    </row>
    <row r="1245" spans="18:18">
      <c r="R1245" s="588"/>
    </row>
    <row r="1246" spans="18:18">
      <c r="R1246" s="588"/>
    </row>
    <row r="1247" spans="18:18">
      <c r="R1247" s="588"/>
    </row>
    <row r="1248" spans="18:18">
      <c r="R1248" s="588"/>
    </row>
    <row r="1249" spans="18:18">
      <c r="R1249" s="588"/>
    </row>
    <row r="1250" spans="18:18">
      <c r="R1250" s="588"/>
    </row>
    <row r="1251" spans="18:18">
      <c r="R1251" s="588"/>
    </row>
    <row r="1252" spans="18:18">
      <c r="R1252" s="588"/>
    </row>
    <row r="1253" spans="18:18">
      <c r="R1253" s="588"/>
    </row>
    <row r="1254" spans="18:18">
      <c r="R1254" s="588"/>
    </row>
    <row r="1255" spans="18:18">
      <c r="R1255" s="588"/>
    </row>
    <row r="1256" spans="18:18">
      <c r="R1256" s="588"/>
    </row>
    <row r="1257" spans="18:18">
      <c r="R1257" s="588"/>
    </row>
    <row r="1258" spans="18:18">
      <c r="R1258" s="588"/>
    </row>
    <row r="1259" spans="18:18">
      <c r="R1259" s="588"/>
    </row>
    <row r="1260" spans="18:18">
      <c r="R1260" s="588"/>
    </row>
    <row r="1261" spans="18:18">
      <c r="R1261" s="588"/>
    </row>
    <row r="1262" spans="18:18">
      <c r="R1262" s="588"/>
    </row>
    <row r="1263" spans="18:18">
      <c r="R1263" s="588"/>
    </row>
    <row r="1264" spans="18:18">
      <c r="R1264" s="588"/>
    </row>
    <row r="1265" spans="18:18">
      <c r="R1265" s="588"/>
    </row>
    <row r="1266" spans="18:18">
      <c r="R1266" s="588"/>
    </row>
    <row r="1267" spans="18:18">
      <c r="R1267" s="588"/>
    </row>
    <row r="1268" spans="18:18">
      <c r="R1268" s="588"/>
    </row>
    <row r="1269" spans="18:18">
      <c r="R1269" s="588"/>
    </row>
    <row r="1270" spans="18:18">
      <c r="R1270" s="588"/>
    </row>
    <row r="1271" spans="18:18">
      <c r="R1271" s="588"/>
    </row>
    <row r="1272" spans="18:18">
      <c r="R1272" s="588"/>
    </row>
    <row r="1273" spans="18:18">
      <c r="R1273" s="588"/>
    </row>
    <row r="1274" spans="18:18">
      <c r="R1274" s="588"/>
    </row>
    <row r="1275" spans="18:18">
      <c r="R1275" s="588"/>
    </row>
    <row r="1276" spans="18:18">
      <c r="R1276" s="588"/>
    </row>
    <row r="1277" spans="18:18">
      <c r="R1277" s="588"/>
    </row>
    <row r="1278" spans="18:18">
      <c r="R1278" s="588"/>
    </row>
    <row r="1279" spans="18:18">
      <c r="R1279" s="588"/>
    </row>
    <row r="1280" spans="18:18">
      <c r="R1280" s="588"/>
    </row>
    <row r="1281" spans="18:18">
      <c r="R1281" s="588"/>
    </row>
    <row r="1282" spans="18:18">
      <c r="R1282" s="588"/>
    </row>
    <row r="1283" spans="18:18">
      <c r="R1283" s="588"/>
    </row>
    <row r="1284" spans="18:18">
      <c r="R1284" s="588"/>
    </row>
    <row r="1285" spans="18:18">
      <c r="R1285" s="588"/>
    </row>
    <row r="1286" spans="18:18">
      <c r="R1286" s="588"/>
    </row>
    <row r="1287" spans="18:18">
      <c r="R1287" s="588"/>
    </row>
    <row r="1288" spans="18:18">
      <c r="R1288" s="588"/>
    </row>
    <row r="1289" spans="18:18">
      <c r="R1289" s="588"/>
    </row>
    <row r="1290" spans="18:18">
      <c r="R1290" s="588"/>
    </row>
    <row r="1291" spans="18:18">
      <c r="R1291" s="588"/>
    </row>
    <row r="1292" spans="18:18">
      <c r="R1292" s="588"/>
    </row>
    <row r="1293" spans="18:18">
      <c r="R1293" s="588"/>
    </row>
    <row r="1294" spans="18:18">
      <c r="R1294" s="588"/>
    </row>
    <row r="1295" spans="18:18">
      <c r="R1295" s="588"/>
    </row>
    <row r="1296" spans="18:18">
      <c r="R1296" s="588"/>
    </row>
    <row r="1297" spans="18:18">
      <c r="R1297" s="588"/>
    </row>
    <row r="1298" spans="18:18">
      <c r="R1298" s="588"/>
    </row>
    <row r="1299" spans="18:18">
      <c r="R1299" s="588"/>
    </row>
    <row r="1300" spans="18:18">
      <c r="R1300" s="588"/>
    </row>
    <row r="1301" spans="18:18">
      <c r="R1301" s="588"/>
    </row>
    <row r="1302" spans="18:18">
      <c r="R1302" s="588"/>
    </row>
    <row r="1303" spans="18:18">
      <c r="R1303" s="588"/>
    </row>
    <row r="1304" spans="18:18">
      <c r="R1304" s="588"/>
    </row>
    <row r="1305" spans="18:18">
      <c r="R1305" s="588"/>
    </row>
    <row r="1306" spans="18:18">
      <c r="R1306" s="588"/>
    </row>
    <row r="1307" spans="18:18">
      <c r="R1307" s="588"/>
    </row>
    <row r="1308" spans="18:18">
      <c r="R1308" s="588"/>
    </row>
    <row r="1309" spans="18:18">
      <c r="R1309" s="588"/>
    </row>
    <row r="1310" spans="18:18">
      <c r="R1310" s="588"/>
    </row>
    <row r="1311" spans="18:18">
      <c r="R1311" s="588"/>
    </row>
    <row r="1312" spans="18:18">
      <c r="R1312" s="588"/>
    </row>
    <row r="1313" spans="18:18">
      <c r="R1313" s="588"/>
    </row>
    <row r="1314" spans="18:18">
      <c r="R1314" s="588"/>
    </row>
    <row r="1315" spans="18:18">
      <c r="R1315" s="588"/>
    </row>
    <row r="1316" spans="18:18">
      <c r="R1316" s="588"/>
    </row>
    <row r="1317" spans="18:18">
      <c r="R1317" s="588"/>
    </row>
    <row r="1318" spans="18:18">
      <c r="R1318" s="588"/>
    </row>
    <row r="1319" spans="18:18">
      <c r="R1319" s="588"/>
    </row>
    <row r="1320" spans="18:18">
      <c r="R1320" s="588"/>
    </row>
    <row r="1321" spans="18:18">
      <c r="R1321" s="588"/>
    </row>
    <row r="1322" spans="18:18">
      <c r="R1322" s="588"/>
    </row>
    <row r="1323" spans="18:18">
      <c r="R1323" s="588"/>
    </row>
    <row r="1324" spans="18:18">
      <c r="R1324" s="588"/>
    </row>
    <row r="1325" spans="18:18">
      <c r="R1325" s="588"/>
    </row>
    <row r="1326" spans="18:18">
      <c r="R1326" s="588"/>
    </row>
    <row r="1327" spans="18:18">
      <c r="R1327" s="588"/>
    </row>
    <row r="1328" spans="18:18">
      <c r="R1328" s="588"/>
    </row>
    <row r="1329" spans="18:18">
      <c r="R1329" s="588"/>
    </row>
    <row r="1330" spans="18:18">
      <c r="R1330" s="588"/>
    </row>
    <row r="1331" spans="18:18">
      <c r="R1331" s="588"/>
    </row>
    <row r="1332" spans="18:18">
      <c r="R1332" s="588"/>
    </row>
    <row r="1333" spans="18:18">
      <c r="R1333" s="588"/>
    </row>
    <row r="1334" spans="18:18">
      <c r="R1334" s="588"/>
    </row>
    <row r="1335" spans="18:18">
      <c r="R1335" s="588"/>
    </row>
    <row r="1336" spans="18:18">
      <c r="R1336" s="588"/>
    </row>
    <row r="1337" spans="18:18">
      <c r="R1337" s="588"/>
    </row>
    <row r="1338" spans="18:18">
      <c r="R1338" s="588"/>
    </row>
    <row r="1339" spans="18:18">
      <c r="R1339" s="588"/>
    </row>
    <row r="1340" spans="18:18">
      <c r="R1340" s="588"/>
    </row>
    <row r="1341" spans="18:18">
      <c r="R1341" s="588"/>
    </row>
    <row r="1342" spans="18:18">
      <c r="R1342" s="588"/>
    </row>
    <row r="1343" spans="18:18">
      <c r="R1343" s="588"/>
    </row>
    <row r="1344" spans="18:18">
      <c r="R1344" s="588"/>
    </row>
    <row r="1345" spans="18:18">
      <c r="R1345" s="588"/>
    </row>
    <row r="1346" spans="18:18">
      <c r="R1346" s="588"/>
    </row>
    <row r="1347" spans="18:18">
      <c r="R1347" s="588"/>
    </row>
    <row r="1348" spans="18:18">
      <c r="R1348" s="588"/>
    </row>
    <row r="1349" spans="18:18">
      <c r="R1349" s="588"/>
    </row>
    <row r="1350" spans="18:18">
      <c r="R1350" s="588"/>
    </row>
    <row r="1351" spans="18:18">
      <c r="R1351" s="588"/>
    </row>
    <row r="1352" spans="18:18">
      <c r="R1352" s="588"/>
    </row>
    <row r="1353" spans="18:18">
      <c r="R1353" s="588"/>
    </row>
    <row r="1354" spans="18:18">
      <c r="R1354" s="588"/>
    </row>
    <row r="1355" spans="18:18">
      <c r="R1355" s="588"/>
    </row>
    <row r="1356" spans="18:18">
      <c r="R1356" s="588"/>
    </row>
    <row r="1357" spans="18:18">
      <c r="R1357" s="588"/>
    </row>
    <row r="1358" spans="18:18">
      <c r="R1358" s="588"/>
    </row>
    <row r="1359" spans="18:18">
      <c r="R1359" s="588"/>
    </row>
    <row r="1360" spans="18:18">
      <c r="R1360" s="588"/>
    </row>
    <row r="1361" spans="18:18">
      <c r="R1361" s="588"/>
    </row>
    <row r="1362" spans="18:18">
      <c r="R1362" s="588"/>
    </row>
    <row r="1363" spans="18:18">
      <c r="R1363" s="588"/>
    </row>
    <row r="1364" spans="18:18">
      <c r="R1364" s="588"/>
    </row>
    <row r="1365" spans="18:18">
      <c r="R1365" s="588"/>
    </row>
    <row r="1366" spans="18:18">
      <c r="R1366" s="588"/>
    </row>
    <row r="1367" spans="18:18">
      <c r="R1367" s="588"/>
    </row>
    <row r="1368" spans="18:18">
      <c r="R1368" s="588"/>
    </row>
    <row r="1369" spans="18:18">
      <c r="R1369" s="588"/>
    </row>
    <row r="1370" spans="18:18">
      <c r="R1370" s="588"/>
    </row>
    <row r="1371" spans="18:18">
      <c r="R1371" s="588"/>
    </row>
    <row r="1372" spans="18:18">
      <c r="R1372" s="588"/>
    </row>
    <row r="1373" spans="18:18">
      <c r="R1373" s="588"/>
    </row>
    <row r="1374" spans="18:18">
      <c r="R1374" s="588"/>
    </row>
    <row r="1375" spans="18:18">
      <c r="R1375" s="588"/>
    </row>
    <row r="1376" spans="18:18">
      <c r="R1376" s="588"/>
    </row>
    <row r="1377" spans="18:18">
      <c r="R1377" s="588"/>
    </row>
    <row r="1378" spans="18:18">
      <c r="R1378" s="588"/>
    </row>
    <row r="1379" spans="18:18">
      <c r="R1379" s="588"/>
    </row>
    <row r="1380" spans="18:18">
      <c r="R1380" s="588"/>
    </row>
    <row r="1381" spans="18:18">
      <c r="R1381" s="588"/>
    </row>
    <row r="1382" spans="18:18">
      <c r="R1382" s="588"/>
    </row>
    <row r="1383" spans="18:18">
      <c r="R1383" s="588"/>
    </row>
    <row r="1384" spans="18:18">
      <c r="R1384" s="588"/>
    </row>
    <row r="1385" spans="18:18">
      <c r="R1385" s="588"/>
    </row>
    <row r="1386" spans="18:18">
      <c r="R1386" s="588"/>
    </row>
    <row r="1387" spans="18:18">
      <c r="R1387" s="588"/>
    </row>
    <row r="1388" spans="18:18">
      <c r="R1388" s="588"/>
    </row>
    <row r="1389" spans="18:18">
      <c r="R1389" s="588"/>
    </row>
    <row r="1390" spans="18:18">
      <c r="R1390" s="588"/>
    </row>
    <row r="1391" spans="18:18">
      <c r="R1391" s="588"/>
    </row>
    <row r="1392" spans="18:18">
      <c r="R1392" s="588"/>
    </row>
    <row r="1393" spans="18:18">
      <c r="R1393" s="588"/>
    </row>
    <row r="1394" spans="18:18">
      <c r="R1394" s="588"/>
    </row>
    <row r="1395" spans="18:18">
      <c r="R1395" s="588"/>
    </row>
    <row r="1396" spans="18:18">
      <c r="R1396" s="588"/>
    </row>
    <row r="1397" spans="18:18">
      <c r="R1397" s="588"/>
    </row>
    <row r="1398" spans="18:18">
      <c r="R1398" s="588"/>
    </row>
    <row r="1399" spans="18:18">
      <c r="R1399" s="588"/>
    </row>
    <row r="1400" spans="18:18">
      <c r="R1400" s="588"/>
    </row>
    <row r="1401" spans="18:18">
      <c r="R1401" s="588"/>
    </row>
    <row r="1402" spans="18:18">
      <c r="R1402" s="588"/>
    </row>
    <row r="1403" spans="18:18">
      <c r="R1403" s="588"/>
    </row>
    <row r="1404" spans="18:18">
      <c r="R1404" s="588"/>
    </row>
    <row r="1405" spans="18:18">
      <c r="R1405" s="588"/>
    </row>
    <row r="1406" spans="18:18">
      <c r="R1406" s="588"/>
    </row>
    <row r="1407" spans="18:18">
      <c r="R1407" s="588"/>
    </row>
    <row r="1408" spans="18:18">
      <c r="R1408" s="588"/>
    </row>
    <row r="1409" spans="18:18">
      <c r="R1409" s="588"/>
    </row>
    <row r="1410" spans="18:18">
      <c r="R1410" s="588"/>
    </row>
    <row r="1411" spans="18:18">
      <c r="R1411" s="588"/>
    </row>
    <row r="1412" spans="18:18">
      <c r="R1412" s="588"/>
    </row>
    <row r="1413" spans="18:18">
      <c r="R1413" s="588"/>
    </row>
    <row r="1414" spans="18:18">
      <c r="R1414" s="588"/>
    </row>
    <row r="1415" spans="18:18">
      <c r="R1415" s="588"/>
    </row>
    <row r="1416" spans="18:18">
      <c r="R1416" s="588"/>
    </row>
    <row r="1417" spans="18:18">
      <c r="R1417" s="588"/>
    </row>
    <row r="1418" spans="18:18">
      <c r="R1418" s="588"/>
    </row>
    <row r="1419" spans="18:18">
      <c r="R1419" s="588"/>
    </row>
    <row r="1420" spans="18:18">
      <c r="R1420" s="588"/>
    </row>
    <row r="1421" spans="18:18">
      <c r="R1421" s="588"/>
    </row>
    <row r="1422" spans="18:18">
      <c r="R1422" s="588"/>
    </row>
    <row r="1423" spans="18:18">
      <c r="R1423" s="588"/>
    </row>
    <row r="1424" spans="18:18">
      <c r="R1424" s="588"/>
    </row>
    <row r="1425" spans="18:18">
      <c r="R1425" s="588"/>
    </row>
    <row r="1426" spans="18:18">
      <c r="R1426" s="588"/>
    </row>
    <row r="1427" spans="18:18">
      <c r="R1427" s="588"/>
    </row>
    <row r="1428" spans="18:18">
      <c r="R1428" s="588"/>
    </row>
    <row r="1429" spans="18:18">
      <c r="R1429" s="588"/>
    </row>
    <row r="1430" spans="18:18">
      <c r="R1430" s="588"/>
    </row>
    <row r="1431" spans="18:18">
      <c r="R1431" s="588"/>
    </row>
    <row r="1432" spans="18:18">
      <c r="R1432" s="588"/>
    </row>
    <row r="1433" spans="18:18">
      <c r="R1433" s="588"/>
    </row>
    <row r="1434" spans="18:18">
      <c r="R1434" s="588"/>
    </row>
    <row r="1435" spans="18:18">
      <c r="R1435" s="588"/>
    </row>
    <row r="1436" spans="18:18">
      <c r="R1436" s="588"/>
    </row>
    <row r="1437" spans="18:18">
      <c r="R1437" s="588"/>
    </row>
    <row r="1438" spans="18:18">
      <c r="R1438" s="588"/>
    </row>
    <row r="1439" spans="18:18">
      <c r="R1439" s="588"/>
    </row>
    <row r="1440" spans="18:18">
      <c r="R1440" s="588"/>
    </row>
    <row r="1441" spans="18:18">
      <c r="R1441" s="588"/>
    </row>
    <row r="1442" spans="18:18">
      <c r="R1442" s="588"/>
    </row>
    <row r="1443" spans="18:18">
      <c r="R1443" s="588"/>
    </row>
    <row r="1444" spans="18:18">
      <c r="R1444" s="588"/>
    </row>
    <row r="1445" spans="18:18">
      <c r="R1445" s="588"/>
    </row>
    <row r="1446" spans="18:18">
      <c r="R1446" s="588"/>
    </row>
    <row r="1447" spans="18:18">
      <c r="R1447" s="588"/>
    </row>
    <row r="1448" spans="18:18">
      <c r="R1448" s="588"/>
    </row>
    <row r="1449" spans="18:18">
      <c r="R1449" s="588"/>
    </row>
    <row r="1450" spans="18:18">
      <c r="R1450" s="588"/>
    </row>
    <row r="1451" spans="18:18">
      <c r="R1451" s="588"/>
    </row>
    <row r="1452" spans="18:18">
      <c r="R1452" s="588"/>
    </row>
    <row r="1453" spans="18:18">
      <c r="R1453" s="588"/>
    </row>
    <row r="1454" spans="18:18">
      <c r="R1454" s="588"/>
    </row>
    <row r="1455" spans="18:18">
      <c r="R1455" s="588"/>
    </row>
    <row r="1456" spans="18:18">
      <c r="R1456" s="588"/>
    </row>
    <row r="1457" spans="18:18">
      <c r="R1457" s="588"/>
    </row>
    <row r="1458" spans="18:18">
      <c r="R1458" s="588"/>
    </row>
    <row r="1459" spans="18:18">
      <c r="R1459" s="588"/>
    </row>
    <row r="1460" spans="18:18">
      <c r="R1460" s="588"/>
    </row>
    <row r="1461" spans="18:18">
      <c r="R1461" s="588"/>
    </row>
    <row r="1462" spans="18:18">
      <c r="R1462" s="588"/>
    </row>
    <row r="1463" spans="18:18">
      <c r="R1463" s="588"/>
    </row>
    <row r="1464" spans="18:18">
      <c r="R1464" s="588"/>
    </row>
    <row r="1465" spans="18:18">
      <c r="R1465" s="588"/>
    </row>
    <row r="1466" spans="18:18">
      <c r="R1466" s="588"/>
    </row>
    <row r="1467" spans="18:18">
      <c r="R1467" s="588"/>
    </row>
    <row r="1468" spans="18:18">
      <c r="R1468" s="588"/>
    </row>
    <row r="1469" spans="18:18">
      <c r="R1469" s="588"/>
    </row>
    <row r="1470" spans="18:18">
      <c r="R1470" s="588"/>
    </row>
    <row r="1471" spans="18:18">
      <c r="R1471" s="588"/>
    </row>
    <row r="1472" spans="18:18">
      <c r="R1472" s="588"/>
    </row>
    <row r="1473" spans="18:18">
      <c r="R1473" s="588"/>
    </row>
    <row r="1474" spans="18:18">
      <c r="R1474" s="588"/>
    </row>
    <row r="1475" spans="18:18">
      <c r="R1475" s="588"/>
    </row>
    <row r="1476" spans="18:18">
      <c r="R1476" s="588"/>
    </row>
    <row r="1477" spans="18:18">
      <c r="R1477" s="588"/>
    </row>
    <row r="1478" spans="18:18">
      <c r="R1478" s="588"/>
    </row>
    <row r="1479" spans="18:18">
      <c r="R1479" s="588"/>
    </row>
    <row r="1480" spans="18:18">
      <c r="R1480" s="588"/>
    </row>
    <row r="1481" spans="18:18">
      <c r="R1481" s="588"/>
    </row>
    <row r="1482" spans="18:18">
      <c r="R1482" s="588"/>
    </row>
    <row r="1483" spans="18:18">
      <c r="R1483" s="588"/>
    </row>
    <row r="1484" spans="18:18">
      <c r="R1484" s="588"/>
    </row>
    <row r="1485" spans="18:18">
      <c r="R1485" s="588"/>
    </row>
    <row r="1486" spans="18:18">
      <c r="R1486" s="588"/>
    </row>
    <row r="1487" spans="18:18">
      <c r="R1487" s="588"/>
    </row>
    <row r="1488" spans="18:18">
      <c r="R1488" s="588"/>
    </row>
    <row r="1489" spans="18:18">
      <c r="R1489" s="588"/>
    </row>
    <row r="1490" spans="18:18">
      <c r="R1490" s="588"/>
    </row>
    <row r="1491" spans="18:18">
      <c r="R1491" s="588"/>
    </row>
    <row r="1492" spans="18:18">
      <c r="R1492" s="588"/>
    </row>
    <row r="1493" spans="18:18">
      <c r="R1493" s="588"/>
    </row>
    <row r="1494" spans="18:18">
      <c r="R1494" s="588"/>
    </row>
    <row r="1495" spans="18:18">
      <c r="R1495" s="588"/>
    </row>
    <row r="1496" spans="18:18">
      <c r="R1496" s="588"/>
    </row>
    <row r="1497" spans="18:18">
      <c r="R1497" s="588"/>
    </row>
    <row r="1498" spans="18:18">
      <c r="R1498" s="588"/>
    </row>
    <row r="1499" spans="18:18">
      <c r="R1499" s="588"/>
    </row>
    <row r="1500" spans="18:18">
      <c r="R1500" s="588"/>
    </row>
    <row r="1501" spans="18:18">
      <c r="R1501" s="588"/>
    </row>
    <row r="1502" spans="18:18">
      <c r="R1502" s="588"/>
    </row>
    <row r="1503" spans="18:18">
      <c r="R1503" s="588"/>
    </row>
    <row r="1504" spans="18:18">
      <c r="R1504" s="588"/>
    </row>
    <row r="1505" spans="18:18">
      <c r="R1505" s="588"/>
    </row>
    <row r="1506" spans="18:18">
      <c r="R1506" s="588"/>
    </row>
    <row r="1507" spans="18:18">
      <c r="R1507" s="588"/>
    </row>
    <row r="1508" spans="18:18">
      <c r="R1508" s="588"/>
    </row>
    <row r="1509" spans="18:18">
      <c r="R1509" s="588"/>
    </row>
    <row r="1510" spans="18:18">
      <c r="R1510" s="588"/>
    </row>
    <row r="1511" spans="18:18">
      <c r="R1511" s="588"/>
    </row>
    <row r="1512" spans="18:18">
      <c r="R1512" s="588"/>
    </row>
    <row r="1513" spans="18:18">
      <c r="R1513" s="588"/>
    </row>
    <row r="1514" spans="18:18">
      <c r="R1514" s="588"/>
    </row>
    <row r="1515" spans="18:18">
      <c r="R1515" s="588"/>
    </row>
    <row r="1516" spans="18:18">
      <c r="R1516" s="588"/>
    </row>
    <row r="1517" spans="18:18">
      <c r="R1517" s="588"/>
    </row>
    <row r="1518" spans="18:18">
      <c r="R1518" s="588"/>
    </row>
    <row r="1519" spans="18:18">
      <c r="R1519" s="588"/>
    </row>
    <row r="1520" spans="18:18">
      <c r="R1520" s="588"/>
    </row>
    <row r="1521" spans="18:18">
      <c r="R1521" s="588"/>
    </row>
    <row r="1522" spans="18:18">
      <c r="R1522" s="588"/>
    </row>
    <row r="1523" spans="18:18">
      <c r="R1523" s="588"/>
    </row>
    <row r="1524" spans="18:18">
      <c r="R1524" s="588"/>
    </row>
    <row r="1525" spans="18:18">
      <c r="R1525" s="588"/>
    </row>
    <row r="1526" spans="18:18">
      <c r="R1526" s="588"/>
    </row>
    <row r="1527" spans="18:18">
      <c r="R1527" s="588"/>
    </row>
    <row r="1528" spans="18:18">
      <c r="R1528" s="588"/>
    </row>
    <row r="1529" spans="18:18">
      <c r="R1529" s="588"/>
    </row>
    <row r="1530" spans="18:18">
      <c r="R1530" s="588"/>
    </row>
    <row r="1531" spans="18:18">
      <c r="R1531" s="588"/>
    </row>
    <row r="1532" spans="18:18">
      <c r="R1532" s="588"/>
    </row>
    <row r="1533" spans="18:18">
      <c r="R1533" s="588"/>
    </row>
    <row r="1534" spans="18:18">
      <c r="R1534" s="588"/>
    </row>
    <row r="1535" spans="18:18">
      <c r="R1535" s="588"/>
    </row>
    <row r="1536" spans="18:18">
      <c r="R1536" s="588"/>
    </row>
    <row r="1537" spans="18:18">
      <c r="R1537" s="588"/>
    </row>
    <row r="1538" spans="18:18">
      <c r="R1538" s="588"/>
    </row>
    <row r="1539" spans="18:18">
      <c r="R1539" s="588"/>
    </row>
    <row r="1540" spans="18:18">
      <c r="R1540" s="588"/>
    </row>
    <row r="1541" spans="18:18">
      <c r="R1541" s="588"/>
    </row>
    <row r="1542" spans="18:18">
      <c r="R1542" s="588"/>
    </row>
    <row r="1543" spans="18:18">
      <c r="R1543" s="588"/>
    </row>
    <row r="1544" spans="18:18">
      <c r="R1544" s="588"/>
    </row>
    <row r="1545" spans="18:18">
      <c r="R1545" s="588"/>
    </row>
    <row r="1546" spans="18:18">
      <c r="R1546" s="588"/>
    </row>
    <row r="1547" spans="18:18">
      <c r="R1547" s="588"/>
    </row>
    <row r="1548" spans="18:18">
      <c r="R1548" s="588"/>
    </row>
    <row r="1549" spans="18:18">
      <c r="R1549" s="588"/>
    </row>
    <row r="1550" spans="18:18">
      <c r="R1550" s="588"/>
    </row>
    <row r="1551" spans="18:18">
      <c r="R1551" s="588"/>
    </row>
    <row r="1552" spans="18:18">
      <c r="R1552" s="588"/>
    </row>
    <row r="1553" spans="18:18">
      <c r="R1553" s="588"/>
    </row>
    <row r="1554" spans="18:18">
      <c r="R1554" s="588"/>
    </row>
    <row r="1555" spans="18:18">
      <c r="R1555" s="588"/>
    </row>
    <row r="1556" spans="18:18">
      <c r="R1556" s="588"/>
    </row>
    <row r="1557" spans="18:18">
      <c r="R1557" s="588"/>
    </row>
    <row r="1558" spans="18:18">
      <c r="R1558" s="588"/>
    </row>
    <row r="1559" spans="18:18">
      <c r="R1559" s="588"/>
    </row>
    <row r="1560" spans="18:18">
      <c r="R1560" s="588"/>
    </row>
    <row r="1561" spans="18:18">
      <c r="R1561" s="588"/>
    </row>
    <row r="1562" spans="18:18">
      <c r="R1562" s="588"/>
    </row>
    <row r="1563" spans="18:18">
      <c r="R1563" s="588"/>
    </row>
    <row r="1564" spans="18:18">
      <c r="R1564" s="588"/>
    </row>
    <row r="1565" spans="18:18">
      <c r="R1565" s="588"/>
    </row>
    <row r="1566" spans="18:18">
      <c r="R1566" s="588"/>
    </row>
    <row r="1567" spans="18:18">
      <c r="R1567" s="588"/>
    </row>
    <row r="1568" spans="18:18">
      <c r="R1568" s="588"/>
    </row>
    <row r="1569" spans="18:18">
      <c r="R1569" s="588"/>
    </row>
    <row r="1570" spans="18:18">
      <c r="R1570" s="588"/>
    </row>
    <row r="1571" spans="18:18">
      <c r="R1571" s="588"/>
    </row>
    <row r="1572" spans="18:18">
      <c r="R1572" s="588"/>
    </row>
    <row r="1573" spans="18:18">
      <c r="R1573" s="588"/>
    </row>
    <row r="1574" spans="18:18">
      <c r="R1574" s="588"/>
    </row>
    <row r="1575" spans="18:18">
      <c r="R1575" s="588"/>
    </row>
    <row r="1576" spans="18:18">
      <c r="R1576" s="588"/>
    </row>
    <row r="1577" spans="18:18">
      <c r="R1577" s="588"/>
    </row>
    <row r="1578" spans="18:18">
      <c r="R1578" s="588"/>
    </row>
    <row r="1579" spans="18:18">
      <c r="R1579" s="588"/>
    </row>
    <row r="1580" spans="18:18">
      <c r="R1580" s="588"/>
    </row>
    <row r="1581" spans="18:18">
      <c r="R1581" s="588"/>
    </row>
    <row r="1582" spans="18:18">
      <c r="R1582" s="588"/>
    </row>
    <row r="1583" spans="18:18">
      <c r="R1583" s="588"/>
    </row>
    <row r="1584" spans="18:18">
      <c r="R1584" s="588"/>
    </row>
    <row r="1585" spans="18:18">
      <c r="R1585" s="588"/>
    </row>
    <row r="1586" spans="18:18">
      <c r="R1586" s="588"/>
    </row>
    <row r="1587" spans="18:18">
      <c r="R1587" s="588"/>
    </row>
    <row r="1588" spans="18:18">
      <c r="R1588" s="588"/>
    </row>
    <row r="1589" spans="18:18">
      <c r="R1589" s="588"/>
    </row>
    <row r="1590" spans="18:18">
      <c r="R1590" s="588"/>
    </row>
    <row r="1591" spans="18:18">
      <c r="R1591" s="588"/>
    </row>
    <row r="1592" spans="18:18">
      <c r="R1592" s="588"/>
    </row>
    <row r="1593" spans="18:18">
      <c r="R1593" s="588"/>
    </row>
    <row r="1594" spans="18:18">
      <c r="R1594" s="588"/>
    </row>
    <row r="1595" spans="18:18">
      <c r="R1595" s="588"/>
    </row>
    <row r="1596" spans="18:18">
      <c r="R1596" s="588"/>
    </row>
    <row r="1597" spans="18:18">
      <c r="R1597" s="588"/>
    </row>
    <row r="1598" spans="18:18">
      <c r="R1598" s="588"/>
    </row>
    <row r="1599" spans="18:18">
      <c r="R1599" s="588"/>
    </row>
    <row r="1600" spans="18:18">
      <c r="R1600" s="588"/>
    </row>
    <row r="1601" spans="18:18">
      <c r="R1601" s="588"/>
    </row>
    <row r="1602" spans="18:18">
      <c r="R1602" s="588"/>
    </row>
    <row r="1603" spans="18:18">
      <c r="R1603" s="588"/>
    </row>
    <row r="1604" spans="18:18">
      <c r="R1604" s="588"/>
    </row>
    <row r="1605" spans="18:18">
      <c r="R1605" s="588"/>
    </row>
    <row r="1606" spans="18:18">
      <c r="R1606" s="588"/>
    </row>
    <row r="1607" spans="18:18">
      <c r="R1607" s="588"/>
    </row>
    <row r="1608" spans="18:18">
      <c r="R1608" s="588"/>
    </row>
    <row r="1609" spans="18:18">
      <c r="R1609" s="588"/>
    </row>
    <row r="1610" spans="18:18">
      <c r="R1610" s="588"/>
    </row>
    <row r="1611" spans="18:18">
      <c r="R1611" s="588"/>
    </row>
    <row r="1612" spans="18:18">
      <c r="R1612" s="588"/>
    </row>
    <row r="1613" spans="18:18">
      <c r="R1613" s="588"/>
    </row>
    <row r="1614" spans="18:18">
      <c r="R1614" s="588"/>
    </row>
    <row r="1615" spans="18:18">
      <c r="R1615" s="588"/>
    </row>
    <row r="1616" spans="18:18">
      <c r="R1616" s="588"/>
    </row>
    <row r="1617" spans="18:18">
      <c r="R1617" s="588"/>
    </row>
    <row r="1618" spans="18:18">
      <c r="R1618" s="588"/>
    </row>
    <row r="1619" spans="18:18">
      <c r="R1619" s="588"/>
    </row>
    <row r="1620" spans="18:18">
      <c r="R1620" s="588"/>
    </row>
    <row r="1621" spans="18:18">
      <c r="R1621" s="588"/>
    </row>
    <row r="1622" spans="18:18">
      <c r="R1622" s="588"/>
    </row>
    <row r="1623" spans="18:18">
      <c r="R1623" s="588"/>
    </row>
    <row r="1624" spans="18:18">
      <c r="R1624" s="588"/>
    </row>
    <row r="1625" spans="18:18">
      <c r="R1625" s="588"/>
    </row>
    <row r="1626" spans="18:18">
      <c r="R1626" s="588"/>
    </row>
    <row r="1627" spans="18:18">
      <c r="R1627" s="588"/>
    </row>
    <row r="1628" spans="18:18">
      <c r="R1628" s="588"/>
    </row>
    <row r="1629" spans="18:18">
      <c r="R1629" s="588"/>
    </row>
    <row r="1630" spans="18:18">
      <c r="R1630" s="588"/>
    </row>
    <row r="1631" spans="18:18">
      <c r="R1631" s="588"/>
    </row>
    <row r="1632" spans="18:18">
      <c r="R1632" s="588"/>
    </row>
    <row r="1633" spans="18:18">
      <c r="R1633" s="588"/>
    </row>
    <row r="1634" spans="18:18">
      <c r="R1634" s="588"/>
    </row>
    <row r="1635" spans="18:18">
      <c r="R1635" s="588"/>
    </row>
    <row r="1636" spans="18:18">
      <c r="R1636" s="588"/>
    </row>
    <row r="1637" spans="18:18">
      <c r="R1637" s="588"/>
    </row>
    <row r="1638" spans="18:18">
      <c r="R1638" s="588"/>
    </row>
    <row r="1639" spans="18:18">
      <c r="R1639" s="588"/>
    </row>
    <row r="1640" spans="18:18">
      <c r="R1640" s="588"/>
    </row>
    <row r="1641" spans="18:18">
      <c r="R1641" s="588"/>
    </row>
    <row r="1642" spans="18:18">
      <c r="R1642" s="588"/>
    </row>
    <row r="1643" spans="18:18">
      <c r="R1643" s="588"/>
    </row>
    <row r="1644" spans="18:18">
      <c r="R1644" s="588"/>
    </row>
    <row r="1645" spans="18:18">
      <c r="R1645" s="588"/>
    </row>
    <row r="1646" spans="18:18">
      <c r="R1646" s="588"/>
    </row>
    <row r="1647" spans="18:18">
      <c r="R1647" s="588"/>
    </row>
    <row r="1648" spans="18:18">
      <c r="R1648" s="588"/>
    </row>
    <row r="1649" spans="18:18">
      <c r="R1649" s="588"/>
    </row>
    <row r="1650" spans="18:18">
      <c r="R1650" s="588"/>
    </row>
    <row r="1651" spans="18:18">
      <c r="R1651" s="588"/>
    </row>
    <row r="1652" spans="18:18">
      <c r="R1652" s="588"/>
    </row>
    <row r="1653" spans="18:18">
      <c r="R1653" s="588"/>
    </row>
    <row r="1654" spans="18:18">
      <c r="R1654" s="588"/>
    </row>
    <row r="1655" spans="18:18">
      <c r="R1655" s="588"/>
    </row>
    <row r="1656" spans="18:18">
      <c r="R1656" s="588"/>
    </row>
    <row r="1657" spans="18:18">
      <c r="R1657" s="588"/>
    </row>
    <row r="1658" spans="18:18">
      <c r="R1658" s="588"/>
    </row>
    <row r="1659" spans="18:18">
      <c r="R1659" s="588"/>
    </row>
    <row r="1660" spans="18:18">
      <c r="R1660" s="588"/>
    </row>
    <row r="1661" spans="18:18">
      <c r="R1661" s="588"/>
    </row>
    <row r="1662" spans="18:18">
      <c r="R1662" s="588"/>
    </row>
    <row r="1663" spans="18:18">
      <c r="R1663" s="588"/>
    </row>
    <row r="1664" spans="18:18">
      <c r="R1664" s="588"/>
    </row>
    <row r="1665" spans="18:18">
      <c r="R1665" s="588"/>
    </row>
    <row r="1666" spans="18:18">
      <c r="R1666" s="588"/>
    </row>
    <row r="1667" spans="18:18">
      <c r="R1667" s="588"/>
    </row>
    <row r="1668" spans="18:18">
      <c r="R1668" s="588"/>
    </row>
    <row r="1669" spans="18:18">
      <c r="R1669" s="588"/>
    </row>
    <row r="1670" spans="18:18">
      <c r="R1670" s="588"/>
    </row>
    <row r="1671" spans="18:18">
      <c r="R1671" s="588"/>
    </row>
    <row r="1672" spans="18:18">
      <c r="R1672" s="588"/>
    </row>
    <row r="1673" spans="18:18">
      <c r="R1673" s="588"/>
    </row>
    <row r="1674" spans="18:18">
      <c r="R1674" s="588"/>
    </row>
    <row r="1675" spans="18:18">
      <c r="R1675" s="588"/>
    </row>
    <row r="1676" spans="18:18">
      <c r="R1676" s="588"/>
    </row>
    <row r="1677" spans="18:18">
      <c r="R1677" s="588"/>
    </row>
    <row r="1678" spans="18:18">
      <c r="R1678" s="588"/>
    </row>
    <row r="1679" spans="18:18">
      <c r="R1679" s="588"/>
    </row>
    <row r="1680" spans="18:18">
      <c r="R1680" s="588"/>
    </row>
    <row r="1681" spans="18:18">
      <c r="R1681" s="588"/>
    </row>
    <row r="1682" spans="18:18">
      <c r="R1682" s="588"/>
    </row>
    <row r="1683" spans="18:18">
      <c r="R1683" s="588"/>
    </row>
    <row r="1684" spans="18:18">
      <c r="R1684" s="588"/>
    </row>
    <row r="1685" spans="18:18">
      <c r="R1685" s="588"/>
    </row>
    <row r="1686" spans="18:18">
      <c r="R1686" s="588"/>
    </row>
    <row r="1687" spans="18:18">
      <c r="R1687" s="588"/>
    </row>
    <row r="1688" spans="18:18">
      <c r="R1688" s="588"/>
    </row>
    <row r="1689" spans="18:18">
      <c r="R1689" s="588"/>
    </row>
    <row r="1690" spans="18:18">
      <c r="R1690" s="588"/>
    </row>
    <row r="1691" spans="18:18">
      <c r="R1691" s="588"/>
    </row>
    <row r="1692" spans="18:18">
      <c r="R1692" s="588"/>
    </row>
    <row r="1693" spans="18:18">
      <c r="R1693" s="588"/>
    </row>
    <row r="1694" spans="18:18">
      <c r="R1694" s="588"/>
    </row>
    <row r="1695" spans="18:18">
      <c r="R1695" s="588"/>
    </row>
    <row r="1696" spans="18:18">
      <c r="R1696" s="588"/>
    </row>
    <row r="1697" spans="18:18">
      <c r="R1697" s="588"/>
    </row>
    <row r="1698" spans="18:18">
      <c r="R1698" s="588"/>
    </row>
    <row r="1699" spans="18:18">
      <c r="R1699" s="588"/>
    </row>
    <row r="1700" spans="18:18">
      <c r="R1700" s="588"/>
    </row>
    <row r="1701" spans="18:18">
      <c r="R1701" s="588"/>
    </row>
    <row r="1702" spans="18:18">
      <c r="R1702" s="588"/>
    </row>
    <row r="1703" spans="18:18">
      <c r="R1703" s="588"/>
    </row>
    <row r="1704" spans="18:18">
      <c r="R1704" s="588"/>
    </row>
    <row r="1705" spans="18:18">
      <c r="R1705" s="588"/>
    </row>
    <row r="1706" spans="18:18">
      <c r="R1706" s="588"/>
    </row>
    <row r="1707" spans="18:18">
      <c r="R1707" s="588"/>
    </row>
    <row r="1708" spans="18:18">
      <c r="R1708" s="588"/>
    </row>
    <row r="1709" spans="18:18">
      <c r="R1709" s="588"/>
    </row>
    <row r="1710" spans="18:18">
      <c r="R1710" s="588"/>
    </row>
    <row r="1711" spans="18:18">
      <c r="R1711" s="588"/>
    </row>
    <row r="1712" spans="18:18">
      <c r="R1712" s="588"/>
    </row>
    <row r="1713" spans="18:18">
      <c r="R1713" s="588"/>
    </row>
    <row r="1714" spans="18:18">
      <c r="R1714" s="588"/>
    </row>
    <row r="1715" spans="18:18">
      <c r="R1715" s="588"/>
    </row>
    <row r="1716" spans="18:18">
      <c r="R1716" s="588"/>
    </row>
    <row r="1717" spans="18:18">
      <c r="R1717" s="588"/>
    </row>
    <row r="1718" spans="18:18">
      <c r="R1718" s="588"/>
    </row>
    <row r="1719" spans="18:18">
      <c r="R1719" s="588"/>
    </row>
    <row r="1720" spans="18:18">
      <c r="R1720" s="588"/>
    </row>
    <row r="1721" spans="18:18">
      <c r="R1721" s="588"/>
    </row>
    <row r="1722" spans="18:18">
      <c r="R1722" s="588"/>
    </row>
    <row r="1723" spans="18:18">
      <c r="R1723" s="588"/>
    </row>
    <row r="1724" spans="18:18">
      <c r="R1724" s="588"/>
    </row>
    <row r="1725" spans="18:18">
      <c r="R1725" s="588"/>
    </row>
    <row r="1726" spans="18:18">
      <c r="R1726" s="588"/>
    </row>
    <row r="1727" spans="18:18">
      <c r="R1727" s="588"/>
    </row>
    <row r="1728" spans="18:18">
      <c r="R1728" s="588"/>
    </row>
    <row r="1729" spans="18:18">
      <c r="R1729" s="588"/>
    </row>
    <row r="1730" spans="18:18">
      <c r="R1730" s="588"/>
    </row>
    <row r="1731" spans="18:18">
      <c r="R1731" s="588"/>
    </row>
    <row r="1732" spans="18:18">
      <c r="R1732" s="588"/>
    </row>
    <row r="1733" spans="18:18">
      <c r="R1733" s="588"/>
    </row>
    <row r="1734" spans="18:18">
      <c r="R1734" s="588"/>
    </row>
    <row r="1735" spans="18:18">
      <c r="R1735" s="588"/>
    </row>
    <row r="1736" spans="18:18">
      <c r="R1736" s="588"/>
    </row>
    <row r="1737" spans="18:18">
      <c r="R1737" s="588"/>
    </row>
    <row r="1738" spans="18:18">
      <c r="R1738" s="588"/>
    </row>
    <row r="1739" spans="18:18">
      <c r="R1739" s="588"/>
    </row>
    <row r="1740" spans="18:18">
      <c r="R1740" s="588"/>
    </row>
    <row r="1741" spans="18:18">
      <c r="R1741" s="588"/>
    </row>
    <row r="1742" spans="18:18">
      <c r="R1742" s="588"/>
    </row>
    <row r="1743" spans="18:18">
      <c r="R1743" s="588"/>
    </row>
    <row r="1744" spans="18:18">
      <c r="R1744" s="588"/>
    </row>
    <row r="1745" spans="18:18">
      <c r="R1745" s="588"/>
    </row>
    <row r="1746" spans="18:18">
      <c r="R1746" s="588"/>
    </row>
    <row r="1747" spans="18:18">
      <c r="R1747" s="588"/>
    </row>
    <row r="1748" spans="18:18">
      <c r="R1748" s="588"/>
    </row>
    <row r="1749" spans="18:18">
      <c r="R1749" s="588"/>
    </row>
    <row r="1750" spans="18:18">
      <c r="R1750" s="588"/>
    </row>
    <row r="1751" spans="18:18">
      <c r="R1751" s="588"/>
    </row>
    <row r="1752" spans="18:18">
      <c r="R1752" s="588"/>
    </row>
    <row r="1753" spans="18:18">
      <c r="R1753" s="588"/>
    </row>
    <row r="1754" spans="18:18">
      <c r="R1754" s="588"/>
    </row>
    <row r="1755" spans="18:18">
      <c r="R1755" s="588"/>
    </row>
    <row r="1756" spans="18:18">
      <c r="R1756" s="588"/>
    </row>
    <row r="1757" spans="18:18">
      <c r="R1757" s="588"/>
    </row>
    <row r="1758" spans="18:18">
      <c r="R1758" s="588"/>
    </row>
    <row r="1759" spans="18:18">
      <c r="R1759" s="588"/>
    </row>
    <row r="1760" spans="18:18">
      <c r="R1760" s="588"/>
    </row>
    <row r="1761" spans="18:18">
      <c r="R1761" s="588"/>
    </row>
    <row r="1762" spans="18:18">
      <c r="R1762" s="588"/>
    </row>
    <row r="1763" spans="18:18">
      <c r="R1763" s="588"/>
    </row>
    <row r="1764" spans="18:18">
      <c r="R1764" s="588"/>
    </row>
    <row r="1765" spans="18:18">
      <c r="R1765" s="588"/>
    </row>
    <row r="1766" spans="18:18">
      <c r="R1766" s="588"/>
    </row>
    <row r="1767" spans="18:18">
      <c r="R1767" s="588"/>
    </row>
    <row r="1768" spans="18:18">
      <c r="R1768" s="588"/>
    </row>
    <row r="1769" spans="18:18">
      <c r="R1769" s="588"/>
    </row>
    <row r="1770" spans="18:18">
      <c r="R1770" s="588"/>
    </row>
    <row r="1771" spans="18:18">
      <c r="R1771" s="588"/>
    </row>
    <row r="1772" spans="18:18">
      <c r="R1772" s="588"/>
    </row>
    <row r="1773" spans="18:18">
      <c r="R1773" s="588"/>
    </row>
    <row r="1774" spans="18:18">
      <c r="R1774" s="588"/>
    </row>
    <row r="1775" spans="18:18">
      <c r="R1775" s="588"/>
    </row>
    <row r="1776" spans="18:18">
      <c r="R1776" s="588"/>
    </row>
    <row r="1777" spans="18:18">
      <c r="R1777" s="588"/>
    </row>
    <row r="1778" spans="18:18">
      <c r="R1778" s="588"/>
    </row>
    <row r="1779" spans="18:18">
      <c r="R1779" s="588"/>
    </row>
    <row r="1780" spans="18:18">
      <c r="R1780" s="588"/>
    </row>
    <row r="1781" spans="18:18">
      <c r="R1781" s="588"/>
    </row>
    <row r="1782" spans="18:18">
      <c r="R1782" s="588"/>
    </row>
    <row r="1783" spans="18:18">
      <c r="R1783" s="588"/>
    </row>
    <row r="1784" spans="18:18">
      <c r="R1784" s="588"/>
    </row>
    <row r="1785" spans="18:18">
      <c r="R1785" s="588"/>
    </row>
    <row r="1786" spans="18:18">
      <c r="R1786" s="588"/>
    </row>
    <row r="1787" spans="18:18">
      <c r="R1787" s="588"/>
    </row>
    <row r="1788" spans="18:18">
      <c r="R1788" s="588"/>
    </row>
    <row r="1789" spans="18:18">
      <c r="R1789" s="588"/>
    </row>
    <row r="1790" spans="18:18">
      <c r="R1790" s="588"/>
    </row>
    <row r="1791" spans="18:18">
      <c r="R1791" s="588"/>
    </row>
    <row r="1792" spans="18:18">
      <c r="R1792" s="588"/>
    </row>
    <row r="1793" spans="18:18">
      <c r="R1793" s="588"/>
    </row>
    <row r="1794" spans="18:18">
      <c r="R1794" s="588"/>
    </row>
    <row r="1795" spans="18:18">
      <c r="R1795" s="588"/>
    </row>
    <row r="1796" spans="18:18">
      <c r="R1796" s="588"/>
    </row>
    <row r="1797" spans="18:18">
      <c r="R1797" s="588"/>
    </row>
    <row r="1798" spans="18:18">
      <c r="R1798" s="588"/>
    </row>
    <row r="1799" spans="18:18">
      <c r="R1799" s="588"/>
    </row>
    <row r="1800" spans="18:18">
      <c r="R1800" s="588"/>
    </row>
    <row r="1801" spans="18:18">
      <c r="R1801" s="588"/>
    </row>
    <row r="1802" spans="18:18">
      <c r="R1802" s="588"/>
    </row>
    <row r="1803" spans="18:18">
      <c r="R1803" s="588"/>
    </row>
    <row r="1804" spans="18:18">
      <c r="R1804" s="588"/>
    </row>
    <row r="1805" spans="18:18">
      <c r="R1805" s="588"/>
    </row>
    <row r="1806" spans="18:18">
      <c r="R1806" s="588"/>
    </row>
    <row r="1807" spans="18:18">
      <c r="R1807" s="588"/>
    </row>
    <row r="1808" spans="18:18">
      <c r="R1808" s="588"/>
    </row>
    <row r="1809" spans="18:18">
      <c r="R1809" s="588"/>
    </row>
    <row r="1810" spans="18:18">
      <c r="R1810" s="588"/>
    </row>
    <row r="1811" spans="18:18">
      <c r="R1811" s="588"/>
    </row>
    <row r="1812" spans="18:18">
      <c r="R1812" s="588"/>
    </row>
    <row r="1813" spans="18:18">
      <c r="R1813" s="588"/>
    </row>
    <row r="1814" spans="18:18">
      <c r="R1814" s="588"/>
    </row>
    <row r="1815" spans="18:18">
      <c r="R1815" s="588"/>
    </row>
    <row r="1816" spans="18:18">
      <c r="R1816" s="588"/>
    </row>
    <row r="1817" spans="18:18">
      <c r="R1817" s="588"/>
    </row>
    <row r="1818" spans="18:18">
      <c r="R1818" s="588"/>
    </row>
    <row r="1819" spans="18:18">
      <c r="R1819" s="588"/>
    </row>
    <row r="1820" spans="18:18">
      <c r="R1820" s="588"/>
    </row>
    <row r="1821" spans="18:18">
      <c r="R1821" s="588"/>
    </row>
    <row r="1822" spans="18:18">
      <c r="R1822" s="588"/>
    </row>
    <row r="1823" spans="18:18">
      <c r="R1823" s="588"/>
    </row>
    <row r="1824" spans="18:18">
      <c r="R1824" s="588"/>
    </row>
    <row r="1825" spans="18:18">
      <c r="R1825" s="588"/>
    </row>
    <row r="1826" spans="18:18">
      <c r="R1826" s="588"/>
    </row>
    <row r="1827" spans="18:18">
      <c r="R1827" s="588"/>
    </row>
    <row r="1828" spans="18:18">
      <c r="R1828" s="588"/>
    </row>
    <row r="1829" spans="18:18">
      <c r="R1829" s="588"/>
    </row>
    <row r="1830" spans="18:18">
      <c r="R1830" s="588"/>
    </row>
    <row r="1831" spans="18:18">
      <c r="R1831" s="588"/>
    </row>
    <row r="1832" spans="18:18">
      <c r="R1832" s="588"/>
    </row>
    <row r="1833" spans="18:18">
      <c r="R1833" s="588"/>
    </row>
    <row r="1834" spans="18:18">
      <c r="R1834" s="588"/>
    </row>
    <row r="1835" spans="18:18">
      <c r="R1835" s="588"/>
    </row>
    <row r="1836" spans="18:18">
      <c r="R1836" s="588"/>
    </row>
    <row r="1837" spans="18:18">
      <c r="R1837" s="588"/>
    </row>
    <row r="1838" spans="18:18">
      <c r="R1838" s="588"/>
    </row>
    <row r="1839" spans="18:18">
      <c r="R1839" s="588"/>
    </row>
    <row r="1840" spans="18:18">
      <c r="R1840" s="588"/>
    </row>
    <row r="1841" spans="18:18">
      <c r="R1841" s="588"/>
    </row>
    <row r="1842" spans="18:18">
      <c r="R1842" s="588"/>
    </row>
    <row r="1843" spans="18:18">
      <c r="R1843" s="588"/>
    </row>
    <row r="1844" spans="18:18">
      <c r="R1844" s="588"/>
    </row>
    <row r="1845" spans="18:18">
      <c r="R1845" s="588"/>
    </row>
    <row r="1846" spans="18:18">
      <c r="R1846" s="588"/>
    </row>
    <row r="1847" spans="18:18">
      <c r="R1847" s="588"/>
    </row>
    <row r="1848" spans="18:18">
      <c r="R1848" s="588"/>
    </row>
    <row r="1849" spans="18:18">
      <c r="R1849" s="588"/>
    </row>
    <row r="1850" spans="18:18">
      <c r="R1850" s="588"/>
    </row>
    <row r="1851" spans="18:18">
      <c r="R1851" s="588"/>
    </row>
    <row r="1852" spans="18:18">
      <c r="R1852" s="588"/>
    </row>
    <row r="1853" spans="18:18">
      <c r="R1853" s="588"/>
    </row>
    <row r="1854" spans="18:18">
      <c r="R1854" s="588"/>
    </row>
    <row r="1855" spans="18:18">
      <c r="R1855" s="588"/>
    </row>
    <row r="1856" spans="18:18">
      <c r="R1856" s="588"/>
    </row>
    <row r="1857" spans="18:18">
      <c r="R1857" s="588"/>
    </row>
    <row r="1858" spans="18:18">
      <c r="R1858" s="588"/>
    </row>
    <row r="1859" spans="18:18">
      <c r="R1859" s="588"/>
    </row>
    <row r="1860" spans="18:18">
      <c r="R1860" s="588"/>
    </row>
    <row r="1861" spans="18:18">
      <c r="R1861" s="588"/>
    </row>
    <row r="1862" spans="18:18">
      <c r="R1862" s="588"/>
    </row>
    <row r="1863" spans="18:18">
      <c r="R1863" s="588"/>
    </row>
    <row r="1864" spans="18:18">
      <c r="R1864" s="588"/>
    </row>
    <row r="1865" spans="18:18">
      <c r="R1865" s="588"/>
    </row>
    <row r="1866" spans="18:18">
      <c r="R1866" s="588"/>
    </row>
    <row r="1867" spans="18:18">
      <c r="R1867" s="588"/>
    </row>
    <row r="1868" spans="18:18">
      <c r="R1868" s="588"/>
    </row>
    <row r="1869" spans="18:18">
      <c r="R1869" s="588"/>
    </row>
    <row r="1870" spans="18:18">
      <c r="R1870" s="588"/>
    </row>
    <row r="1871" spans="18:18">
      <c r="R1871" s="588"/>
    </row>
    <row r="1872" spans="18:18">
      <c r="R1872" s="588"/>
    </row>
    <row r="1873" spans="18:18">
      <c r="R1873" s="588"/>
    </row>
    <row r="1874" spans="18:18">
      <c r="R1874" s="588"/>
    </row>
    <row r="1875" spans="18:18">
      <c r="R1875" s="588"/>
    </row>
    <row r="1876" spans="18:18">
      <c r="R1876" s="588"/>
    </row>
    <row r="1877" spans="18:18">
      <c r="R1877" s="588"/>
    </row>
    <row r="1878" spans="18:18">
      <c r="R1878" s="588"/>
    </row>
    <row r="1879" spans="18:18">
      <c r="R1879" s="588"/>
    </row>
    <row r="1880" spans="18:18">
      <c r="R1880" s="588"/>
    </row>
    <row r="1881" spans="18:18">
      <c r="R1881" s="588"/>
    </row>
    <row r="1882" spans="18:18">
      <c r="R1882" s="588"/>
    </row>
    <row r="1883" spans="18:18">
      <c r="R1883" s="588"/>
    </row>
    <row r="1884" spans="18:18">
      <c r="R1884" s="588"/>
    </row>
    <row r="1885" spans="18:18">
      <c r="R1885" s="588"/>
    </row>
    <row r="1886" spans="18:18">
      <c r="R1886" s="588"/>
    </row>
    <row r="1887" spans="18:18">
      <c r="R1887" s="588"/>
    </row>
    <row r="1888" spans="18:18">
      <c r="R1888" s="588"/>
    </row>
    <row r="1889" spans="18:18">
      <c r="R1889" s="588"/>
    </row>
    <row r="1890" spans="18:18">
      <c r="R1890" s="588"/>
    </row>
    <row r="1891" spans="18:18">
      <c r="R1891" s="588"/>
    </row>
    <row r="1892" spans="18:18">
      <c r="R1892" s="588"/>
    </row>
    <row r="1893" spans="18:18">
      <c r="R1893" s="588"/>
    </row>
    <row r="1894" spans="18:18">
      <c r="R1894" s="588"/>
    </row>
    <row r="1895" spans="18:18">
      <c r="R1895" s="588"/>
    </row>
    <row r="1896" spans="18:18">
      <c r="R1896" s="588"/>
    </row>
    <row r="1897" spans="18:18">
      <c r="R1897" s="588"/>
    </row>
    <row r="1898" spans="18:18">
      <c r="R1898" s="588"/>
    </row>
    <row r="1899" spans="18:18">
      <c r="R1899" s="588"/>
    </row>
    <row r="1900" spans="18:18">
      <c r="R1900" s="588"/>
    </row>
    <row r="1901" spans="18:18">
      <c r="R1901" s="588"/>
    </row>
    <row r="1902" spans="18:18">
      <c r="R1902" s="588"/>
    </row>
    <row r="1903" spans="18:18">
      <c r="R1903" s="588"/>
    </row>
    <row r="1904" spans="18:18">
      <c r="R1904" s="588"/>
    </row>
    <row r="1905" spans="18:18">
      <c r="R1905" s="588"/>
    </row>
    <row r="1906" spans="18:18">
      <c r="R1906" s="588"/>
    </row>
    <row r="1907" spans="18:18">
      <c r="R1907" s="588"/>
    </row>
    <row r="1908" spans="18:18">
      <c r="R1908" s="588"/>
    </row>
    <row r="1909" spans="18:18">
      <c r="R1909" s="588"/>
    </row>
    <row r="1910" spans="18:18">
      <c r="R1910" s="588"/>
    </row>
    <row r="1911" spans="18:18">
      <c r="R1911" s="588"/>
    </row>
    <row r="1912" spans="18:18">
      <c r="R1912" s="588"/>
    </row>
    <row r="1913" spans="18:18">
      <c r="R1913" s="588"/>
    </row>
    <row r="1914" spans="18:18">
      <c r="R1914" s="588"/>
    </row>
    <row r="1915" spans="18:18">
      <c r="R1915" s="588"/>
    </row>
    <row r="1916" spans="18:18">
      <c r="R1916" s="588"/>
    </row>
    <row r="1917" spans="18:18">
      <c r="R1917" s="588"/>
    </row>
    <row r="1918" spans="18:18">
      <c r="R1918" s="588"/>
    </row>
    <row r="1919" spans="18:18">
      <c r="R1919" s="588"/>
    </row>
    <row r="1920" spans="18:18">
      <c r="R1920" s="588"/>
    </row>
    <row r="1921" spans="18:18">
      <c r="R1921" s="588"/>
    </row>
    <row r="1922" spans="18:18">
      <c r="R1922" s="588"/>
    </row>
    <row r="1923" spans="18:18">
      <c r="R1923" s="588"/>
    </row>
    <row r="1924" spans="18:18">
      <c r="R1924" s="588"/>
    </row>
    <row r="1925" spans="18:18">
      <c r="R1925" s="588"/>
    </row>
    <row r="1926" spans="18:18">
      <c r="R1926" s="588"/>
    </row>
    <row r="1927" spans="18:18">
      <c r="R1927" s="588"/>
    </row>
    <row r="1928" spans="18:18">
      <c r="R1928" s="588"/>
    </row>
    <row r="1929" spans="18:18">
      <c r="R1929" s="588"/>
    </row>
    <row r="1930" spans="18:18">
      <c r="R1930" s="588"/>
    </row>
    <row r="1931" spans="18:18">
      <c r="R1931" s="588"/>
    </row>
    <row r="1932" spans="18:18">
      <c r="R1932" s="588"/>
    </row>
    <row r="1933" spans="18:18">
      <c r="R1933" s="588"/>
    </row>
    <row r="1934" spans="18:18">
      <c r="R1934" s="588"/>
    </row>
    <row r="1935" spans="18:18">
      <c r="R1935" s="588"/>
    </row>
    <row r="1936" spans="18:18">
      <c r="R1936" s="588"/>
    </row>
    <row r="1937" spans="18:18">
      <c r="R1937" s="588"/>
    </row>
    <row r="1938" spans="18:18">
      <c r="R1938" s="588"/>
    </row>
    <row r="1939" spans="18:18">
      <c r="R1939" s="588"/>
    </row>
    <row r="1940" spans="18:18">
      <c r="R1940" s="588"/>
    </row>
    <row r="1941" spans="18:18">
      <c r="R1941" s="588"/>
    </row>
    <row r="1942" spans="18:18">
      <c r="R1942" s="588"/>
    </row>
    <row r="1943" spans="18:18">
      <c r="R1943" s="588"/>
    </row>
    <row r="1944" spans="18:18">
      <c r="R1944" s="588"/>
    </row>
    <row r="1945" spans="18:18">
      <c r="R1945" s="588"/>
    </row>
    <row r="1946" spans="18:18">
      <c r="R1946" s="588"/>
    </row>
    <row r="1947" spans="18:18">
      <c r="R1947" s="588"/>
    </row>
    <row r="1948" spans="18:18">
      <c r="R1948" s="588"/>
    </row>
    <row r="1949" spans="18:18">
      <c r="R1949" s="588"/>
    </row>
    <row r="1950" spans="18:18">
      <c r="R1950" s="588"/>
    </row>
    <row r="1951" spans="18:18">
      <c r="R1951" s="588"/>
    </row>
    <row r="1952" spans="18:18">
      <c r="R1952" s="588"/>
    </row>
    <row r="1953" spans="18:18">
      <c r="R1953" s="588"/>
    </row>
    <row r="1954" spans="18:18">
      <c r="R1954" s="588"/>
    </row>
    <row r="1955" spans="18:18">
      <c r="R1955" s="588"/>
    </row>
    <row r="1956" spans="18:18">
      <c r="R1956" s="588"/>
    </row>
    <row r="1957" spans="18:18">
      <c r="R1957" s="588"/>
    </row>
    <row r="1958" spans="18:18">
      <c r="R1958" s="588"/>
    </row>
    <row r="1959" spans="18:18">
      <c r="R1959" s="588"/>
    </row>
    <row r="1960" spans="18:18">
      <c r="R1960" s="588"/>
    </row>
    <row r="1961" spans="18:18">
      <c r="R1961" s="588"/>
    </row>
    <row r="1962" spans="18:18">
      <c r="R1962" s="588"/>
    </row>
    <row r="1963" spans="18:18">
      <c r="R1963" s="588"/>
    </row>
    <row r="1964" spans="18:18">
      <c r="R1964" s="588"/>
    </row>
    <row r="1965" spans="18:18">
      <c r="R1965" s="588"/>
    </row>
    <row r="1966" spans="18:18">
      <c r="R1966" s="588"/>
    </row>
    <row r="1967" spans="18:18">
      <c r="R1967" s="588"/>
    </row>
    <row r="1968" spans="18:18">
      <c r="R1968" s="588"/>
    </row>
    <row r="1969" spans="18:18">
      <c r="R1969" s="588"/>
    </row>
    <row r="1970" spans="18:18">
      <c r="R1970" s="588"/>
    </row>
    <row r="1971" spans="18:18">
      <c r="R1971" s="588"/>
    </row>
    <row r="1972" spans="18:18">
      <c r="R1972" s="588"/>
    </row>
    <row r="1973" spans="18:18">
      <c r="R1973" s="588"/>
    </row>
    <row r="1974" spans="18:18">
      <c r="R1974" s="588"/>
    </row>
    <row r="1975" spans="18:18">
      <c r="R1975" s="588"/>
    </row>
    <row r="1976" spans="18:18">
      <c r="R1976" s="588"/>
    </row>
    <row r="1977" spans="18:18">
      <c r="R1977" s="588"/>
    </row>
    <row r="1978" spans="18:18">
      <c r="R1978" s="588"/>
    </row>
    <row r="1979" spans="18:18">
      <c r="R1979" s="588"/>
    </row>
    <row r="1980" spans="18:18">
      <c r="R1980" s="588"/>
    </row>
    <row r="1981" spans="18:18">
      <c r="R1981" s="588"/>
    </row>
    <row r="1982" spans="18:18">
      <c r="R1982" s="588"/>
    </row>
    <row r="1983" spans="18:18">
      <c r="R1983" s="588"/>
    </row>
    <row r="1984" spans="18:18">
      <c r="R1984" s="588"/>
    </row>
    <row r="1985" spans="18:18">
      <c r="R1985" s="588"/>
    </row>
    <row r="1986" spans="18:18">
      <c r="R1986" s="588"/>
    </row>
    <row r="1987" spans="18:18">
      <c r="R1987" s="588"/>
    </row>
    <row r="1988" spans="18:18">
      <c r="R1988" s="588"/>
    </row>
    <row r="1989" spans="18:18">
      <c r="R1989" s="588"/>
    </row>
    <row r="1990" spans="18:18">
      <c r="R1990" s="588"/>
    </row>
    <row r="1991" spans="18:18">
      <c r="R1991" s="588"/>
    </row>
    <row r="1992" spans="18:18">
      <c r="R1992" s="588"/>
    </row>
    <row r="1993" spans="18:18">
      <c r="R1993" s="588"/>
    </row>
    <row r="1994" spans="18:18">
      <c r="R1994" s="588"/>
    </row>
    <row r="1995" spans="18:18">
      <c r="R1995" s="588"/>
    </row>
    <row r="1996" spans="18:18">
      <c r="R1996" s="588"/>
    </row>
    <row r="1997" spans="18:18">
      <c r="R1997" s="588"/>
    </row>
    <row r="1998" spans="18:18">
      <c r="R1998" s="588"/>
    </row>
    <row r="1999" spans="18:18">
      <c r="R1999" s="588"/>
    </row>
    <row r="2000" spans="18:18">
      <c r="R2000" s="588"/>
    </row>
    <row r="2001" spans="18:18">
      <c r="R2001" s="588"/>
    </row>
    <row r="2002" spans="18:18">
      <c r="R2002" s="588"/>
    </row>
    <row r="2003" spans="18:18">
      <c r="R2003" s="588"/>
    </row>
    <row r="2004" spans="18:18">
      <c r="R2004" s="588"/>
    </row>
    <row r="2005" spans="18:18">
      <c r="R2005" s="588"/>
    </row>
    <row r="2006" spans="18:18">
      <c r="R2006" s="588"/>
    </row>
    <row r="2007" spans="18:18">
      <c r="R2007" s="588"/>
    </row>
    <row r="2008" spans="18:18">
      <c r="R2008" s="588"/>
    </row>
    <row r="2009" spans="18:18">
      <c r="R2009" s="588"/>
    </row>
    <row r="2010" spans="18:18">
      <c r="R2010" s="588"/>
    </row>
    <row r="2011" spans="18:18">
      <c r="R2011" s="588"/>
    </row>
    <row r="2012" spans="18:18">
      <c r="R2012" s="588"/>
    </row>
    <row r="2013" spans="18:18">
      <c r="R2013" s="588"/>
    </row>
    <row r="2014" spans="18:18">
      <c r="R2014" s="588"/>
    </row>
    <row r="2015" spans="18:18">
      <c r="R2015" s="588"/>
    </row>
    <row r="2016" spans="18:18">
      <c r="R2016" s="588"/>
    </row>
    <row r="2017" spans="18:18">
      <c r="R2017" s="588"/>
    </row>
    <row r="2018" spans="18:18">
      <c r="R2018" s="588"/>
    </row>
    <row r="2019" spans="18:18">
      <c r="R2019" s="588"/>
    </row>
    <row r="2020" spans="18:18">
      <c r="R2020" s="588"/>
    </row>
    <row r="2021" spans="18:18">
      <c r="R2021" s="588"/>
    </row>
    <row r="2022" spans="18:18">
      <c r="R2022" s="588"/>
    </row>
    <row r="2023" spans="18:18">
      <c r="R2023" s="588"/>
    </row>
    <row r="2024" spans="18:18">
      <c r="R2024" s="588"/>
    </row>
    <row r="2025" spans="18:18">
      <c r="R2025" s="588"/>
    </row>
    <row r="2026" spans="18:18">
      <c r="R2026" s="588"/>
    </row>
    <row r="2027" spans="18:18">
      <c r="R2027" s="588"/>
    </row>
    <row r="2028" spans="18:18">
      <c r="R2028" s="588"/>
    </row>
    <row r="2029" spans="18:18">
      <c r="R2029" s="588"/>
    </row>
    <row r="2030" spans="18:18">
      <c r="R2030" s="588"/>
    </row>
    <row r="2031" spans="18:18">
      <c r="R2031" s="588"/>
    </row>
    <row r="2032" spans="18:18">
      <c r="R2032" s="588"/>
    </row>
    <row r="2033" spans="18:18">
      <c r="R2033" s="588"/>
    </row>
    <row r="2034" spans="18:18">
      <c r="R2034" s="588"/>
    </row>
    <row r="2035" spans="18:18">
      <c r="R2035" s="588"/>
    </row>
    <row r="2036" spans="18:18">
      <c r="R2036" s="588"/>
    </row>
    <row r="2037" spans="18:18">
      <c r="R2037" s="588"/>
    </row>
    <row r="2038" spans="18:18">
      <c r="R2038" s="588"/>
    </row>
    <row r="2039" spans="18:18">
      <c r="R2039" s="588"/>
    </row>
    <row r="2040" spans="18:18">
      <c r="R2040" s="588"/>
    </row>
    <row r="2041" spans="18:18">
      <c r="R2041" s="588"/>
    </row>
    <row r="2042" spans="18:18">
      <c r="R2042" s="588"/>
    </row>
    <row r="2043" spans="18:18">
      <c r="R2043" s="588"/>
    </row>
    <row r="2044" spans="18:18">
      <c r="R2044" s="588"/>
    </row>
    <row r="2045" spans="18:18">
      <c r="R2045" s="588"/>
    </row>
    <row r="2046" spans="18:18">
      <c r="R2046" s="588"/>
    </row>
    <row r="2047" spans="18:18">
      <c r="R2047" s="588"/>
    </row>
    <row r="2048" spans="18:18">
      <c r="R2048" s="588"/>
    </row>
    <row r="2049" spans="18:18">
      <c r="R2049" s="588"/>
    </row>
    <row r="2050" spans="18:18">
      <c r="R2050" s="588"/>
    </row>
    <row r="2051" spans="18:18">
      <c r="R2051" s="588"/>
    </row>
    <row r="2052" spans="18:18">
      <c r="R2052" s="588"/>
    </row>
    <row r="2053" spans="18:18">
      <c r="R2053" s="588"/>
    </row>
    <row r="2054" spans="18:18">
      <c r="R2054" s="588"/>
    </row>
    <row r="2055" spans="18:18">
      <c r="R2055" s="588"/>
    </row>
    <row r="2056" spans="18:18">
      <c r="R2056" s="588"/>
    </row>
    <row r="2057" spans="18:18">
      <c r="R2057" s="588"/>
    </row>
    <row r="2058" spans="18:18">
      <c r="R2058" s="588"/>
    </row>
    <row r="2059" spans="18:18">
      <c r="R2059" s="588"/>
    </row>
    <row r="2060" spans="18:18">
      <c r="R2060" s="588"/>
    </row>
    <row r="2061" spans="18:18">
      <c r="R2061" s="588"/>
    </row>
    <row r="2062" spans="18:18">
      <c r="R2062" s="588"/>
    </row>
    <row r="2063" spans="18:18">
      <c r="R2063" s="588"/>
    </row>
    <row r="2064" spans="18:18">
      <c r="R2064" s="588"/>
    </row>
    <row r="2065" spans="18:18">
      <c r="R2065" s="588"/>
    </row>
    <row r="2066" spans="18:18">
      <c r="R2066" s="588"/>
    </row>
    <row r="2067" spans="18:18">
      <c r="R2067" s="588"/>
    </row>
    <row r="2068" spans="18:18">
      <c r="R2068" s="588"/>
    </row>
    <row r="2069" spans="18:18">
      <c r="R2069" s="588"/>
    </row>
    <row r="2070" spans="18:18">
      <c r="R2070" s="588"/>
    </row>
    <row r="2071" spans="18:18">
      <c r="R2071" s="588"/>
    </row>
    <row r="2072" spans="18:18">
      <c r="R2072" s="588"/>
    </row>
    <row r="2073" spans="18:18">
      <c r="R2073" s="588"/>
    </row>
    <row r="2074" spans="18:18">
      <c r="R2074" s="588"/>
    </row>
    <row r="2075" spans="18:18">
      <c r="R2075" s="588"/>
    </row>
    <row r="2076" spans="18:18">
      <c r="R2076" s="588"/>
    </row>
    <row r="2077" spans="18:18">
      <c r="R2077" s="588"/>
    </row>
    <row r="2078" spans="18:18">
      <c r="R2078" s="588"/>
    </row>
    <row r="2079" spans="18:18">
      <c r="R2079" s="588"/>
    </row>
    <row r="2080" spans="18:18">
      <c r="R2080" s="588"/>
    </row>
    <row r="2081" spans="18:18">
      <c r="R2081" s="588"/>
    </row>
    <row r="2082" spans="18:18">
      <c r="R2082" s="588"/>
    </row>
    <row r="2083" spans="18:18">
      <c r="R2083" s="588"/>
    </row>
    <row r="2084" spans="18:18">
      <c r="R2084" s="588"/>
    </row>
    <row r="2085" spans="18:18">
      <c r="R2085" s="588"/>
    </row>
    <row r="2086" spans="18:18">
      <c r="R2086" s="588"/>
    </row>
    <row r="2087" spans="18:18">
      <c r="R2087" s="588"/>
    </row>
    <row r="2088" spans="18:18">
      <c r="R2088" s="588"/>
    </row>
    <row r="2089" spans="18:18">
      <c r="R2089" s="588"/>
    </row>
    <row r="2090" spans="18:18">
      <c r="R2090" s="588"/>
    </row>
    <row r="2091" spans="18:18">
      <c r="R2091" s="588"/>
    </row>
    <row r="2092" spans="18:18">
      <c r="R2092" s="588"/>
    </row>
    <row r="2093" spans="18:18">
      <c r="R2093" s="588"/>
    </row>
    <row r="2094" spans="18:18">
      <c r="R2094" s="588"/>
    </row>
    <row r="2095" spans="18:18">
      <c r="R2095" s="588"/>
    </row>
    <row r="2096" spans="18:18">
      <c r="R2096" s="588"/>
    </row>
    <row r="2097" spans="18:18">
      <c r="R2097" s="588"/>
    </row>
    <row r="2098" spans="18:18">
      <c r="R2098" s="588"/>
    </row>
    <row r="2099" spans="18:18">
      <c r="R2099" s="588"/>
    </row>
    <row r="2100" spans="18:18">
      <c r="R2100" s="588"/>
    </row>
    <row r="2101" spans="18:18">
      <c r="R2101" s="588"/>
    </row>
    <row r="2102" spans="18:18">
      <c r="R2102" s="588"/>
    </row>
    <row r="2103" spans="18:18">
      <c r="R2103" s="588"/>
    </row>
    <row r="2104" spans="18:18">
      <c r="R2104" s="588"/>
    </row>
    <row r="2105" spans="18:18">
      <c r="R2105" s="588"/>
    </row>
    <row r="2106" spans="18:18">
      <c r="R2106" s="588"/>
    </row>
    <row r="2107" spans="18:18">
      <c r="R2107" s="588"/>
    </row>
    <row r="2108" spans="18:18">
      <c r="R2108" s="588"/>
    </row>
    <row r="2109" spans="18:18">
      <c r="R2109" s="588"/>
    </row>
    <row r="2110" spans="18:18">
      <c r="R2110" s="588"/>
    </row>
    <row r="2111" spans="18:18">
      <c r="R2111" s="588"/>
    </row>
    <row r="2112" spans="18:18">
      <c r="R2112" s="588"/>
    </row>
    <row r="2113" spans="18:18">
      <c r="R2113" s="588"/>
    </row>
    <row r="2114" spans="18:18">
      <c r="R2114" s="588"/>
    </row>
    <row r="2115" spans="18:18">
      <c r="R2115" s="588"/>
    </row>
    <row r="2116" spans="18:18">
      <c r="R2116" s="588"/>
    </row>
    <row r="2117" spans="18:18">
      <c r="R2117" s="588"/>
    </row>
    <row r="2118" spans="18:18">
      <c r="R2118" s="588"/>
    </row>
    <row r="2119" spans="18:18">
      <c r="R2119" s="588"/>
    </row>
    <row r="2120" spans="18:18">
      <c r="R2120" s="588"/>
    </row>
    <row r="2121" spans="18:18">
      <c r="R2121" s="588"/>
    </row>
    <row r="2122" spans="18:18">
      <c r="R2122" s="588"/>
    </row>
    <row r="2123" spans="18:18">
      <c r="R2123" s="588"/>
    </row>
    <row r="2124" spans="18:18">
      <c r="R2124" s="588"/>
    </row>
    <row r="2125" spans="18:18">
      <c r="R2125" s="588"/>
    </row>
    <row r="2126" spans="18:18">
      <c r="R2126" s="588"/>
    </row>
    <row r="2127" spans="18:18">
      <c r="R2127" s="588"/>
    </row>
    <row r="2128" spans="18:18">
      <c r="R2128" s="588"/>
    </row>
    <row r="2129" spans="18:18">
      <c r="R2129" s="588"/>
    </row>
    <row r="2130" spans="18:18">
      <c r="R2130" s="588"/>
    </row>
    <row r="2131" spans="18:18">
      <c r="R2131" s="588"/>
    </row>
    <row r="2132" spans="18:18">
      <c r="R2132" s="588"/>
    </row>
    <row r="2133" spans="18:18">
      <c r="R2133" s="588"/>
    </row>
    <row r="2134" spans="18:18">
      <c r="R2134" s="588"/>
    </row>
    <row r="2135" spans="18:18">
      <c r="R2135" s="588"/>
    </row>
    <row r="2136" spans="18:18">
      <c r="R2136" s="588"/>
    </row>
    <row r="2137" spans="18:18">
      <c r="R2137" s="588"/>
    </row>
    <row r="2138" spans="18:18">
      <c r="R2138" s="588"/>
    </row>
    <row r="2139" spans="18:18">
      <c r="R2139" s="588"/>
    </row>
    <row r="2140" spans="18:18">
      <c r="R2140" s="588"/>
    </row>
    <row r="2141" spans="18:18">
      <c r="R2141" s="588"/>
    </row>
    <row r="2142" spans="18:18">
      <c r="R2142" s="588"/>
    </row>
    <row r="2143" spans="18:18">
      <c r="R2143" s="588"/>
    </row>
    <row r="2144" spans="18:18">
      <c r="R2144" s="588"/>
    </row>
    <row r="2145" spans="18:18">
      <c r="R2145" s="588"/>
    </row>
    <row r="2146" spans="18:18">
      <c r="R2146" s="588"/>
    </row>
    <row r="2147" spans="18:18">
      <c r="R2147" s="588"/>
    </row>
    <row r="2148" spans="18:18">
      <c r="R2148" s="588"/>
    </row>
    <row r="2149" spans="18:18">
      <c r="R2149" s="588"/>
    </row>
    <row r="2150" spans="18:18">
      <c r="R2150" s="588"/>
    </row>
    <row r="2151" spans="18:18">
      <c r="R2151" s="588"/>
    </row>
    <row r="2152" spans="18:18">
      <c r="R2152" s="588"/>
    </row>
    <row r="2153" spans="18:18">
      <c r="R2153" s="588"/>
    </row>
    <row r="2154" spans="18:18">
      <c r="R2154" s="588"/>
    </row>
    <row r="2155" spans="18:18">
      <c r="R2155" s="588"/>
    </row>
    <row r="2156" spans="18:18">
      <c r="R2156" s="588"/>
    </row>
    <row r="2157" spans="18:18">
      <c r="R2157" s="588"/>
    </row>
    <row r="2158" spans="18:18">
      <c r="R2158" s="588"/>
    </row>
    <row r="2159" spans="18:18">
      <c r="R2159" s="588"/>
    </row>
    <row r="2160" spans="18:18">
      <c r="R2160" s="588"/>
    </row>
    <row r="2161" spans="18:18">
      <c r="R2161" s="588"/>
    </row>
    <row r="2162" spans="18:18">
      <c r="R2162" s="588"/>
    </row>
    <row r="2163" spans="18:18">
      <c r="R2163" s="588"/>
    </row>
    <row r="2164" spans="18:18">
      <c r="R2164" s="588"/>
    </row>
    <row r="2165" spans="18:18">
      <c r="R2165" s="588"/>
    </row>
    <row r="2166" spans="18:18">
      <c r="R2166" s="588"/>
    </row>
    <row r="2167" spans="18:18">
      <c r="R2167" s="588"/>
    </row>
    <row r="2168" spans="18:18">
      <c r="R2168" s="588"/>
    </row>
    <row r="2169" spans="18:18">
      <c r="R2169" s="588"/>
    </row>
    <row r="2170" spans="18:18">
      <c r="R2170" s="588"/>
    </row>
    <row r="2171" spans="18:18">
      <c r="R2171" s="588"/>
    </row>
    <row r="2172" spans="18:18">
      <c r="R2172" s="588"/>
    </row>
    <row r="2173" spans="18:18">
      <c r="R2173" s="588"/>
    </row>
    <row r="2174" spans="18:18">
      <c r="R2174" s="588"/>
    </row>
    <row r="2175" spans="18:18">
      <c r="R2175" s="588"/>
    </row>
    <row r="2176" spans="18:18">
      <c r="R2176" s="588"/>
    </row>
    <row r="2177" spans="18:18">
      <c r="R2177" s="588"/>
    </row>
    <row r="2178" spans="18:18">
      <c r="R2178" s="588"/>
    </row>
    <row r="2179" spans="18:18">
      <c r="R2179" s="588"/>
    </row>
    <row r="2180" spans="18:18">
      <c r="R2180" s="588"/>
    </row>
    <row r="2181" spans="18:18">
      <c r="R2181" s="588"/>
    </row>
    <row r="2182" spans="18:18">
      <c r="R2182" s="588"/>
    </row>
    <row r="2183" spans="18:18">
      <c r="R2183" s="588"/>
    </row>
    <row r="2184" spans="18:18">
      <c r="R2184" s="588"/>
    </row>
    <row r="2185" spans="18:18">
      <c r="R2185" s="588"/>
    </row>
    <row r="2186" spans="18:18">
      <c r="R2186" s="588"/>
    </row>
    <row r="2187" spans="18:18">
      <c r="R2187" s="588"/>
    </row>
    <row r="2188" spans="18:18">
      <c r="R2188" s="588"/>
    </row>
    <row r="2189" spans="18:18">
      <c r="R2189" s="588"/>
    </row>
    <row r="2190" spans="18:18">
      <c r="R2190" s="588"/>
    </row>
    <row r="2191" spans="18:18">
      <c r="R2191" s="588"/>
    </row>
    <row r="2192" spans="18:18">
      <c r="R2192" s="588"/>
    </row>
    <row r="2193" spans="18:18">
      <c r="R2193" s="588"/>
    </row>
    <row r="2194" spans="18:18">
      <c r="R2194" s="588"/>
    </row>
    <row r="2195" spans="18:18">
      <c r="R2195" s="588"/>
    </row>
    <row r="2196" spans="18:18">
      <c r="R2196" s="588"/>
    </row>
    <row r="2197" spans="18:18">
      <c r="R2197" s="588"/>
    </row>
    <row r="2198" spans="18:18">
      <c r="R2198" s="588"/>
    </row>
    <row r="2199" spans="18:18">
      <c r="R2199" s="588"/>
    </row>
    <row r="2200" spans="18:18">
      <c r="R2200" s="588"/>
    </row>
    <row r="2201" spans="18:18">
      <c r="R2201" s="588"/>
    </row>
    <row r="2202" spans="18:18">
      <c r="R2202" s="588"/>
    </row>
    <row r="2203" spans="18:18">
      <c r="R2203" s="588"/>
    </row>
    <row r="2204" spans="18:18">
      <c r="R2204" s="588"/>
    </row>
    <row r="2205" spans="18:18">
      <c r="R2205" s="588"/>
    </row>
    <row r="2206" spans="18:18">
      <c r="R2206" s="588"/>
    </row>
    <row r="2207" spans="18:18">
      <c r="R2207" s="588"/>
    </row>
    <row r="2208" spans="18:18">
      <c r="R2208" s="588"/>
    </row>
    <row r="2209" spans="18:18">
      <c r="R2209" s="588"/>
    </row>
    <row r="2210" spans="18:18">
      <c r="R2210" s="588"/>
    </row>
    <row r="2211" spans="18:18">
      <c r="R2211" s="588"/>
    </row>
    <row r="2212" spans="18:18">
      <c r="R2212" s="588"/>
    </row>
    <row r="2213" spans="18:18">
      <c r="R2213" s="588"/>
    </row>
    <row r="2214" spans="18:18">
      <c r="R2214" s="588"/>
    </row>
    <row r="2215" spans="18:18">
      <c r="R2215" s="588"/>
    </row>
    <row r="2216" spans="18:18">
      <c r="R2216" s="588"/>
    </row>
    <row r="2217" spans="18:18">
      <c r="R2217" s="588"/>
    </row>
    <row r="2218" spans="18:18">
      <c r="R2218" s="588"/>
    </row>
    <row r="2219" spans="18:18">
      <c r="R2219" s="588"/>
    </row>
    <row r="2220" spans="18:18">
      <c r="R2220" s="588"/>
    </row>
    <row r="2221" spans="18:18">
      <c r="R2221" s="588"/>
    </row>
    <row r="2222" spans="18:18">
      <c r="R2222" s="588"/>
    </row>
    <row r="2223" spans="18:18">
      <c r="R2223" s="588"/>
    </row>
    <row r="2224" spans="18:18">
      <c r="R2224" s="588"/>
    </row>
    <row r="2225" spans="18:18">
      <c r="R2225" s="588"/>
    </row>
    <row r="2226" spans="18:18">
      <c r="R2226" s="588"/>
    </row>
    <row r="2227" spans="18:18">
      <c r="R2227" s="588"/>
    </row>
    <row r="2228" spans="18:18">
      <c r="R2228" s="588"/>
    </row>
    <row r="2229" spans="18:18">
      <c r="R2229" s="588"/>
    </row>
    <row r="2230" spans="18:18">
      <c r="R2230" s="588"/>
    </row>
    <row r="2231" spans="18:18">
      <c r="R2231" s="588"/>
    </row>
    <row r="2232" spans="18:18">
      <c r="R2232" s="588"/>
    </row>
    <row r="2233" spans="18:18">
      <c r="R2233" s="588"/>
    </row>
    <row r="2234" spans="18:18">
      <c r="R2234" s="588"/>
    </row>
    <row r="2235" spans="18:18">
      <c r="R2235" s="588"/>
    </row>
    <row r="2236" spans="18:18">
      <c r="R2236" s="588"/>
    </row>
    <row r="2237" spans="18:18">
      <c r="R2237" s="588"/>
    </row>
    <row r="2238" spans="18:18">
      <c r="R2238" s="588"/>
    </row>
    <row r="2239" spans="18:18">
      <c r="R2239" s="588"/>
    </row>
    <row r="2240" spans="18:18">
      <c r="R2240" s="588"/>
    </row>
    <row r="2241" spans="18:18">
      <c r="R2241" s="588"/>
    </row>
    <row r="2242" spans="18:18">
      <c r="R2242" s="588"/>
    </row>
    <row r="2243" spans="18:18">
      <c r="R2243" s="588"/>
    </row>
    <row r="2244" spans="18:18">
      <c r="R2244" s="588"/>
    </row>
    <row r="2245" spans="18:18">
      <c r="R2245" s="588"/>
    </row>
    <row r="2246" spans="18:18">
      <c r="R2246" s="588"/>
    </row>
    <row r="2247" spans="18:18">
      <c r="R2247" s="588"/>
    </row>
    <row r="2248" spans="18:18">
      <c r="R2248" s="588"/>
    </row>
    <row r="2249" spans="18:18">
      <c r="R2249" s="588"/>
    </row>
    <row r="2250" spans="18:18">
      <c r="R2250" s="588"/>
    </row>
    <row r="2251" spans="18:18">
      <c r="R2251" s="588"/>
    </row>
    <row r="2252" spans="18:18">
      <c r="R2252" s="588"/>
    </row>
    <row r="2253" spans="18:18">
      <c r="R2253" s="588"/>
    </row>
    <row r="2254" spans="18:18">
      <c r="R2254" s="588"/>
    </row>
    <row r="2255" spans="18:18">
      <c r="R2255" s="588"/>
    </row>
    <row r="2256" spans="18:18">
      <c r="R2256" s="588"/>
    </row>
    <row r="2257" spans="18:18">
      <c r="R2257" s="588"/>
    </row>
    <row r="2258" spans="18:18">
      <c r="R2258" s="588"/>
    </row>
    <row r="2259" spans="18:18">
      <c r="R2259" s="588"/>
    </row>
    <row r="2260" spans="18:18">
      <c r="R2260" s="588"/>
    </row>
    <row r="2261" spans="18:18">
      <c r="R2261" s="588"/>
    </row>
    <row r="2262" spans="18:18">
      <c r="R2262" s="588"/>
    </row>
    <row r="2263" spans="18:18">
      <c r="R2263" s="588"/>
    </row>
    <row r="2264" spans="18:18">
      <c r="R2264" s="588"/>
    </row>
    <row r="2265" spans="18:18">
      <c r="R2265" s="588"/>
    </row>
    <row r="2266" spans="18:18">
      <c r="R2266" s="588"/>
    </row>
    <row r="2267" spans="18:18">
      <c r="R2267" s="588"/>
    </row>
    <row r="2268" spans="18:18">
      <c r="R2268" s="588"/>
    </row>
    <row r="2269" spans="18:18">
      <c r="R2269" s="588"/>
    </row>
    <row r="2270" spans="18:18">
      <c r="R2270" s="588"/>
    </row>
    <row r="2271" spans="18:18">
      <c r="R2271" s="588"/>
    </row>
    <row r="2272" spans="18:18">
      <c r="R2272" s="588"/>
    </row>
    <row r="2273" spans="18:18">
      <c r="R2273" s="588"/>
    </row>
    <row r="2274" spans="18:18">
      <c r="R2274" s="588"/>
    </row>
    <row r="2275" spans="18:18">
      <c r="R2275" s="588"/>
    </row>
    <row r="2276" spans="18:18">
      <c r="R2276" s="588"/>
    </row>
    <row r="2277" spans="18:18">
      <c r="R2277" s="588"/>
    </row>
    <row r="2278" spans="18:18">
      <c r="R2278" s="588"/>
    </row>
    <row r="2279" spans="18:18">
      <c r="R2279" s="588"/>
    </row>
    <row r="2280" spans="18:18">
      <c r="R2280" s="588"/>
    </row>
    <row r="2281" spans="18:18">
      <c r="R2281" s="588"/>
    </row>
    <row r="2282" spans="18:18">
      <c r="R2282" s="588"/>
    </row>
    <row r="2283" spans="18:18">
      <c r="R2283" s="588"/>
    </row>
    <row r="2284" spans="18:18">
      <c r="R2284" s="588"/>
    </row>
    <row r="2285" spans="18:18">
      <c r="R2285" s="588"/>
    </row>
    <row r="2286" spans="18:18">
      <c r="R2286" s="588"/>
    </row>
    <row r="2287" spans="18:18">
      <c r="R2287" s="588"/>
    </row>
    <row r="2288" spans="18:18">
      <c r="R2288" s="588"/>
    </row>
    <row r="2289" spans="18:18">
      <c r="R2289" s="588"/>
    </row>
    <row r="2290" spans="18:18">
      <c r="R2290" s="588"/>
    </row>
    <row r="2291" spans="18:18">
      <c r="R2291" s="588"/>
    </row>
    <row r="2292" spans="18:18">
      <c r="R2292" s="588"/>
    </row>
    <row r="2293" spans="18:18">
      <c r="R2293" s="588"/>
    </row>
    <row r="2294" spans="18:18">
      <c r="R2294" s="588"/>
    </row>
    <row r="2295" spans="18:18">
      <c r="R2295" s="588"/>
    </row>
    <row r="2296" spans="18:18">
      <c r="R2296" s="588"/>
    </row>
    <row r="2297" spans="18:18">
      <c r="R2297" s="588"/>
    </row>
    <row r="2298" spans="18:18">
      <c r="R2298" s="588"/>
    </row>
    <row r="2299" spans="18:18">
      <c r="R2299" s="588"/>
    </row>
    <row r="2300" spans="18:18">
      <c r="R2300" s="588"/>
    </row>
    <row r="2301" spans="18:18">
      <c r="R2301" s="588"/>
    </row>
    <row r="2302" spans="18:18">
      <c r="R2302" s="588"/>
    </row>
    <row r="2303" spans="18:18">
      <c r="R2303" s="588"/>
    </row>
    <row r="2304" spans="18:18">
      <c r="R2304" s="588"/>
    </row>
    <row r="2305" spans="18:18">
      <c r="R2305" s="588"/>
    </row>
    <row r="2306" spans="18:18">
      <c r="R2306" s="588"/>
    </row>
    <row r="2307" spans="18:18">
      <c r="R2307" s="588"/>
    </row>
    <row r="2308" spans="18:18">
      <c r="R2308" s="588"/>
    </row>
    <row r="2309" spans="18:18">
      <c r="R2309" s="588"/>
    </row>
    <row r="2310" spans="18:18">
      <c r="R2310" s="588"/>
    </row>
    <row r="2311" spans="18:18">
      <c r="R2311" s="588"/>
    </row>
    <row r="2312" spans="18:18">
      <c r="R2312" s="588"/>
    </row>
    <row r="2313" spans="18:18">
      <c r="R2313" s="588"/>
    </row>
    <row r="2314" spans="18:18">
      <c r="R2314" s="588"/>
    </row>
    <row r="2315" spans="18:18">
      <c r="R2315" s="588"/>
    </row>
    <row r="2316" spans="18:18">
      <c r="R2316" s="588"/>
    </row>
    <row r="2317" spans="18:18">
      <c r="R2317" s="588"/>
    </row>
    <row r="2318" spans="18:18">
      <c r="R2318" s="588"/>
    </row>
    <row r="2319" spans="18:18">
      <c r="R2319" s="588"/>
    </row>
    <row r="2320" spans="18:18">
      <c r="R2320" s="588"/>
    </row>
    <row r="2321" spans="18:18">
      <c r="R2321" s="588"/>
    </row>
    <row r="2322" spans="18:18">
      <c r="R2322" s="588"/>
    </row>
    <row r="2323" spans="18:18">
      <c r="R2323" s="588"/>
    </row>
    <row r="2324" spans="18:18">
      <c r="R2324" s="588"/>
    </row>
    <row r="2325" spans="18:18">
      <c r="R2325" s="588"/>
    </row>
    <row r="2326" spans="18:18">
      <c r="R2326" s="588"/>
    </row>
    <row r="2327" spans="18:18">
      <c r="R2327" s="588"/>
    </row>
    <row r="2328" spans="18:18">
      <c r="R2328" s="588"/>
    </row>
    <row r="2329" spans="18:18">
      <c r="R2329" s="588"/>
    </row>
    <row r="2330" spans="18:18">
      <c r="R2330" s="588"/>
    </row>
    <row r="2331" spans="18:18">
      <c r="R2331" s="588"/>
    </row>
    <row r="2332" spans="18:18">
      <c r="R2332" s="588"/>
    </row>
    <row r="2333" spans="18:18">
      <c r="R2333" s="588"/>
    </row>
    <row r="2334" spans="18:18">
      <c r="R2334" s="588"/>
    </row>
    <row r="2335" spans="18:18">
      <c r="R2335" s="588"/>
    </row>
    <row r="2336" spans="18:18">
      <c r="R2336" s="588"/>
    </row>
    <row r="2337" spans="18:18">
      <c r="R2337" s="588"/>
    </row>
    <row r="2338" spans="18:18">
      <c r="R2338" s="588"/>
    </row>
    <row r="2339" spans="18:18">
      <c r="R2339" s="588"/>
    </row>
    <row r="2340" spans="18:18">
      <c r="R2340" s="588"/>
    </row>
    <row r="2341" spans="18:18">
      <c r="R2341" s="588"/>
    </row>
    <row r="2342" spans="18:18">
      <c r="R2342" s="588"/>
    </row>
    <row r="2343" spans="18:18">
      <c r="R2343" s="588"/>
    </row>
    <row r="2344" spans="18:18">
      <c r="R2344" s="588"/>
    </row>
    <row r="2345" spans="18:18">
      <c r="R2345" s="588"/>
    </row>
    <row r="2346" spans="18:18">
      <c r="R2346" s="588"/>
    </row>
    <row r="2347" spans="18:18">
      <c r="R2347" s="588"/>
    </row>
    <row r="2348" spans="18:18">
      <c r="R2348" s="588"/>
    </row>
    <row r="2349" spans="18:18">
      <c r="R2349" s="588"/>
    </row>
    <row r="2350" spans="18:18">
      <c r="R2350" s="588"/>
    </row>
    <row r="2351" spans="18:18">
      <c r="R2351" s="588"/>
    </row>
    <row r="2352" spans="18:18">
      <c r="R2352" s="588"/>
    </row>
    <row r="2353" spans="18:18">
      <c r="R2353" s="588"/>
    </row>
    <row r="2354" spans="18:18">
      <c r="R2354" s="588"/>
    </row>
    <row r="2355" spans="18:18">
      <c r="R2355" s="588"/>
    </row>
    <row r="2356" spans="18:18">
      <c r="R2356" s="588"/>
    </row>
    <row r="2357" spans="18:18">
      <c r="R2357" s="588"/>
    </row>
    <row r="2358" spans="18:18">
      <c r="R2358" s="588"/>
    </row>
    <row r="2359" spans="18:18">
      <c r="R2359" s="588"/>
    </row>
    <row r="2360" spans="18:18">
      <c r="R2360" s="588"/>
    </row>
    <row r="2361" spans="18:18">
      <c r="R2361" s="588"/>
    </row>
    <row r="2362" spans="18:18">
      <c r="R2362" s="588"/>
    </row>
    <row r="2363" spans="18:18">
      <c r="R2363" s="588"/>
    </row>
    <row r="2364" spans="18:18">
      <c r="R2364" s="588"/>
    </row>
    <row r="2365" spans="18:18">
      <c r="R2365" s="588"/>
    </row>
    <row r="2366" spans="18:18">
      <c r="R2366" s="588"/>
    </row>
    <row r="2367" spans="18:18">
      <c r="R2367" s="588"/>
    </row>
    <row r="2368" spans="18:18">
      <c r="R2368" s="588"/>
    </row>
    <row r="2369" spans="18:18">
      <c r="R2369" s="588"/>
    </row>
    <row r="2370" spans="18:18">
      <c r="R2370" s="588"/>
    </row>
    <row r="2371" spans="18:18">
      <c r="R2371" s="588"/>
    </row>
    <row r="2372" spans="18:18">
      <c r="R2372" s="588"/>
    </row>
    <row r="2373" spans="18:18">
      <c r="R2373" s="588"/>
    </row>
    <row r="2374" spans="18:18">
      <c r="R2374" s="588"/>
    </row>
    <row r="2375" spans="18:18">
      <c r="R2375" s="588"/>
    </row>
    <row r="2376" spans="18:18">
      <c r="R2376" s="588"/>
    </row>
    <row r="2377" spans="18:18">
      <c r="R2377" s="588"/>
    </row>
    <row r="2378" spans="18:18">
      <c r="R2378" s="588"/>
    </row>
    <row r="2379" spans="18:18">
      <c r="R2379" s="588"/>
    </row>
    <row r="2380" spans="18:18">
      <c r="R2380" s="588"/>
    </row>
    <row r="2381" spans="18:18">
      <c r="R2381" s="588"/>
    </row>
    <row r="2382" spans="18:18">
      <c r="R2382" s="588"/>
    </row>
    <row r="2383" spans="18:18">
      <c r="R2383" s="588"/>
    </row>
    <row r="2384" spans="18:18">
      <c r="R2384" s="588"/>
    </row>
    <row r="2385" spans="18:18">
      <c r="R2385" s="588"/>
    </row>
    <row r="2386" spans="18:18">
      <c r="R2386" s="588"/>
    </row>
    <row r="2387" spans="18:18">
      <c r="R2387" s="588"/>
    </row>
    <row r="2388" spans="18:18">
      <c r="R2388" s="588"/>
    </row>
    <row r="2389" spans="18:18">
      <c r="R2389" s="588"/>
    </row>
    <row r="2390" spans="18:18">
      <c r="R2390" s="588"/>
    </row>
    <row r="2391" spans="18:18">
      <c r="R2391" s="588"/>
    </row>
    <row r="2392" spans="18:18">
      <c r="R2392" s="588"/>
    </row>
    <row r="2393" spans="18:18">
      <c r="R2393" s="588"/>
    </row>
    <row r="2394" spans="18:18">
      <c r="R2394" s="588"/>
    </row>
    <row r="2395" spans="18:18">
      <c r="R2395" s="588"/>
    </row>
    <row r="2396" spans="18:18">
      <c r="R2396" s="588"/>
    </row>
    <row r="2397" spans="18:18">
      <c r="R2397" s="588"/>
    </row>
    <row r="2398" spans="18:18">
      <c r="R2398" s="588"/>
    </row>
    <row r="2399" spans="18:18">
      <c r="R2399" s="588"/>
    </row>
    <row r="2400" spans="18:18">
      <c r="R2400" s="588"/>
    </row>
    <row r="2401" spans="18:18">
      <c r="R2401" s="588"/>
    </row>
    <row r="2402" spans="18:18">
      <c r="R2402" s="588"/>
    </row>
    <row r="2403" spans="18:18">
      <c r="R2403" s="588"/>
    </row>
    <row r="2404" spans="18:18">
      <c r="R2404" s="588"/>
    </row>
    <row r="2405" spans="18:18">
      <c r="R2405" s="588"/>
    </row>
    <row r="2406" spans="18:18">
      <c r="R2406" s="588"/>
    </row>
    <row r="2407" spans="18:18">
      <c r="R2407" s="588"/>
    </row>
    <row r="2408" spans="18:18">
      <c r="R2408" s="588"/>
    </row>
    <row r="2409" spans="18:18">
      <c r="R2409" s="588"/>
    </row>
    <row r="2410" spans="18:18">
      <c r="R2410" s="588"/>
    </row>
    <row r="2411" spans="18:18">
      <c r="R2411" s="588"/>
    </row>
    <row r="2412" spans="18:18">
      <c r="R2412" s="588"/>
    </row>
    <row r="2413" spans="18:18">
      <c r="R2413" s="588"/>
    </row>
    <row r="2414" spans="18:18">
      <c r="R2414" s="588"/>
    </row>
    <row r="2415" spans="18:18">
      <c r="R2415" s="588"/>
    </row>
    <row r="2416" spans="18:18">
      <c r="R2416" s="588"/>
    </row>
    <row r="2417" spans="18:18">
      <c r="R2417" s="588"/>
    </row>
    <row r="2418" spans="18:18">
      <c r="R2418" s="588"/>
    </row>
    <row r="2419" spans="18:18">
      <c r="R2419" s="588"/>
    </row>
    <row r="2420" spans="18:18">
      <c r="R2420" s="588"/>
    </row>
    <row r="2421" spans="18:18">
      <c r="R2421" s="588"/>
    </row>
    <row r="2422" spans="18:18">
      <c r="R2422" s="588"/>
    </row>
    <row r="2423" spans="18:18">
      <c r="R2423" s="588"/>
    </row>
    <row r="2424" spans="18:18">
      <c r="R2424" s="588"/>
    </row>
    <row r="2425" spans="18:18">
      <c r="R2425" s="588"/>
    </row>
    <row r="2426" spans="18:18">
      <c r="R2426" s="588"/>
    </row>
    <row r="2427" spans="18:18">
      <c r="R2427" s="588"/>
    </row>
    <row r="2428" spans="18:18">
      <c r="R2428" s="588"/>
    </row>
    <row r="2429" spans="18:18">
      <c r="R2429" s="588"/>
    </row>
    <row r="2430" spans="18:18">
      <c r="R2430" s="588"/>
    </row>
    <row r="2431" spans="18:18">
      <c r="R2431" s="588"/>
    </row>
    <row r="2432" spans="18:18">
      <c r="R2432" s="588"/>
    </row>
    <row r="2433" spans="18:18">
      <c r="R2433" s="588"/>
    </row>
    <row r="2434" spans="18:18">
      <c r="R2434" s="588"/>
    </row>
    <row r="2435" spans="18:18">
      <c r="R2435" s="588"/>
    </row>
    <row r="2436" spans="18:18">
      <c r="R2436" s="588"/>
    </row>
    <row r="2437" spans="18:18">
      <c r="R2437" s="588"/>
    </row>
    <row r="2438" spans="18:18">
      <c r="R2438" s="588"/>
    </row>
    <row r="2439" spans="18:18">
      <c r="R2439" s="588"/>
    </row>
    <row r="2440" spans="18:18">
      <c r="R2440" s="588"/>
    </row>
    <row r="2441" spans="18:18">
      <c r="R2441" s="588"/>
    </row>
    <row r="2442" spans="18:18">
      <c r="R2442" s="588"/>
    </row>
    <row r="2443" spans="18:18">
      <c r="R2443" s="588"/>
    </row>
    <row r="2444" spans="18:18">
      <c r="R2444" s="588"/>
    </row>
    <row r="2445" spans="18:18">
      <c r="R2445" s="588"/>
    </row>
    <row r="2446" spans="18:18">
      <c r="R2446" s="588"/>
    </row>
    <row r="2447" spans="18:18">
      <c r="R2447" s="588"/>
    </row>
    <row r="2448" spans="18:18">
      <c r="R2448" s="588"/>
    </row>
    <row r="2449" spans="18:18">
      <c r="R2449" s="588"/>
    </row>
    <row r="2450" spans="18:18">
      <c r="R2450" s="588"/>
    </row>
    <row r="2451" spans="18:18">
      <c r="R2451" s="588"/>
    </row>
    <row r="2452" spans="18:18">
      <c r="R2452" s="588"/>
    </row>
    <row r="2453" spans="18:18">
      <c r="R2453" s="588"/>
    </row>
    <row r="2454" spans="18:18">
      <c r="R2454" s="588"/>
    </row>
    <row r="2455" spans="18:18">
      <c r="R2455" s="588"/>
    </row>
    <row r="2456" spans="18:18">
      <c r="R2456" s="588"/>
    </row>
    <row r="2457" spans="18:18">
      <c r="R2457" s="588"/>
    </row>
    <row r="2458" spans="18:18">
      <c r="R2458" s="588"/>
    </row>
    <row r="2459" spans="18:18">
      <c r="R2459" s="588"/>
    </row>
    <row r="2460" spans="18:18">
      <c r="R2460" s="588"/>
    </row>
    <row r="2461" spans="18:18">
      <c r="R2461" s="588"/>
    </row>
    <row r="2462" spans="18:18">
      <c r="R2462" s="588"/>
    </row>
    <row r="2463" spans="18:18">
      <c r="R2463" s="588"/>
    </row>
    <row r="2464" spans="18:18">
      <c r="R2464" s="588"/>
    </row>
    <row r="2465" spans="18:18">
      <c r="R2465" s="588"/>
    </row>
    <row r="2466" spans="18:18">
      <c r="R2466" s="588"/>
    </row>
    <row r="2467" spans="18:18">
      <c r="R2467" s="588"/>
    </row>
    <row r="2468" spans="18:18">
      <c r="R2468" s="588"/>
    </row>
    <row r="2469" spans="18:18">
      <c r="R2469" s="588"/>
    </row>
    <row r="2470" spans="18:18">
      <c r="R2470" s="588"/>
    </row>
    <row r="2471" spans="18:18">
      <c r="R2471" s="588"/>
    </row>
    <row r="2472" spans="18:18">
      <c r="R2472" s="588"/>
    </row>
    <row r="2473" spans="18:18">
      <c r="R2473" s="588"/>
    </row>
    <row r="2474" spans="18:18">
      <c r="R2474" s="588"/>
    </row>
    <row r="2475" spans="18:18">
      <c r="R2475" s="588"/>
    </row>
    <row r="2476" spans="18:18">
      <c r="R2476" s="588"/>
    </row>
    <row r="2477" spans="18:18">
      <c r="R2477" s="588"/>
    </row>
    <row r="2478" spans="18:18">
      <c r="R2478" s="588"/>
    </row>
    <row r="2479" spans="18:18">
      <c r="R2479" s="588"/>
    </row>
    <row r="2480" spans="18:18">
      <c r="R2480" s="588"/>
    </row>
    <row r="2481" spans="18:18">
      <c r="R2481" s="588"/>
    </row>
    <row r="2482" spans="18:18">
      <c r="R2482" s="588"/>
    </row>
    <row r="2483" spans="18:18">
      <c r="R2483" s="588"/>
    </row>
    <row r="2484" spans="18:18">
      <c r="R2484" s="588"/>
    </row>
    <row r="2485" spans="18:18">
      <c r="R2485" s="588"/>
    </row>
    <row r="2486" spans="18:18">
      <c r="R2486" s="588"/>
    </row>
    <row r="2487" spans="18:18">
      <c r="R2487" s="588"/>
    </row>
    <row r="2488" spans="18:18">
      <c r="R2488" s="588"/>
    </row>
    <row r="2489" spans="18:18">
      <c r="R2489" s="588"/>
    </row>
    <row r="2490" spans="18:18">
      <c r="R2490" s="588"/>
    </row>
    <row r="2491" spans="18:18">
      <c r="R2491" s="588"/>
    </row>
    <row r="2492" spans="18:18">
      <c r="R2492" s="588"/>
    </row>
    <row r="2493" spans="18:18">
      <c r="R2493" s="588"/>
    </row>
    <row r="2494" spans="18:18">
      <c r="R2494" s="588"/>
    </row>
    <row r="2495" spans="18:18">
      <c r="R2495" s="588"/>
    </row>
    <row r="2496" spans="18:18">
      <c r="R2496" s="588"/>
    </row>
    <row r="2497" spans="18:18">
      <c r="R2497" s="588"/>
    </row>
    <row r="2498" spans="18:18">
      <c r="R2498" s="588"/>
    </row>
    <row r="2499" spans="18:18">
      <c r="R2499" s="588"/>
    </row>
    <row r="2500" spans="18:18">
      <c r="R2500" s="588"/>
    </row>
    <row r="2501" spans="18:18">
      <c r="R2501" s="588"/>
    </row>
    <row r="2502" spans="18:18">
      <c r="R2502" s="588"/>
    </row>
    <row r="2503" spans="18:18">
      <c r="R2503" s="588"/>
    </row>
    <row r="2504" spans="18:18">
      <c r="R2504" s="588"/>
    </row>
    <row r="2505" spans="18:18">
      <c r="R2505" s="588"/>
    </row>
    <row r="2506" spans="18:18">
      <c r="R2506" s="588"/>
    </row>
    <row r="2507" spans="18:18">
      <c r="R2507" s="588"/>
    </row>
    <row r="2508" spans="18:18">
      <c r="R2508" s="588"/>
    </row>
    <row r="2509" spans="18:18">
      <c r="R2509" s="588"/>
    </row>
    <row r="2510" spans="18:18">
      <c r="R2510" s="588"/>
    </row>
    <row r="2511" spans="18:18">
      <c r="R2511" s="588"/>
    </row>
    <row r="2512" spans="18:18">
      <c r="R2512" s="588"/>
    </row>
    <row r="2513" spans="18:18">
      <c r="R2513" s="588"/>
    </row>
    <row r="2514" spans="18:18">
      <c r="R2514" s="588"/>
    </row>
    <row r="2515" spans="18:18">
      <c r="R2515" s="588"/>
    </row>
    <row r="2516" spans="18:18">
      <c r="R2516" s="588"/>
    </row>
    <row r="2517" spans="18:18">
      <c r="R2517" s="588"/>
    </row>
    <row r="2518" spans="18:18">
      <c r="R2518" s="588"/>
    </row>
    <row r="2519" spans="18:18">
      <c r="R2519" s="588"/>
    </row>
    <row r="2520" spans="18:18">
      <c r="R2520" s="588"/>
    </row>
    <row r="2521" spans="18:18">
      <c r="R2521" s="588"/>
    </row>
    <row r="2522" spans="18:18">
      <c r="R2522" s="588"/>
    </row>
    <row r="2523" spans="18:18">
      <c r="R2523" s="588"/>
    </row>
    <row r="2524" spans="18:18">
      <c r="R2524" s="588"/>
    </row>
    <row r="2525" spans="18:18">
      <c r="R2525" s="588"/>
    </row>
    <row r="2526" spans="18:18">
      <c r="R2526" s="588"/>
    </row>
    <row r="2527" spans="18:18">
      <c r="R2527" s="588"/>
    </row>
    <row r="2528" spans="18:18">
      <c r="R2528" s="588"/>
    </row>
    <row r="2529" spans="18:18">
      <c r="R2529" s="588"/>
    </row>
    <row r="2530" spans="18:18">
      <c r="R2530" s="588"/>
    </row>
    <row r="2531" spans="18:18">
      <c r="R2531" s="588"/>
    </row>
    <row r="2532" spans="18:18">
      <c r="R2532" s="588"/>
    </row>
    <row r="2533" spans="18:18">
      <c r="R2533" s="588"/>
    </row>
    <row r="2534" spans="18:18">
      <c r="R2534" s="588"/>
    </row>
    <row r="2535" spans="18:18">
      <c r="R2535" s="588"/>
    </row>
    <row r="2536" spans="18:18">
      <c r="R2536" s="588"/>
    </row>
    <row r="2537" spans="18:18">
      <c r="R2537" s="588"/>
    </row>
    <row r="2538" spans="18:18">
      <c r="R2538" s="588"/>
    </row>
    <row r="2539" spans="18:18">
      <c r="R2539" s="588"/>
    </row>
    <row r="2540" spans="18:18">
      <c r="R2540" s="588"/>
    </row>
    <row r="2541" spans="18:18">
      <c r="R2541" s="588"/>
    </row>
    <row r="2542" spans="18:18">
      <c r="R2542" s="588"/>
    </row>
    <row r="2543" spans="18:18">
      <c r="R2543" s="588"/>
    </row>
    <row r="2544" spans="18:18">
      <c r="R2544" s="588"/>
    </row>
    <row r="2545" spans="18:18">
      <c r="R2545" s="588"/>
    </row>
    <row r="2546" spans="18:18">
      <c r="R2546" s="588"/>
    </row>
    <row r="2547" spans="18:18">
      <c r="R2547" s="588"/>
    </row>
    <row r="2548" spans="18:18">
      <c r="R2548" s="588"/>
    </row>
    <row r="2549" spans="18:18">
      <c r="R2549" s="588"/>
    </row>
    <row r="2550" spans="18:18">
      <c r="R2550" s="588"/>
    </row>
    <row r="2551" spans="18:18">
      <c r="R2551" s="588"/>
    </row>
    <row r="2552" spans="18:18">
      <c r="R2552" s="588"/>
    </row>
    <row r="2553" spans="18:18">
      <c r="R2553" s="588"/>
    </row>
    <row r="2554" spans="18:18">
      <c r="R2554" s="588"/>
    </row>
    <row r="2555" spans="18:18">
      <c r="R2555" s="588"/>
    </row>
    <row r="2556" spans="18:18">
      <c r="R2556" s="588"/>
    </row>
    <row r="2557" spans="18:18">
      <c r="R2557" s="588"/>
    </row>
    <row r="2558" spans="18:18">
      <c r="R2558" s="588"/>
    </row>
    <row r="2559" spans="18:18">
      <c r="R2559" s="588"/>
    </row>
    <row r="2560" spans="18:18">
      <c r="R2560" s="588"/>
    </row>
    <row r="2561" spans="18:18">
      <c r="R2561" s="588"/>
    </row>
    <row r="2562" spans="18:18">
      <c r="R2562" s="588"/>
    </row>
    <row r="2563" spans="18:18">
      <c r="R2563" s="588"/>
    </row>
    <row r="2564" spans="18:18">
      <c r="R2564" s="588"/>
    </row>
    <row r="2565" spans="18:18">
      <c r="R2565" s="588"/>
    </row>
    <row r="2566" spans="18:18">
      <c r="R2566" s="588"/>
    </row>
    <row r="2567" spans="18:18">
      <c r="R2567" s="588"/>
    </row>
    <row r="2568" spans="18:18">
      <c r="R2568" s="588"/>
    </row>
    <row r="2569" spans="18:18">
      <c r="R2569" s="588"/>
    </row>
    <row r="2570" spans="18:18">
      <c r="R2570" s="588"/>
    </row>
    <row r="2571" spans="18:18">
      <c r="R2571" s="588"/>
    </row>
    <row r="2572" spans="18:18">
      <c r="R2572" s="588"/>
    </row>
    <row r="2573" spans="18:18">
      <c r="R2573" s="588"/>
    </row>
    <row r="2574" spans="18:18">
      <c r="R2574" s="588"/>
    </row>
    <row r="2575" spans="18:18">
      <c r="R2575" s="588"/>
    </row>
    <row r="2576" spans="18:18">
      <c r="R2576" s="588"/>
    </row>
    <row r="2577" spans="18:18">
      <c r="R2577" s="588"/>
    </row>
    <row r="2578" spans="18:18">
      <c r="R2578" s="588"/>
    </row>
    <row r="2579" spans="18:18">
      <c r="R2579" s="588"/>
    </row>
    <row r="2580" spans="18:18">
      <c r="R2580" s="588"/>
    </row>
    <row r="2581" spans="18:18">
      <c r="R2581" s="588"/>
    </row>
    <row r="2582" spans="18:18">
      <c r="R2582" s="588"/>
    </row>
    <row r="2583" spans="18:18">
      <c r="R2583" s="588"/>
    </row>
    <row r="2584" spans="18:18">
      <c r="R2584" s="588"/>
    </row>
    <row r="2585" spans="18:18">
      <c r="R2585" s="588"/>
    </row>
    <row r="2586" spans="18:18">
      <c r="R2586" s="588"/>
    </row>
    <row r="2587" spans="18:18">
      <c r="R2587" s="588"/>
    </row>
    <row r="2588" spans="18:18">
      <c r="R2588" s="588"/>
    </row>
    <row r="2589" spans="18:18">
      <c r="R2589" s="588"/>
    </row>
    <row r="2590" spans="18:18">
      <c r="R2590" s="588"/>
    </row>
    <row r="2591" spans="18:18">
      <c r="R2591" s="588"/>
    </row>
    <row r="2592" spans="18:18">
      <c r="R2592" s="588"/>
    </row>
    <row r="2593" spans="18:18">
      <c r="R2593" s="588"/>
    </row>
    <row r="2594" spans="18:18">
      <c r="R2594" s="588"/>
    </row>
    <row r="2595" spans="18:18">
      <c r="R2595" s="588"/>
    </row>
    <row r="2596" spans="18:18">
      <c r="R2596" s="588"/>
    </row>
    <row r="2597" spans="18:18">
      <c r="R2597" s="588"/>
    </row>
    <row r="2598" spans="18:18">
      <c r="R2598" s="588"/>
    </row>
    <row r="2599" spans="18:18">
      <c r="R2599" s="588"/>
    </row>
    <row r="2600" spans="18:18">
      <c r="R2600" s="588"/>
    </row>
    <row r="2601" spans="18:18">
      <c r="R2601" s="588"/>
    </row>
    <row r="2602" spans="18:18">
      <c r="R2602" s="588"/>
    </row>
    <row r="2603" spans="18:18">
      <c r="R2603" s="588"/>
    </row>
    <row r="2604" spans="18:18">
      <c r="R2604" s="588"/>
    </row>
    <row r="2605" spans="18:18">
      <c r="R2605" s="588"/>
    </row>
    <row r="2606" spans="18:18">
      <c r="R2606" s="588"/>
    </row>
    <row r="2607" spans="18:18">
      <c r="R2607" s="588"/>
    </row>
    <row r="2608" spans="18:18">
      <c r="R2608" s="588"/>
    </row>
    <row r="2609" spans="18:18">
      <c r="R2609" s="588"/>
    </row>
    <row r="2610" spans="18:18">
      <c r="R2610" s="588"/>
    </row>
    <row r="2611" spans="18:18">
      <c r="R2611" s="588"/>
    </row>
    <row r="2612" spans="18:18">
      <c r="R2612" s="588"/>
    </row>
    <row r="2613" spans="18:18">
      <c r="R2613" s="588"/>
    </row>
    <row r="2614" spans="18:18">
      <c r="R2614" s="588"/>
    </row>
    <row r="2615" spans="18:18">
      <c r="R2615" s="588"/>
    </row>
    <row r="2616" spans="18:18">
      <c r="R2616" s="588"/>
    </row>
    <row r="2617" spans="18:18">
      <c r="R2617" s="588"/>
    </row>
    <row r="2618" spans="18:18">
      <c r="R2618" s="588"/>
    </row>
    <row r="2619" spans="18:18">
      <c r="R2619" s="588"/>
    </row>
    <row r="2620" spans="18:18">
      <c r="R2620" s="588"/>
    </row>
    <row r="2621" spans="18:18">
      <c r="R2621" s="588"/>
    </row>
    <row r="2622" spans="18:18">
      <c r="R2622" s="588"/>
    </row>
    <row r="2623" spans="18:18">
      <c r="R2623" s="588"/>
    </row>
    <row r="2624" spans="18:18">
      <c r="R2624" s="588"/>
    </row>
    <row r="2625" spans="18:18">
      <c r="R2625" s="588"/>
    </row>
    <row r="2626" spans="18:18">
      <c r="R2626" s="588"/>
    </row>
    <row r="2627" spans="18:18">
      <c r="R2627" s="588"/>
    </row>
    <row r="2628" spans="18:18">
      <c r="R2628" s="588"/>
    </row>
    <row r="2629" spans="18:18">
      <c r="R2629" s="588"/>
    </row>
    <row r="2630" spans="18:18">
      <c r="R2630" s="588"/>
    </row>
    <row r="2631" spans="18:18">
      <c r="R2631" s="588"/>
    </row>
    <row r="2632" spans="18:18">
      <c r="R2632" s="588"/>
    </row>
    <row r="2633" spans="18:18">
      <c r="R2633" s="588"/>
    </row>
    <row r="2634" spans="18:18">
      <c r="R2634" s="588"/>
    </row>
    <row r="2635" spans="18:18">
      <c r="R2635" s="588"/>
    </row>
    <row r="2636" spans="18:18">
      <c r="R2636" s="588"/>
    </row>
    <row r="2637" spans="18:18">
      <c r="R2637" s="588"/>
    </row>
    <row r="2638" spans="18:18">
      <c r="R2638" s="588"/>
    </row>
    <row r="2639" spans="18:18">
      <c r="R2639" s="588"/>
    </row>
    <row r="2640" spans="18:18">
      <c r="R2640" s="588"/>
    </row>
    <row r="2641" spans="18:18">
      <c r="R2641" s="588"/>
    </row>
    <row r="2642" spans="18:18">
      <c r="R2642" s="588"/>
    </row>
    <row r="2643" spans="18:18">
      <c r="R2643" s="588"/>
    </row>
    <row r="2644" spans="18:18">
      <c r="R2644" s="588"/>
    </row>
    <row r="2645" spans="18:18">
      <c r="R2645" s="588"/>
    </row>
    <row r="2646" spans="18:18">
      <c r="R2646" s="588"/>
    </row>
    <row r="2647" spans="18:18">
      <c r="R2647" s="588"/>
    </row>
    <row r="2648" spans="18:18">
      <c r="R2648" s="588"/>
    </row>
    <row r="2649" spans="18:18">
      <c r="R2649" s="588"/>
    </row>
    <row r="2650" spans="18:18">
      <c r="R2650" s="588"/>
    </row>
    <row r="2651" spans="18:18">
      <c r="R2651" s="588"/>
    </row>
    <row r="2652" spans="18:18">
      <c r="R2652" s="588"/>
    </row>
    <row r="2653" spans="18:18">
      <c r="R2653" s="588"/>
    </row>
    <row r="2654" spans="18:18">
      <c r="R2654" s="588"/>
    </row>
    <row r="2655" spans="18:18">
      <c r="R2655" s="588"/>
    </row>
    <row r="2656" spans="18:18">
      <c r="R2656" s="588"/>
    </row>
    <row r="2657" spans="18:18">
      <c r="R2657" s="588"/>
    </row>
    <row r="2658" spans="18:18">
      <c r="R2658" s="588"/>
    </row>
    <row r="2659" spans="18:18">
      <c r="R2659" s="588"/>
    </row>
    <row r="2660" spans="18:18">
      <c r="R2660" s="588"/>
    </row>
    <row r="2661" spans="18:18">
      <c r="R2661" s="588"/>
    </row>
    <row r="2662" spans="18:18">
      <c r="R2662" s="588"/>
    </row>
    <row r="2663" spans="18:18">
      <c r="R2663" s="588"/>
    </row>
    <row r="2664" spans="18:18">
      <c r="R2664" s="588"/>
    </row>
    <row r="2665" spans="18:18">
      <c r="R2665" s="588"/>
    </row>
    <row r="2666" spans="18:18">
      <c r="R2666" s="588"/>
    </row>
    <row r="2667" spans="18:18">
      <c r="R2667" s="588"/>
    </row>
    <row r="2668" spans="18:18">
      <c r="R2668" s="588"/>
    </row>
    <row r="2669" spans="18:18">
      <c r="R2669" s="588"/>
    </row>
    <row r="2670" spans="18:18">
      <c r="R2670" s="588"/>
    </row>
    <row r="2671" spans="18:18">
      <c r="R2671" s="588"/>
    </row>
    <row r="2672" spans="18:18">
      <c r="R2672" s="588"/>
    </row>
    <row r="2673" spans="18:18">
      <c r="R2673" s="588"/>
    </row>
    <row r="2674" spans="18:18">
      <c r="R2674" s="588"/>
    </row>
    <row r="2675" spans="18:18">
      <c r="R2675" s="588"/>
    </row>
    <row r="2676" spans="18:18">
      <c r="R2676" s="588"/>
    </row>
    <row r="2677" spans="18:18">
      <c r="R2677" s="588"/>
    </row>
    <row r="2678" spans="18:18">
      <c r="R2678" s="588"/>
    </row>
    <row r="2679" spans="18:18">
      <c r="R2679" s="588"/>
    </row>
    <row r="2680" spans="18:18">
      <c r="R2680" s="588"/>
    </row>
    <row r="2681" spans="18:18">
      <c r="R2681" s="588"/>
    </row>
    <row r="2682" spans="18:18">
      <c r="R2682" s="588"/>
    </row>
    <row r="2683" spans="18:18">
      <c r="R2683" s="588"/>
    </row>
    <row r="2684" spans="18:18">
      <c r="R2684" s="588"/>
    </row>
    <row r="2685" spans="18:18">
      <c r="R2685" s="588"/>
    </row>
    <row r="2686" spans="18:18">
      <c r="R2686" s="588"/>
    </row>
    <row r="2687" spans="18:18">
      <c r="R2687" s="588"/>
    </row>
    <row r="2688" spans="18:18">
      <c r="R2688" s="588"/>
    </row>
    <row r="2689" spans="18:18">
      <c r="R2689" s="588"/>
    </row>
    <row r="2690" spans="18:18">
      <c r="R2690" s="588"/>
    </row>
    <row r="2691" spans="18:18">
      <c r="R2691" s="588"/>
    </row>
    <row r="2692" spans="18:18">
      <c r="R2692" s="588"/>
    </row>
    <row r="2693" spans="18:18">
      <c r="R2693" s="588"/>
    </row>
    <row r="2694" spans="18:18">
      <c r="R2694" s="588"/>
    </row>
    <row r="2695" spans="18:18">
      <c r="R2695" s="588"/>
    </row>
    <row r="2696" spans="18:18">
      <c r="R2696" s="588"/>
    </row>
    <row r="2697" spans="18:18">
      <c r="R2697" s="588"/>
    </row>
    <row r="2698" spans="18:18">
      <c r="R2698" s="588"/>
    </row>
    <row r="2699" spans="18:18">
      <c r="R2699" s="588"/>
    </row>
    <row r="2700" spans="18:18">
      <c r="R2700" s="588"/>
    </row>
    <row r="2701" spans="18:18">
      <c r="R2701" s="588"/>
    </row>
    <row r="2702" spans="18:18">
      <c r="R2702" s="588"/>
    </row>
    <row r="2703" spans="18:18">
      <c r="R2703" s="588"/>
    </row>
    <row r="2704" spans="18:18">
      <c r="R2704" s="588"/>
    </row>
    <row r="2705" spans="18:18">
      <c r="R2705" s="588"/>
    </row>
    <row r="2706" spans="18:18">
      <c r="R2706" s="588"/>
    </row>
    <row r="2707" spans="18:18">
      <c r="R2707" s="588"/>
    </row>
    <row r="2708" spans="18:18">
      <c r="R2708" s="588"/>
    </row>
    <row r="2709" spans="18:18">
      <c r="R2709" s="588"/>
    </row>
    <row r="2710" spans="18:18">
      <c r="R2710" s="588"/>
    </row>
    <row r="2711" spans="18:18">
      <c r="R2711" s="588"/>
    </row>
    <row r="2712" spans="18:18">
      <c r="R2712" s="588"/>
    </row>
    <row r="2713" spans="18:18">
      <c r="R2713" s="588"/>
    </row>
    <row r="2714" spans="18:18">
      <c r="R2714" s="588"/>
    </row>
    <row r="2715" spans="18:18">
      <c r="R2715" s="588"/>
    </row>
    <row r="2716" spans="18:18">
      <c r="R2716" s="588"/>
    </row>
    <row r="2717" spans="18:18">
      <c r="R2717" s="588"/>
    </row>
    <row r="2718" spans="18:18">
      <c r="R2718" s="588"/>
    </row>
    <row r="2719" spans="18:18">
      <c r="R2719" s="588"/>
    </row>
    <row r="2720" spans="18:18">
      <c r="R2720" s="588"/>
    </row>
    <row r="2721" spans="18:18">
      <c r="R2721" s="588"/>
    </row>
    <row r="2722" spans="18:18">
      <c r="R2722" s="588"/>
    </row>
    <row r="2723" spans="18:18">
      <c r="R2723" s="588"/>
    </row>
    <row r="2724" spans="18:18">
      <c r="R2724" s="588"/>
    </row>
    <row r="2725" spans="18:18">
      <c r="R2725" s="588"/>
    </row>
    <row r="2726" spans="18:18">
      <c r="R2726" s="588"/>
    </row>
    <row r="2727" spans="18:18">
      <c r="R2727" s="588"/>
    </row>
    <row r="2728" spans="18:18">
      <c r="R2728" s="588"/>
    </row>
    <row r="2729" spans="18:18">
      <c r="R2729" s="588"/>
    </row>
    <row r="2730" spans="18:18">
      <c r="R2730" s="588"/>
    </row>
    <row r="2731" spans="18:18">
      <c r="R2731" s="588"/>
    </row>
    <row r="2732" spans="18:18">
      <c r="R2732" s="588"/>
    </row>
    <row r="2733" spans="18:18">
      <c r="R2733" s="588"/>
    </row>
    <row r="2734" spans="18:18">
      <c r="R2734" s="588"/>
    </row>
    <row r="2735" spans="18:18">
      <c r="R2735" s="588"/>
    </row>
    <row r="2736" spans="18:18">
      <c r="R2736" s="588"/>
    </row>
    <row r="2737" spans="18:18">
      <c r="R2737" s="588"/>
    </row>
    <row r="2738" spans="18:18">
      <c r="R2738" s="588"/>
    </row>
    <row r="2739" spans="18:18">
      <c r="R2739" s="588"/>
    </row>
    <row r="2740" spans="18:18">
      <c r="R2740" s="588"/>
    </row>
    <row r="2741" spans="18:18">
      <c r="R2741" s="588"/>
    </row>
    <row r="2742" spans="18:18">
      <c r="R2742" s="588"/>
    </row>
    <row r="2743" spans="18:18">
      <c r="R2743" s="588"/>
    </row>
    <row r="2744" spans="18:18">
      <c r="R2744" s="588"/>
    </row>
    <row r="2745" spans="18:18">
      <c r="R2745" s="588"/>
    </row>
    <row r="2746" spans="18:18">
      <c r="R2746" s="588"/>
    </row>
    <row r="2747" spans="18:18">
      <c r="R2747" s="588"/>
    </row>
    <row r="2748" spans="18:18">
      <c r="R2748" s="588"/>
    </row>
    <row r="2749" spans="18:18">
      <c r="R2749" s="588"/>
    </row>
    <row r="2750" spans="18:18">
      <c r="R2750" s="588"/>
    </row>
    <row r="2751" spans="18:18">
      <c r="R2751" s="588"/>
    </row>
    <row r="2752" spans="18:18">
      <c r="R2752" s="588"/>
    </row>
    <row r="2753" spans="18:18">
      <c r="R2753" s="588"/>
    </row>
    <row r="2754" spans="18:18">
      <c r="R2754" s="588"/>
    </row>
    <row r="2755" spans="18:18">
      <c r="R2755" s="588"/>
    </row>
    <row r="2756" spans="18:18">
      <c r="R2756" s="588"/>
    </row>
    <row r="2757" spans="18:18">
      <c r="R2757" s="588"/>
    </row>
    <row r="2758" spans="18:18">
      <c r="R2758" s="588"/>
    </row>
    <row r="2759" spans="18:18">
      <c r="R2759" s="588"/>
    </row>
    <row r="2760" spans="18:18">
      <c r="R2760" s="588"/>
    </row>
    <row r="2761" spans="18:18">
      <c r="R2761" s="588"/>
    </row>
    <row r="2762" spans="18:18">
      <c r="R2762" s="588"/>
    </row>
    <row r="2763" spans="18:18">
      <c r="R2763" s="588"/>
    </row>
    <row r="2764" spans="18:18">
      <c r="R2764" s="588"/>
    </row>
    <row r="2765" spans="18:18">
      <c r="R2765" s="588"/>
    </row>
    <row r="2766" spans="18:18">
      <c r="R2766" s="588"/>
    </row>
    <row r="2767" spans="18:18">
      <c r="R2767" s="588"/>
    </row>
    <row r="2768" spans="18:18">
      <c r="R2768" s="588"/>
    </row>
    <row r="2769" spans="18:18">
      <c r="R2769" s="588"/>
    </row>
    <row r="2770" spans="18:18">
      <c r="R2770" s="588"/>
    </row>
    <row r="2771" spans="18:18">
      <c r="R2771" s="588"/>
    </row>
    <row r="2772" spans="18:18">
      <c r="R2772" s="588"/>
    </row>
    <row r="2773" spans="18:18">
      <c r="R2773" s="588"/>
    </row>
    <row r="2774" spans="18:18">
      <c r="R2774" s="588"/>
    </row>
    <row r="2775" spans="18:18">
      <c r="R2775" s="588"/>
    </row>
    <row r="2776" spans="18:18">
      <c r="R2776" s="588"/>
    </row>
    <row r="2777" spans="18:18">
      <c r="R2777" s="588"/>
    </row>
    <row r="2778" spans="18:18">
      <c r="R2778" s="588"/>
    </row>
    <row r="2779" spans="18:18">
      <c r="R2779" s="588"/>
    </row>
    <row r="2780" spans="18:18">
      <c r="R2780" s="588"/>
    </row>
    <row r="2781" spans="18:18">
      <c r="R2781" s="588"/>
    </row>
    <row r="2782" spans="18:18">
      <c r="R2782" s="588"/>
    </row>
    <row r="2783" spans="18:18">
      <c r="R2783" s="588"/>
    </row>
    <row r="2784" spans="18:18">
      <c r="R2784" s="588"/>
    </row>
    <row r="2785" spans="18:18">
      <c r="R2785" s="588"/>
    </row>
    <row r="2786" spans="18:18">
      <c r="R2786" s="588"/>
    </row>
    <row r="2787" spans="18:18">
      <c r="R2787" s="588"/>
    </row>
    <row r="2788" spans="18:18">
      <c r="R2788" s="588"/>
    </row>
    <row r="2789" spans="18:18">
      <c r="R2789" s="588"/>
    </row>
    <row r="2790" spans="18:18">
      <c r="R2790" s="588"/>
    </row>
    <row r="2791" spans="18:18">
      <c r="R2791" s="588"/>
    </row>
    <row r="2792" spans="18:18">
      <c r="R2792" s="588"/>
    </row>
    <row r="2793" spans="18:18">
      <c r="R2793" s="588"/>
    </row>
    <row r="2794" spans="18:18">
      <c r="R2794" s="588"/>
    </row>
    <row r="2795" spans="18:18">
      <c r="R2795" s="588"/>
    </row>
    <row r="2796" spans="18:18">
      <c r="R2796" s="588"/>
    </row>
    <row r="2797" spans="18:18">
      <c r="R2797" s="588"/>
    </row>
    <row r="2798" spans="18:18">
      <c r="R2798" s="588"/>
    </row>
    <row r="2799" spans="18:18">
      <c r="R2799" s="588"/>
    </row>
    <row r="2800" spans="18:18">
      <c r="R2800" s="588"/>
    </row>
    <row r="2801" spans="18:18">
      <c r="R2801" s="588"/>
    </row>
    <row r="2802" spans="18:18">
      <c r="R2802" s="588"/>
    </row>
    <row r="2803" spans="18:18">
      <c r="R2803" s="588"/>
    </row>
    <row r="2804" spans="18:18">
      <c r="R2804" s="588"/>
    </row>
    <row r="2805" spans="18:18">
      <c r="R2805" s="588"/>
    </row>
    <row r="2806" spans="18:18">
      <c r="R2806" s="588"/>
    </row>
    <row r="2807" spans="18:18">
      <c r="R2807" s="588"/>
    </row>
    <row r="2808" spans="18:18">
      <c r="R2808" s="588"/>
    </row>
    <row r="2809" spans="18:18">
      <c r="R2809" s="588"/>
    </row>
    <row r="2810" spans="18:18">
      <c r="R2810" s="588"/>
    </row>
    <row r="2811" spans="18:18">
      <c r="R2811" s="588"/>
    </row>
    <row r="2812" spans="18:18">
      <c r="R2812" s="588"/>
    </row>
    <row r="2813" spans="18:18">
      <c r="R2813" s="588"/>
    </row>
    <row r="2814" spans="18:18">
      <c r="R2814" s="588"/>
    </row>
    <row r="2815" spans="18:18">
      <c r="R2815" s="588"/>
    </row>
    <row r="2816" spans="18:18">
      <c r="R2816" s="588"/>
    </row>
    <row r="2817" spans="18:18">
      <c r="R2817" s="588"/>
    </row>
    <row r="2818" spans="18:18">
      <c r="R2818" s="588"/>
    </row>
    <row r="2819" spans="18:18">
      <c r="R2819" s="588"/>
    </row>
    <row r="2820" spans="18:18">
      <c r="R2820" s="588"/>
    </row>
    <row r="2821" spans="18:18">
      <c r="R2821" s="588"/>
    </row>
    <row r="2822" spans="18:18">
      <c r="R2822" s="588"/>
    </row>
    <row r="2823" spans="18:18">
      <c r="R2823" s="588"/>
    </row>
    <row r="2824" spans="18:18">
      <c r="R2824" s="588"/>
    </row>
    <row r="2825" spans="18:18">
      <c r="R2825" s="588"/>
    </row>
    <row r="2826" spans="18:18">
      <c r="R2826" s="588"/>
    </row>
    <row r="2827" spans="18:18">
      <c r="R2827" s="588"/>
    </row>
    <row r="2828" spans="18:18">
      <c r="R2828" s="588"/>
    </row>
    <row r="2829" spans="18:18">
      <c r="R2829" s="588"/>
    </row>
    <row r="2830" spans="18:18">
      <c r="R2830" s="588"/>
    </row>
    <row r="2831" spans="18:18">
      <c r="R2831" s="588"/>
    </row>
    <row r="2832" spans="18:18">
      <c r="R2832" s="588"/>
    </row>
    <row r="2833" spans="18:18">
      <c r="R2833" s="588"/>
    </row>
    <row r="2834" spans="18:18">
      <c r="R2834" s="588"/>
    </row>
    <row r="2835" spans="18:18">
      <c r="R2835" s="588"/>
    </row>
    <row r="2836" spans="18:18">
      <c r="R2836" s="588"/>
    </row>
    <row r="2837" spans="18:18">
      <c r="R2837" s="588"/>
    </row>
    <row r="2838" spans="18:18">
      <c r="R2838" s="588"/>
    </row>
    <row r="2839" spans="18:18">
      <c r="R2839" s="588"/>
    </row>
    <row r="2840" spans="18:18">
      <c r="R2840" s="588"/>
    </row>
    <row r="2841" spans="18:18">
      <c r="R2841" s="588"/>
    </row>
    <row r="2842" spans="18:18">
      <c r="R2842" s="588"/>
    </row>
    <row r="2843" spans="18:18">
      <c r="R2843" s="588"/>
    </row>
    <row r="2844" spans="18:18">
      <c r="R2844" s="588"/>
    </row>
    <row r="2845" spans="18:18">
      <c r="R2845" s="588"/>
    </row>
    <row r="2846" spans="18:18">
      <c r="R2846" s="588"/>
    </row>
    <row r="2847" spans="18:18">
      <c r="R2847" s="588"/>
    </row>
    <row r="2848" spans="18:18">
      <c r="R2848" s="588"/>
    </row>
    <row r="2849" spans="18:18">
      <c r="R2849" s="588"/>
    </row>
    <row r="2850" spans="18:18">
      <c r="R2850" s="588"/>
    </row>
    <row r="2851" spans="18:18">
      <c r="R2851" s="588"/>
    </row>
    <row r="2852" spans="18:18">
      <c r="R2852" s="588"/>
    </row>
    <row r="2853" spans="18:18">
      <c r="R2853" s="588"/>
    </row>
    <row r="2854" spans="18:18">
      <c r="R2854" s="588"/>
    </row>
    <row r="2855" spans="18:18">
      <c r="R2855" s="588"/>
    </row>
    <row r="2856" spans="18:18">
      <c r="R2856" s="588"/>
    </row>
    <row r="2857" spans="18:18">
      <c r="R2857" s="588"/>
    </row>
    <row r="2858" spans="18:18">
      <c r="R2858" s="588"/>
    </row>
    <row r="2859" spans="18:18">
      <c r="R2859" s="588"/>
    </row>
    <row r="2860" spans="18:18">
      <c r="R2860" s="588"/>
    </row>
    <row r="2861" spans="18:18">
      <c r="R2861" s="588"/>
    </row>
    <row r="2862" spans="18:18">
      <c r="R2862" s="588"/>
    </row>
    <row r="2863" spans="18:18">
      <c r="R2863" s="588"/>
    </row>
    <row r="2864" spans="18:18">
      <c r="R2864" s="588"/>
    </row>
    <row r="2865" spans="18:18">
      <c r="R2865" s="588"/>
    </row>
    <row r="2866" spans="18:18">
      <c r="R2866" s="588"/>
    </row>
    <row r="2867" spans="18:18">
      <c r="R2867" s="588"/>
    </row>
    <row r="2868" spans="18:18">
      <c r="R2868" s="588"/>
    </row>
    <row r="2869" spans="18:18">
      <c r="R2869" s="588"/>
    </row>
    <row r="2870" spans="18:18">
      <c r="R2870" s="588"/>
    </row>
    <row r="2871" spans="18:18">
      <c r="R2871" s="588"/>
    </row>
    <row r="2872" spans="18:18">
      <c r="R2872" s="588"/>
    </row>
    <row r="2873" spans="18:18">
      <c r="R2873" s="588"/>
    </row>
    <row r="2874" spans="18:18">
      <c r="R2874" s="588"/>
    </row>
    <row r="2875" spans="18:18">
      <c r="R2875" s="588"/>
    </row>
    <row r="2876" spans="18:18">
      <c r="R2876" s="588"/>
    </row>
    <row r="2877" spans="18:18">
      <c r="R2877" s="588"/>
    </row>
    <row r="2878" spans="18:18">
      <c r="R2878" s="588"/>
    </row>
    <row r="2879" spans="18:18">
      <c r="R2879" s="588"/>
    </row>
    <row r="2880" spans="18:18">
      <c r="R2880" s="588"/>
    </row>
    <row r="2881" spans="18:18">
      <c r="R2881" s="588"/>
    </row>
    <row r="2882" spans="18:18">
      <c r="R2882" s="588"/>
    </row>
    <row r="2883" spans="18:18">
      <c r="R2883" s="588"/>
    </row>
    <row r="2884" spans="18:18">
      <c r="R2884" s="588"/>
    </row>
    <row r="2885" spans="18:18">
      <c r="R2885" s="588"/>
    </row>
    <row r="2886" spans="18:18">
      <c r="R2886" s="588"/>
    </row>
    <row r="2887" spans="18:18">
      <c r="R2887" s="588"/>
    </row>
    <row r="2888" spans="18:18">
      <c r="R2888" s="588"/>
    </row>
    <row r="2889" spans="18:18">
      <c r="R2889" s="588"/>
    </row>
    <row r="2890" spans="18:18">
      <c r="R2890" s="588"/>
    </row>
    <row r="2891" spans="18:18">
      <c r="R2891" s="588"/>
    </row>
    <row r="2892" spans="18:18">
      <c r="R2892" s="588"/>
    </row>
    <row r="2893" spans="18:18">
      <c r="R2893" s="588"/>
    </row>
    <row r="2894" spans="18:18">
      <c r="R2894" s="588"/>
    </row>
    <row r="2895" spans="18:18">
      <c r="R2895" s="588"/>
    </row>
    <row r="2896" spans="18:18">
      <c r="R2896" s="588"/>
    </row>
    <row r="2897" spans="18:18">
      <c r="R2897" s="588"/>
    </row>
    <row r="2898" spans="18:18">
      <c r="R2898" s="588"/>
    </row>
    <row r="2899" spans="18:18">
      <c r="R2899" s="588"/>
    </row>
    <row r="2900" spans="18:18">
      <c r="R2900" s="588"/>
    </row>
    <row r="2901" spans="18:18">
      <c r="R2901" s="588"/>
    </row>
    <row r="2902" spans="18:18">
      <c r="R2902" s="588"/>
    </row>
    <row r="2903" spans="18:18">
      <c r="R2903" s="588"/>
    </row>
    <row r="2904" spans="18:18">
      <c r="R2904" s="588"/>
    </row>
    <row r="2905" spans="18:18">
      <c r="R2905" s="588"/>
    </row>
    <row r="2906" spans="18:18">
      <c r="R2906" s="588"/>
    </row>
    <row r="2907" spans="18:18">
      <c r="R2907" s="588"/>
    </row>
    <row r="2908" spans="18:18">
      <c r="R2908" s="588"/>
    </row>
    <row r="2909" spans="18:18">
      <c r="R2909" s="588"/>
    </row>
    <row r="2910" spans="18:18">
      <c r="R2910" s="588"/>
    </row>
    <row r="2911" spans="18:18">
      <c r="R2911" s="588"/>
    </row>
    <row r="2912" spans="18:18">
      <c r="R2912" s="588"/>
    </row>
    <row r="2913" spans="18:18">
      <c r="R2913" s="588"/>
    </row>
    <row r="2914" spans="18:18">
      <c r="R2914" s="588"/>
    </row>
    <row r="2915" spans="18:18">
      <c r="R2915" s="588"/>
    </row>
    <row r="2916" spans="18:18">
      <c r="R2916" s="588"/>
    </row>
    <row r="2917" spans="18:18">
      <c r="R2917" s="588"/>
    </row>
    <row r="2918" spans="18:18">
      <c r="R2918" s="588"/>
    </row>
    <row r="2919" spans="18:18">
      <c r="R2919" s="588"/>
    </row>
    <row r="2920" spans="18:18">
      <c r="R2920" s="588"/>
    </row>
    <row r="2921" spans="18:18">
      <c r="R2921" s="588"/>
    </row>
    <row r="2922" spans="18:18">
      <c r="R2922" s="588"/>
    </row>
    <row r="2923" spans="18:18">
      <c r="R2923" s="588"/>
    </row>
    <row r="2924" spans="18:18">
      <c r="R2924" s="588"/>
    </row>
    <row r="2925" spans="18:18">
      <c r="R2925" s="588"/>
    </row>
    <row r="2926" spans="18:18">
      <c r="R2926" s="588"/>
    </row>
    <row r="2927" spans="18:18">
      <c r="R2927" s="588"/>
    </row>
    <row r="2928" spans="18:18">
      <c r="R2928" s="588"/>
    </row>
    <row r="2929" spans="18:18">
      <c r="R2929" s="588"/>
    </row>
    <row r="2930" spans="18:18">
      <c r="R2930" s="588"/>
    </row>
    <row r="2931" spans="18:18">
      <c r="R2931" s="588"/>
    </row>
    <row r="2932" spans="18:18">
      <c r="R2932" s="588"/>
    </row>
    <row r="2933" spans="18:18">
      <c r="R2933" s="588"/>
    </row>
    <row r="2934" spans="18:18">
      <c r="R2934" s="588"/>
    </row>
    <row r="2935" spans="18:18">
      <c r="R2935" s="588"/>
    </row>
    <row r="2936" spans="18:18">
      <c r="R2936" s="588"/>
    </row>
    <row r="2937" spans="18:18">
      <c r="R2937" s="588"/>
    </row>
    <row r="2938" spans="18:18">
      <c r="R2938" s="588"/>
    </row>
    <row r="2939" spans="18:18">
      <c r="R2939" s="588"/>
    </row>
    <row r="2940" spans="18:18">
      <c r="R2940" s="588"/>
    </row>
    <row r="2941" spans="18:18">
      <c r="R2941" s="588"/>
    </row>
    <row r="2942" spans="18:18">
      <c r="R2942" s="588"/>
    </row>
    <row r="2943" spans="18:18">
      <c r="R2943" s="588"/>
    </row>
    <row r="2944" spans="18:18">
      <c r="R2944" s="588"/>
    </row>
    <row r="2945" spans="18:18">
      <c r="R2945" s="588"/>
    </row>
    <row r="2946" spans="18:18">
      <c r="R2946" s="588"/>
    </row>
    <row r="2947" spans="18:18">
      <c r="R2947" s="588"/>
    </row>
    <row r="2948" spans="18:18">
      <c r="R2948" s="588"/>
    </row>
    <row r="2949" spans="18:18">
      <c r="R2949" s="588"/>
    </row>
    <row r="2950" spans="18:18">
      <c r="R2950" s="588"/>
    </row>
    <row r="2951" spans="18:18">
      <c r="R2951" s="588"/>
    </row>
    <row r="2952" spans="18:18">
      <c r="R2952" s="588"/>
    </row>
    <row r="2953" spans="18:18">
      <c r="R2953" s="588"/>
    </row>
    <row r="2954" spans="18:18">
      <c r="R2954" s="588"/>
    </row>
    <row r="2955" spans="18:18">
      <c r="R2955" s="588"/>
    </row>
    <row r="2956" spans="18:18">
      <c r="R2956" s="588"/>
    </row>
    <row r="2957" spans="18:18">
      <c r="R2957" s="588"/>
    </row>
    <row r="2958" spans="18:18">
      <c r="R2958" s="588"/>
    </row>
    <row r="2959" spans="18:18">
      <c r="R2959" s="588"/>
    </row>
    <row r="2960" spans="18:18">
      <c r="R2960" s="588"/>
    </row>
    <row r="2961" spans="18:18">
      <c r="R2961" s="588"/>
    </row>
    <row r="2962" spans="18:18">
      <c r="R2962" s="588"/>
    </row>
    <row r="2963" spans="18:18">
      <c r="R2963" s="588"/>
    </row>
    <row r="2964" spans="18:18">
      <c r="R2964" s="588"/>
    </row>
    <row r="2965" spans="18:18">
      <c r="R2965" s="588"/>
    </row>
    <row r="2966" spans="18:18">
      <c r="R2966" s="588"/>
    </row>
    <row r="2967" spans="18:18">
      <c r="R2967" s="588"/>
    </row>
    <row r="2968" spans="18:18">
      <c r="R2968" s="588"/>
    </row>
    <row r="2969" spans="18:18">
      <c r="R2969" s="588"/>
    </row>
    <row r="2970" spans="18:18">
      <c r="R2970" s="588"/>
    </row>
    <row r="2971" spans="18:18">
      <c r="R2971" s="588"/>
    </row>
    <row r="2972" spans="18:18">
      <c r="R2972" s="588"/>
    </row>
    <row r="2973" spans="18:18">
      <c r="R2973" s="588"/>
    </row>
    <row r="2974" spans="18:18">
      <c r="R2974" s="588"/>
    </row>
    <row r="2975" spans="18:18">
      <c r="R2975" s="588"/>
    </row>
    <row r="2976" spans="18:18">
      <c r="R2976" s="588"/>
    </row>
    <row r="2977" spans="18:18">
      <c r="R2977" s="588"/>
    </row>
    <row r="2978" spans="18:18">
      <c r="R2978" s="588"/>
    </row>
    <row r="2979" spans="18:18">
      <c r="R2979" s="588"/>
    </row>
    <row r="2980" spans="18:18">
      <c r="R2980" s="588"/>
    </row>
    <row r="2981" spans="18:18">
      <c r="R2981" s="588"/>
    </row>
    <row r="2982" spans="18:18">
      <c r="R2982" s="588"/>
    </row>
    <row r="2983" spans="18:18">
      <c r="R2983" s="588"/>
    </row>
    <row r="2984" spans="18:18">
      <c r="R2984" s="588"/>
    </row>
    <row r="2985" spans="18:18">
      <c r="R2985" s="588"/>
    </row>
    <row r="2986" spans="18:18">
      <c r="R2986" s="588"/>
    </row>
    <row r="2987" spans="18:18">
      <c r="R2987" s="588"/>
    </row>
    <row r="2988" spans="18:18">
      <c r="R2988" s="588"/>
    </row>
    <row r="2989" spans="18:18">
      <c r="R2989" s="588"/>
    </row>
    <row r="2990" spans="18:18">
      <c r="R2990" s="588"/>
    </row>
    <row r="2991" spans="18:18">
      <c r="R2991" s="588"/>
    </row>
    <row r="2992" spans="18:18">
      <c r="R2992" s="588"/>
    </row>
    <row r="2993" spans="18:18">
      <c r="R2993" s="588"/>
    </row>
    <row r="2994" spans="18:18">
      <c r="R2994" s="588"/>
    </row>
    <row r="2995" spans="18:18">
      <c r="R2995" s="588"/>
    </row>
    <row r="2996" spans="18:18">
      <c r="R2996" s="588"/>
    </row>
    <row r="2997" spans="18:18">
      <c r="R2997" s="588"/>
    </row>
    <row r="2998" spans="18:18">
      <c r="R2998" s="588"/>
    </row>
    <row r="2999" spans="18:18">
      <c r="R2999" s="588"/>
    </row>
    <row r="3000" spans="18:18">
      <c r="R3000" s="588"/>
    </row>
    <row r="3001" spans="18:18">
      <c r="R3001" s="588"/>
    </row>
    <row r="3002" spans="18:18">
      <c r="R3002" s="588"/>
    </row>
    <row r="3003" spans="18:18">
      <c r="R3003" s="588"/>
    </row>
    <row r="3004" spans="18:18">
      <c r="R3004" s="588"/>
    </row>
    <row r="3005" spans="18:18">
      <c r="R3005" s="588"/>
    </row>
    <row r="3006" spans="18:18">
      <c r="R3006" s="588"/>
    </row>
    <row r="3007" spans="18:18">
      <c r="R3007" s="588"/>
    </row>
    <row r="3008" spans="18:18">
      <c r="R3008" s="588"/>
    </row>
    <row r="3009" spans="18:18">
      <c r="R3009" s="588"/>
    </row>
    <row r="3010" spans="18:18">
      <c r="R3010" s="588"/>
    </row>
    <row r="3011" spans="18:18">
      <c r="R3011" s="588"/>
    </row>
    <row r="3012" spans="18:18">
      <c r="R3012" s="588"/>
    </row>
    <row r="3013" spans="18:18">
      <c r="R3013" s="588"/>
    </row>
    <row r="3014" spans="18:18">
      <c r="R3014" s="588"/>
    </row>
    <row r="3015" spans="18:18">
      <c r="R3015" s="588"/>
    </row>
    <row r="3016" spans="18:18">
      <c r="R3016" s="588"/>
    </row>
    <row r="3017" spans="18:18">
      <c r="R3017" s="588"/>
    </row>
    <row r="3018" spans="18:18">
      <c r="R3018" s="588"/>
    </row>
    <row r="3019" spans="18:18">
      <c r="R3019" s="588"/>
    </row>
    <row r="3020" spans="18:18">
      <c r="R3020" s="588"/>
    </row>
    <row r="3021" spans="18:18">
      <c r="R3021" s="588"/>
    </row>
    <row r="3022" spans="18:18">
      <c r="R3022" s="588"/>
    </row>
    <row r="3023" spans="18:18">
      <c r="R3023" s="588"/>
    </row>
    <row r="3024" spans="18:18">
      <c r="R3024" s="588"/>
    </row>
    <row r="3025" spans="18:18">
      <c r="R3025" s="588"/>
    </row>
    <row r="3026" spans="18:18">
      <c r="R3026" s="588"/>
    </row>
    <row r="3027" spans="18:18">
      <c r="R3027" s="588"/>
    </row>
    <row r="3028" spans="18:18">
      <c r="R3028" s="588"/>
    </row>
    <row r="3029" spans="18:18">
      <c r="R3029" s="588"/>
    </row>
    <row r="3030" spans="18:18">
      <c r="R3030" s="588"/>
    </row>
    <row r="3031" spans="18:18">
      <c r="R3031" s="588"/>
    </row>
    <row r="3032" spans="18:18">
      <c r="R3032" s="588"/>
    </row>
    <row r="3033" spans="18:18">
      <c r="R3033" s="588"/>
    </row>
    <row r="3034" spans="18:18">
      <c r="R3034" s="588"/>
    </row>
    <row r="3035" spans="18:18">
      <c r="R3035" s="588"/>
    </row>
    <row r="3036" spans="18:18">
      <c r="R3036" s="588"/>
    </row>
    <row r="3037" spans="18:18">
      <c r="R3037" s="588"/>
    </row>
    <row r="3038" spans="18:18">
      <c r="R3038" s="588"/>
    </row>
    <row r="3039" spans="18:18">
      <c r="R3039" s="588"/>
    </row>
    <row r="3040" spans="18:18">
      <c r="R3040" s="588"/>
    </row>
    <row r="3041" spans="18:18">
      <c r="R3041" s="588"/>
    </row>
    <row r="3042" spans="18:18">
      <c r="R3042" s="588"/>
    </row>
    <row r="3043" spans="18:18">
      <c r="R3043" s="588"/>
    </row>
    <row r="3044" spans="18:18">
      <c r="R3044" s="588"/>
    </row>
    <row r="3045" spans="18:18">
      <c r="R3045" s="588"/>
    </row>
    <row r="3046" spans="18:18">
      <c r="R3046" s="588"/>
    </row>
    <row r="3047" spans="18:18">
      <c r="R3047" s="588"/>
    </row>
    <row r="3048" spans="18:18">
      <c r="R3048" s="588"/>
    </row>
    <row r="3049" spans="18:18">
      <c r="R3049" s="588"/>
    </row>
    <row r="3050" spans="18:18">
      <c r="R3050" s="588"/>
    </row>
    <row r="3051" spans="18:18">
      <c r="R3051" s="588"/>
    </row>
    <row r="3052" spans="18:18">
      <c r="R3052" s="588"/>
    </row>
    <row r="3053" spans="18:18">
      <c r="R3053" s="588"/>
    </row>
    <row r="3054" spans="18:18">
      <c r="R3054" s="588"/>
    </row>
    <row r="3055" spans="18:18">
      <c r="R3055" s="588"/>
    </row>
    <row r="3056" spans="18:18">
      <c r="R3056" s="588"/>
    </row>
    <row r="3057" spans="18:18">
      <c r="R3057" s="588"/>
    </row>
    <row r="3058" spans="18:18">
      <c r="R3058" s="588"/>
    </row>
    <row r="3059" spans="18:18">
      <c r="R3059" s="588"/>
    </row>
    <row r="3060" spans="18:18">
      <c r="R3060" s="588"/>
    </row>
    <row r="3061" spans="18:18">
      <c r="R3061" s="588"/>
    </row>
    <row r="3062" spans="18:18">
      <c r="R3062" s="588"/>
    </row>
    <row r="3063" spans="18:18">
      <c r="R3063" s="588"/>
    </row>
    <row r="3064" spans="18:18">
      <c r="R3064" s="588"/>
    </row>
    <row r="3065" spans="18:18">
      <c r="R3065" s="588"/>
    </row>
    <row r="3066" spans="18:18">
      <c r="R3066" s="588"/>
    </row>
    <row r="3067" spans="18:18">
      <c r="R3067" s="588"/>
    </row>
    <row r="3068" spans="18:18">
      <c r="R3068" s="588"/>
    </row>
    <row r="3069" spans="18:18">
      <c r="R3069" s="588"/>
    </row>
    <row r="3070" spans="18:18">
      <c r="R3070" s="588"/>
    </row>
    <row r="3071" spans="18:18">
      <c r="R3071" s="588"/>
    </row>
    <row r="3072" spans="18:18">
      <c r="R3072" s="588"/>
    </row>
    <row r="3073" spans="18:18">
      <c r="R3073" s="588"/>
    </row>
    <row r="3074" spans="18:18">
      <c r="R3074" s="588"/>
    </row>
    <row r="3075" spans="18:18">
      <c r="R3075" s="588"/>
    </row>
    <row r="3076" spans="18:18">
      <c r="R3076" s="588"/>
    </row>
    <row r="3077" spans="18:18">
      <c r="R3077" s="588"/>
    </row>
    <row r="3078" spans="18:18">
      <c r="R3078" s="588"/>
    </row>
    <row r="3079" spans="18:18">
      <c r="R3079" s="588"/>
    </row>
    <row r="3080" spans="18:18">
      <c r="R3080" s="588"/>
    </row>
    <row r="3081" spans="18:18">
      <c r="R3081" s="588"/>
    </row>
    <row r="3082" spans="18:18">
      <c r="R3082" s="588"/>
    </row>
    <row r="3083" spans="18:18">
      <c r="R3083" s="588"/>
    </row>
    <row r="3084" spans="18:18">
      <c r="R3084" s="588"/>
    </row>
    <row r="3085" spans="18:18">
      <c r="R3085" s="588"/>
    </row>
    <row r="3086" spans="18:18">
      <c r="R3086" s="588"/>
    </row>
    <row r="3087" spans="18:18">
      <c r="R3087" s="588"/>
    </row>
    <row r="3088" spans="18:18">
      <c r="R3088" s="588"/>
    </row>
    <row r="3089" spans="18:18">
      <c r="R3089" s="588"/>
    </row>
    <row r="3090" spans="18:18">
      <c r="R3090" s="588"/>
    </row>
    <row r="3091" spans="18:18">
      <c r="R3091" s="588"/>
    </row>
    <row r="3092" spans="18:18">
      <c r="R3092" s="588"/>
    </row>
    <row r="3093" spans="18:18">
      <c r="R3093" s="588"/>
    </row>
    <row r="3094" spans="18:18">
      <c r="R3094" s="588"/>
    </row>
    <row r="3095" spans="18:18">
      <c r="R3095" s="588"/>
    </row>
    <row r="3096" spans="18:18">
      <c r="R3096" s="588"/>
    </row>
    <row r="3097" spans="18:18">
      <c r="R3097" s="588"/>
    </row>
    <row r="3098" spans="18:18">
      <c r="R3098" s="588"/>
    </row>
    <row r="3099" spans="18:18">
      <c r="R3099" s="588"/>
    </row>
    <row r="3100" spans="18:18">
      <c r="R3100" s="588"/>
    </row>
    <row r="3101" spans="18:18">
      <c r="R3101" s="588"/>
    </row>
    <row r="3102" spans="18:18">
      <c r="R3102" s="588"/>
    </row>
    <row r="3103" spans="18:18">
      <c r="R3103" s="588"/>
    </row>
    <row r="3104" spans="18:18">
      <c r="R3104" s="588"/>
    </row>
    <row r="3105" spans="18:18">
      <c r="R3105" s="588"/>
    </row>
    <row r="3106" spans="18:18">
      <c r="R3106" s="588"/>
    </row>
    <row r="3107" spans="18:18">
      <c r="R3107" s="588"/>
    </row>
    <row r="3108" spans="18:18">
      <c r="R3108" s="588"/>
    </row>
    <row r="3109" spans="18:18">
      <c r="R3109" s="588"/>
    </row>
    <row r="3110" spans="18:18">
      <c r="R3110" s="588"/>
    </row>
    <row r="3111" spans="18:18">
      <c r="R3111" s="588"/>
    </row>
    <row r="3112" spans="18:18">
      <c r="R3112" s="588"/>
    </row>
    <row r="3113" spans="18:18">
      <c r="R3113" s="588"/>
    </row>
    <row r="3114" spans="18:18">
      <c r="R3114" s="588"/>
    </row>
    <row r="3115" spans="18:18">
      <c r="R3115" s="588"/>
    </row>
    <row r="3116" spans="18:18">
      <c r="R3116" s="588"/>
    </row>
    <row r="3117" spans="18:18">
      <c r="R3117" s="588"/>
    </row>
    <row r="3118" spans="18:18">
      <c r="R3118" s="588"/>
    </row>
    <row r="3119" spans="18:18">
      <c r="R3119" s="588"/>
    </row>
    <row r="3120" spans="18:18">
      <c r="R3120" s="588"/>
    </row>
    <row r="3121" spans="18:18">
      <c r="R3121" s="588"/>
    </row>
    <row r="3122" spans="18:18">
      <c r="R3122" s="588"/>
    </row>
    <row r="3123" spans="18:18">
      <c r="R3123" s="588"/>
    </row>
    <row r="3124" spans="18:18">
      <c r="R3124" s="588"/>
    </row>
    <row r="3125" spans="18:18">
      <c r="R3125" s="588"/>
    </row>
    <row r="3126" spans="18:18">
      <c r="R3126" s="588"/>
    </row>
    <row r="3127" spans="18:18">
      <c r="R3127" s="588"/>
    </row>
    <row r="3128" spans="18:18">
      <c r="R3128" s="588"/>
    </row>
    <row r="3129" spans="18:18">
      <c r="R3129" s="588"/>
    </row>
    <row r="3130" spans="18:18">
      <c r="R3130" s="588"/>
    </row>
    <row r="3131" spans="18:18">
      <c r="R3131" s="588"/>
    </row>
    <row r="3132" spans="18:18">
      <c r="R3132" s="588"/>
    </row>
    <row r="3133" spans="18:18">
      <c r="R3133" s="588"/>
    </row>
    <row r="3134" spans="18:18">
      <c r="R3134" s="588"/>
    </row>
    <row r="3135" spans="18:18">
      <c r="R3135" s="588"/>
    </row>
    <row r="3136" spans="18:18">
      <c r="R3136" s="588"/>
    </row>
    <row r="3137" spans="18:18">
      <c r="R3137" s="588"/>
    </row>
    <row r="3138" spans="18:18">
      <c r="R3138" s="588"/>
    </row>
    <row r="3139" spans="18:18">
      <c r="R3139" s="588"/>
    </row>
    <row r="3140" spans="18:18">
      <c r="R3140" s="588"/>
    </row>
    <row r="3141" spans="18:18">
      <c r="R3141" s="588"/>
    </row>
    <row r="3142" spans="18:18">
      <c r="R3142" s="588"/>
    </row>
    <row r="3143" spans="18:18">
      <c r="R3143" s="588"/>
    </row>
    <row r="3144" spans="18:18">
      <c r="R3144" s="588"/>
    </row>
    <row r="3145" spans="18:18">
      <c r="R3145" s="588"/>
    </row>
    <row r="3146" spans="18:18">
      <c r="R3146" s="588"/>
    </row>
    <row r="3147" spans="18:18">
      <c r="R3147" s="588"/>
    </row>
    <row r="3148" spans="18:18">
      <c r="R3148" s="588"/>
    </row>
    <row r="3149" spans="18:18">
      <c r="R3149" s="588"/>
    </row>
    <row r="3150" spans="18:18">
      <c r="R3150" s="588"/>
    </row>
    <row r="3151" spans="18:18">
      <c r="R3151" s="588"/>
    </row>
    <row r="3152" spans="18:18">
      <c r="R3152" s="588"/>
    </row>
    <row r="3153" spans="18:18">
      <c r="R3153" s="588"/>
    </row>
    <row r="3154" spans="18:18">
      <c r="R3154" s="588"/>
    </row>
    <row r="3155" spans="18:18">
      <c r="R3155" s="588"/>
    </row>
    <row r="3156" spans="18:18">
      <c r="R3156" s="588"/>
    </row>
    <row r="3157" spans="18:18">
      <c r="R3157" s="588"/>
    </row>
    <row r="3158" spans="18:18">
      <c r="R3158" s="588"/>
    </row>
    <row r="3159" spans="18:18">
      <c r="R3159" s="588"/>
    </row>
    <row r="3160" spans="18:18">
      <c r="R3160" s="588"/>
    </row>
    <row r="3161" spans="18:18">
      <c r="R3161" s="588"/>
    </row>
    <row r="3162" spans="18:18">
      <c r="R3162" s="588"/>
    </row>
    <row r="3163" spans="18:18">
      <c r="R3163" s="588"/>
    </row>
    <row r="3164" spans="18:18">
      <c r="R3164" s="588"/>
    </row>
    <row r="3165" spans="18:18">
      <c r="R3165" s="588"/>
    </row>
    <row r="3166" spans="18:18">
      <c r="R3166" s="588"/>
    </row>
    <row r="3167" spans="18:18">
      <c r="R3167" s="588"/>
    </row>
    <row r="3168" spans="18:18">
      <c r="R3168" s="588"/>
    </row>
    <row r="3169" spans="18:18">
      <c r="R3169" s="588"/>
    </row>
    <row r="3170" spans="18:18">
      <c r="R3170" s="588"/>
    </row>
    <row r="3171" spans="18:18">
      <c r="R3171" s="588"/>
    </row>
    <row r="3172" spans="18:18">
      <c r="R3172" s="588"/>
    </row>
    <row r="3173" spans="18:18">
      <c r="R3173" s="588"/>
    </row>
    <row r="3174" spans="18:18">
      <c r="R3174" s="588"/>
    </row>
    <row r="3175" spans="18:18">
      <c r="R3175" s="588"/>
    </row>
    <row r="3176" spans="18:18">
      <c r="R3176" s="588"/>
    </row>
    <row r="3177" spans="18:18">
      <c r="R3177" s="588"/>
    </row>
    <row r="3178" spans="18:18">
      <c r="R3178" s="588"/>
    </row>
    <row r="3179" spans="18:18">
      <c r="R3179" s="588"/>
    </row>
    <row r="3180" spans="18:18">
      <c r="R3180" s="588"/>
    </row>
    <row r="3181" spans="18:18">
      <c r="R3181" s="588"/>
    </row>
    <row r="3182" spans="18:18">
      <c r="R3182" s="588"/>
    </row>
    <row r="3183" spans="18:18">
      <c r="R3183" s="588"/>
    </row>
    <row r="3184" spans="18:18">
      <c r="R3184" s="588"/>
    </row>
    <row r="3185" spans="18:18">
      <c r="R3185" s="588"/>
    </row>
    <row r="3186" spans="18:18">
      <c r="R3186" s="588"/>
    </row>
    <row r="3187" spans="18:18">
      <c r="R3187" s="588"/>
    </row>
    <row r="3188" spans="18:18">
      <c r="R3188" s="588"/>
    </row>
    <row r="3189" spans="18:18">
      <c r="R3189" s="588"/>
    </row>
    <row r="3190" spans="18:18">
      <c r="R3190" s="588"/>
    </row>
    <row r="3191" spans="18:18">
      <c r="R3191" s="588"/>
    </row>
    <row r="3192" spans="18:18">
      <c r="R3192" s="588"/>
    </row>
    <row r="3193" spans="18:18">
      <c r="R3193" s="588"/>
    </row>
    <row r="3194" spans="18:18">
      <c r="R3194" s="588"/>
    </row>
    <row r="3195" spans="18:18">
      <c r="R3195" s="588"/>
    </row>
    <row r="3196" spans="18:18">
      <c r="R3196" s="588"/>
    </row>
    <row r="3197" spans="18:18">
      <c r="R3197" s="588"/>
    </row>
    <row r="3198" spans="18:18">
      <c r="R3198" s="588"/>
    </row>
    <row r="3199" spans="18:18">
      <c r="R3199" s="588"/>
    </row>
    <row r="3200" spans="18:18">
      <c r="R3200" s="588"/>
    </row>
    <row r="3201" spans="18:18">
      <c r="R3201" s="588"/>
    </row>
    <row r="3202" spans="18:18">
      <c r="R3202" s="588"/>
    </row>
    <row r="3203" spans="18:18">
      <c r="R3203" s="588"/>
    </row>
    <row r="3204" spans="18:18">
      <c r="R3204" s="588"/>
    </row>
    <row r="3205" spans="18:18">
      <c r="R3205" s="588"/>
    </row>
    <row r="3206" spans="18:18">
      <c r="R3206" s="588"/>
    </row>
    <row r="3207" spans="18:18">
      <c r="R3207" s="588"/>
    </row>
    <row r="3208" spans="18:18">
      <c r="R3208" s="588"/>
    </row>
    <row r="3209" spans="18:18">
      <c r="R3209" s="588"/>
    </row>
    <row r="3210" spans="18:18">
      <c r="R3210" s="588"/>
    </row>
    <row r="3211" spans="18:18">
      <c r="R3211" s="588"/>
    </row>
    <row r="3212" spans="18:18">
      <c r="R3212" s="588"/>
    </row>
    <row r="3213" spans="18:18">
      <c r="R3213" s="588"/>
    </row>
    <row r="3214" spans="18:18">
      <c r="R3214" s="588"/>
    </row>
    <row r="3215" spans="18:18">
      <c r="R3215" s="588"/>
    </row>
    <row r="3216" spans="18:18">
      <c r="R3216" s="588"/>
    </row>
    <row r="3217" spans="18:18">
      <c r="R3217" s="588"/>
    </row>
    <row r="3218" spans="18:18">
      <c r="R3218" s="588"/>
    </row>
    <row r="3219" spans="18:18">
      <c r="R3219" s="588"/>
    </row>
    <row r="3220" spans="18:18">
      <c r="R3220" s="588"/>
    </row>
    <row r="3221" spans="18:18">
      <c r="R3221" s="588"/>
    </row>
    <row r="3222" spans="18:18">
      <c r="R3222" s="588"/>
    </row>
    <row r="3223" spans="18:18">
      <c r="R3223" s="588"/>
    </row>
    <row r="3224" spans="18:18">
      <c r="R3224" s="588"/>
    </row>
    <row r="3225" spans="18:18">
      <c r="R3225" s="588"/>
    </row>
    <row r="3226" spans="18:18">
      <c r="R3226" s="588"/>
    </row>
    <row r="3227" spans="18:18">
      <c r="R3227" s="588"/>
    </row>
    <row r="3228" spans="18:18">
      <c r="R3228" s="588"/>
    </row>
    <row r="3229" spans="18:18">
      <c r="R3229" s="588"/>
    </row>
    <row r="3230" spans="18:18">
      <c r="R3230" s="588"/>
    </row>
    <row r="3231" spans="18:18">
      <c r="R3231" s="588"/>
    </row>
    <row r="3232" spans="18:18">
      <c r="R3232" s="588"/>
    </row>
    <row r="3233" spans="18:18">
      <c r="R3233" s="588"/>
    </row>
    <row r="3234" spans="18:18">
      <c r="R3234" s="588"/>
    </row>
    <row r="3235" spans="18:18">
      <c r="R3235" s="588"/>
    </row>
    <row r="3236" spans="18:18">
      <c r="R3236" s="588"/>
    </row>
    <row r="3237" spans="18:18">
      <c r="R3237" s="588"/>
    </row>
    <row r="3238" spans="18:18">
      <c r="R3238" s="588"/>
    </row>
    <row r="3239" spans="18:18">
      <c r="R3239" s="588"/>
    </row>
    <row r="3240" spans="18:18">
      <c r="R3240" s="588"/>
    </row>
    <row r="3241" spans="18:18">
      <c r="R3241" s="588"/>
    </row>
    <row r="3242" spans="18:18">
      <c r="R3242" s="588"/>
    </row>
    <row r="3243" spans="18:18">
      <c r="R3243" s="588"/>
    </row>
    <row r="3244" spans="18:18">
      <c r="R3244" s="588"/>
    </row>
    <row r="3245" spans="18:18">
      <c r="R3245" s="588"/>
    </row>
    <row r="3246" spans="18:18">
      <c r="R3246" s="588"/>
    </row>
    <row r="3247" spans="18:18">
      <c r="R3247" s="588"/>
    </row>
    <row r="3248" spans="18:18">
      <c r="R3248" s="588"/>
    </row>
    <row r="3249" spans="18:18">
      <c r="R3249" s="588"/>
    </row>
    <row r="3250" spans="18:18">
      <c r="R3250" s="588"/>
    </row>
    <row r="3251" spans="18:18">
      <c r="R3251" s="588"/>
    </row>
    <row r="3252" spans="18:18">
      <c r="R3252" s="588"/>
    </row>
    <row r="3253" spans="18:18">
      <c r="R3253" s="588"/>
    </row>
    <row r="3254" spans="18:18">
      <c r="R3254" s="588"/>
    </row>
    <row r="3255" spans="18:18">
      <c r="R3255" s="588"/>
    </row>
    <row r="3256" spans="18:18">
      <c r="R3256" s="588"/>
    </row>
    <row r="3257" spans="18:18">
      <c r="R3257" s="588"/>
    </row>
    <row r="3258" spans="18:18">
      <c r="R3258" s="588"/>
    </row>
    <row r="3259" spans="18:18">
      <c r="R3259" s="588"/>
    </row>
    <row r="3260" spans="18:18">
      <c r="R3260" s="588"/>
    </row>
    <row r="3261" spans="18:18">
      <c r="R3261" s="588"/>
    </row>
    <row r="3262" spans="18:18">
      <c r="R3262" s="588"/>
    </row>
    <row r="3263" spans="18:18">
      <c r="R3263" s="588"/>
    </row>
    <row r="3264" spans="18:18">
      <c r="R3264" s="588"/>
    </row>
    <row r="3265" spans="18:18">
      <c r="R3265" s="588"/>
    </row>
    <row r="3266" spans="18:18">
      <c r="R3266" s="588"/>
    </row>
    <row r="3267" spans="18:18">
      <c r="R3267" s="588"/>
    </row>
    <row r="3268" spans="18:18">
      <c r="R3268" s="588"/>
    </row>
    <row r="3269" spans="18:18">
      <c r="R3269" s="588"/>
    </row>
    <row r="3270" spans="18:18">
      <c r="R3270" s="588"/>
    </row>
    <row r="3271" spans="18:18">
      <c r="R3271" s="588"/>
    </row>
    <row r="3272" spans="18:18">
      <c r="R3272" s="588"/>
    </row>
    <row r="3273" spans="18:18">
      <c r="R3273" s="588"/>
    </row>
    <row r="3274" spans="18:18">
      <c r="R3274" s="588"/>
    </row>
    <row r="3275" spans="18:18">
      <c r="R3275" s="588"/>
    </row>
    <row r="3276" spans="18:18">
      <c r="R3276" s="588"/>
    </row>
    <row r="3277" spans="18:18">
      <c r="R3277" s="588"/>
    </row>
    <row r="3278" spans="18:18">
      <c r="R3278" s="588"/>
    </row>
    <row r="3279" spans="18:18">
      <c r="R3279" s="588"/>
    </row>
    <row r="3280" spans="18:18">
      <c r="R3280" s="588"/>
    </row>
    <row r="3281" spans="18:18">
      <c r="R3281" s="588"/>
    </row>
    <row r="3282" spans="18:18">
      <c r="R3282" s="588"/>
    </row>
    <row r="3283" spans="18:18">
      <c r="R3283" s="588"/>
    </row>
    <row r="3284" spans="18:18">
      <c r="R3284" s="588"/>
    </row>
    <row r="3285" spans="18:18">
      <c r="R3285" s="588"/>
    </row>
    <row r="3286" spans="18:18">
      <c r="R3286" s="588"/>
    </row>
    <row r="3287" spans="18:18">
      <c r="R3287" s="588"/>
    </row>
    <row r="3288" spans="18:18">
      <c r="R3288" s="588"/>
    </row>
    <row r="3289" spans="18:18">
      <c r="R3289" s="588"/>
    </row>
    <row r="3290" spans="18:18">
      <c r="R3290" s="588"/>
    </row>
    <row r="3291" spans="18:18">
      <c r="R3291" s="588"/>
    </row>
    <row r="3292" spans="18:18">
      <c r="R3292" s="588"/>
    </row>
    <row r="3293" spans="18:18">
      <c r="R3293" s="588"/>
    </row>
    <row r="3294" spans="18:18">
      <c r="R3294" s="588"/>
    </row>
    <row r="3295" spans="18:18">
      <c r="R3295" s="588"/>
    </row>
    <row r="3296" spans="18:18">
      <c r="R3296" s="588"/>
    </row>
    <row r="3297" spans="18:18">
      <c r="R3297" s="588"/>
    </row>
    <row r="3298" spans="18:18">
      <c r="R3298" s="588"/>
    </row>
    <row r="3299" spans="18:18">
      <c r="R3299" s="588"/>
    </row>
    <row r="3300" spans="18:18">
      <c r="R3300" s="588"/>
    </row>
    <row r="3301" spans="18:18">
      <c r="R3301" s="588"/>
    </row>
    <row r="3302" spans="18:18">
      <c r="R3302" s="588"/>
    </row>
    <row r="3303" spans="18:18">
      <c r="R3303" s="588"/>
    </row>
    <row r="3304" spans="18:18">
      <c r="R3304" s="588"/>
    </row>
    <row r="3305" spans="18:18">
      <c r="R3305" s="588"/>
    </row>
    <row r="3306" spans="18:18">
      <c r="R3306" s="588"/>
    </row>
    <row r="3307" spans="18:18">
      <c r="R3307" s="588"/>
    </row>
    <row r="3308" spans="18:18">
      <c r="R3308" s="588"/>
    </row>
    <row r="3309" spans="18:18">
      <c r="R3309" s="588"/>
    </row>
    <row r="3310" spans="18:18">
      <c r="R3310" s="588"/>
    </row>
    <row r="3311" spans="18:18">
      <c r="R3311" s="588"/>
    </row>
    <row r="3312" spans="18:18">
      <c r="R3312" s="588"/>
    </row>
    <row r="3313" spans="18:18">
      <c r="R3313" s="588"/>
    </row>
    <row r="3314" spans="18:18">
      <c r="R3314" s="588"/>
    </row>
    <row r="3315" spans="18:18">
      <c r="R3315" s="588"/>
    </row>
    <row r="3316" spans="18:18">
      <c r="R3316" s="588"/>
    </row>
    <row r="3317" spans="18:18">
      <c r="R3317" s="588"/>
    </row>
    <row r="3318" spans="18:18">
      <c r="R3318" s="588"/>
    </row>
    <row r="3319" spans="18:18">
      <c r="R3319" s="588"/>
    </row>
    <row r="3320" spans="18:18">
      <c r="R3320" s="588"/>
    </row>
    <row r="3321" spans="18:18">
      <c r="R3321" s="588"/>
    </row>
    <row r="3322" spans="18:18">
      <c r="R3322" s="588"/>
    </row>
    <row r="3323" spans="18:18">
      <c r="R3323" s="588"/>
    </row>
    <row r="3324" spans="18:18">
      <c r="R3324" s="588"/>
    </row>
    <row r="3325" spans="18:18">
      <c r="R3325" s="588"/>
    </row>
    <row r="3326" spans="18:18">
      <c r="R3326" s="588"/>
    </row>
    <row r="3327" spans="18:18">
      <c r="R3327" s="588"/>
    </row>
    <row r="3328" spans="18:18">
      <c r="R3328" s="588"/>
    </row>
    <row r="3329" spans="18:18">
      <c r="R3329" s="588"/>
    </row>
    <row r="3330" spans="18:18">
      <c r="R3330" s="588"/>
    </row>
    <row r="3331" spans="18:18">
      <c r="R3331" s="588"/>
    </row>
    <row r="3332" spans="18:18">
      <c r="R3332" s="588"/>
    </row>
    <row r="3333" spans="18:18">
      <c r="R3333" s="588"/>
    </row>
    <row r="3334" spans="18:18">
      <c r="R3334" s="588"/>
    </row>
    <row r="3335" spans="18:18">
      <c r="R3335" s="588"/>
    </row>
    <row r="3336" spans="18:18">
      <c r="R3336" s="588"/>
    </row>
    <row r="3337" spans="18:18">
      <c r="R3337" s="588"/>
    </row>
    <row r="3338" spans="18:18">
      <c r="R3338" s="588"/>
    </row>
    <row r="3339" spans="18:18">
      <c r="R3339" s="588"/>
    </row>
    <row r="3340" spans="18:18">
      <c r="R3340" s="588"/>
    </row>
    <row r="3341" spans="18:18">
      <c r="R3341" s="588"/>
    </row>
    <row r="3342" spans="18:18">
      <c r="R3342" s="588"/>
    </row>
    <row r="3343" spans="18:18">
      <c r="R3343" s="588"/>
    </row>
    <row r="3344" spans="18:18">
      <c r="R3344" s="588"/>
    </row>
    <row r="3345" spans="18:18">
      <c r="R3345" s="588"/>
    </row>
    <row r="3346" spans="18:18">
      <c r="R3346" s="588"/>
    </row>
    <row r="3347" spans="18:18">
      <c r="R3347" s="588"/>
    </row>
    <row r="3348" spans="18:18">
      <c r="R3348" s="588"/>
    </row>
    <row r="3349" spans="18:18">
      <c r="R3349" s="588"/>
    </row>
    <row r="3350" spans="18:18">
      <c r="R3350" s="588"/>
    </row>
    <row r="3351" spans="18:18">
      <c r="R3351" s="588"/>
    </row>
    <row r="3352" spans="18:18">
      <c r="R3352" s="588"/>
    </row>
    <row r="3353" spans="18:18">
      <c r="R3353" s="588"/>
    </row>
    <row r="3354" spans="18:18">
      <c r="R3354" s="588"/>
    </row>
    <row r="3355" spans="18:18">
      <c r="R3355" s="588"/>
    </row>
    <row r="3356" spans="18:18">
      <c r="R3356" s="588"/>
    </row>
    <row r="3357" spans="18:18">
      <c r="R3357" s="588"/>
    </row>
    <row r="3358" spans="18:18">
      <c r="R3358" s="588"/>
    </row>
    <row r="3359" spans="18:18">
      <c r="R3359" s="588"/>
    </row>
    <row r="3360" spans="18:18">
      <c r="R3360" s="588"/>
    </row>
    <row r="3361" spans="18:18">
      <c r="R3361" s="588"/>
    </row>
    <row r="3362" spans="18:18">
      <c r="R3362" s="588"/>
    </row>
    <row r="3363" spans="18:18">
      <c r="R3363" s="588"/>
    </row>
    <row r="3364" spans="18:18">
      <c r="R3364" s="588"/>
    </row>
    <row r="3365" spans="18:18">
      <c r="R3365" s="588"/>
    </row>
    <row r="3366" spans="18:18">
      <c r="R3366" s="588"/>
    </row>
    <row r="3367" spans="18:18">
      <c r="R3367" s="588"/>
    </row>
    <row r="3368" spans="18:18">
      <c r="R3368" s="588"/>
    </row>
    <row r="3369" spans="18:18">
      <c r="R3369" s="588"/>
    </row>
    <row r="3370" spans="18:18">
      <c r="R3370" s="588"/>
    </row>
    <row r="3371" spans="18:18">
      <c r="R3371" s="588"/>
    </row>
    <row r="3372" spans="18:18">
      <c r="R3372" s="588"/>
    </row>
    <row r="3373" spans="18:18">
      <c r="R3373" s="588"/>
    </row>
    <row r="3374" spans="18:18">
      <c r="R3374" s="588"/>
    </row>
    <row r="3375" spans="18:18">
      <c r="R3375" s="588"/>
    </row>
    <row r="3376" spans="18:18">
      <c r="R3376" s="588"/>
    </row>
    <row r="3377" spans="18:18">
      <c r="R3377" s="588"/>
    </row>
    <row r="3378" spans="18:18">
      <c r="R3378" s="588"/>
    </row>
    <row r="3379" spans="18:18">
      <c r="R3379" s="588"/>
    </row>
    <row r="3380" spans="18:18">
      <c r="R3380" s="588"/>
    </row>
    <row r="3381" spans="18:18">
      <c r="R3381" s="588"/>
    </row>
    <row r="3382" spans="18:18">
      <c r="R3382" s="588"/>
    </row>
    <row r="3383" spans="18:18">
      <c r="R3383" s="588"/>
    </row>
    <row r="3384" spans="18:18">
      <c r="R3384" s="588"/>
    </row>
    <row r="3385" spans="18:18">
      <c r="R3385" s="588"/>
    </row>
    <row r="3386" spans="18:18">
      <c r="R3386" s="588"/>
    </row>
    <row r="3387" spans="18:18">
      <c r="R3387" s="588"/>
    </row>
    <row r="3388" spans="18:18">
      <c r="R3388" s="588"/>
    </row>
    <row r="3389" spans="18:18">
      <c r="R3389" s="588"/>
    </row>
    <row r="3390" spans="18:18">
      <c r="R3390" s="588"/>
    </row>
    <row r="3391" spans="18:18">
      <c r="R3391" s="588"/>
    </row>
    <row r="3392" spans="18:18">
      <c r="R3392" s="588"/>
    </row>
    <row r="3393" spans="18:18">
      <c r="R3393" s="588"/>
    </row>
    <row r="3394" spans="18:18">
      <c r="R3394" s="588"/>
    </row>
    <row r="3395" spans="18:18">
      <c r="R3395" s="588"/>
    </row>
    <row r="3396" spans="18:18">
      <c r="R3396" s="588"/>
    </row>
    <row r="3397" spans="18:18">
      <c r="R3397" s="588"/>
    </row>
    <row r="3398" spans="18:18">
      <c r="R3398" s="588"/>
    </row>
    <row r="3399" spans="18:18">
      <c r="R3399" s="588"/>
    </row>
    <row r="3400" spans="18:18">
      <c r="R3400" s="588"/>
    </row>
    <row r="3401" spans="18:18">
      <c r="R3401" s="588"/>
    </row>
    <row r="3402" spans="18:18">
      <c r="R3402" s="588"/>
    </row>
    <row r="3403" spans="18:18">
      <c r="R3403" s="588"/>
    </row>
    <row r="3404" spans="18:18">
      <c r="R3404" s="588"/>
    </row>
    <row r="3405" spans="18:18">
      <c r="R3405" s="588"/>
    </row>
    <row r="3406" spans="18:18">
      <c r="R3406" s="588"/>
    </row>
    <row r="3407" spans="18:18">
      <c r="R3407" s="588"/>
    </row>
    <row r="3408" spans="18:18">
      <c r="R3408" s="588"/>
    </row>
    <row r="3409" spans="18:18">
      <c r="R3409" s="588"/>
    </row>
    <row r="3410" spans="18:18">
      <c r="R3410" s="588"/>
    </row>
    <row r="3411" spans="18:18">
      <c r="R3411" s="588"/>
    </row>
    <row r="3412" spans="18:18">
      <c r="R3412" s="588"/>
    </row>
    <row r="3413" spans="18:18">
      <c r="R3413" s="588"/>
    </row>
    <row r="3414" spans="18:18">
      <c r="R3414" s="588"/>
    </row>
    <row r="3415" spans="18:18">
      <c r="R3415" s="588"/>
    </row>
    <row r="3416" spans="18:18">
      <c r="R3416" s="588"/>
    </row>
    <row r="3417" spans="18:18">
      <c r="R3417" s="588"/>
    </row>
    <row r="3418" spans="18:18">
      <c r="R3418" s="588"/>
    </row>
    <row r="3419" spans="18:18">
      <c r="R3419" s="588"/>
    </row>
    <row r="3420" spans="18:18">
      <c r="R3420" s="588"/>
    </row>
    <row r="3421" spans="18:18">
      <c r="R3421" s="588"/>
    </row>
    <row r="3422" spans="18:18">
      <c r="R3422" s="588"/>
    </row>
    <row r="3423" spans="18:18">
      <c r="R3423" s="588"/>
    </row>
    <row r="3424" spans="18:18">
      <c r="R3424" s="588"/>
    </row>
    <row r="3425" spans="18:18">
      <c r="R3425" s="588"/>
    </row>
    <row r="3426" spans="18:18">
      <c r="R3426" s="588"/>
    </row>
    <row r="3427" spans="18:18">
      <c r="R3427" s="588"/>
    </row>
    <row r="3428" spans="18:18">
      <c r="R3428" s="588"/>
    </row>
    <row r="3429" spans="18:18">
      <c r="R3429" s="588"/>
    </row>
    <row r="3430" spans="18:18">
      <c r="R3430" s="588"/>
    </row>
    <row r="3431" spans="18:18">
      <c r="R3431" s="588"/>
    </row>
    <row r="3432" spans="18:18">
      <c r="R3432" s="588"/>
    </row>
    <row r="3433" spans="18:18">
      <c r="R3433" s="588"/>
    </row>
    <row r="3434" spans="18:18">
      <c r="R3434" s="588"/>
    </row>
    <row r="3435" spans="18:18">
      <c r="R3435" s="588"/>
    </row>
    <row r="3436" spans="18:18">
      <c r="R3436" s="588"/>
    </row>
    <row r="3437" spans="18:18">
      <c r="R3437" s="588"/>
    </row>
    <row r="3438" spans="18:18">
      <c r="R3438" s="588"/>
    </row>
    <row r="3439" spans="18:18">
      <c r="R3439" s="588"/>
    </row>
    <row r="3440" spans="18:18">
      <c r="R3440" s="588"/>
    </row>
    <row r="3441" spans="18:18">
      <c r="R3441" s="588"/>
    </row>
    <row r="3442" spans="18:18">
      <c r="R3442" s="588"/>
    </row>
    <row r="3443" spans="18:18">
      <c r="R3443" s="588"/>
    </row>
    <row r="3444" spans="18:18">
      <c r="R3444" s="588"/>
    </row>
    <row r="3445" spans="18:18">
      <c r="R3445" s="588"/>
    </row>
    <row r="3446" spans="18:18">
      <c r="R3446" s="588"/>
    </row>
    <row r="3447" spans="18:18">
      <c r="R3447" s="588"/>
    </row>
    <row r="3448" spans="18:18">
      <c r="R3448" s="588"/>
    </row>
    <row r="3449" spans="18:18">
      <c r="R3449" s="588"/>
    </row>
    <row r="3450" spans="18:18">
      <c r="R3450" s="588"/>
    </row>
    <row r="3451" spans="18:18">
      <c r="R3451" s="588"/>
    </row>
    <row r="3452" spans="18:18">
      <c r="R3452" s="588"/>
    </row>
    <row r="3453" spans="18:18">
      <c r="R3453" s="588"/>
    </row>
    <row r="3454" spans="18:18">
      <c r="R3454" s="588"/>
    </row>
    <row r="3455" spans="18:18">
      <c r="R3455" s="588"/>
    </row>
    <row r="3456" spans="18:18">
      <c r="R3456" s="588"/>
    </row>
    <row r="3457" spans="18:18">
      <c r="R3457" s="588"/>
    </row>
    <row r="3458" spans="18:18">
      <c r="R3458" s="588"/>
    </row>
    <row r="3459" spans="18:18">
      <c r="R3459" s="588"/>
    </row>
    <row r="3460" spans="18:18">
      <c r="R3460" s="588"/>
    </row>
    <row r="3461" spans="18:18">
      <c r="R3461" s="588"/>
    </row>
    <row r="3462" spans="18:18">
      <c r="R3462" s="588"/>
    </row>
    <row r="3463" spans="18:18">
      <c r="R3463" s="588"/>
    </row>
    <row r="3464" spans="18:18">
      <c r="R3464" s="588"/>
    </row>
    <row r="3465" spans="18:18">
      <c r="R3465" s="588"/>
    </row>
    <row r="3466" spans="18:18">
      <c r="R3466" s="588"/>
    </row>
    <row r="3467" spans="18:18">
      <c r="R3467" s="588"/>
    </row>
    <row r="3468" spans="18:18">
      <c r="R3468" s="588"/>
    </row>
    <row r="3469" spans="18:18">
      <c r="R3469" s="588"/>
    </row>
    <row r="3470" spans="18:18">
      <c r="R3470" s="588"/>
    </row>
    <row r="3471" spans="18:18">
      <c r="R3471" s="588"/>
    </row>
    <row r="3472" spans="18:18">
      <c r="R3472" s="588"/>
    </row>
    <row r="3473" spans="18:18">
      <c r="R3473" s="588"/>
    </row>
    <row r="3474" spans="18:18">
      <c r="R3474" s="588"/>
    </row>
    <row r="3475" spans="18:18">
      <c r="R3475" s="588"/>
    </row>
    <row r="3476" spans="18:18">
      <c r="R3476" s="588"/>
    </row>
    <row r="3477" spans="18:18">
      <c r="R3477" s="588"/>
    </row>
    <row r="3478" spans="18:18">
      <c r="R3478" s="588"/>
    </row>
    <row r="3479" spans="18:18">
      <c r="R3479" s="588"/>
    </row>
    <row r="3480" spans="18:18">
      <c r="R3480" s="588"/>
    </row>
    <row r="3481" spans="18:18">
      <c r="R3481" s="588"/>
    </row>
    <row r="3482" spans="18:18">
      <c r="R3482" s="588"/>
    </row>
    <row r="3483" spans="18:18">
      <c r="R3483" s="588"/>
    </row>
    <row r="3484" spans="18:18">
      <c r="R3484" s="588"/>
    </row>
    <row r="3485" spans="18:18">
      <c r="R3485" s="588"/>
    </row>
    <row r="3486" spans="18:18">
      <c r="R3486" s="588"/>
    </row>
    <row r="3487" spans="18:18">
      <c r="R3487" s="588"/>
    </row>
  </sheetData>
  <printOptions horizontalCentered="1" verticalCentered="1"/>
  <pageMargins left="0" right="0" top="0.15748031496062992" bottom="0" header="0" footer="0"/>
  <pageSetup paperSize="9" scale="44"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73"/>
  <sheetViews>
    <sheetView zoomScaleNormal="100" zoomScaleSheetLayoutView="80" workbookViewId="0">
      <selection activeCell="BR15" sqref="BR15"/>
    </sheetView>
  </sheetViews>
  <sheetFormatPr defaultRowHeight="15"/>
  <cols>
    <col min="1" max="1" width="7.5703125" style="541" customWidth="1"/>
    <col min="2" max="2" width="61.5703125" style="541" customWidth="1"/>
    <col min="3" max="15" width="9.28515625" style="541" hidden="1" customWidth="1"/>
    <col min="16" max="21" width="9.140625" style="541" hidden="1" customWidth="1"/>
    <col min="22" max="22" width="9.7109375" style="541" hidden="1" customWidth="1"/>
    <col min="23" max="25" width="9.140625" style="541" hidden="1" customWidth="1"/>
    <col min="26" max="41" width="10.85546875" style="541" hidden="1" customWidth="1"/>
    <col min="42" max="54" width="14.28515625" style="541" hidden="1" customWidth="1"/>
    <col min="55" max="55" width="12.28515625" style="541" hidden="1" customWidth="1"/>
    <col min="56" max="68" width="12.28515625" style="541" customWidth="1"/>
    <col min="69" max="261" width="9.140625" style="541"/>
    <col min="262" max="262" width="5.140625" style="541" customWidth="1"/>
    <col min="263" max="263" width="63.42578125" style="541" customWidth="1"/>
    <col min="264" max="301" width="0" style="541" hidden="1" customWidth="1"/>
    <col min="302" max="312" width="10.85546875" style="541" customWidth="1"/>
    <col min="313" max="314" width="10.7109375" style="541" customWidth="1"/>
    <col min="315" max="517" width="9.140625" style="541"/>
    <col min="518" max="518" width="5.140625" style="541" customWidth="1"/>
    <col min="519" max="519" width="63.42578125" style="541" customWidth="1"/>
    <col min="520" max="557" width="0" style="541" hidden="1" customWidth="1"/>
    <col min="558" max="568" width="10.85546875" style="541" customWidth="1"/>
    <col min="569" max="570" width="10.7109375" style="541" customWidth="1"/>
    <col min="571" max="773" width="9.140625" style="541"/>
    <col min="774" max="774" width="5.140625" style="541" customWidth="1"/>
    <col min="775" max="775" width="63.42578125" style="541" customWidth="1"/>
    <col min="776" max="813" width="0" style="541" hidden="1" customWidth="1"/>
    <col min="814" max="824" width="10.85546875" style="541" customWidth="1"/>
    <col min="825" max="826" width="10.7109375" style="541" customWidth="1"/>
    <col min="827" max="1029" width="9.140625" style="541"/>
    <col min="1030" max="1030" width="5.140625" style="541" customWidth="1"/>
    <col min="1031" max="1031" width="63.42578125" style="541" customWidth="1"/>
    <col min="1032" max="1069" width="0" style="541" hidden="1" customWidth="1"/>
    <col min="1070" max="1080" width="10.85546875" style="541" customWidth="1"/>
    <col min="1081" max="1082" width="10.7109375" style="541" customWidth="1"/>
    <col min="1083" max="1285" width="9.140625" style="541"/>
    <col min="1286" max="1286" width="5.140625" style="541" customWidth="1"/>
    <col min="1287" max="1287" width="63.42578125" style="541" customWidth="1"/>
    <col min="1288" max="1325" width="0" style="541" hidden="1" customWidth="1"/>
    <col min="1326" max="1336" width="10.85546875" style="541" customWidth="1"/>
    <col min="1337" max="1338" width="10.7109375" style="541" customWidth="1"/>
    <col min="1339" max="1541" width="9.140625" style="541"/>
    <col min="1542" max="1542" width="5.140625" style="541" customWidth="1"/>
    <col min="1543" max="1543" width="63.42578125" style="541" customWidth="1"/>
    <col min="1544" max="1581" width="0" style="541" hidden="1" customWidth="1"/>
    <col min="1582" max="1592" width="10.85546875" style="541" customWidth="1"/>
    <col min="1593" max="1594" width="10.7109375" style="541" customWidth="1"/>
    <col min="1595" max="1797" width="9.140625" style="541"/>
    <col min="1798" max="1798" width="5.140625" style="541" customWidth="1"/>
    <col min="1799" max="1799" width="63.42578125" style="541" customWidth="1"/>
    <col min="1800" max="1837" width="0" style="541" hidden="1" customWidth="1"/>
    <col min="1838" max="1848" width="10.85546875" style="541" customWidth="1"/>
    <col min="1849" max="1850" width="10.7109375" style="541" customWidth="1"/>
    <col min="1851" max="2053" width="9.140625" style="541"/>
    <col min="2054" max="2054" width="5.140625" style="541" customWidth="1"/>
    <col min="2055" max="2055" width="63.42578125" style="541" customWidth="1"/>
    <col min="2056" max="2093" width="0" style="541" hidden="1" customWidth="1"/>
    <col min="2094" max="2104" width="10.85546875" style="541" customWidth="1"/>
    <col min="2105" max="2106" width="10.7109375" style="541" customWidth="1"/>
    <col min="2107" max="2309" width="9.140625" style="541"/>
    <col min="2310" max="2310" width="5.140625" style="541" customWidth="1"/>
    <col min="2311" max="2311" width="63.42578125" style="541" customWidth="1"/>
    <col min="2312" max="2349" width="0" style="541" hidden="1" customWidth="1"/>
    <col min="2350" max="2360" width="10.85546875" style="541" customWidth="1"/>
    <col min="2361" max="2362" width="10.7109375" style="541" customWidth="1"/>
    <col min="2363" max="2565" width="9.140625" style="541"/>
    <col min="2566" max="2566" width="5.140625" style="541" customWidth="1"/>
    <col min="2567" max="2567" width="63.42578125" style="541" customWidth="1"/>
    <col min="2568" max="2605" width="0" style="541" hidden="1" customWidth="1"/>
    <col min="2606" max="2616" width="10.85546875" style="541" customWidth="1"/>
    <col min="2617" max="2618" width="10.7109375" style="541" customWidth="1"/>
    <col min="2619" max="2821" width="9.140625" style="541"/>
    <col min="2822" max="2822" width="5.140625" style="541" customWidth="1"/>
    <col min="2823" max="2823" width="63.42578125" style="541" customWidth="1"/>
    <col min="2824" max="2861" width="0" style="541" hidden="1" customWidth="1"/>
    <col min="2862" max="2872" width="10.85546875" style="541" customWidth="1"/>
    <col min="2873" max="2874" width="10.7109375" style="541" customWidth="1"/>
    <col min="2875" max="3077" width="9.140625" style="541"/>
    <col min="3078" max="3078" width="5.140625" style="541" customWidth="1"/>
    <col min="3079" max="3079" width="63.42578125" style="541" customWidth="1"/>
    <col min="3080" max="3117" width="0" style="541" hidden="1" customWidth="1"/>
    <col min="3118" max="3128" width="10.85546875" style="541" customWidth="1"/>
    <col min="3129" max="3130" width="10.7109375" style="541" customWidth="1"/>
    <col min="3131" max="3333" width="9.140625" style="541"/>
    <col min="3334" max="3334" width="5.140625" style="541" customWidth="1"/>
    <col min="3335" max="3335" width="63.42578125" style="541" customWidth="1"/>
    <col min="3336" max="3373" width="0" style="541" hidden="1" customWidth="1"/>
    <col min="3374" max="3384" width="10.85546875" style="541" customWidth="1"/>
    <col min="3385" max="3386" width="10.7109375" style="541" customWidth="1"/>
    <col min="3387" max="3589" width="9.140625" style="541"/>
    <col min="3590" max="3590" width="5.140625" style="541" customWidth="1"/>
    <col min="3591" max="3591" width="63.42578125" style="541" customWidth="1"/>
    <col min="3592" max="3629" width="0" style="541" hidden="1" customWidth="1"/>
    <col min="3630" max="3640" width="10.85546875" style="541" customWidth="1"/>
    <col min="3641" max="3642" width="10.7109375" style="541" customWidth="1"/>
    <col min="3643" max="3845" width="9.140625" style="541"/>
    <col min="3846" max="3846" width="5.140625" style="541" customWidth="1"/>
    <col min="3847" max="3847" width="63.42578125" style="541" customWidth="1"/>
    <col min="3848" max="3885" width="0" style="541" hidden="1" customWidth="1"/>
    <col min="3886" max="3896" width="10.85546875" style="541" customWidth="1"/>
    <col min="3897" max="3898" width="10.7109375" style="541" customWidth="1"/>
    <col min="3899" max="4101" width="9.140625" style="541"/>
    <col min="4102" max="4102" width="5.140625" style="541" customWidth="1"/>
    <col min="4103" max="4103" width="63.42578125" style="541" customWidth="1"/>
    <col min="4104" max="4141" width="0" style="541" hidden="1" customWidth="1"/>
    <col min="4142" max="4152" width="10.85546875" style="541" customWidth="1"/>
    <col min="4153" max="4154" width="10.7109375" style="541" customWidth="1"/>
    <col min="4155" max="4357" width="9.140625" style="541"/>
    <col min="4358" max="4358" width="5.140625" style="541" customWidth="1"/>
    <col min="4359" max="4359" width="63.42578125" style="541" customWidth="1"/>
    <col min="4360" max="4397" width="0" style="541" hidden="1" customWidth="1"/>
    <col min="4398" max="4408" width="10.85546875" style="541" customWidth="1"/>
    <col min="4409" max="4410" width="10.7109375" style="541" customWidth="1"/>
    <col min="4411" max="4613" width="9.140625" style="541"/>
    <col min="4614" max="4614" width="5.140625" style="541" customWidth="1"/>
    <col min="4615" max="4615" width="63.42578125" style="541" customWidth="1"/>
    <col min="4616" max="4653" width="0" style="541" hidden="1" customWidth="1"/>
    <col min="4654" max="4664" width="10.85546875" style="541" customWidth="1"/>
    <col min="4665" max="4666" width="10.7109375" style="541" customWidth="1"/>
    <col min="4667" max="4869" width="9.140625" style="541"/>
    <col min="4870" max="4870" width="5.140625" style="541" customWidth="1"/>
    <col min="4871" max="4871" width="63.42578125" style="541" customWidth="1"/>
    <col min="4872" max="4909" width="0" style="541" hidden="1" customWidth="1"/>
    <col min="4910" max="4920" width="10.85546875" style="541" customWidth="1"/>
    <col min="4921" max="4922" width="10.7109375" style="541" customWidth="1"/>
    <col min="4923" max="5125" width="9.140625" style="541"/>
    <col min="5126" max="5126" width="5.140625" style="541" customWidth="1"/>
    <col min="5127" max="5127" width="63.42578125" style="541" customWidth="1"/>
    <col min="5128" max="5165" width="0" style="541" hidden="1" customWidth="1"/>
    <col min="5166" max="5176" width="10.85546875" style="541" customWidth="1"/>
    <col min="5177" max="5178" width="10.7109375" style="541" customWidth="1"/>
    <col min="5179" max="5381" width="9.140625" style="541"/>
    <col min="5382" max="5382" width="5.140625" style="541" customWidth="1"/>
    <col min="5383" max="5383" width="63.42578125" style="541" customWidth="1"/>
    <col min="5384" max="5421" width="0" style="541" hidden="1" customWidth="1"/>
    <col min="5422" max="5432" width="10.85546875" style="541" customWidth="1"/>
    <col min="5433" max="5434" width="10.7109375" style="541" customWidth="1"/>
    <col min="5435" max="5637" width="9.140625" style="541"/>
    <col min="5638" max="5638" width="5.140625" style="541" customWidth="1"/>
    <col min="5639" max="5639" width="63.42578125" style="541" customWidth="1"/>
    <col min="5640" max="5677" width="0" style="541" hidden="1" customWidth="1"/>
    <col min="5678" max="5688" width="10.85546875" style="541" customWidth="1"/>
    <col min="5689" max="5690" width="10.7109375" style="541" customWidth="1"/>
    <col min="5691" max="5893" width="9.140625" style="541"/>
    <col min="5894" max="5894" width="5.140625" style="541" customWidth="1"/>
    <col min="5895" max="5895" width="63.42578125" style="541" customWidth="1"/>
    <col min="5896" max="5933" width="0" style="541" hidden="1" customWidth="1"/>
    <col min="5934" max="5944" width="10.85546875" style="541" customWidth="1"/>
    <col min="5945" max="5946" width="10.7109375" style="541" customWidth="1"/>
    <col min="5947" max="6149" width="9.140625" style="541"/>
    <col min="6150" max="6150" width="5.140625" style="541" customWidth="1"/>
    <col min="6151" max="6151" width="63.42578125" style="541" customWidth="1"/>
    <col min="6152" max="6189" width="0" style="541" hidden="1" customWidth="1"/>
    <col min="6190" max="6200" width="10.85546875" style="541" customWidth="1"/>
    <col min="6201" max="6202" width="10.7109375" style="541" customWidth="1"/>
    <col min="6203" max="6405" width="9.140625" style="541"/>
    <col min="6406" max="6406" width="5.140625" style="541" customWidth="1"/>
    <col min="6407" max="6407" width="63.42578125" style="541" customWidth="1"/>
    <col min="6408" max="6445" width="0" style="541" hidden="1" customWidth="1"/>
    <col min="6446" max="6456" width="10.85546875" style="541" customWidth="1"/>
    <col min="6457" max="6458" width="10.7109375" style="541" customWidth="1"/>
    <col min="6459" max="6661" width="9.140625" style="541"/>
    <col min="6662" max="6662" width="5.140625" style="541" customWidth="1"/>
    <col min="6663" max="6663" width="63.42578125" style="541" customWidth="1"/>
    <col min="6664" max="6701" width="0" style="541" hidden="1" customWidth="1"/>
    <col min="6702" max="6712" width="10.85546875" style="541" customWidth="1"/>
    <col min="6713" max="6714" width="10.7109375" style="541" customWidth="1"/>
    <col min="6715" max="6917" width="9.140625" style="541"/>
    <col min="6918" max="6918" width="5.140625" style="541" customWidth="1"/>
    <col min="6919" max="6919" width="63.42578125" style="541" customWidth="1"/>
    <col min="6920" max="6957" width="0" style="541" hidden="1" customWidth="1"/>
    <col min="6958" max="6968" width="10.85546875" style="541" customWidth="1"/>
    <col min="6969" max="6970" width="10.7109375" style="541" customWidth="1"/>
    <col min="6971" max="7173" width="9.140625" style="541"/>
    <col min="7174" max="7174" width="5.140625" style="541" customWidth="1"/>
    <col min="7175" max="7175" width="63.42578125" style="541" customWidth="1"/>
    <col min="7176" max="7213" width="0" style="541" hidden="1" customWidth="1"/>
    <col min="7214" max="7224" width="10.85546875" style="541" customWidth="1"/>
    <col min="7225" max="7226" width="10.7109375" style="541" customWidth="1"/>
    <col min="7227" max="7429" width="9.140625" style="541"/>
    <col min="7430" max="7430" width="5.140625" style="541" customWidth="1"/>
    <col min="7431" max="7431" width="63.42578125" style="541" customWidth="1"/>
    <col min="7432" max="7469" width="0" style="541" hidden="1" customWidth="1"/>
    <col min="7470" max="7480" width="10.85546875" style="541" customWidth="1"/>
    <col min="7481" max="7482" width="10.7109375" style="541" customWidth="1"/>
    <col min="7483" max="7685" width="9.140625" style="541"/>
    <col min="7686" max="7686" width="5.140625" style="541" customWidth="1"/>
    <col min="7687" max="7687" width="63.42578125" style="541" customWidth="1"/>
    <col min="7688" max="7725" width="0" style="541" hidden="1" customWidth="1"/>
    <col min="7726" max="7736" width="10.85546875" style="541" customWidth="1"/>
    <col min="7737" max="7738" width="10.7109375" style="541" customWidth="1"/>
    <col min="7739" max="7941" width="9.140625" style="541"/>
    <col min="7942" max="7942" width="5.140625" style="541" customWidth="1"/>
    <col min="7943" max="7943" width="63.42578125" style="541" customWidth="1"/>
    <col min="7944" max="7981" width="0" style="541" hidden="1" customWidth="1"/>
    <col min="7982" max="7992" width="10.85546875" style="541" customWidth="1"/>
    <col min="7993" max="7994" width="10.7109375" style="541" customWidth="1"/>
    <col min="7995" max="8197" width="9.140625" style="541"/>
    <col min="8198" max="8198" width="5.140625" style="541" customWidth="1"/>
    <col min="8199" max="8199" width="63.42578125" style="541" customWidth="1"/>
    <col min="8200" max="8237" width="0" style="541" hidden="1" customWidth="1"/>
    <col min="8238" max="8248" width="10.85546875" style="541" customWidth="1"/>
    <col min="8249" max="8250" width="10.7109375" style="541" customWidth="1"/>
    <col min="8251" max="8453" width="9.140625" style="541"/>
    <col min="8454" max="8454" width="5.140625" style="541" customWidth="1"/>
    <col min="8455" max="8455" width="63.42578125" style="541" customWidth="1"/>
    <col min="8456" max="8493" width="0" style="541" hidden="1" customWidth="1"/>
    <col min="8494" max="8504" width="10.85546875" style="541" customWidth="1"/>
    <col min="8505" max="8506" width="10.7109375" style="541" customWidth="1"/>
    <col min="8507" max="8709" width="9.140625" style="541"/>
    <col min="8710" max="8710" width="5.140625" style="541" customWidth="1"/>
    <col min="8711" max="8711" width="63.42578125" style="541" customWidth="1"/>
    <col min="8712" max="8749" width="0" style="541" hidden="1" customWidth="1"/>
    <col min="8750" max="8760" width="10.85546875" style="541" customWidth="1"/>
    <col min="8761" max="8762" width="10.7109375" style="541" customWidth="1"/>
    <col min="8763" max="8965" width="9.140625" style="541"/>
    <col min="8966" max="8966" width="5.140625" style="541" customWidth="1"/>
    <col min="8967" max="8967" width="63.42578125" style="541" customWidth="1"/>
    <col min="8968" max="9005" width="0" style="541" hidden="1" customWidth="1"/>
    <col min="9006" max="9016" width="10.85546875" style="541" customWidth="1"/>
    <col min="9017" max="9018" width="10.7109375" style="541" customWidth="1"/>
    <col min="9019" max="9221" width="9.140625" style="541"/>
    <col min="9222" max="9222" width="5.140625" style="541" customWidth="1"/>
    <col min="9223" max="9223" width="63.42578125" style="541" customWidth="1"/>
    <col min="9224" max="9261" width="0" style="541" hidden="1" customWidth="1"/>
    <col min="9262" max="9272" width="10.85546875" style="541" customWidth="1"/>
    <col min="9273" max="9274" width="10.7109375" style="541" customWidth="1"/>
    <col min="9275" max="9477" width="9.140625" style="541"/>
    <col min="9478" max="9478" width="5.140625" style="541" customWidth="1"/>
    <col min="9479" max="9479" width="63.42578125" style="541" customWidth="1"/>
    <col min="9480" max="9517" width="0" style="541" hidden="1" customWidth="1"/>
    <col min="9518" max="9528" width="10.85546875" style="541" customWidth="1"/>
    <col min="9529" max="9530" width="10.7109375" style="541" customWidth="1"/>
    <col min="9531" max="9733" width="9.140625" style="541"/>
    <col min="9734" max="9734" width="5.140625" style="541" customWidth="1"/>
    <col min="9735" max="9735" width="63.42578125" style="541" customWidth="1"/>
    <col min="9736" max="9773" width="0" style="541" hidden="1" customWidth="1"/>
    <col min="9774" max="9784" width="10.85546875" style="541" customWidth="1"/>
    <col min="9785" max="9786" width="10.7109375" style="541" customWidth="1"/>
    <col min="9787" max="9989" width="9.140625" style="541"/>
    <col min="9990" max="9990" width="5.140625" style="541" customWidth="1"/>
    <col min="9991" max="9991" width="63.42578125" style="541" customWidth="1"/>
    <col min="9992" max="10029" width="0" style="541" hidden="1" customWidth="1"/>
    <col min="10030" max="10040" width="10.85546875" style="541" customWidth="1"/>
    <col min="10041" max="10042" width="10.7109375" style="541" customWidth="1"/>
    <col min="10043" max="10245" width="9.140625" style="541"/>
    <col min="10246" max="10246" width="5.140625" style="541" customWidth="1"/>
    <col min="10247" max="10247" width="63.42578125" style="541" customWidth="1"/>
    <col min="10248" max="10285" width="0" style="541" hidden="1" customWidth="1"/>
    <col min="10286" max="10296" width="10.85546875" style="541" customWidth="1"/>
    <col min="10297" max="10298" width="10.7109375" style="541" customWidth="1"/>
    <col min="10299" max="10501" width="9.140625" style="541"/>
    <col min="10502" max="10502" width="5.140625" style="541" customWidth="1"/>
    <col min="10503" max="10503" width="63.42578125" style="541" customWidth="1"/>
    <col min="10504" max="10541" width="0" style="541" hidden="1" customWidth="1"/>
    <col min="10542" max="10552" width="10.85546875" style="541" customWidth="1"/>
    <col min="10553" max="10554" width="10.7109375" style="541" customWidth="1"/>
    <col min="10555" max="10757" width="9.140625" style="541"/>
    <col min="10758" max="10758" width="5.140625" style="541" customWidth="1"/>
    <col min="10759" max="10759" width="63.42578125" style="541" customWidth="1"/>
    <col min="10760" max="10797" width="0" style="541" hidden="1" customWidth="1"/>
    <col min="10798" max="10808" width="10.85546875" style="541" customWidth="1"/>
    <col min="10809" max="10810" width="10.7109375" style="541" customWidth="1"/>
    <col min="10811" max="11013" width="9.140625" style="541"/>
    <col min="11014" max="11014" width="5.140625" style="541" customWidth="1"/>
    <col min="11015" max="11015" width="63.42578125" style="541" customWidth="1"/>
    <col min="11016" max="11053" width="0" style="541" hidden="1" customWidth="1"/>
    <col min="11054" max="11064" width="10.85546875" style="541" customWidth="1"/>
    <col min="11065" max="11066" width="10.7109375" style="541" customWidth="1"/>
    <col min="11067" max="11269" width="9.140625" style="541"/>
    <col min="11270" max="11270" width="5.140625" style="541" customWidth="1"/>
    <col min="11271" max="11271" width="63.42578125" style="541" customWidth="1"/>
    <col min="11272" max="11309" width="0" style="541" hidden="1" customWidth="1"/>
    <col min="11310" max="11320" width="10.85546875" style="541" customWidth="1"/>
    <col min="11321" max="11322" width="10.7109375" style="541" customWidth="1"/>
    <col min="11323" max="11525" width="9.140625" style="541"/>
    <col min="11526" max="11526" width="5.140625" style="541" customWidth="1"/>
    <col min="11527" max="11527" width="63.42578125" style="541" customWidth="1"/>
    <col min="11528" max="11565" width="0" style="541" hidden="1" customWidth="1"/>
    <col min="11566" max="11576" width="10.85546875" style="541" customWidth="1"/>
    <col min="11577" max="11578" width="10.7109375" style="541" customWidth="1"/>
    <col min="11579" max="11781" width="9.140625" style="541"/>
    <col min="11782" max="11782" width="5.140625" style="541" customWidth="1"/>
    <col min="11783" max="11783" width="63.42578125" style="541" customWidth="1"/>
    <col min="11784" max="11821" width="0" style="541" hidden="1" customWidth="1"/>
    <col min="11822" max="11832" width="10.85546875" style="541" customWidth="1"/>
    <col min="11833" max="11834" width="10.7109375" style="541" customWidth="1"/>
    <col min="11835" max="12037" width="9.140625" style="541"/>
    <col min="12038" max="12038" width="5.140625" style="541" customWidth="1"/>
    <col min="12039" max="12039" width="63.42578125" style="541" customWidth="1"/>
    <col min="12040" max="12077" width="0" style="541" hidden="1" customWidth="1"/>
    <col min="12078" max="12088" width="10.85546875" style="541" customWidth="1"/>
    <col min="12089" max="12090" width="10.7109375" style="541" customWidth="1"/>
    <col min="12091" max="12293" width="9.140625" style="541"/>
    <col min="12294" max="12294" width="5.140625" style="541" customWidth="1"/>
    <col min="12295" max="12295" width="63.42578125" style="541" customWidth="1"/>
    <col min="12296" max="12333" width="0" style="541" hidden="1" customWidth="1"/>
    <col min="12334" max="12344" width="10.85546875" style="541" customWidth="1"/>
    <col min="12345" max="12346" width="10.7109375" style="541" customWidth="1"/>
    <col min="12347" max="12549" width="9.140625" style="541"/>
    <col min="12550" max="12550" width="5.140625" style="541" customWidth="1"/>
    <col min="12551" max="12551" width="63.42578125" style="541" customWidth="1"/>
    <col min="12552" max="12589" width="0" style="541" hidden="1" customWidth="1"/>
    <col min="12590" max="12600" width="10.85546875" style="541" customWidth="1"/>
    <col min="12601" max="12602" width="10.7109375" style="541" customWidth="1"/>
    <col min="12603" max="12805" width="9.140625" style="541"/>
    <col min="12806" max="12806" width="5.140625" style="541" customWidth="1"/>
    <col min="12807" max="12807" width="63.42578125" style="541" customWidth="1"/>
    <col min="12808" max="12845" width="0" style="541" hidden="1" customWidth="1"/>
    <col min="12846" max="12856" width="10.85546875" style="541" customWidth="1"/>
    <col min="12857" max="12858" width="10.7109375" style="541" customWidth="1"/>
    <col min="12859" max="13061" width="9.140625" style="541"/>
    <col min="13062" max="13062" width="5.140625" style="541" customWidth="1"/>
    <col min="13063" max="13063" width="63.42578125" style="541" customWidth="1"/>
    <col min="13064" max="13101" width="0" style="541" hidden="1" customWidth="1"/>
    <col min="13102" max="13112" width="10.85546875" style="541" customWidth="1"/>
    <col min="13113" max="13114" width="10.7109375" style="541" customWidth="1"/>
    <col min="13115" max="13317" width="9.140625" style="541"/>
    <col min="13318" max="13318" width="5.140625" style="541" customWidth="1"/>
    <col min="13319" max="13319" width="63.42578125" style="541" customWidth="1"/>
    <col min="13320" max="13357" width="0" style="541" hidden="1" customWidth="1"/>
    <col min="13358" max="13368" width="10.85546875" style="541" customWidth="1"/>
    <col min="13369" max="13370" width="10.7109375" style="541" customWidth="1"/>
    <col min="13371" max="13573" width="9.140625" style="541"/>
    <col min="13574" max="13574" width="5.140625" style="541" customWidth="1"/>
    <col min="13575" max="13575" width="63.42578125" style="541" customWidth="1"/>
    <col min="13576" max="13613" width="0" style="541" hidden="1" customWidth="1"/>
    <col min="13614" max="13624" width="10.85546875" style="541" customWidth="1"/>
    <col min="13625" max="13626" width="10.7109375" style="541" customWidth="1"/>
    <col min="13627" max="13829" width="9.140625" style="541"/>
    <col min="13830" max="13830" width="5.140625" style="541" customWidth="1"/>
    <col min="13831" max="13831" width="63.42578125" style="541" customWidth="1"/>
    <col min="13832" max="13869" width="0" style="541" hidden="1" customWidth="1"/>
    <col min="13870" max="13880" width="10.85546875" style="541" customWidth="1"/>
    <col min="13881" max="13882" width="10.7109375" style="541" customWidth="1"/>
    <col min="13883" max="14085" width="9.140625" style="541"/>
    <col min="14086" max="14086" width="5.140625" style="541" customWidth="1"/>
    <col min="14087" max="14087" width="63.42578125" style="541" customWidth="1"/>
    <col min="14088" max="14125" width="0" style="541" hidden="1" customWidth="1"/>
    <col min="14126" max="14136" width="10.85546875" style="541" customWidth="1"/>
    <col min="14137" max="14138" width="10.7109375" style="541" customWidth="1"/>
    <col min="14139" max="14341" width="9.140625" style="541"/>
    <col min="14342" max="14342" width="5.140625" style="541" customWidth="1"/>
    <col min="14343" max="14343" width="63.42578125" style="541" customWidth="1"/>
    <col min="14344" max="14381" width="0" style="541" hidden="1" customWidth="1"/>
    <col min="14382" max="14392" width="10.85546875" style="541" customWidth="1"/>
    <col min="14393" max="14394" width="10.7109375" style="541" customWidth="1"/>
    <col min="14395" max="14597" width="9.140625" style="541"/>
    <col min="14598" max="14598" width="5.140625" style="541" customWidth="1"/>
    <col min="14599" max="14599" width="63.42578125" style="541" customWidth="1"/>
    <col min="14600" max="14637" width="0" style="541" hidden="1" customWidth="1"/>
    <col min="14638" max="14648" width="10.85546875" style="541" customWidth="1"/>
    <col min="14649" max="14650" width="10.7109375" style="541" customWidth="1"/>
    <col min="14651" max="14853" width="9.140625" style="541"/>
    <col min="14854" max="14854" width="5.140625" style="541" customWidth="1"/>
    <col min="14855" max="14855" width="63.42578125" style="541" customWidth="1"/>
    <col min="14856" max="14893" width="0" style="541" hidden="1" customWidth="1"/>
    <col min="14894" max="14904" width="10.85546875" style="541" customWidth="1"/>
    <col min="14905" max="14906" width="10.7109375" style="541" customWidth="1"/>
    <col min="14907" max="15109" width="9.140625" style="541"/>
    <col min="15110" max="15110" width="5.140625" style="541" customWidth="1"/>
    <col min="15111" max="15111" width="63.42578125" style="541" customWidth="1"/>
    <col min="15112" max="15149" width="0" style="541" hidden="1" customWidth="1"/>
    <col min="15150" max="15160" width="10.85546875" style="541" customWidth="1"/>
    <col min="15161" max="15162" width="10.7109375" style="541" customWidth="1"/>
    <col min="15163" max="15365" width="9.140625" style="541"/>
    <col min="15366" max="15366" width="5.140625" style="541" customWidth="1"/>
    <col min="15367" max="15367" width="63.42578125" style="541" customWidth="1"/>
    <col min="15368" max="15405" width="0" style="541" hidden="1" customWidth="1"/>
    <col min="15406" max="15416" width="10.85546875" style="541" customWidth="1"/>
    <col min="15417" max="15418" width="10.7109375" style="541" customWidth="1"/>
    <col min="15419" max="15621" width="9.140625" style="541"/>
    <col min="15622" max="15622" width="5.140625" style="541" customWidth="1"/>
    <col min="15623" max="15623" width="63.42578125" style="541" customWidth="1"/>
    <col min="15624" max="15661" width="0" style="541" hidden="1" customWidth="1"/>
    <col min="15662" max="15672" width="10.85546875" style="541" customWidth="1"/>
    <col min="15673" max="15674" width="10.7109375" style="541" customWidth="1"/>
    <col min="15675" max="15877" width="9.140625" style="541"/>
    <col min="15878" max="15878" width="5.140625" style="541" customWidth="1"/>
    <col min="15879" max="15879" width="63.42578125" style="541" customWidth="1"/>
    <col min="15880" max="15917" width="0" style="541" hidden="1" customWidth="1"/>
    <col min="15918" max="15928" width="10.85546875" style="541" customWidth="1"/>
    <col min="15929" max="15930" width="10.7109375" style="541" customWidth="1"/>
    <col min="15931" max="16133" width="9.140625" style="541"/>
    <col min="16134" max="16134" width="5.140625" style="541" customWidth="1"/>
    <col min="16135" max="16135" width="63.42578125" style="541" customWidth="1"/>
    <col min="16136" max="16173" width="0" style="541" hidden="1" customWidth="1"/>
    <col min="16174" max="16184" width="10.85546875" style="541" customWidth="1"/>
    <col min="16185" max="16186" width="10.7109375" style="541" customWidth="1"/>
    <col min="16187" max="16384" width="9.140625" style="541"/>
  </cols>
  <sheetData>
    <row r="1" spans="1:68" ht="21.75">
      <c r="A1" s="834" t="s">
        <v>2487</v>
      </c>
      <c r="B1" s="835"/>
      <c r="C1" s="836"/>
      <c r="D1" s="836"/>
      <c r="E1" s="836"/>
      <c r="F1" s="836"/>
      <c r="G1" s="836"/>
      <c r="H1" s="836"/>
      <c r="I1" s="836"/>
      <c r="J1" s="836"/>
      <c r="K1" s="836"/>
      <c r="L1" s="836"/>
      <c r="M1" s="836"/>
      <c r="N1" s="836"/>
      <c r="O1" s="836"/>
      <c r="P1" s="836"/>
      <c r="Q1" s="836"/>
      <c r="R1" s="836"/>
      <c r="S1" s="836"/>
      <c r="T1" s="836"/>
      <c r="U1" s="836"/>
      <c r="V1" s="836"/>
      <c r="W1" s="836"/>
      <c r="X1" s="836"/>
      <c r="Y1" s="836"/>
      <c r="Z1" s="836"/>
      <c r="AA1" s="836"/>
      <c r="AB1" s="836"/>
      <c r="AC1" s="836"/>
      <c r="AD1" s="836"/>
      <c r="AE1" s="836"/>
      <c r="AF1" s="836"/>
      <c r="AG1" s="836"/>
      <c r="AH1" s="836"/>
      <c r="AI1" s="836"/>
      <c r="AJ1" s="836"/>
      <c r="AK1" s="836"/>
      <c r="AL1" s="836"/>
      <c r="AM1" s="836"/>
      <c r="AN1" s="836"/>
      <c r="AO1" s="836"/>
      <c r="AP1" s="836"/>
      <c r="AQ1" s="836"/>
      <c r="AR1" s="836"/>
    </row>
    <row r="2" spans="1:68" ht="15.75" thickBot="1">
      <c r="A2" s="837"/>
      <c r="B2" s="837"/>
      <c r="C2" s="629"/>
      <c r="D2" s="629"/>
      <c r="E2" s="629"/>
      <c r="F2" s="629"/>
      <c r="H2" s="629"/>
      <c r="I2" s="629"/>
      <c r="J2" s="629"/>
      <c r="L2" s="629"/>
      <c r="O2" s="629"/>
      <c r="P2" s="629"/>
      <c r="Q2" s="629"/>
      <c r="R2" s="629"/>
      <c r="S2" s="629"/>
      <c r="T2" s="629"/>
      <c r="U2" s="629"/>
      <c r="V2" s="629"/>
      <c r="W2" s="629"/>
      <c r="X2" s="629"/>
      <c r="Y2" s="629"/>
      <c r="Z2" s="774"/>
      <c r="AA2" s="774"/>
      <c r="AB2" s="774"/>
      <c r="AC2" s="774"/>
      <c r="AD2" s="774"/>
      <c r="AE2" s="774"/>
      <c r="AF2" s="774"/>
      <c r="AG2" s="774"/>
      <c r="AH2" s="774"/>
      <c r="AI2" s="774"/>
      <c r="AJ2" s="774"/>
      <c r="AK2" s="774"/>
      <c r="AL2" s="774"/>
      <c r="AM2" s="774"/>
      <c r="AN2" s="774"/>
      <c r="AO2" s="774"/>
      <c r="AP2" s="774"/>
      <c r="AQ2" s="774"/>
      <c r="AR2" s="774"/>
      <c r="AS2" s="774"/>
      <c r="AT2" s="774"/>
      <c r="AV2" s="774"/>
      <c r="AW2" s="774"/>
      <c r="AX2" s="774"/>
      <c r="AZ2" s="774"/>
      <c r="BC2" s="838"/>
      <c r="BE2" s="838"/>
      <c r="BF2" s="838"/>
      <c r="BP2" s="541" t="s">
        <v>49</v>
      </c>
    </row>
    <row r="3" spans="1:68" ht="24.75" customHeight="1" thickTop="1" thickBot="1">
      <c r="A3" s="839" t="s">
        <v>2488</v>
      </c>
      <c r="B3" s="840" t="s">
        <v>2489</v>
      </c>
      <c r="C3" s="841">
        <v>40179</v>
      </c>
      <c r="D3" s="841">
        <v>40211</v>
      </c>
      <c r="E3" s="841">
        <v>40239</v>
      </c>
      <c r="F3" s="841">
        <v>40270</v>
      </c>
      <c r="G3" s="841">
        <v>40300</v>
      </c>
      <c r="H3" s="841">
        <v>40331</v>
      </c>
      <c r="I3" s="841">
        <v>40361</v>
      </c>
      <c r="J3" s="842">
        <v>40392</v>
      </c>
      <c r="K3" s="843">
        <v>40423</v>
      </c>
      <c r="L3" s="843">
        <v>40453</v>
      </c>
      <c r="M3" s="843">
        <v>40484</v>
      </c>
      <c r="N3" s="843">
        <v>40514</v>
      </c>
      <c r="O3" s="843">
        <v>40545</v>
      </c>
      <c r="P3" s="843">
        <v>40576</v>
      </c>
      <c r="Q3" s="843">
        <v>40604</v>
      </c>
      <c r="R3" s="843">
        <v>40635</v>
      </c>
      <c r="S3" s="843">
        <v>40665</v>
      </c>
      <c r="T3" s="843">
        <v>40696</v>
      </c>
      <c r="U3" s="843">
        <v>40726</v>
      </c>
      <c r="V3" s="844">
        <v>40757</v>
      </c>
      <c r="W3" s="844">
        <v>40788</v>
      </c>
      <c r="X3" s="844">
        <v>40818</v>
      </c>
      <c r="Y3" s="844">
        <v>40849</v>
      </c>
      <c r="Z3" s="844">
        <v>40879</v>
      </c>
      <c r="AA3" s="844">
        <v>40910</v>
      </c>
      <c r="AB3" s="844">
        <v>40941</v>
      </c>
      <c r="AC3" s="844">
        <v>40970</v>
      </c>
      <c r="AD3" s="844">
        <v>41001</v>
      </c>
      <c r="AE3" s="844">
        <v>41031</v>
      </c>
      <c r="AF3" s="844">
        <v>41062</v>
      </c>
      <c r="AG3" s="844">
        <v>41092</v>
      </c>
      <c r="AH3" s="844">
        <v>41123</v>
      </c>
      <c r="AI3" s="844">
        <v>41154</v>
      </c>
      <c r="AJ3" s="844">
        <v>41184</v>
      </c>
      <c r="AK3" s="844">
        <v>41215</v>
      </c>
      <c r="AL3" s="844">
        <v>41245</v>
      </c>
      <c r="AM3" s="844">
        <v>41276</v>
      </c>
      <c r="AN3" s="844">
        <v>41307</v>
      </c>
      <c r="AO3" s="845">
        <v>41335</v>
      </c>
      <c r="AP3" s="845">
        <v>41366</v>
      </c>
      <c r="AQ3" s="845">
        <v>41396</v>
      </c>
      <c r="AR3" s="845">
        <v>41427</v>
      </c>
      <c r="AS3" s="845">
        <v>41457</v>
      </c>
      <c r="AT3" s="845">
        <v>41488</v>
      </c>
      <c r="AU3" s="845">
        <v>41519</v>
      </c>
      <c r="AV3" s="845">
        <v>41549</v>
      </c>
      <c r="AW3" s="845">
        <v>41580</v>
      </c>
      <c r="AX3" s="845">
        <v>41610</v>
      </c>
      <c r="AY3" s="845">
        <v>41641</v>
      </c>
      <c r="AZ3" s="845">
        <v>41672</v>
      </c>
      <c r="BA3" s="845">
        <v>41700</v>
      </c>
      <c r="BB3" s="845">
        <v>41731</v>
      </c>
      <c r="BC3" s="845">
        <v>41761</v>
      </c>
      <c r="BD3" s="845">
        <v>41791</v>
      </c>
      <c r="BE3" s="845">
        <v>41822</v>
      </c>
      <c r="BF3" s="845">
        <v>41853</v>
      </c>
      <c r="BG3" s="845">
        <v>41884</v>
      </c>
      <c r="BH3" s="845">
        <v>41914</v>
      </c>
      <c r="BI3" s="845">
        <v>41945</v>
      </c>
      <c r="BJ3" s="845">
        <v>41975</v>
      </c>
      <c r="BK3" s="845">
        <v>42006</v>
      </c>
      <c r="BL3" s="845">
        <v>42037</v>
      </c>
      <c r="BM3" s="845">
        <v>42065</v>
      </c>
      <c r="BN3" s="845">
        <v>42096</v>
      </c>
      <c r="BO3" s="845">
        <v>42126</v>
      </c>
      <c r="BP3" s="845">
        <v>42157</v>
      </c>
    </row>
    <row r="4" spans="1:68" ht="16.5" thickTop="1">
      <c r="A4" s="846"/>
      <c r="B4" s="847"/>
      <c r="C4" s="848"/>
      <c r="D4" s="848"/>
      <c r="E4" s="848"/>
      <c r="F4" s="848"/>
      <c r="G4" s="848"/>
      <c r="H4" s="848"/>
      <c r="I4" s="848"/>
      <c r="J4" s="849"/>
      <c r="K4" s="850"/>
      <c r="L4" s="850"/>
      <c r="M4" s="850"/>
      <c r="N4" s="850"/>
      <c r="O4" s="850"/>
      <c r="P4" s="850"/>
      <c r="Q4" s="850"/>
      <c r="R4" s="850"/>
      <c r="S4" s="850"/>
      <c r="T4" s="850"/>
      <c r="U4" s="850"/>
      <c r="V4" s="851"/>
      <c r="W4" s="851"/>
      <c r="X4" s="851"/>
      <c r="Y4" s="851"/>
      <c r="Z4" s="851"/>
      <c r="AA4" s="851"/>
      <c r="AB4" s="851"/>
      <c r="AC4" s="851"/>
      <c r="AD4" s="851"/>
      <c r="AE4" s="851"/>
      <c r="AF4" s="851"/>
      <c r="AG4" s="851"/>
      <c r="AH4" s="851"/>
      <c r="AI4" s="851"/>
      <c r="AJ4" s="851"/>
      <c r="AK4" s="851"/>
      <c r="AL4" s="851"/>
      <c r="AM4" s="851"/>
      <c r="AN4" s="851"/>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row>
    <row r="5" spans="1:68" ht="16.5" customHeight="1">
      <c r="A5" s="853" t="s">
        <v>2490</v>
      </c>
      <c r="B5" s="854" t="s">
        <v>2491</v>
      </c>
      <c r="C5" s="855">
        <v>8313.9230856199993</v>
      </c>
      <c r="D5" s="855">
        <v>8554.6603705100006</v>
      </c>
      <c r="E5" s="855">
        <v>8543.5793921799996</v>
      </c>
      <c r="F5" s="855">
        <v>8747.1718602600013</v>
      </c>
      <c r="G5" s="855">
        <v>9556.2360567600008</v>
      </c>
      <c r="H5" s="855">
        <v>9176.9618582599996</v>
      </c>
      <c r="I5" s="855">
        <v>8577.4751113599996</v>
      </c>
      <c r="J5" s="855">
        <v>8964.9122942899994</v>
      </c>
      <c r="K5" s="855">
        <v>9137.7338806799999</v>
      </c>
      <c r="L5" s="855">
        <v>9189.04614253</v>
      </c>
      <c r="M5" s="855">
        <v>9229.6837182599993</v>
      </c>
      <c r="N5" s="855">
        <v>9525.0663255700001</v>
      </c>
      <c r="O5" s="855">
        <v>9056.9216292099991</v>
      </c>
      <c r="P5" s="855">
        <v>9259.0514912299986</v>
      </c>
      <c r="Q5" s="855">
        <v>9060.6338427999981</v>
      </c>
      <c r="R5" s="855">
        <v>9186.4692947099993</v>
      </c>
      <c r="S5" s="855">
        <v>9355.9525099800012</v>
      </c>
      <c r="T5" s="855">
        <v>9401.5499322600008</v>
      </c>
      <c r="U5" s="855">
        <v>9516.6736425700001</v>
      </c>
      <c r="V5" s="855">
        <v>10165.600383359999</v>
      </c>
      <c r="W5" s="855">
        <v>10486.8216237</v>
      </c>
      <c r="X5" s="855">
        <v>10793.925243599999</v>
      </c>
      <c r="Y5" s="855">
        <v>10846.49111531</v>
      </c>
      <c r="Z5" s="855">
        <v>10232.00808204</v>
      </c>
      <c r="AA5" s="855">
        <v>10884.95353631</v>
      </c>
      <c r="AB5" s="855">
        <v>10925.24783013</v>
      </c>
      <c r="AC5" s="855">
        <v>10499.39109904</v>
      </c>
      <c r="AD5" s="855">
        <v>10574.403858539999</v>
      </c>
      <c r="AE5" s="855">
        <v>10378.168711709999</v>
      </c>
      <c r="AF5" s="855">
        <v>10793.873166549998</v>
      </c>
      <c r="AG5" s="855">
        <v>10959.584142559999</v>
      </c>
      <c r="AH5" s="855">
        <v>10992.450605919999</v>
      </c>
      <c r="AI5" s="855">
        <v>11502.52074158</v>
      </c>
      <c r="AJ5" s="855">
        <v>11450.75111343</v>
      </c>
      <c r="AK5" s="855">
        <v>11408.30600506</v>
      </c>
      <c r="AL5" s="855">
        <v>11086.982508629999</v>
      </c>
      <c r="AM5" s="855">
        <v>11091.524256320001</v>
      </c>
      <c r="AN5" s="855">
        <v>10859.54273619</v>
      </c>
      <c r="AO5" s="856">
        <v>10927.48027301</v>
      </c>
      <c r="AP5" s="856">
        <v>10415.83919683</v>
      </c>
      <c r="AQ5" s="856">
        <v>10192.80816008</v>
      </c>
      <c r="AR5" s="856">
        <v>9361.1422593799998</v>
      </c>
      <c r="AS5" s="856">
        <v>9826.8400938100003</v>
      </c>
      <c r="AT5" s="856">
        <v>10073.589758530001</v>
      </c>
      <c r="AU5" s="856">
        <v>9806.8217559900004</v>
      </c>
      <c r="AV5" s="856">
        <v>9713.9569521400008</v>
      </c>
      <c r="AW5" s="856">
        <v>9407.1533895899993</v>
      </c>
      <c r="AX5" s="856">
        <v>9166.4078523200005</v>
      </c>
      <c r="AY5" s="856">
        <v>9423.9782169700011</v>
      </c>
      <c r="AZ5" s="856">
        <v>9673.3778150299986</v>
      </c>
      <c r="BA5" s="856">
        <v>9548.3284712299992</v>
      </c>
      <c r="BB5" s="856">
        <f>'[5]CB-1SR'!EX9</f>
        <v>9515.1678391399983</v>
      </c>
      <c r="BC5" s="856">
        <v>9438.9846605599996</v>
      </c>
      <c r="BD5" s="856">
        <v>9668.9516985400005</v>
      </c>
      <c r="BE5" s="856">
        <v>9628.0857852999998</v>
      </c>
      <c r="BF5" s="856">
        <v>9682.6052572400004</v>
      </c>
      <c r="BG5" s="856">
        <v>11894.207862830001</v>
      </c>
      <c r="BH5" s="856">
        <v>12810.569558089999</v>
      </c>
      <c r="BI5" s="856">
        <v>14072.53336646</v>
      </c>
      <c r="BJ5" s="856">
        <v>14252.727087489999</v>
      </c>
      <c r="BK5" s="856">
        <v>16386.981618220001</v>
      </c>
      <c r="BL5" s="856">
        <v>16165.21224103</v>
      </c>
      <c r="BM5" s="856">
        <v>17319.651827019999</v>
      </c>
      <c r="BN5" s="856">
        <v>17128.454241530002</v>
      </c>
      <c r="BO5" s="856">
        <v>16918.130501560001</v>
      </c>
      <c r="BP5" s="856">
        <v>16754.418344040001</v>
      </c>
    </row>
    <row r="6" spans="1:68" ht="16.5" customHeight="1">
      <c r="A6" s="857"/>
      <c r="B6" s="858"/>
      <c r="C6" s="859"/>
      <c r="D6" s="859"/>
      <c r="E6" s="859"/>
      <c r="F6" s="859"/>
      <c r="G6" s="859"/>
      <c r="H6" s="859"/>
      <c r="I6" s="859"/>
      <c r="J6" s="859"/>
      <c r="K6" s="859"/>
      <c r="L6" s="859"/>
      <c r="M6" s="859"/>
      <c r="N6" s="859"/>
      <c r="O6" s="859"/>
      <c r="P6" s="859"/>
      <c r="Q6" s="859"/>
      <c r="R6" s="859"/>
      <c r="S6" s="859"/>
      <c r="T6" s="859"/>
      <c r="U6" s="859"/>
      <c r="V6" s="859"/>
      <c r="W6" s="859"/>
      <c r="X6" s="859"/>
      <c r="Y6" s="859"/>
      <c r="Z6" s="859"/>
      <c r="AA6" s="859"/>
      <c r="AB6" s="859"/>
      <c r="AC6" s="859"/>
      <c r="AD6" s="859"/>
      <c r="AE6" s="859"/>
      <c r="AF6" s="859"/>
      <c r="AG6" s="859"/>
      <c r="AH6" s="859"/>
      <c r="AI6" s="859"/>
      <c r="AJ6" s="859"/>
      <c r="AK6" s="859"/>
      <c r="AL6" s="859"/>
      <c r="AM6" s="859"/>
      <c r="AN6" s="859"/>
      <c r="AO6" s="852"/>
      <c r="AP6" s="852"/>
      <c r="AQ6" s="852"/>
      <c r="AR6" s="852"/>
      <c r="AS6" s="852"/>
      <c r="AT6" s="852"/>
      <c r="AU6" s="852"/>
      <c r="AV6" s="852"/>
      <c r="AW6" s="852"/>
      <c r="AX6" s="852"/>
      <c r="AY6" s="852"/>
      <c r="AZ6" s="852"/>
      <c r="BA6" s="852"/>
      <c r="BB6" s="852"/>
      <c r="BC6" s="852"/>
      <c r="BD6" s="852"/>
      <c r="BE6" s="852"/>
      <c r="BF6" s="852"/>
      <c r="BG6" s="852"/>
      <c r="BH6" s="852"/>
      <c r="BI6" s="852"/>
      <c r="BJ6" s="852"/>
      <c r="BK6" s="852"/>
      <c r="BL6" s="852"/>
      <c r="BM6" s="852"/>
      <c r="BN6" s="852"/>
      <c r="BO6" s="852"/>
      <c r="BP6" s="852"/>
    </row>
    <row r="7" spans="1:68" ht="16.5" customHeight="1">
      <c r="A7" s="853" t="s">
        <v>2492</v>
      </c>
      <c r="B7" s="854" t="s">
        <v>2493</v>
      </c>
      <c r="C7" s="855">
        <v>46479.690356609994</v>
      </c>
      <c r="D7" s="855">
        <v>47338.646243449999</v>
      </c>
      <c r="E7" s="855">
        <v>46874.403580339997</v>
      </c>
      <c r="F7" s="855">
        <v>47113.568935839998</v>
      </c>
      <c r="G7" s="855">
        <v>47970.326540830007</v>
      </c>
      <c r="H7" s="855">
        <v>47749.636055729999</v>
      </c>
      <c r="I7" s="855">
        <v>49042.936176709998</v>
      </c>
      <c r="J7" s="855">
        <v>49332.633441409991</v>
      </c>
      <c r="K7" s="855">
        <v>52450.741661199994</v>
      </c>
      <c r="L7" s="855">
        <v>45739.848496799998</v>
      </c>
      <c r="M7" s="855">
        <v>48100.089039729995</v>
      </c>
      <c r="N7" s="855">
        <v>50558.082051600002</v>
      </c>
      <c r="O7" s="855">
        <v>48153.005427600001</v>
      </c>
      <c r="P7" s="855">
        <v>47983.890925710002</v>
      </c>
      <c r="Q7" s="855">
        <v>50330.50895512999</v>
      </c>
      <c r="R7" s="855">
        <v>49796.249027239995</v>
      </c>
      <c r="S7" s="855">
        <v>48107.072336229998</v>
      </c>
      <c r="T7" s="855">
        <v>50721.095615480001</v>
      </c>
      <c r="U7" s="855">
        <v>49960.070493819992</v>
      </c>
      <c r="V7" s="855">
        <v>49543.422391970002</v>
      </c>
      <c r="W7" s="855">
        <v>47988.597888370001</v>
      </c>
      <c r="X7" s="855">
        <v>50117.61087366</v>
      </c>
      <c r="Y7" s="855">
        <v>46507.748853829995</v>
      </c>
      <c r="Z7" s="855">
        <v>49690.326225489996</v>
      </c>
      <c r="AA7" s="855">
        <v>48841.244741559989</v>
      </c>
      <c r="AB7" s="855">
        <v>48768.139258179996</v>
      </c>
      <c r="AC7" s="855">
        <v>48609.673783980004</v>
      </c>
      <c r="AD7" s="855">
        <v>48048.578924560003</v>
      </c>
      <c r="AE7" s="855">
        <v>47226.234658829999</v>
      </c>
      <c r="AF7" s="855">
        <v>52892.181369340004</v>
      </c>
      <c r="AG7" s="855">
        <v>51859.279100339991</v>
      </c>
      <c r="AH7" s="855">
        <v>52260.86865371</v>
      </c>
      <c r="AI7" s="855">
        <v>52486.355979999993</v>
      </c>
      <c r="AJ7" s="855">
        <v>48261.316332099996</v>
      </c>
      <c r="AK7" s="855">
        <v>50897.801944259998</v>
      </c>
      <c r="AL7" s="855">
        <v>52230.276910590008</v>
      </c>
      <c r="AM7" s="855">
        <v>54541.558988270008</v>
      </c>
      <c r="AN7" s="855">
        <v>54460.441544789996</v>
      </c>
      <c r="AO7" s="856">
        <v>57496.533880289993</v>
      </c>
      <c r="AP7" s="856">
        <v>56956.475671139997</v>
      </c>
      <c r="AQ7" s="856">
        <v>65309.752023239998</v>
      </c>
      <c r="AR7" s="856">
        <v>65865.506923050008</v>
      </c>
      <c r="AS7" s="856">
        <v>62442.457839729999</v>
      </c>
      <c r="AT7" s="856">
        <v>60731.30969142</v>
      </c>
      <c r="AU7" s="856">
        <v>62615.84372166</v>
      </c>
      <c r="AV7" s="856">
        <v>62128.569978330001</v>
      </c>
      <c r="AW7" s="856">
        <v>61212.090309649997</v>
      </c>
      <c r="AX7" s="856">
        <v>65671.99359541999</v>
      </c>
      <c r="AY7" s="856">
        <v>65001.572522259994</v>
      </c>
      <c r="AZ7" s="856">
        <v>70325.203387729998</v>
      </c>
      <c r="BA7" s="856">
        <v>72275.114166180007</v>
      </c>
      <c r="BB7" s="856">
        <f>BB8+BB9+BB10+BB11</f>
        <v>76699.570710229993</v>
      </c>
      <c r="BC7" s="856">
        <v>79049.383966680005</v>
      </c>
      <c r="BD7" s="856">
        <v>81250.858231420003</v>
      </c>
      <c r="BE7" s="856">
        <v>82778.097596120002</v>
      </c>
      <c r="BF7" s="856">
        <v>84787.815114509984</v>
      </c>
      <c r="BG7" s="856">
        <v>82891.982579819989</v>
      </c>
      <c r="BH7" s="856">
        <v>78762.170079570002</v>
      </c>
      <c r="BI7" s="856">
        <v>75612.590637820002</v>
      </c>
      <c r="BJ7" s="856">
        <v>77385.975843499997</v>
      </c>
      <c r="BK7" s="856">
        <v>72629.630849979992</v>
      </c>
      <c r="BL7" s="856">
        <v>62925.917202170014</v>
      </c>
      <c r="BM7" s="856">
        <v>58480.387652580008</v>
      </c>
      <c r="BN7" s="856">
        <v>44771.752081619998</v>
      </c>
      <c r="BO7" s="856">
        <v>42563.058551499998</v>
      </c>
      <c r="BP7" s="856">
        <v>38073.754578460001</v>
      </c>
    </row>
    <row r="8" spans="1:68" ht="16.5" customHeight="1">
      <c r="A8" s="857" t="s">
        <v>2494</v>
      </c>
      <c r="B8" s="858" t="s">
        <v>2495</v>
      </c>
      <c r="C8" s="860">
        <v>3.3162413999999996</v>
      </c>
      <c r="D8" s="860">
        <v>3.44382162</v>
      </c>
      <c r="E8" s="860">
        <v>0.52834817000000001</v>
      </c>
      <c r="F8" s="860">
        <v>0.96362187999999993</v>
      </c>
      <c r="G8" s="860">
        <v>1.61711374</v>
      </c>
      <c r="H8" s="860">
        <v>1.58589907</v>
      </c>
      <c r="I8" s="860">
        <v>1.69840021</v>
      </c>
      <c r="J8" s="860">
        <v>2.0199524499999999</v>
      </c>
      <c r="K8" s="860">
        <v>2.4689764999999997</v>
      </c>
      <c r="L8" s="860">
        <v>2.6983453900000001</v>
      </c>
      <c r="M8" s="860">
        <v>2.8881806699999997</v>
      </c>
      <c r="N8" s="860">
        <v>3.0182872999999999</v>
      </c>
      <c r="O8" s="860">
        <v>4.36494933</v>
      </c>
      <c r="P8" s="860">
        <v>4.5159973499999992</v>
      </c>
      <c r="Q8" s="860">
        <v>4.5201716999999997</v>
      </c>
      <c r="R8" s="860">
        <v>4.6542414299999999</v>
      </c>
      <c r="S8" s="860">
        <v>4.8596830799999999</v>
      </c>
      <c r="T8" s="860">
        <v>2.1044306499999998</v>
      </c>
      <c r="U8" s="860">
        <v>2.3229332400000002</v>
      </c>
      <c r="V8" s="860">
        <v>1.10551946</v>
      </c>
      <c r="W8" s="860">
        <v>1.2081790400000001</v>
      </c>
      <c r="X8" s="860">
        <v>1.4917216399999997</v>
      </c>
      <c r="Y8" s="860">
        <v>7.7478409999999998E-2</v>
      </c>
      <c r="Z8" s="860">
        <v>0.20579432999999997</v>
      </c>
      <c r="AA8" s="860">
        <v>2.08527073</v>
      </c>
      <c r="AB8" s="860">
        <v>2.1227347000000001</v>
      </c>
      <c r="AC8" s="860">
        <v>0.16106642000000002</v>
      </c>
      <c r="AD8" s="860">
        <v>0.40776766999999997</v>
      </c>
      <c r="AE8" s="860">
        <v>0.53828650999999994</v>
      </c>
      <c r="AF8" s="860">
        <v>6.8709489999999998E-2</v>
      </c>
      <c r="AG8" s="860">
        <v>0.28507784000000003</v>
      </c>
      <c r="AH8" s="860">
        <v>0.38971388000000001</v>
      </c>
      <c r="AI8" s="860">
        <v>0.61654191999999997</v>
      </c>
      <c r="AJ8" s="860">
        <v>0.71829385999999995</v>
      </c>
      <c r="AK8" s="860">
        <v>0.82500887999999994</v>
      </c>
      <c r="AL8" s="860">
        <v>0.15974335999999997</v>
      </c>
      <c r="AM8" s="860">
        <v>3.2131500000000001E-3</v>
      </c>
      <c r="AN8" s="860">
        <v>0.21171297</v>
      </c>
      <c r="AO8" s="861">
        <v>0.53191798000000001</v>
      </c>
      <c r="AP8" s="861">
        <v>1.04820629</v>
      </c>
      <c r="AQ8" s="861">
        <v>0.79720856000000007</v>
      </c>
      <c r="AR8" s="861">
        <v>0.45030021999999997</v>
      </c>
      <c r="AS8" s="861">
        <v>1.6454917600000001</v>
      </c>
      <c r="AT8" s="861">
        <v>2.5353343500000003</v>
      </c>
      <c r="AU8" s="861">
        <v>1.83243321</v>
      </c>
      <c r="AV8" s="861">
        <v>3.2758696</v>
      </c>
      <c r="AW8" s="861">
        <v>0.55512423</v>
      </c>
      <c r="AX8" s="861">
        <v>1.47342814</v>
      </c>
      <c r="AY8" s="861">
        <v>3.9064475099999996</v>
      </c>
      <c r="AZ8" s="861">
        <v>4.9109224100000004</v>
      </c>
      <c r="BA8" s="861">
        <v>5.9536671800000001</v>
      </c>
      <c r="BB8" s="861">
        <f>'[5]CB-1SR'!EX14</f>
        <v>0.9437263199999999</v>
      </c>
      <c r="BC8" s="861">
        <v>1.9592846000000002</v>
      </c>
      <c r="BD8" s="861">
        <v>3.2790184999999998</v>
      </c>
      <c r="BE8" s="861">
        <v>1.0305465700000001</v>
      </c>
      <c r="BF8" s="861">
        <v>2.1129708599999999</v>
      </c>
      <c r="BG8" s="861">
        <v>0.99579791000000006</v>
      </c>
      <c r="BH8" s="861">
        <v>2.09559498</v>
      </c>
      <c r="BI8" s="861">
        <v>3.1292195699999996</v>
      </c>
      <c r="BJ8" s="861">
        <v>0.80075947999999997</v>
      </c>
      <c r="BK8" s="861">
        <v>3.9181357400000003</v>
      </c>
      <c r="BL8" s="861">
        <v>1.15771402</v>
      </c>
      <c r="BM8" s="861">
        <v>2.0793943700000002</v>
      </c>
      <c r="BN8" s="861">
        <v>4.09080391</v>
      </c>
      <c r="BO8" s="861">
        <v>5.0792759500000004</v>
      </c>
      <c r="BP8" s="861">
        <v>0.53215592</v>
      </c>
    </row>
    <row r="9" spans="1:68" ht="16.5" customHeight="1">
      <c r="A9" s="857" t="s">
        <v>2496</v>
      </c>
      <c r="B9" s="858" t="s">
        <v>2497</v>
      </c>
      <c r="C9" s="860">
        <v>8132.1138869999995</v>
      </c>
      <c r="D9" s="860">
        <v>16165.038531259999</v>
      </c>
      <c r="E9" s="860">
        <v>16415.657714739998</v>
      </c>
      <c r="F9" s="860">
        <v>16282.483959679997</v>
      </c>
      <c r="G9" s="860">
        <v>16384.195707950003</v>
      </c>
      <c r="H9" s="860">
        <v>13563.80866162</v>
      </c>
      <c r="I9" s="860">
        <v>13263.44750547</v>
      </c>
      <c r="J9" s="860">
        <v>17475.175109269996</v>
      </c>
      <c r="K9" s="860">
        <v>20950.598344339996</v>
      </c>
      <c r="L9" s="860">
        <v>15807.355569879999</v>
      </c>
      <c r="M9" s="860">
        <v>14252.397320960001</v>
      </c>
      <c r="N9" s="860">
        <v>12194.92374333</v>
      </c>
      <c r="O9" s="860">
        <v>10752.475926719999</v>
      </c>
      <c r="P9" s="860">
        <v>10561.82350036</v>
      </c>
      <c r="Q9" s="860">
        <v>14281.521187839999</v>
      </c>
      <c r="R9" s="860">
        <v>10431.49251593</v>
      </c>
      <c r="S9" s="860">
        <v>6307.5945568500001</v>
      </c>
      <c r="T9" s="860">
        <v>11907.53680729</v>
      </c>
      <c r="U9" s="860">
        <v>11472.13786741</v>
      </c>
      <c r="V9" s="860">
        <v>13012.974477869999</v>
      </c>
      <c r="W9" s="860">
        <v>13957.589320569999</v>
      </c>
      <c r="X9" s="860">
        <v>15123.004838939998</v>
      </c>
      <c r="Y9" s="860">
        <v>16412.485419919998</v>
      </c>
      <c r="Z9" s="860">
        <v>19677.189963389999</v>
      </c>
      <c r="AA9" s="860">
        <v>18166.427285889997</v>
      </c>
      <c r="AB9" s="860">
        <v>18111.28020479</v>
      </c>
      <c r="AC9" s="860">
        <v>21015.324634590001</v>
      </c>
      <c r="AD9" s="860">
        <v>20102.940633890001</v>
      </c>
      <c r="AE9" s="860">
        <v>19875.265104490001</v>
      </c>
      <c r="AF9" s="860">
        <v>23742.215005490001</v>
      </c>
      <c r="AG9" s="860">
        <v>22304.135166609998</v>
      </c>
      <c r="AH9" s="860">
        <v>30492.67854257</v>
      </c>
      <c r="AI9" s="860">
        <v>32579.410856299997</v>
      </c>
      <c r="AJ9" s="860">
        <v>28249.655219799995</v>
      </c>
      <c r="AK9" s="860">
        <v>30932.623094929997</v>
      </c>
      <c r="AL9" s="860">
        <v>32390.31187293</v>
      </c>
      <c r="AM9" s="860">
        <v>34749.097609590011</v>
      </c>
      <c r="AN9" s="860">
        <v>35733.678906399997</v>
      </c>
      <c r="AO9" s="861">
        <v>36617.823103210001</v>
      </c>
      <c r="AP9" s="861">
        <v>36066.585837840001</v>
      </c>
      <c r="AQ9" s="861">
        <v>27945.119753409999</v>
      </c>
      <c r="AR9" s="861">
        <v>24850.079792949997</v>
      </c>
      <c r="AS9" s="861">
        <v>22944.954486690003</v>
      </c>
      <c r="AT9" s="861">
        <v>21854.622997580005</v>
      </c>
      <c r="AU9" s="861">
        <v>22909.898303969996</v>
      </c>
      <c r="AV9" s="861">
        <v>22624.069642890001</v>
      </c>
      <c r="AW9" s="861">
        <v>20028.013601069993</v>
      </c>
      <c r="AX9" s="861">
        <v>21748.553830939989</v>
      </c>
      <c r="AY9" s="861">
        <v>21483.132138889992</v>
      </c>
      <c r="AZ9" s="861">
        <v>22702.178274540005</v>
      </c>
      <c r="BA9" s="861">
        <v>24034.491288860005</v>
      </c>
      <c r="BB9" s="861">
        <f>'[5]CB-1SR'!EX17</f>
        <v>28635.434102369993</v>
      </c>
      <c r="BC9" s="861">
        <v>25048.548394419995</v>
      </c>
      <c r="BD9" s="861">
        <v>27113.099582539995</v>
      </c>
      <c r="BE9" s="861">
        <v>29028.218064130004</v>
      </c>
      <c r="BF9" s="861">
        <v>30285.358766379984</v>
      </c>
      <c r="BG9" s="861">
        <v>27084.338610829989</v>
      </c>
      <c r="BH9" s="861">
        <v>24302.270313610003</v>
      </c>
      <c r="BI9" s="861">
        <v>21740.981760110004</v>
      </c>
      <c r="BJ9" s="861">
        <v>34391.150536819987</v>
      </c>
      <c r="BK9" s="861">
        <v>33755.574954980002</v>
      </c>
      <c r="BL9" s="861">
        <v>34163.156522330013</v>
      </c>
      <c r="BM9" s="861">
        <v>28736.155734330005</v>
      </c>
      <c r="BN9" s="861">
        <v>24589.990091500003</v>
      </c>
      <c r="BO9" s="861">
        <v>31729.384710990002</v>
      </c>
      <c r="BP9" s="861">
        <v>33983.370749590002</v>
      </c>
    </row>
    <row r="10" spans="1:68" ht="16.5" customHeight="1">
      <c r="A10" s="857" t="s">
        <v>2498</v>
      </c>
      <c r="B10" s="858" t="s">
        <v>2499</v>
      </c>
      <c r="C10" s="860">
        <v>38344.260228209998</v>
      </c>
      <c r="D10" s="860">
        <v>31170.163890569998</v>
      </c>
      <c r="E10" s="860">
        <v>30458.217517429999</v>
      </c>
      <c r="F10" s="860">
        <v>30830.121354279996</v>
      </c>
      <c r="G10" s="860">
        <v>31584.513719139999</v>
      </c>
      <c r="H10" s="860">
        <v>34184.241495039998</v>
      </c>
      <c r="I10" s="860">
        <v>35777.790271029997</v>
      </c>
      <c r="J10" s="860">
        <v>31855.438379689997</v>
      </c>
      <c r="K10" s="860">
        <v>31497.674340359998</v>
      </c>
      <c r="L10" s="860">
        <v>29929.794581529997</v>
      </c>
      <c r="M10" s="860">
        <v>33844.803538099994</v>
      </c>
      <c r="N10" s="860">
        <v>38360.14002097</v>
      </c>
      <c r="O10" s="860">
        <v>37396.164551549999</v>
      </c>
      <c r="P10" s="860">
        <v>37417.551427999999</v>
      </c>
      <c r="Q10" s="860">
        <v>36044.467595589995</v>
      </c>
      <c r="R10" s="860">
        <v>39360.102269879993</v>
      </c>
      <c r="S10" s="860">
        <v>41794.618096300001</v>
      </c>
      <c r="T10" s="860">
        <v>38811.454377540002</v>
      </c>
      <c r="U10" s="860">
        <v>38485.609693169994</v>
      </c>
      <c r="V10" s="860">
        <v>36529.34239464</v>
      </c>
      <c r="W10" s="860">
        <v>34029.800388759999</v>
      </c>
      <c r="X10" s="860">
        <v>34993.114313079997</v>
      </c>
      <c r="Y10" s="860">
        <v>30095.185955499997</v>
      </c>
      <c r="Z10" s="860">
        <v>30012.930467769998</v>
      </c>
      <c r="AA10" s="860">
        <v>30672.732184939996</v>
      </c>
      <c r="AB10" s="860">
        <v>30654.736318689997</v>
      </c>
      <c r="AC10" s="860">
        <v>27594.188082969999</v>
      </c>
      <c r="AD10" s="860">
        <v>27945.230522999998</v>
      </c>
      <c r="AE10" s="860">
        <v>27350.431267830001</v>
      </c>
      <c r="AF10" s="860">
        <v>29149.89765436</v>
      </c>
      <c r="AG10" s="860">
        <v>29554.858855889997</v>
      </c>
      <c r="AH10" s="860">
        <v>21767.800397259998</v>
      </c>
      <c r="AI10" s="860">
        <v>19906.328581779999</v>
      </c>
      <c r="AJ10" s="860">
        <v>20010.942818439999</v>
      </c>
      <c r="AK10" s="860">
        <v>19964.35384045</v>
      </c>
      <c r="AL10" s="860">
        <v>19839.805294300004</v>
      </c>
      <c r="AM10" s="860">
        <v>19792.458165529999</v>
      </c>
      <c r="AN10" s="860">
        <v>18726.550925420001</v>
      </c>
      <c r="AO10" s="861">
        <v>20878.178859099997</v>
      </c>
      <c r="AP10" s="861">
        <v>20888.841627010002</v>
      </c>
      <c r="AQ10" s="861">
        <v>37363.835061269994</v>
      </c>
      <c r="AR10" s="861">
        <v>41014.976829880005</v>
      </c>
      <c r="AS10" s="861">
        <v>39495.857861279997</v>
      </c>
      <c r="AT10" s="861">
        <v>38874.151359489995</v>
      </c>
      <c r="AU10" s="861">
        <v>39704.112984480002</v>
      </c>
      <c r="AV10" s="861">
        <v>39501.224465840001</v>
      </c>
      <c r="AW10" s="861">
        <v>41183.521584350005</v>
      </c>
      <c r="AX10" s="861">
        <v>43921.966336339996</v>
      </c>
      <c r="AY10" s="861">
        <v>43514.533935860003</v>
      </c>
      <c r="AZ10" s="861">
        <v>47618.114190779997</v>
      </c>
      <c r="BA10" s="861">
        <v>48234.669210139997</v>
      </c>
      <c r="BB10" s="861">
        <f>'[5]CB-1SR'!EX28</f>
        <v>48063.192881540002</v>
      </c>
      <c r="BC10" s="861">
        <v>53998.876287660001</v>
      </c>
      <c r="BD10" s="861">
        <v>54134.479630380003</v>
      </c>
      <c r="BE10" s="861">
        <v>53748.848985420002</v>
      </c>
      <c r="BF10" s="861">
        <v>54500.343377270001</v>
      </c>
      <c r="BG10" s="861">
        <v>55806.64817108</v>
      </c>
      <c r="BH10" s="861">
        <v>54457.804170980002</v>
      </c>
      <c r="BI10" s="861">
        <v>53868.479658140001</v>
      </c>
      <c r="BJ10" s="861">
        <v>42994.024547200002</v>
      </c>
      <c r="BK10" s="861">
        <v>38870.137759259997</v>
      </c>
      <c r="BL10" s="861">
        <v>28761.602965819999</v>
      </c>
      <c r="BM10" s="861">
        <v>29742.152523880002</v>
      </c>
      <c r="BN10" s="861">
        <v>20177.671186209998</v>
      </c>
      <c r="BO10" s="861">
        <v>10828.594564559999</v>
      </c>
      <c r="BP10" s="861">
        <v>4089.8516729499997</v>
      </c>
    </row>
    <row r="11" spans="1:68" ht="16.5" customHeight="1">
      <c r="A11" s="857" t="s">
        <v>2500</v>
      </c>
      <c r="B11" s="858" t="s">
        <v>2501</v>
      </c>
      <c r="C11" s="860">
        <v>0</v>
      </c>
      <c r="D11" s="860">
        <v>0</v>
      </c>
      <c r="E11" s="860">
        <v>0</v>
      </c>
      <c r="F11" s="860">
        <v>0</v>
      </c>
      <c r="G11" s="860">
        <v>0</v>
      </c>
      <c r="H11" s="860">
        <v>0</v>
      </c>
      <c r="I11" s="860">
        <v>0</v>
      </c>
      <c r="J11" s="860">
        <v>0</v>
      </c>
      <c r="K11" s="860">
        <v>0</v>
      </c>
      <c r="L11" s="860">
        <v>0</v>
      </c>
      <c r="M11" s="860">
        <v>0</v>
      </c>
      <c r="N11" s="860">
        <v>0</v>
      </c>
      <c r="O11" s="860">
        <v>0</v>
      </c>
      <c r="P11" s="860">
        <v>0</v>
      </c>
      <c r="Q11" s="860">
        <v>0</v>
      </c>
      <c r="R11" s="860">
        <v>0</v>
      </c>
      <c r="S11" s="860">
        <v>0</v>
      </c>
      <c r="T11" s="860">
        <v>0</v>
      </c>
      <c r="U11" s="860">
        <v>0</v>
      </c>
      <c r="V11" s="860">
        <v>0</v>
      </c>
      <c r="W11" s="860">
        <v>0</v>
      </c>
      <c r="X11" s="860">
        <v>0</v>
      </c>
      <c r="Y11" s="860">
        <v>0</v>
      </c>
      <c r="Z11" s="860">
        <v>0</v>
      </c>
      <c r="AA11" s="860">
        <v>0</v>
      </c>
      <c r="AB11" s="860">
        <v>0</v>
      </c>
      <c r="AC11" s="860">
        <v>0</v>
      </c>
      <c r="AD11" s="860">
        <v>0</v>
      </c>
      <c r="AE11" s="860">
        <v>0</v>
      </c>
      <c r="AF11" s="860">
        <v>0</v>
      </c>
      <c r="AG11" s="860">
        <v>0</v>
      </c>
      <c r="AH11" s="860">
        <v>0</v>
      </c>
      <c r="AI11" s="860">
        <v>0</v>
      </c>
      <c r="AJ11" s="860">
        <v>0</v>
      </c>
      <c r="AK11" s="860">
        <v>0</v>
      </c>
      <c r="AL11" s="860">
        <v>0</v>
      </c>
      <c r="AM11" s="860">
        <v>0</v>
      </c>
      <c r="AN11" s="860">
        <v>0</v>
      </c>
      <c r="AO11" s="861">
        <v>0</v>
      </c>
      <c r="AP11" s="861">
        <v>0</v>
      </c>
      <c r="AQ11" s="861">
        <v>0</v>
      </c>
      <c r="AR11" s="861">
        <v>0</v>
      </c>
      <c r="AS11" s="861">
        <v>0</v>
      </c>
      <c r="AT11" s="861">
        <v>0</v>
      </c>
      <c r="AU11" s="861">
        <v>0</v>
      </c>
      <c r="AV11" s="861">
        <v>0</v>
      </c>
      <c r="AW11" s="861">
        <v>0</v>
      </c>
      <c r="AX11" s="861">
        <v>0</v>
      </c>
      <c r="AY11" s="861">
        <v>0</v>
      </c>
      <c r="AZ11" s="861">
        <v>0</v>
      </c>
      <c r="BA11" s="861">
        <v>0</v>
      </c>
      <c r="BB11" s="861">
        <v>0</v>
      </c>
      <c r="BC11" s="861">
        <v>0</v>
      </c>
      <c r="BD11" s="861">
        <v>0</v>
      </c>
      <c r="BE11" s="861">
        <v>0</v>
      </c>
      <c r="BF11" s="861">
        <v>0</v>
      </c>
      <c r="BG11" s="861">
        <v>0</v>
      </c>
      <c r="BH11" s="861">
        <v>0</v>
      </c>
      <c r="BI11" s="861">
        <v>0</v>
      </c>
      <c r="BJ11" s="861">
        <v>0</v>
      </c>
      <c r="BK11" s="861">
        <v>0</v>
      </c>
      <c r="BL11" s="861">
        <v>0</v>
      </c>
      <c r="BM11" s="861">
        <v>0</v>
      </c>
      <c r="BN11" s="861">
        <v>0</v>
      </c>
      <c r="BO11" s="861">
        <v>0</v>
      </c>
      <c r="BP11" s="861">
        <v>0</v>
      </c>
    </row>
    <row r="12" spans="1:68" ht="16.5" customHeight="1">
      <c r="A12" s="857"/>
      <c r="B12" s="858"/>
      <c r="C12" s="859"/>
      <c r="D12" s="859"/>
      <c r="E12" s="859"/>
      <c r="F12" s="859"/>
      <c r="G12" s="859"/>
      <c r="H12" s="859"/>
      <c r="I12" s="859"/>
      <c r="J12" s="859"/>
      <c r="K12" s="859"/>
      <c r="L12" s="859"/>
      <c r="M12" s="859"/>
      <c r="N12" s="859"/>
      <c r="O12" s="859"/>
      <c r="P12" s="859"/>
      <c r="Q12" s="859"/>
      <c r="R12" s="859"/>
      <c r="S12" s="859"/>
      <c r="T12" s="859"/>
      <c r="U12" s="859"/>
      <c r="V12" s="859"/>
      <c r="W12" s="859"/>
      <c r="X12" s="859"/>
      <c r="Y12" s="859"/>
      <c r="Z12" s="859"/>
      <c r="AA12" s="859"/>
      <c r="AB12" s="859"/>
      <c r="AC12" s="859"/>
      <c r="AD12" s="859"/>
      <c r="AE12" s="859"/>
      <c r="AF12" s="859"/>
      <c r="AG12" s="859"/>
      <c r="AH12" s="859"/>
      <c r="AI12" s="859"/>
      <c r="AJ12" s="859"/>
      <c r="AK12" s="859"/>
      <c r="AL12" s="859"/>
      <c r="AM12" s="859"/>
      <c r="AN12" s="859"/>
      <c r="AO12" s="852"/>
      <c r="AP12" s="852"/>
      <c r="AQ12" s="852"/>
      <c r="AR12" s="852"/>
      <c r="AS12" s="852"/>
      <c r="AT12" s="852"/>
      <c r="AU12" s="852"/>
      <c r="AV12" s="852"/>
      <c r="AW12" s="852"/>
      <c r="AX12" s="852"/>
      <c r="AY12" s="852"/>
      <c r="AZ12" s="852"/>
      <c r="BA12" s="852"/>
      <c r="BB12" s="852"/>
      <c r="BC12" s="852"/>
      <c r="BD12" s="852"/>
      <c r="BE12" s="852"/>
      <c r="BF12" s="852"/>
      <c r="BG12" s="852"/>
      <c r="BH12" s="852"/>
      <c r="BI12" s="852"/>
      <c r="BJ12" s="852"/>
      <c r="BK12" s="852"/>
      <c r="BL12" s="852"/>
      <c r="BM12" s="852"/>
      <c r="BN12" s="852"/>
      <c r="BO12" s="852"/>
      <c r="BP12" s="852"/>
    </row>
    <row r="13" spans="1:68" ht="16.5" customHeight="1">
      <c r="A13" s="853" t="s">
        <v>2502</v>
      </c>
      <c r="B13" s="854" t="s">
        <v>2503</v>
      </c>
      <c r="C13" s="855">
        <v>12072.22659412</v>
      </c>
      <c r="D13" s="855">
        <v>12310.380973459998</v>
      </c>
      <c r="E13" s="855">
        <v>12299.3892326</v>
      </c>
      <c r="F13" s="855">
        <v>12753.430159419999</v>
      </c>
      <c r="G13" s="855">
        <v>14169.02264089</v>
      </c>
      <c r="H13" s="855">
        <v>13795.39429459</v>
      </c>
      <c r="I13" s="855">
        <v>13439.258409259999</v>
      </c>
      <c r="J13" s="855">
        <v>13996.250062699999</v>
      </c>
      <c r="K13" s="855">
        <v>14106.46864476</v>
      </c>
      <c r="L13" s="855">
        <v>21466.012411629996</v>
      </c>
      <c r="M13" s="855">
        <v>22259.942895280001</v>
      </c>
      <c r="N13" s="855">
        <v>22989.724287000001</v>
      </c>
      <c r="O13" s="855">
        <v>22602.2319183</v>
      </c>
      <c r="P13" s="855">
        <v>22691.09387561</v>
      </c>
      <c r="Q13" s="855">
        <v>22352.028991380001</v>
      </c>
      <c r="R13" s="855">
        <v>20849.54136513</v>
      </c>
      <c r="S13" s="855">
        <v>25311.236187789997</v>
      </c>
      <c r="T13" s="855">
        <v>25904.122945640003</v>
      </c>
      <c r="U13" s="855">
        <v>25448.523120929996</v>
      </c>
      <c r="V13" s="855">
        <v>26103.861314179998</v>
      </c>
      <c r="W13" s="855">
        <v>26478.396701689999</v>
      </c>
      <c r="X13" s="855">
        <v>26989.708329679997</v>
      </c>
      <c r="Y13" s="855">
        <v>28710.847810829997</v>
      </c>
      <c r="Z13" s="855">
        <v>29272.863074449997</v>
      </c>
      <c r="AA13" s="855">
        <v>29774.367504059999</v>
      </c>
      <c r="AB13" s="855">
        <v>29994.585717139998</v>
      </c>
      <c r="AC13" s="855">
        <v>29716.363131129998</v>
      </c>
      <c r="AD13" s="855">
        <v>30191.575073689997</v>
      </c>
      <c r="AE13" s="855">
        <v>30291.892443910001</v>
      </c>
      <c r="AF13" s="855">
        <v>30655.36253658</v>
      </c>
      <c r="AG13" s="855">
        <v>32696.011781870002</v>
      </c>
      <c r="AH13" s="855">
        <v>31903.367670209998</v>
      </c>
      <c r="AI13" s="855">
        <v>31757.040021659996</v>
      </c>
      <c r="AJ13" s="855">
        <v>35107.437926109997</v>
      </c>
      <c r="AK13" s="855">
        <v>33233.225229119998</v>
      </c>
      <c r="AL13" s="855">
        <v>33263.001441159999</v>
      </c>
      <c r="AM13" s="855">
        <v>34490.790181199998</v>
      </c>
      <c r="AN13" s="855">
        <v>34491.697270019999</v>
      </c>
      <c r="AO13" s="856">
        <v>35028.633662579996</v>
      </c>
      <c r="AP13" s="856">
        <v>35143.509310879999</v>
      </c>
      <c r="AQ13" s="856">
        <v>35116.670259060003</v>
      </c>
      <c r="AR13" s="856">
        <v>34785.282280559994</v>
      </c>
      <c r="AS13" s="856">
        <v>34830.731261859997</v>
      </c>
      <c r="AT13" s="856">
        <v>34803.259640700002</v>
      </c>
      <c r="AU13" s="856">
        <v>34684.586074370003</v>
      </c>
      <c r="AV13" s="856">
        <v>34903.114191610002</v>
      </c>
      <c r="AW13" s="856">
        <v>35302.550363510003</v>
      </c>
      <c r="AX13" s="856">
        <v>35206.02114995</v>
      </c>
      <c r="AY13" s="856">
        <v>35120.570964209997</v>
      </c>
      <c r="AZ13" s="856">
        <v>35087.762766209999</v>
      </c>
      <c r="BA13" s="856">
        <v>35063.49077697</v>
      </c>
      <c r="BB13" s="856">
        <f>'[5]CB-1SR'!EX43</f>
        <v>35018.8841311</v>
      </c>
      <c r="BC13" s="856">
        <v>34763.121082159996</v>
      </c>
      <c r="BD13" s="856">
        <v>34924.906232589994</v>
      </c>
      <c r="BE13" s="856">
        <v>34696.392183399999</v>
      </c>
      <c r="BF13" s="856">
        <v>34629.470733150003</v>
      </c>
      <c r="BG13" s="856">
        <v>31574.77115457</v>
      </c>
      <c r="BH13" s="856">
        <v>33064.702984269999</v>
      </c>
      <c r="BI13" s="856">
        <v>32649.264819859996</v>
      </c>
      <c r="BJ13" s="856">
        <v>35127.371612870003</v>
      </c>
      <c r="BK13" s="856">
        <v>34889.035530839996</v>
      </c>
      <c r="BL13" s="856">
        <v>50644.848544829991</v>
      </c>
      <c r="BM13" s="856">
        <v>66797.338300970005</v>
      </c>
      <c r="BN13" s="856">
        <v>79005.39803411001</v>
      </c>
      <c r="BO13" s="856">
        <v>81936.357049509985</v>
      </c>
      <c r="BP13" s="856">
        <v>86952.937439709989</v>
      </c>
    </row>
    <row r="14" spans="1:68" ht="16.5" customHeight="1">
      <c r="A14" s="857"/>
      <c r="B14" s="858"/>
      <c r="C14" s="859"/>
      <c r="D14" s="859"/>
      <c r="E14" s="859"/>
      <c r="F14" s="859"/>
      <c r="G14" s="859"/>
      <c r="H14" s="859"/>
      <c r="I14" s="859"/>
      <c r="J14" s="859"/>
      <c r="K14" s="859"/>
      <c r="L14" s="859"/>
      <c r="M14" s="859"/>
      <c r="N14" s="859"/>
      <c r="O14" s="859"/>
      <c r="P14" s="859"/>
      <c r="Q14" s="859"/>
      <c r="R14" s="859"/>
      <c r="S14" s="859"/>
      <c r="T14" s="859"/>
      <c r="U14" s="859"/>
      <c r="V14" s="859"/>
      <c r="W14" s="859"/>
      <c r="X14" s="859"/>
      <c r="Y14" s="859"/>
      <c r="Z14" s="859"/>
      <c r="AA14" s="859"/>
      <c r="AB14" s="859"/>
      <c r="AC14" s="859"/>
      <c r="AD14" s="859"/>
      <c r="AE14" s="859"/>
      <c r="AF14" s="859"/>
      <c r="AG14" s="859"/>
      <c r="AH14" s="859"/>
      <c r="AI14" s="859"/>
      <c r="AJ14" s="859"/>
      <c r="AK14" s="859"/>
      <c r="AL14" s="859"/>
      <c r="AM14" s="859"/>
      <c r="AN14" s="859"/>
      <c r="AO14" s="852"/>
      <c r="AP14" s="852"/>
      <c r="AQ14" s="852"/>
      <c r="AR14" s="852"/>
      <c r="AS14" s="852"/>
      <c r="AT14" s="852"/>
      <c r="AU14" s="852"/>
      <c r="AV14" s="852"/>
      <c r="AW14" s="852"/>
      <c r="AX14" s="852"/>
      <c r="AY14" s="852"/>
      <c r="AZ14" s="852"/>
      <c r="BA14" s="852"/>
      <c r="BB14" s="852"/>
      <c r="BC14" s="852"/>
      <c r="BD14" s="852"/>
      <c r="BE14" s="852"/>
      <c r="BF14" s="852"/>
      <c r="BG14" s="852"/>
      <c r="BH14" s="852"/>
      <c r="BI14" s="852"/>
      <c r="BJ14" s="852"/>
      <c r="BK14" s="852"/>
      <c r="BL14" s="852"/>
      <c r="BM14" s="852"/>
      <c r="BN14" s="852"/>
      <c r="BO14" s="852"/>
      <c r="BP14" s="852"/>
    </row>
    <row r="15" spans="1:68" ht="16.5" customHeight="1">
      <c r="A15" s="853" t="s">
        <v>2504</v>
      </c>
      <c r="B15" s="854" t="s">
        <v>2312</v>
      </c>
      <c r="C15" s="855">
        <v>491.84622338999992</v>
      </c>
      <c r="D15" s="855">
        <v>524.90104052999993</v>
      </c>
      <c r="E15" s="855">
        <v>473.86928965999999</v>
      </c>
      <c r="F15" s="855">
        <v>502.70682980000004</v>
      </c>
      <c r="G15" s="855">
        <v>478.72747143999999</v>
      </c>
      <c r="H15" s="855">
        <v>513.68363216</v>
      </c>
      <c r="I15" s="855">
        <v>477.29557854999996</v>
      </c>
      <c r="J15" s="855">
        <v>507.48070460999998</v>
      </c>
      <c r="K15" s="855">
        <v>684.1661249199999</v>
      </c>
      <c r="L15" s="855">
        <v>747.12506561999999</v>
      </c>
      <c r="M15" s="855">
        <v>1143.4792162199999</v>
      </c>
      <c r="N15" s="855">
        <v>1120.76761362</v>
      </c>
      <c r="O15" s="855">
        <v>1123.4188966800002</v>
      </c>
      <c r="P15" s="855">
        <v>1122.3026721700001</v>
      </c>
      <c r="Q15" s="855">
        <v>339.41735683000002</v>
      </c>
      <c r="R15" s="855">
        <v>1831.8265738599998</v>
      </c>
      <c r="S15" s="855">
        <v>738.01858803999994</v>
      </c>
      <c r="T15" s="855">
        <v>319.08661459000001</v>
      </c>
      <c r="U15" s="855">
        <v>1894.1164255000001</v>
      </c>
      <c r="V15" s="855">
        <v>1174.0161133600002</v>
      </c>
      <c r="W15" s="855">
        <v>856.10078765999992</v>
      </c>
      <c r="X15" s="855">
        <v>1051.07743783</v>
      </c>
      <c r="Y15" s="855">
        <v>1204.4816335000003</v>
      </c>
      <c r="Z15" s="855">
        <v>1260.3841304100001</v>
      </c>
      <c r="AA15" s="855">
        <v>1230.5332219800002</v>
      </c>
      <c r="AB15" s="855">
        <v>1230.5164966699999</v>
      </c>
      <c r="AC15" s="855">
        <v>1215.4940869</v>
      </c>
      <c r="AD15" s="855">
        <v>1190.11493638</v>
      </c>
      <c r="AE15" s="855">
        <v>174.57985774000002</v>
      </c>
      <c r="AF15" s="855">
        <v>561.96719344000007</v>
      </c>
      <c r="AG15" s="855">
        <v>275.87252819999998</v>
      </c>
      <c r="AH15" s="855">
        <v>557.69373244000008</v>
      </c>
      <c r="AI15" s="855">
        <v>867.05270255000005</v>
      </c>
      <c r="AJ15" s="855">
        <v>1270.9848473699999</v>
      </c>
      <c r="AK15" s="855">
        <v>1435.0759070899996</v>
      </c>
      <c r="AL15" s="855">
        <v>1912.9682759799998</v>
      </c>
      <c r="AM15" s="855">
        <v>2240.3772425499997</v>
      </c>
      <c r="AN15" s="855">
        <v>2218.0704379499998</v>
      </c>
      <c r="AO15" s="856">
        <v>2186.4500008999998</v>
      </c>
      <c r="AP15" s="856">
        <v>2356.7966116800003</v>
      </c>
      <c r="AQ15" s="856">
        <v>1331.9935625799999</v>
      </c>
      <c r="AR15" s="856">
        <v>1592.3635513900001</v>
      </c>
      <c r="AS15" s="856">
        <v>1765.0824689000001</v>
      </c>
      <c r="AT15" s="856">
        <v>2035.90239615</v>
      </c>
      <c r="AU15" s="856">
        <v>3043.2619443799999</v>
      </c>
      <c r="AV15" s="856">
        <v>2549.1096988900003</v>
      </c>
      <c r="AW15" s="856">
        <v>2687.0578584899995</v>
      </c>
      <c r="AX15" s="856">
        <v>2678.9976269699996</v>
      </c>
      <c r="AY15" s="856">
        <v>3515.0071536999999</v>
      </c>
      <c r="AZ15" s="856">
        <v>3536.8521446999998</v>
      </c>
      <c r="BA15" s="856">
        <v>3530.2889172699993</v>
      </c>
      <c r="BB15" s="856">
        <f>'[5]CB-1SR'!EX69</f>
        <v>3532.1077040499999</v>
      </c>
      <c r="BC15" s="856">
        <v>2494.0585267800002</v>
      </c>
      <c r="BD15" s="856">
        <v>2404.2688256999995</v>
      </c>
      <c r="BE15" s="856">
        <v>1843.34392875</v>
      </c>
      <c r="BF15" s="856">
        <v>2127.4552850299997</v>
      </c>
      <c r="BG15" s="856">
        <v>2167.0183569299998</v>
      </c>
      <c r="BH15" s="856">
        <v>2155.1626769200002</v>
      </c>
      <c r="BI15" s="856">
        <v>2322.5259095099996</v>
      </c>
      <c r="BJ15" s="856">
        <v>2302.7540793499998</v>
      </c>
      <c r="BK15" s="856">
        <v>2287.40010093</v>
      </c>
      <c r="BL15" s="856">
        <v>2448.8803223999998</v>
      </c>
      <c r="BM15" s="856">
        <v>2454.0093813699996</v>
      </c>
      <c r="BN15" s="856">
        <v>2665.1367796700001</v>
      </c>
      <c r="BO15" s="856">
        <v>2072.2967368200002</v>
      </c>
      <c r="BP15" s="856">
        <v>5479.9487537899995</v>
      </c>
    </row>
    <row r="16" spans="1:68" ht="16.5" customHeight="1">
      <c r="A16" s="857"/>
      <c r="B16" s="858"/>
      <c r="C16" s="859"/>
      <c r="D16" s="859"/>
      <c r="E16" s="859"/>
      <c r="F16" s="859"/>
      <c r="G16" s="859"/>
      <c r="H16" s="859"/>
      <c r="I16" s="859"/>
      <c r="J16" s="859"/>
      <c r="K16" s="859"/>
      <c r="L16" s="859"/>
      <c r="M16" s="859"/>
      <c r="N16" s="859"/>
      <c r="O16" s="859"/>
      <c r="P16" s="859"/>
      <c r="Q16" s="859"/>
      <c r="R16" s="859"/>
      <c r="S16" s="859"/>
      <c r="T16" s="859"/>
      <c r="U16" s="859"/>
      <c r="V16" s="859"/>
      <c r="W16" s="859"/>
      <c r="X16" s="859"/>
      <c r="Y16" s="859"/>
      <c r="Z16" s="859"/>
      <c r="AA16" s="859"/>
      <c r="AB16" s="859"/>
      <c r="AC16" s="859"/>
      <c r="AD16" s="859"/>
      <c r="AE16" s="859"/>
      <c r="AF16" s="859"/>
      <c r="AG16" s="859"/>
      <c r="AH16" s="859"/>
      <c r="AI16" s="859"/>
      <c r="AJ16" s="859"/>
      <c r="AK16" s="859"/>
      <c r="AL16" s="859"/>
      <c r="AM16" s="859"/>
      <c r="AN16" s="859"/>
      <c r="AO16" s="852"/>
      <c r="AP16" s="852"/>
      <c r="AQ16" s="852"/>
      <c r="AR16" s="852"/>
      <c r="AS16" s="852"/>
      <c r="AT16" s="852"/>
      <c r="AU16" s="852"/>
      <c r="AV16" s="852"/>
      <c r="AW16" s="852"/>
      <c r="AX16" s="852"/>
      <c r="AY16" s="852"/>
      <c r="AZ16" s="852"/>
      <c r="BA16" s="852"/>
      <c r="BB16" s="852"/>
      <c r="BC16" s="852"/>
      <c r="BD16" s="852"/>
      <c r="BE16" s="852"/>
      <c r="BF16" s="852"/>
      <c r="BG16" s="852"/>
      <c r="BH16" s="852"/>
      <c r="BI16" s="852"/>
      <c r="BJ16" s="852"/>
      <c r="BK16" s="852"/>
      <c r="BL16" s="852"/>
      <c r="BM16" s="852"/>
      <c r="BN16" s="852"/>
      <c r="BO16" s="852"/>
      <c r="BP16" s="852"/>
    </row>
    <row r="17" spans="1:68" ht="16.5" customHeight="1">
      <c r="A17" s="853" t="s">
        <v>2505</v>
      </c>
      <c r="B17" s="854" t="s">
        <v>2506</v>
      </c>
      <c r="C17" s="855">
        <v>161.26920694999998</v>
      </c>
      <c r="D17" s="855">
        <v>166.87536215999998</v>
      </c>
      <c r="E17" s="855">
        <v>161.42028822999998</v>
      </c>
      <c r="F17" s="855">
        <v>160.23152331999998</v>
      </c>
      <c r="G17" s="855">
        <v>179.13171553999999</v>
      </c>
      <c r="H17" s="855">
        <v>174.67062755999999</v>
      </c>
      <c r="I17" s="855">
        <v>169.48025906000001</v>
      </c>
      <c r="J17" s="855">
        <v>176.93580440999997</v>
      </c>
      <c r="K17" s="855">
        <v>174.46881076</v>
      </c>
      <c r="L17" s="855">
        <v>177.56091634000001</v>
      </c>
      <c r="M17" s="855">
        <v>174.34058016</v>
      </c>
      <c r="N17" s="855">
        <v>327.91928007999996</v>
      </c>
      <c r="O17" s="855">
        <v>316.69406669</v>
      </c>
      <c r="P17" s="855">
        <v>296.98852712000001</v>
      </c>
      <c r="Q17" s="855">
        <v>235.19138181999998</v>
      </c>
      <c r="R17" s="855">
        <v>228.24569933999999</v>
      </c>
      <c r="S17" s="855">
        <v>158.11373581000001</v>
      </c>
      <c r="T17" s="855">
        <v>160.36309102999999</v>
      </c>
      <c r="U17" s="855">
        <v>156.48745005000001</v>
      </c>
      <c r="V17" s="855">
        <v>157.26738781</v>
      </c>
      <c r="W17" s="855">
        <v>163.49021656999997</v>
      </c>
      <c r="X17" s="855">
        <v>162.04376009000001</v>
      </c>
      <c r="Y17" s="855">
        <v>164.88998756999999</v>
      </c>
      <c r="Z17" s="855">
        <v>165.16484383</v>
      </c>
      <c r="AA17" s="855">
        <v>164.04060859999998</v>
      </c>
      <c r="AB17" s="855">
        <v>161.96498192999999</v>
      </c>
      <c r="AC17" s="855">
        <v>162.67566421000001</v>
      </c>
      <c r="AD17" s="855">
        <v>163.50994844999997</v>
      </c>
      <c r="AE17" s="855">
        <v>167.93374788</v>
      </c>
      <c r="AF17" s="855">
        <v>174.45067546999999</v>
      </c>
      <c r="AG17" s="855">
        <v>211.87972452</v>
      </c>
      <c r="AH17" s="855">
        <v>209.07097730999999</v>
      </c>
      <c r="AI17" s="855">
        <v>208.87521335</v>
      </c>
      <c r="AJ17" s="855">
        <v>212.53402743999999</v>
      </c>
      <c r="AK17" s="855">
        <v>210.95428206999998</v>
      </c>
      <c r="AL17" s="855">
        <v>209.43874825</v>
      </c>
      <c r="AM17" s="855">
        <v>208.60019591999998</v>
      </c>
      <c r="AN17" s="855">
        <v>211.45628828</v>
      </c>
      <c r="AO17" s="856">
        <v>213.75509184999999</v>
      </c>
      <c r="AP17" s="856">
        <v>212.55079352999999</v>
      </c>
      <c r="AQ17" s="856">
        <v>213.33963661999999</v>
      </c>
      <c r="AR17" s="856">
        <v>212.75046890000002</v>
      </c>
      <c r="AS17" s="856">
        <v>221.86549281000001</v>
      </c>
      <c r="AT17" s="856">
        <v>221.81932963</v>
      </c>
      <c r="AU17" s="856">
        <v>219.53045155999999</v>
      </c>
      <c r="AV17" s="856">
        <v>216.52573848</v>
      </c>
      <c r="AW17" s="856">
        <v>218.31653191000001</v>
      </c>
      <c r="AX17" s="856">
        <v>216.73786058000002</v>
      </c>
      <c r="AY17" s="856">
        <v>218.93019322000001</v>
      </c>
      <c r="AZ17" s="856">
        <v>218.11275381000002</v>
      </c>
      <c r="BA17" s="856">
        <v>218.10628134999999</v>
      </c>
      <c r="BB17" s="856">
        <f>'[5]CB-1SR'!EX109</f>
        <v>217.28219397000001</v>
      </c>
      <c r="BC17" s="856">
        <v>219.29112119999999</v>
      </c>
      <c r="BD17" s="856">
        <v>227.39741284000002</v>
      </c>
      <c r="BE17" s="856">
        <v>228.99984716999998</v>
      </c>
      <c r="BF17" s="856">
        <v>232.01957019</v>
      </c>
      <c r="BG17" s="856">
        <v>235.58074550000001</v>
      </c>
      <c r="BH17" s="856">
        <v>235.57472911000002</v>
      </c>
      <c r="BI17" s="856">
        <v>236.62680281000002</v>
      </c>
      <c r="BJ17" s="856">
        <v>238.56366877000002</v>
      </c>
      <c r="BK17" s="856">
        <v>245.42686543000002</v>
      </c>
      <c r="BL17" s="856">
        <v>250.04395</v>
      </c>
      <c r="BM17" s="856">
        <v>337.16357664999998</v>
      </c>
      <c r="BN17" s="856">
        <v>327.93011097999999</v>
      </c>
      <c r="BO17" s="856">
        <v>327.53284425999999</v>
      </c>
      <c r="BP17" s="856">
        <v>325.61210411000002</v>
      </c>
    </row>
    <row r="18" spans="1:68" ht="16.5" customHeight="1">
      <c r="A18" s="857"/>
      <c r="B18" s="862"/>
      <c r="C18" s="859"/>
      <c r="D18" s="859"/>
      <c r="E18" s="859"/>
      <c r="F18" s="859"/>
      <c r="G18" s="859"/>
      <c r="H18" s="859"/>
      <c r="I18" s="859"/>
      <c r="J18" s="859"/>
      <c r="K18" s="859"/>
      <c r="L18" s="859"/>
      <c r="M18" s="859"/>
      <c r="N18" s="859"/>
      <c r="O18" s="859"/>
      <c r="P18" s="859"/>
      <c r="Q18" s="859"/>
      <c r="R18" s="859"/>
      <c r="S18" s="859"/>
      <c r="T18" s="859"/>
      <c r="U18" s="859"/>
      <c r="V18" s="859"/>
      <c r="W18" s="859"/>
      <c r="X18" s="859"/>
      <c r="Y18" s="859"/>
      <c r="Z18" s="859"/>
      <c r="AA18" s="859"/>
      <c r="AB18" s="859"/>
      <c r="AC18" s="859"/>
      <c r="AD18" s="859"/>
      <c r="AE18" s="859"/>
      <c r="AF18" s="859"/>
      <c r="AG18" s="859"/>
      <c r="AH18" s="859"/>
      <c r="AI18" s="859"/>
      <c r="AJ18" s="859"/>
      <c r="AK18" s="859"/>
      <c r="AL18" s="859"/>
      <c r="AM18" s="859"/>
      <c r="AN18" s="859"/>
      <c r="AO18" s="852"/>
      <c r="AP18" s="852"/>
      <c r="AQ18" s="852"/>
      <c r="AR18" s="852"/>
      <c r="AS18" s="852"/>
      <c r="AT18" s="852"/>
      <c r="AU18" s="852"/>
      <c r="AV18" s="852"/>
      <c r="AW18" s="852"/>
      <c r="AX18" s="852"/>
      <c r="AY18" s="852"/>
      <c r="AZ18" s="852"/>
      <c r="BA18" s="852"/>
      <c r="BB18" s="852"/>
      <c r="BC18" s="852"/>
      <c r="BD18" s="852"/>
      <c r="BE18" s="852"/>
      <c r="BF18" s="852"/>
      <c r="BG18" s="852"/>
      <c r="BH18" s="852"/>
      <c r="BI18" s="852"/>
      <c r="BJ18" s="852"/>
      <c r="BK18" s="852"/>
      <c r="BL18" s="852"/>
      <c r="BM18" s="852"/>
      <c r="BN18" s="852"/>
      <c r="BO18" s="852"/>
      <c r="BP18" s="852"/>
    </row>
    <row r="19" spans="1:68" ht="16.5" customHeight="1">
      <c r="A19" s="853" t="s">
        <v>2507</v>
      </c>
      <c r="B19" s="854" t="s">
        <v>2508</v>
      </c>
      <c r="C19" s="855">
        <v>0</v>
      </c>
      <c r="D19" s="855">
        <v>0</v>
      </c>
      <c r="E19" s="855">
        <v>0</v>
      </c>
      <c r="F19" s="855">
        <v>0</v>
      </c>
      <c r="G19" s="855">
        <v>0</v>
      </c>
      <c r="H19" s="855">
        <v>0</v>
      </c>
      <c r="I19" s="855">
        <v>0</v>
      </c>
      <c r="J19" s="855">
        <v>0</v>
      </c>
      <c r="K19" s="855">
        <v>0</v>
      </c>
      <c r="L19" s="855">
        <v>0</v>
      </c>
      <c r="M19" s="855">
        <v>0</v>
      </c>
      <c r="N19" s="855">
        <v>0</v>
      </c>
      <c r="O19" s="855">
        <v>0</v>
      </c>
      <c r="P19" s="855">
        <v>0</v>
      </c>
      <c r="Q19" s="855">
        <v>0</v>
      </c>
      <c r="R19" s="855">
        <v>0</v>
      </c>
      <c r="S19" s="855">
        <v>0</v>
      </c>
      <c r="T19" s="855">
        <v>0</v>
      </c>
      <c r="U19" s="855">
        <v>0</v>
      </c>
      <c r="V19" s="855">
        <v>0</v>
      </c>
      <c r="W19" s="855">
        <v>0</v>
      </c>
      <c r="X19" s="855">
        <v>0</v>
      </c>
      <c r="Y19" s="855">
        <v>0</v>
      </c>
      <c r="Z19" s="855">
        <v>0</v>
      </c>
      <c r="AA19" s="855">
        <v>0</v>
      </c>
      <c r="AB19" s="855">
        <v>0</v>
      </c>
      <c r="AC19" s="855">
        <v>0</v>
      </c>
      <c r="AD19" s="855">
        <v>0</v>
      </c>
      <c r="AE19" s="855">
        <v>0</v>
      </c>
      <c r="AF19" s="855">
        <v>0</v>
      </c>
      <c r="AG19" s="855">
        <v>0</v>
      </c>
      <c r="AH19" s="855">
        <v>0</v>
      </c>
      <c r="AI19" s="855">
        <v>0</v>
      </c>
      <c r="AJ19" s="855">
        <v>0</v>
      </c>
      <c r="AK19" s="855">
        <v>0</v>
      </c>
      <c r="AL19" s="855">
        <v>0</v>
      </c>
      <c r="AM19" s="855">
        <v>0</v>
      </c>
      <c r="AN19" s="855">
        <v>0</v>
      </c>
      <c r="AO19" s="856">
        <v>0</v>
      </c>
      <c r="AP19" s="856">
        <v>0</v>
      </c>
      <c r="AQ19" s="856">
        <v>0</v>
      </c>
      <c r="AR19" s="856">
        <v>0</v>
      </c>
      <c r="AS19" s="856">
        <v>0</v>
      </c>
      <c r="AT19" s="856">
        <v>0</v>
      </c>
      <c r="AU19" s="856">
        <v>0</v>
      </c>
      <c r="AV19" s="856">
        <v>0</v>
      </c>
      <c r="AW19" s="856">
        <v>0</v>
      </c>
      <c r="AX19" s="856">
        <v>0</v>
      </c>
      <c r="AY19" s="856">
        <v>0</v>
      </c>
      <c r="AZ19" s="856">
        <v>0</v>
      </c>
      <c r="BA19" s="856">
        <v>0</v>
      </c>
      <c r="BB19" s="856">
        <f>'[5]CB-1SR'!EX129</f>
        <v>0</v>
      </c>
      <c r="BC19" s="856">
        <v>0</v>
      </c>
      <c r="BD19" s="856">
        <v>0</v>
      </c>
      <c r="BE19" s="856">
        <v>0</v>
      </c>
      <c r="BF19" s="856">
        <v>0</v>
      </c>
      <c r="BG19" s="856">
        <v>0</v>
      </c>
      <c r="BH19" s="856">
        <v>0</v>
      </c>
      <c r="BI19" s="856">
        <v>0</v>
      </c>
      <c r="BJ19" s="856">
        <v>0</v>
      </c>
      <c r="BK19" s="856">
        <v>0</v>
      </c>
      <c r="BL19" s="856">
        <v>0</v>
      </c>
      <c r="BM19" s="856">
        <v>0</v>
      </c>
      <c r="BN19" s="856">
        <v>0</v>
      </c>
      <c r="BO19" s="856">
        <v>0</v>
      </c>
      <c r="BP19" s="856">
        <v>0</v>
      </c>
    </row>
    <row r="20" spans="1:68" ht="16.5" customHeight="1">
      <c r="A20" s="857"/>
      <c r="B20" s="858"/>
      <c r="C20" s="859"/>
      <c r="D20" s="859"/>
      <c r="E20" s="859"/>
      <c r="F20" s="859"/>
      <c r="G20" s="859"/>
      <c r="H20" s="859"/>
      <c r="I20" s="859"/>
      <c r="J20" s="859"/>
      <c r="K20" s="859"/>
      <c r="L20" s="859"/>
      <c r="M20" s="859"/>
      <c r="N20" s="859"/>
      <c r="O20" s="859"/>
      <c r="P20" s="859"/>
      <c r="Q20" s="859"/>
      <c r="R20" s="859"/>
      <c r="S20" s="859"/>
      <c r="T20" s="859"/>
      <c r="U20" s="859"/>
      <c r="V20" s="859"/>
      <c r="W20" s="859"/>
      <c r="X20" s="859"/>
      <c r="Y20" s="859"/>
      <c r="Z20" s="859"/>
      <c r="AA20" s="859"/>
      <c r="AB20" s="859"/>
      <c r="AC20" s="859"/>
      <c r="AD20" s="859"/>
      <c r="AE20" s="859"/>
      <c r="AF20" s="859"/>
      <c r="AG20" s="859"/>
      <c r="AH20" s="859"/>
      <c r="AI20" s="859"/>
      <c r="AJ20" s="859"/>
      <c r="AK20" s="859"/>
      <c r="AL20" s="859"/>
      <c r="AM20" s="859"/>
      <c r="AN20" s="859"/>
      <c r="AO20" s="852"/>
      <c r="AP20" s="852"/>
      <c r="AQ20" s="852"/>
      <c r="AR20" s="852"/>
      <c r="AS20" s="852"/>
      <c r="AT20" s="852"/>
      <c r="AU20" s="852"/>
      <c r="AV20" s="852"/>
      <c r="AW20" s="852"/>
      <c r="AX20" s="852"/>
      <c r="AY20" s="852"/>
      <c r="AZ20" s="852"/>
      <c r="BA20" s="852"/>
      <c r="BB20" s="852"/>
      <c r="BC20" s="852"/>
      <c r="BD20" s="852"/>
      <c r="BE20" s="852"/>
      <c r="BF20" s="852"/>
      <c r="BG20" s="852"/>
      <c r="BH20" s="852"/>
      <c r="BI20" s="852"/>
      <c r="BJ20" s="852"/>
      <c r="BK20" s="852"/>
      <c r="BL20" s="852"/>
      <c r="BM20" s="852"/>
      <c r="BN20" s="852"/>
      <c r="BO20" s="852"/>
      <c r="BP20" s="852"/>
    </row>
    <row r="21" spans="1:68" ht="16.5" customHeight="1">
      <c r="A21" s="853" t="s">
        <v>2509</v>
      </c>
      <c r="B21" s="854" t="s">
        <v>2510</v>
      </c>
      <c r="C21" s="855">
        <v>0</v>
      </c>
      <c r="D21" s="855">
        <v>0</v>
      </c>
      <c r="E21" s="855">
        <v>0</v>
      </c>
      <c r="F21" s="855">
        <v>0</v>
      </c>
      <c r="G21" s="855">
        <v>0</v>
      </c>
      <c r="H21" s="855">
        <v>0</v>
      </c>
      <c r="I21" s="855">
        <v>0</v>
      </c>
      <c r="J21" s="855">
        <v>0</v>
      </c>
      <c r="K21" s="855">
        <v>0</v>
      </c>
      <c r="L21" s="855">
        <v>0</v>
      </c>
      <c r="M21" s="855">
        <v>0</v>
      </c>
      <c r="N21" s="855">
        <v>0</v>
      </c>
      <c r="O21" s="855">
        <v>0</v>
      </c>
      <c r="P21" s="855">
        <v>0</v>
      </c>
      <c r="Q21" s="855">
        <v>0</v>
      </c>
      <c r="R21" s="855">
        <v>0</v>
      </c>
      <c r="S21" s="855">
        <v>0</v>
      </c>
      <c r="T21" s="855">
        <v>0</v>
      </c>
      <c r="U21" s="855">
        <v>0</v>
      </c>
      <c r="V21" s="855">
        <v>0</v>
      </c>
      <c r="W21" s="855">
        <v>0</v>
      </c>
      <c r="X21" s="855">
        <v>0</v>
      </c>
      <c r="Y21" s="855">
        <v>0</v>
      </c>
      <c r="Z21" s="855">
        <v>0</v>
      </c>
      <c r="AA21" s="855">
        <v>0</v>
      </c>
      <c r="AB21" s="855">
        <v>0</v>
      </c>
      <c r="AC21" s="855">
        <v>0</v>
      </c>
      <c r="AD21" s="855">
        <v>0</v>
      </c>
      <c r="AE21" s="855">
        <v>0</v>
      </c>
      <c r="AF21" s="855">
        <v>0</v>
      </c>
      <c r="AG21" s="855">
        <v>0</v>
      </c>
      <c r="AH21" s="855">
        <v>0</v>
      </c>
      <c r="AI21" s="855">
        <v>0</v>
      </c>
      <c r="AJ21" s="855">
        <v>0</v>
      </c>
      <c r="AK21" s="855">
        <v>0</v>
      </c>
      <c r="AL21" s="855">
        <v>0</v>
      </c>
      <c r="AM21" s="855">
        <v>0</v>
      </c>
      <c r="AN21" s="855">
        <v>0</v>
      </c>
      <c r="AO21" s="856">
        <v>0</v>
      </c>
      <c r="AP21" s="856">
        <v>0</v>
      </c>
      <c r="AQ21" s="856">
        <v>0</v>
      </c>
      <c r="AR21" s="856">
        <v>0</v>
      </c>
      <c r="AS21" s="856">
        <v>0</v>
      </c>
      <c r="AT21" s="856">
        <v>0</v>
      </c>
      <c r="AU21" s="856">
        <v>0</v>
      </c>
      <c r="AV21" s="856">
        <v>0</v>
      </c>
      <c r="AW21" s="856">
        <v>0</v>
      </c>
      <c r="AX21" s="856">
        <v>0</v>
      </c>
      <c r="AY21" s="856">
        <v>0</v>
      </c>
      <c r="AZ21" s="856">
        <v>0</v>
      </c>
      <c r="BA21" s="856">
        <v>0</v>
      </c>
      <c r="BB21" s="856">
        <f>'[5]CB-1SR'!EX139</f>
        <v>0</v>
      </c>
      <c r="BC21" s="856">
        <v>0</v>
      </c>
      <c r="BD21" s="856">
        <v>0</v>
      </c>
      <c r="BE21" s="856">
        <v>0</v>
      </c>
      <c r="BF21" s="856">
        <v>0</v>
      </c>
      <c r="BG21" s="856">
        <v>0</v>
      </c>
      <c r="BH21" s="856">
        <v>0</v>
      </c>
      <c r="BI21" s="856">
        <v>0</v>
      </c>
      <c r="BJ21" s="856">
        <v>0</v>
      </c>
      <c r="BK21" s="856">
        <v>0</v>
      </c>
      <c r="BL21" s="856">
        <v>0</v>
      </c>
      <c r="BM21" s="856">
        <v>0</v>
      </c>
      <c r="BN21" s="856">
        <v>0</v>
      </c>
      <c r="BO21" s="856">
        <v>0</v>
      </c>
      <c r="BP21" s="856">
        <v>0</v>
      </c>
    </row>
    <row r="22" spans="1:68" ht="16.5" customHeight="1">
      <c r="A22" s="857"/>
      <c r="B22" s="858"/>
      <c r="C22" s="859"/>
      <c r="D22" s="859"/>
      <c r="E22" s="859"/>
      <c r="F22" s="859"/>
      <c r="G22" s="859"/>
      <c r="H22" s="859"/>
      <c r="I22" s="859"/>
      <c r="J22" s="859"/>
      <c r="K22" s="859"/>
      <c r="L22" s="859"/>
      <c r="M22" s="859"/>
      <c r="N22" s="859"/>
      <c r="O22" s="859"/>
      <c r="P22" s="859"/>
      <c r="Q22" s="859"/>
      <c r="R22" s="859"/>
      <c r="S22" s="859"/>
      <c r="T22" s="859"/>
      <c r="U22" s="859"/>
      <c r="V22" s="859"/>
      <c r="W22" s="859"/>
      <c r="X22" s="859"/>
      <c r="Y22" s="859"/>
      <c r="Z22" s="859"/>
      <c r="AA22" s="859"/>
      <c r="AB22" s="859"/>
      <c r="AC22" s="859"/>
      <c r="AD22" s="859"/>
      <c r="AE22" s="859"/>
      <c r="AF22" s="859"/>
      <c r="AG22" s="859"/>
      <c r="AH22" s="859"/>
      <c r="AI22" s="859"/>
      <c r="AJ22" s="859"/>
      <c r="AK22" s="859"/>
      <c r="AL22" s="859"/>
      <c r="AM22" s="859"/>
      <c r="AN22" s="859"/>
      <c r="AO22" s="852"/>
      <c r="AP22" s="852"/>
      <c r="AQ22" s="852"/>
      <c r="AR22" s="852"/>
      <c r="AS22" s="852"/>
      <c r="AT22" s="852"/>
      <c r="AU22" s="852"/>
      <c r="AV22" s="852"/>
      <c r="AW22" s="852"/>
      <c r="AX22" s="852"/>
      <c r="AY22" s="852"/>
      <c r="AZ22" s="852"/>
      <c r="BA22" s="852"/>
      <c r="BB22" s="852"/>
      <c r="BC22" s="852"/>
      <c r="BD22" s="852"/>
      <c r="BE22" s="852"/>
      <c r="BF22" s="852"/>
      <c r="BG22" s="852"/>
      <c r="BH22" s="852"/>
      <c r="BI22" s="852"/>
      <c r="BJ22" s="852"/>
      <c r="BK22" s="852"/>
      <c r="BL22" s="852"/>
      <c r="BM22" s="852"/>
      <c r="BN22" s="852"/>
      <c r="BO22" s="852"/>
      <c r="BP22" s="852"/>
    </row>
    <row r="23" spans="1:68" ht="16.5" customHeight="1">
      <c r="A23" s="853" t="s">
        <v>2511</v>
      </c>
      <c r="B23" s="854" t="s">
        <v>2512</v>
      </c>
      <c r="C23" s="855">
        <v>100.87174853000002</v>
      </c>
      <c r="D23" s="855">
        <v>61.454897129999992</v>
      </c>
      <c r="E23" s="855">
        <v>161.37574275</v>
      </c>
      <c r="F23" s="855">
        <v>34.115845870000001</v>
      </c>
      <c r="G23" s="855">
        <v>104.31416644999999</v>
      </c>
      <c r="H23" s="855">
        <v>94.826760669999999</v>
      </c>
      <c r="I23" s="855">
        <v>117.08089912000001</v>
      </c>
      <c r="J23" s="855">
        <v>17.912021249999999</v>
      </c>
      <c r="K23" s="855">
        <v>223.52273242999996</v>
      </c>
      <c r="L23" s="855">
        <v>154.10795172999997</v>
      </c>
      <c r="M23" s="855">
        <v>155.91394252999999</v>
      </c>
      <c r="N23" s="855">
        <v>172.57112454999998</v>
      </c>
      <c r="O23" s="855">
        <v>415.07645757999995</v>
      </c>
      <c r="P23" s="855">
        <v>143.73269343999999</v>
      </c>
      <c r="Q23" s="855">
        <v>198.36355931999998</v>
      </c>
      <c r="R23" s="855">
        <v>270.89756561000002</v>
      </c>
      <c r="S23" s="855">
        <v>262.07020447999997</v>
      </c>
      <c r="T23" s="855">
        <v>89.969799440000003</v>
      </c>
      <c r="U23" s="855">
        <v>40.614643090000001</v>
      </c>
      <c r="V23" s="855">
        <v>102.21225756</v>
      </c>
      <c r="W23" s="855">
        <v>26.833478599999999</v>
      </c>
      <c r="X23" s="855">
        <v>108.75771674999999</v>
      </c>
      <c r="Y23" s="855">
        <v>127.08106000000001</v>
      </c>
      <c r="Z23" s="855">
        <v>81.813073779999996</v>
      </c>
      <c r="AA23" s="855">
        <v>181.16817865000002</v>
      </c>
      <c r="AB23" s="855">
        <v>152.61813896000001</v>
      </c>
      <c r="AC23" s="855">
        <v>208.72010127999999</v>
      </c>
      <c r="AD23" s="855">
        <v>190.56597326999997</v>
      </c>
      <c r="AE23" s="855">
        <v>276.53585465000003</v>
      </c>
      <c r="AF23" s="855">
        <v>58.611248670000002</v>
      </c>
      <c r="AG23" s="855">
        <v>151.15780359000001</v>
      </c>
      <c r="AH23" s="855">
        <v>73.411701520000008</v>
      </c>
      <c r="AI23" s="855">
        <v>111.50296273000001</v>
      </c>
      <c r="AJ23" s="855">
        <v>107.42566719000001</v>
      </c>
      <c r="AK23" s="855">
        <v>66.706140189999999</v>
      </c>
      <c r="AL23" s="855">
        <v>130.50753857999999</v>
      </c>
      <c r="AM23" s="855">
        <v>122.77166274</v>
      </c>
      <c r="AN23" s="855">
        <v>117.70602724</v>
      </c>
      <c r="AO23" s="856">
        <v>138.89641939000001</v>
      </c>
      <c r="AP23" s="856">
        <v>206.63082968000001</v>
      </c>
      <c r="AQ23" s="856">
        <v>116.23946946000001</v>
      </c>
      <c r="AR23" s="856">
        <v>239.12644954999999</v>
      </c>
      <c r="AS23" s="856">
        <v>178.50329379000001</v>
      </c>
      <c r="AT23" s="856">
        <v>302.47471422000001</v>
      </c>
      <c r="AU23" s="856">
        <v>180.52413272000001</v>
      </c>
      <c r="AV23" s="856">
        <v>201.58305669999999</v>
      </c>
      <c r="AW23" s="856">
        <v>225.20497719999995</v>
      </c>
      <c r="AX23" s="856">
        <v>334.10311827999999</v>
      </c>
      <c r="AY23" s="856">
        <v>252.25339766999997</v>
      </c>
      <c r="AZ23" s="856">
        <v>203.01427069000002</v>
      </c>
      <c r="BA23" s="856">
        <v>290.38413364999997</v>
      </c>
      <c r="BB23" s="856">
        <f>'[5]CB-1SR'!EX161</f>
        <v>155.35301681999999</v>
      </c>
      <c r="BC23" s="856">
        <v>155.59944632999998</v>
      </c>
      <c r="BD23" s="856">
        <v>264.22527162</v>
      </c>
      <c r="BE23" s="856">
        <v>155.22379669</v>
      </c>
      <c r="BF23" s="856">
        <v>148.18447637999998</v>
      </c>
      <c r="BG23" s="856">
        <v>156.14361699</v>
      </c>
      <c r="BH23" s="856">
        <v>185.25219944999998</v>
      </c>
      <c r="BI23" s="856">
        <v>210.96108674000001</v>
      </c>
      <c r="BJ23" s="856">
        <v>417.43839092999997</v>
      </c>
      <c r="BK23" s="856">
        <v>137.61474666000001</v>
      </c>
      <c r="BL23" s="856">
        <v>163.47300160999998</v>
      </c>
      <c r="BM23" s="856">
        <v>187.61035182000001</v>
      </c>
      <c r="BN23" s="856">
        <v>389.24553226999996</v>
      </c>
      <c r="BO23" s="856">
        <v>393.67770002999987</v>
      </c>
      <c r="BP23" s="856">
        <v>340.56190323999999</v>
      </c>
    </row>
    <row r="24" spans="1:68" ht="16.5" customHeight="1">
      <c r="A24" s="857"/>
      <c r="B24" s="858"/>
      <c r="C24" s="859"/>
      <c r="D24" s="859"/>
      <c r="E24" s="859"/>
      <c r="F24" s="859"/>
      <c r="G24" s="859"/>
      <c r="H24" s="859"/>
      <c r="I24" s="859"/>
      <c r="J24" s="859"/>
      <c r="K24" s="859"/>
      <c r="L24" s="859"/>
      <c r="M24" s="859"/>
      <c r="N24" s="859"/>
      <c r="O24" s="859"/>
      <c r="P24" s="859"/>
      <c r="Q24" s="859"/>
      <c r="R24" s="859"/>
      <c r="S24" s="859"/>
      <c r="T24" s="859"/>
      <c r="U24" s="859"/>
      <c r="V24" s="859"/>
      <c r="W24" s="859"/>
      <c r="X24" s="859"/>
      <c r="Y24" s="859"/>
      <c r="Z24" s="859"/>
      <c r="AA24" s="859"/>
      <c r="AB24" s="859"/>
      <c r="AC24" s="859"/>
      <c r="AD24" s="859"/>
      <c r="AE24" s="859"/>
      <c r="AF24" s="859"/>
      <c r="AG24" s="859"/>
      <c r="AH24" s="859"/>
      <c r="AI24" s="859"/>
      <c r="AJ24" s="859"/>
      <c r="AK24" s="859"/>
      <c r="AL24" s="859"/>
      <c r="AM24" s="859"/>
      <c r="AN24" s="859"/>
      <c r="AO24" s="852"/>
      <c r="AP24" s="852"/>
      <c r="AQ24" s="852"/>
      <c r="AR24" s="852"/>
      <c r="AS24" s="852"/>
      <c r="AT24" s="852"/>
      <c r="AU24" s="852"/>
      <c r="AV24" s="852"/>
      <c r="AW24" s="852"/>
      <c r="AX24" s="852"/>
      <c r="AY24" s="852"/>
      <c r="AZ24" s="852"/>
      <c r="BA24" s="852"/>
      <c r="BB24" s="852"/>
      <c r="BC24" s="852"/>
      <c r="BD24" s="852"/>
      <c r="BE24" s="852"/>
      <c r="BF24" s="852"/>
      <c r="BG24" s="852"/>
      <c r="BH24" s="852"/>
      <c r="BI24" s="852"/>
      <c r="BJ24" s="852"/>
      <c r="BK24" s="852"/>
      <c r="BL24" s="852"/>
      <c r="BM24" s="852"/>
      <c r="BN24" s="852"/>
      <c r="BO24" s="852"/>
      <c r="BP24" s="852"/>
    </row>
    <row r="25" spans="1:68" ht="16.5" customHeight="1">
      <c r="A25" s="853" t="s">
        <v>2513</v>
      </c>
      <c r="B25" s="854" t="s">
        <v>2514</v>
      </c>
      <c r="C25" s="855">
        <v>1976.6657630399998</v>
      </c>
      <c r="D25" s="855">
        <v>1984.2185947199998</v>
      </c>
      <c r="E25" s="855">
        <v>1985.61688293</v>
      </c>
      <c r="F25" s="855">
        <v>1991.1752804099999</v>
      </c>
      <c r="G25" s="855">
        <v>1992.6125975</v>
      </c>
      <c r="H25" s="855">
        <v>1917.5217818799999</v>
      </c>
      <c r="I25" s="855">
        <v>1917.4961673199998</v>
      </c>
      <c r="J25" s="855">
        <v>1917.28120543</v>
      </c>
      <c r="K25" s="855">
        <v>1917.2325234799998</v>
      </c>
      <c r="L25" s="855">
        <v>1919.18921602</v>
      </c>
      <c r="M25" s="855">
        <v>1918.9397383599999</v>
      </c>
      <c r="N25" s="855">
        <v>1918.1092738299999</v>
      </c>
      <c r="O25" s="855">
        <v>1918.06444788</v>
      </c>
      <c r="P25" s="855">
        <v>1917.1917345799998</v>
      </c>
      <c r="Q25" s="855">
        <v>1919.72773794</v>
      </c>
      <c r="R25" s="855">
        <v>1919.4142326399999</v>
      </c>
      <c r="S25" s="855">
        <v>1921.2854840099999</v>
      </c>
      <c r="T25" s="855">
        <v>1996.35895349</v>
      </c>
      <c r="U25" s="855">
        <v>1865.7395783099998</v>
      </c>
      <c r="V25" s="855">
        <v>1865.7184242599999</v>
      </c>
      <c r="W25" s="855">
        <v>1868.6160445899998</v>
      </c>
      <c r="X25" s="855">
        <v>1868.3027242999999</v>
      </c>
      <c r="Y25" s="855">
        <v>1978.7657218599998</v>
      </c>
      <c r="Z25" s="855">
        <v>1978.4810529399999</v>
      </c>
      <c r="AA25" s="855">
        <v>1981.11967119</v>
      </c>
      <c r="AB25" s="855">
        <v>1982.9341981499999</v>
      </c>
      <c r="AC25" s="855">
        <v>1982.877802</v>
      </c>
      <c r="AD25" s="855">
        <v>1984.58480121</v>
      </c>
      <c r="AE25" s="855">
        <v>1989.52938365</v>
      </c>
      <c r="AF25" s="855">
        <v>1865.9288570599999</v>
      </c>
      <c r="AG25" s="855">
        <v>1866.5775801199998</v>
      </c>
      <c r="AH25" s="855">
        <v>1954.0414822299999</v>
      </c>
      <c r="AI25" s="855">
        <v>1954.1670820299998</v>
      </c>
      <c r="AJ25" s="855">
        <v>2087.27910208</v>
      </c>
      <c r="AK25" s="855">
        <v>2104.2370903299998</v>
      </c>
      <c r="AL25" s="855">
        <v>2097.3760829099997</v>
      </c>
      <c r="AM25" s="855">
        <v>2095.2486594500001</v>
      </c>
      <c r="AN25" s="855">
        <v>2099.2737472999997</v>
      </c>
      <c r="AO25" s="856">
        <v>2094.6208616899999</v>
      </c>
      <c r="AP25" s="856">
        <v>2113.9836782400002</v>
      </c>
      <c r="AQ25" s="856">
        <v>2109.5643318900002</v>
      </c>
      <c r="AR25" s="856">
        <v>1932.4942495500002</v>
      </c>
      <c r="AS25" s="856">
        <v>1928.8543674699999</v>
      </c>
      <c r="AT25" s="856">
        <v>1924.5813055199999</v>
      </c>
      <c r="AU25" s="856">
        <v>1920.6146878499999</v>
      </c>
      <c r="AV25" s="856">
        <v>1973.28626874</v>
      </c>
      <c r="AW25" s="856">
        <v>1968.6993700200001</v>
      </c>
      <c r="AX25" s="856">
        <v>1955.7937911900001</v>
      </c>
      <c r="AY25" s="856">
        <v>1945.17292094</v>
      </c>
      <c r="AZ25" s="856">
        <v>1944.5120906900002</v>
      </c>
      <c r="BA25" s="856">
        <v>1945.5817451</v>
      </c>
      <c r="BB25" s="856">
        <f>'[5]CB-1SR'!EX221</f>
        <v>1950.4050652599999</v>
      </c>
      <c r="BC25" s="856">
        <v>1949.0374773599999</v>
      </c>
      <c r="BD25" s="856">
        <v>1843.2044038199999</v>
      </c>
      <c r="BE25" s="856">
        <v>1843.0075791700001</v>
      </c>
      <c r="BF25" s="856">
        <v>1848.5415386399998</v>
      </c>
      <c r="BG25" s="856">
        <v>1845.9750228399998</v>
      </c>
      <c r="BH25" s="856">
        <v>1842.28236945</v>
      </c>
      <c r="BI25" s="856">
        <v>1838.3097861600002</v>
      </c>
      <c r="BJ25" s="856">
        <v>1838.6635965099999</v>
      </c>
      <c r="BK25" s="856">
        <v>1839.33735159</v>
      </c>
      <c r="BL25" s="856">
        <v>1838.2578648399999</v>
      </c>
      <c r="BM25" s="856">
        <v>1838.9161068199999</v>
      </c>
      <c r="BN25" s="856">
        <v>1871.76677184</v>
      </c>
      <c r="BO25" s="856">
        <v>1873.0080934099999</v>
      </c>
      <c r="BP25" s="856">
        <v>1758.59652525</v>
      </c>
    </row>
    <row r="26" spans="1:68" ht="16.5" customHeight="1">
      <c r="A26" s="857"/>
      <c r="B26" s="858"/>
      <c r="C26" s="860"/>
      <c r="D26" s="860"/>
      <c r="E26" s="860"/>
      <c r="F26" s="860"/>
      <c r="G26" s="860"/>
      <c r="H26" s="860"/>
      <c r="I26" s="860"/>
      <c r="J26" s="860"/>
      <c r="K26" s="860"/>
      <c r="L26" s="860"/>
      <c r="M26" s="860"/>
      <c r="N26" s="860"/>
      <c r="O26" s="860"/>
      <c r="P26" s="860"/>
      <c r="Q26" s="860"/>
      <c r="R26" s="860"/>
      <c r="S26" s="860"/>
      <c r="T26" s="860"/>
      <c r="U26" s="860"/>
      <c r="V26" s="860"/>
      <c r="W26" s="860"/>
      <c r="X26" s="860"/>
      <c r="Y26" s="860"/>
      <c r="Z26" s="860"/>
      <c r="AA26" s="860"/>
      <c r="AB26" s="860"/>
      <c r="AC26" s="860"/>
      <c r="AD26" s="860"/>
      <c r="AE26" s="860"/>
      <c r="AF26" s="860"/>
      <c r="AG26" s="860"/>
      <c r="AH26" s="860"/>
      <c r="AI26" s="860"/>
      <c r="AJ26" s="860"/>
      <c r="AK26" s="860"/>
      <c r="AL26" s="860"/>
      <c r="AM26" s="860"/>
      <c r="AN26" s="860"/>
      <c r="AO26" s="852"/>
      <c r="AP26" s="852"/>
      <c r="AQ26" s="852"/>
      <c r="AR26" s="852"/>
      <c r="AS26" s="852"/>
      <c r="AT26" s="852"/>
      <c r="AU26" s="852"/>
      <c r="AV26" s="852"/>
      <c r="AW26" s="852"/>
      <c r="AX26" s="852"/>
      <c r="AY26" s="852"/>
      <c r="AZ26" s="852"/>
      <c r="BA26" s="852"/>
      <c r="BB26" s="852"/>
      <c r="BC26" s="852"/>
      <c r="BD26" s="852"/>
      <c r="BE26" s="852"/>
      <c r="BF26" s="852"/>
      <c r="BG26" s="852"/>
      <c r="BH26" s="852"/>
      <c r="BI26" s="852"/>
      <c r="BJ26" s="852"/>
      <c r="BK26" s="852"/>
      <c r="BL26" s="852"/>
      <c r="BM26" s="852"/>
      <c r="BN26" s="852"/>
      <c r="BO26" s="852"/>
      <c r="BP26" s="852"/>
    </row>
    <row r="27" spans="1:68" ht="16.5" customHeight="1">
      <c r="A27" s="853"/>
      <c r="B27" s="854" t="s">
        <v>2515</v>
      </c>
      <c r="C27" s="855">
        <v>69596.492978260008</v>
      </c>
      <c r="D27" s="855">
        <v>70941.137481960002</v>
      </c>
      <c r="E27" s="855">
        <v>70499.654408689996</v>
      </c>
      <c r="F27" s="855">
        <v>71302.400434919982</v>
      </c>
      <c r="G27" s="855">
        <v>74450.371189410012</v>
      </c>
      <c r="H27" s="855">
        <v>73422.695010850002</v>
      </c>
      <c r="I27" s="855">
        <v>73741.022601379998</v>
      </c>
      <c r="J27" s="855">
        <v>74913.405534099991</v>
      </c>
      <c r="K27" s="855">
        <v>78694.334378229978</v>
      </c>
      <c r="L27" s="855">
        <v>79392.890200669979</v>
      </c>
      <c r="M27" s="855">
        <v>82982.389130539988</v>
      </c>
      <c r="N27" s="855">
        <v>86612.239956250007</v>
      </c>
      <c r="O27" s="855">
        <v>83585.412843940008</v>
      </c>
      <c r="P27" s="855">
        <v>83414.25191986002</v>
      </c>
      <c r="Q27" s="855">
        <v>84435.871825220005</v>
      </c>
      <c r="R27" s="855">
        <v>84082.643758529986</v>
      </c>
      <c r="S27" s="855">
        <v>85853.749046339988</v>
      </c>
      <c r="T27" s="855">
        <v>88592.54695193001</v>
      </c>
      <c r="U27" s="855">
        <v>88882.225354269991</v>
      </c>
      <c r="V27" s="855">
        <v>89112.098272500007</v>
      </c>
      <c r="W27" s="855">
        <v>87868.856741180018</v>
      </c>
      <c r="X27" s="855">
        <v>91091.426085909989</v>
      </c>
      <c r="Y27" s="855">
        <v>89540.306182900007</v>
      </c>
      <c r="Z27" s="855">
        <v>92681.040482939992</v>
      </c>
      <c r="AA27" s="855">
        <v>93057.427462349995</v>
      </c>
      <c r="AB27" s="855">
        <v>93216.006621159991</v>
      </c>
      <c r="AC27" s="855">
        <v>92395.195668540007</v>
      </c>
      <c r="AD27" s="855">
        <v>92343.3335161</v>
      </c>
      <c r="AE27" s="855">
        <v>90504.874658370012</v>
      </c>
      <c r="AF27" s="855">
        <v>97002.375047109992</v>
      </c>
      <c r="AG27" s="855">
        <v>98020.362661199993</v>
      </c>
      <c r="AH27" s="855">
        <v>97950.904823339995</v>
      </c>
      <c r="AI27" s="855">
        <v>98887.514703899986</v>
      </c>
      <c r="AJ27" s="855">
        <v>98497.72901571999</v>
      </c>
      <c r="AK27" s="855">
        <v>99356.306598119991</v>
      </c>
      <c r="AL27" s="855">
        <v>100930.55150610002</v>
      </c>
      <c r="AM27" s="855">
        <v>104790.87118644998</v>
      </c>
      <c r="AN27" s="855">
        <v>104458.18805176998</v>
      </c>
      <c r="AO27" s="856">
        <v>108086.37018971</v>
      </c>
      <c r="AP27" s="856">
        <v>107405.78609197997</v>
      </c>
      <c r="AQ27" s="856">
        <v>114390.36744292999</v>
      </c>
      <c r="AR27" s="856">
        <v>113988.66618238001</v>
      </c>
      <c r="AS27" s="856">
        <v>111194.33481837</v>
      </c>
      <c r="AT27" s="856">
        <v>110092.93683617002</v>
      </c>
      <c r="AU27" s="856">
        <v>112471.18276853002</v>
      </c>
      <c r="AV27" s="856">
        <v>111686.14588489001</v>
      </c>
      <c r="AW27" s="856">
        <v>111021.07280037001</v>
      </c>
      <c r="AX27" s="856">
        <v>115230.05499470999</v>
      </c>
      <c r="AY27" s="856">
        <v>115477.48536897</v>
      </c>
      <c r="AZ27" s="856">
        <v>120988.83522885997</v>
      </c>
      <c r="BA27" s="856">
        <v>122871.29449175001</v>
      </c>
      <c r="BB27" s="856">
        <f>BB5+BB7+BB13+BB15+BB17+BB19+BB21+BB23+BB25</f>
        <v>127088.77066056998</v>
      </c>
      <c r="BC27" s="856">
        <v>128069.47628107002</v>
      </c>
      <c r="BD27" s="856">
        <v>130583.81207653</v>
      </c>
      <c r="BE27" s="856">
        <v>131173.15071659998</v>
      </c>
      <c r="BF27" s="856">
        <v>133456.09197514001</v>
      </c>
      <c r="BG27" s="856">
        <v>130765.67933947999</v>
      </c>
      <c r="BH27" s="856">
        <v>129055.71459685999</v>
      </c>
      <c r="BI27" s="856">
        <v>126942.81240936001</v>
      </c>
      <c r="BJ27" s="856">
        <v>131563.49427942</v>
      </c>
      <c r="BK27" s="856">
        <v>128415.42706364999</v>
      </c>
      <c r="BL27" s="856">
        <v>134436.63312687998</v>
      </c>
      <c r="BM27" s="856">
        <v>147415.07719723001</v>
      </c>
      <c r="BN27" s="856">
        <v>146159.68355202</v>
      </c>
      <c r="BO27" s="856">
        <v>146084.06147708997</v>
      </c>
      <c r="BP27" s="856">
        <v>149685.82964860002</v>
      </c>
    </row>
    <row r="28" spans="1:68" ht="16.5" customHeight="1" thickBot="1">
      <c r="A28" s="863"/>
      <c r="B28" s="864"/>
      <c r="C28" s="865"/>
      <c r="D28" s="865"/>
      <c r="E28" s="865"/>
      <c r="F28" s="865"/>
      <c r="G28" s="865"/>
      <c r="H28" s="865"/>
      <c r="I28" s="865"/>
      <c r="J28" s="866"/>
      <c r="K28" s="867"/>
      <c r="L28" s="867"/>
      <c r="M28" s="867"/>
      <c r="N28" s="867"/>
      <c r="O28" s="867"/>
      <c r="P28" s="867"/>
      <c r="Q28" s="867"/>
      <c r="R28" s="867"/>
      <c r="S28" s="867"/>
      <c r="T28" s="867"/>
      <c r="U28" s="867"/>
      <c r="V28" s="868"/>
      <c r="W28" s="868"/>
      <c r="X28" s="868"/>
      <c r="Y28" s="868"/>
      <c r="Z28" s="868"/>
      <c r="AA28" s="868"/>
      <c r="AB28" s="868"/>
      <c r="AC28" s="868"/>
      <c r="AD28" s="868"/>
      <c r="AE28" s="868"/>
      <c r="AF28" s="868"/>
      <c r="AG28" s="868"/>
      <c r="AH28" s="868"/>
      <c r="AI28" s="868"/>
      <c r="AJ28" s="868"/>
      <c r="AK28" s="868"/>
      <c r="AL28" s="868"/>
      <c r="AM28" s="868"/>
      <c r="AN28" s="868"/>
      <c r="AO28" s="869"/>
      <c r="AP28" s="869"/>
      <c r="AQ28" s="869"/>
      <c r="AR28" s="869"/>
      <c r="AS28" s="869"/>
      <c r="AT28" s="869"/>
      <c r="AU28" s="869"/>
      <c r="AV28" s="869"/>
      <c r="AW28" s="869"/>
      <c r="AX28" s="869"/>
      <c r="AY28" s="869"/>
      <c r="AZ28" s="869"/>
      <c r="BA28" s="869"/>
      <c r="BB28" s="869"/>
      <c r="BC28" s="869"/>
      <c r="BD28" s="869"/>
      <c r="BE28" s="869"/>
      <c r="BF28" s="869"/>
      <c r="BG28" s="869"/>
      <c r="BH28" s="869"/>
      <c r="BI28" s="869"/>
      <c r="BJ28" s="869"/>
      <c r="BK28" s="869"/>
      <c r="BL28" s="869"/>
      <c r="BM28" s="869"/>
      <c r="BN28" s="869"/>
      <c r="BO28" s="869"/>
      <c r="BP28" s="869"/>
    </row>
    <row r="29" spans="1:68" ht="16.5" customHeight="1" thickTop="1">
      <c r="A29" s="870"/>
      <c r="B29" s="870"/>
      <c r="C29" s="870"/>
      <c r="D29" s="870"/>
      <c r="E29" s="870"/>
      <c r="F29" s="870"/>
      <c r="G29" s="870"/>
      <c r="H29" s="870"/>
      <c r="I29" s="870"/>
      <c r="J29" s="870"/>
      <c r="K29" s="870"/>
      <c r="L29" s="870"/>
      <c r="M29" s="870"/>
      <c r="N29" s="870"/>
      <c r="O29" s="870"/>
      <c r="P29" s="870"/>
      <c r="Q29" s="870"/>
      <c r="R29" s="870"/>
      <c r="S29" s="870"/>
      <c r="T29" s="870"/>
      <c r="U29" s="870"/>
      <c r="V29" s="870"/>
      <c r="W29" s="870"/>
      <c r="X29" s="870"/>
      <c r="Y29" s="870"/>
      <c r="Z29" s="870"/>
      <c r="AA29" s="870"/>
      <c r="AB29" s="870"/>
      <c r="AC29" s="870"/>
      <c r="AD29" s="870"/>
      <c r="AE29" s="870"/>
      <c r="AF29" s="870"/>
      <c r="AG29" s="870"/>
      <c r="AH29" s="870"/>
      <c r="AI29" s="870"/>
      <c r="AJ29" s="870"/>
      <c r="AK29" s="870"/>
      <c r="AL29" s="870"/>
      <c r="AM29" s="870"/>
      <c r="AN29" s="870"/>
      <c r="AO29" s="870"/>
      <c r="AP29" s="870"/>
      <c r="AQ29" s="870"/>
      <c r="AR29" s="870"/>
      <c r="AS29" s="870"/>
      <c r="AT29" s="870"/>
      <c r="AU29" s="870"/>
      <c r="AV29" s="870"/>
      <c r="AW29" s="870"/>
      <c r="AX29" s="870"/>
      <c r="AY29" s="870"/>
      <c r="AZ29" s="870"/>
      <c r="BA29" s="870"/>
      <c r="BB29" s="870"/>
      <c r="BC29" s="870"/>
      <c r="BD29" s="870"/>
      <c r="BE29" s="870"/>
      <c r="BF29" s="870"/>
      <c r="BG29" s="870"/>
      <c r="BH29" s="870"/>
      <c r="BI29" s="870"/>
      <c r="BJ29" s="870"/>
      <c r="BK29" s="870"/>
      <c r="BL29" s="870"/>
      <c r="BM29" s="870"/>
      <c r="BN29" s="870"/>
      <c r="BO29" s="870"/>
      <c r="BP29" s="870"/>
    </row>
    <row r="30" spans="1:68" ht="16.5" customHeight="1">
      <c r="A30" s="870"/>
      <c r="B30" s="870"/>
      <c r="C30" s="870"/>
      <c r="D30" s="870"/>
      <c r="E30" s="870"/>
      <c r="F30" s="870"/>
      <c r="G30" s="870"/>
      <c r="H30" s="870"/>
      <c r="I30" s="870"/>
      <c r="J30" s="870"/>
      <c r="K30" s="870"/>
      <c r="L30" s="870"/>
      <c r="M30" s="870"/>
      <c r="N30" s="870"/>
      <c r="O30" s="870"/>
      <c r="P30" s="870"/>
      <c r="Q30" s="870"/>
      <c r="R30" s="870"/>
      <c r="S30" s="870"/>
      <c r="T30" s="870"/>
      <c r="U30" s="870"/>
      <c r="V30" s="870"/>
      <c r="W30" s="870"/>
      <c r="X30" s="870"/>
      <c r="Y30" s="870"/>
      <c r="Z30" s="870"/>
      <c r="AA30" s="870"/>
      <c r="AB30" s="870"/>
      <c r="AC30" s="870"/>
      <c r="AD30" s="870"/>
      <c r="AE30" s="870"/>
      <c r="AF30" s="870"/>
      <c r="AG30" s="870"/>
      <c r="AH30" s="870"/>
      <c r="AI30" s="870"/>
      <c r="AJ30" s="870"/>
      <c r="AK30" s="870"/>
      <c r="AL30" s="870"/>
      <c r="AM30" s="870"/>
      <c r="AN30" s="870"/>
      <c r="AO30" s="870"/>
      <c r="AP30" s="870"/>
      <c r="AQ30" s="870"/>
      <c r="AR30" s="870"/>
      <c r="AS30" s="870"/>
      <c r="AT30" s="870"/>
      <c r="AU30" s="870"/>
      <c r="AV30" s="870"/>
      <c r="AW30" s="870"/>
      <c r="AX30" s="870"/>
      <c r="AY30" s="870"/>
      <c r="AZ30" s="870"/>
      <c r="BA30" s="870"/>
      <c r="BB30" s="870"/>
      <c r="BC30" s="870"/>
      <c r="BD30" s="870"/>
      <c r="BE30" s="870"/>
      <c r="BF30" s="870"/>
      <c r="BG30" s="870"/>
      <c r="BH30" s="870"/>
      <c r="BI30" s="870"/>
      <c r="BJ30" s="870"/>
      <c r="BK30" s="870"/>
      <c r="BL30" s="870"/>
      <c r="BM30" s="870"/>
      <c r="BN30" s="870"/>
      <c r="BO30" s="870"/>
      <c r="BP30" s="870"/>
    </row>
    <row r="31" spans="1:68" ht="16.5" customHeight="1">
      <c r="A31" s="870"/>
      <c r="B31" s="870"/>
      <c r="C31" s="870"/>
      <c r="D31" s="870"/>
      <c r="E31" s="870"/>
      <c r="F31" s="870"/>
      <c r="G31" s="870"/>
      <c r="H31" s="870"/>
      <c r="I31" s="870"/>
      <c r="J31" s="870"/>
      <c r="K31" s="870"/>
      <c r="L31" s="870"/>
      <c r="M31" s="870"/>
      <c r="N31" s="870"/>
      <c r="O31" s="870"/>
      <c r="P31" s="870"/>
      <c r="Q31" s="870"/>
      <c r="R31" s="870"/>
      <c r="S31" s="870"/>
      <c r="T31" s="870"/>
      <c r="U31" s="870"/>
      <c r="V31" s="870"/>
      <c r="W31" s="870"/>
      <c r="X31" s="870"/>
      <c r="Y31" s="870"/>
      <c r="Z31" s="870"/>
      <c r="AA31" s="870"/>
      <c r="AB31" s="870"/>
      <c r="AC31" s="870"/>
      <c r="AD31" s="870"/>
      <c r="AE31" s="870"/>
      <c r="AF31" s="870"/>
      <c r="AG31" s="870"/>
      <c r="AH31" s="870"/>
      <c r="AI31" s="870"/>
      <c r="AJ31" s="870"/>
      <c r="AK31" s="870"/>
      <c r="AL31" s="870"/>
      <c r="AM31" s="870"/>
      <c r="AN31" s="870"/>
      <c r="AO31" s="870"/>
      <c r="AP31" s="870"/>
      <c r="AQ31" s="870"/>
      <c r="AR31" s="870"/>
      <c r="AS31" s="870"/>
      <c r="AT31" s="870"/>
      <c r="AU31" s="870"/>
      <c r="AV31" s="870"/>
      <c r="AW31" s="870"/>
      <c r="AX31" s="870"/>
      <c r="AY31" s="870"/>
      <c r="AZ31" s="870"/>
      <c r="BA31" s="870"/>
      <c r="BB31" s="870"/>
      <c r="BC31" s="870"/>
      <c r="BD31" s="870"/>
      <c r="BE31" s="870"/>
      <c r="BF31" s="870"/>
      <c r="BG31" s="870"/>
      <c r="BH31" s="870"/>
      <c r="BI31" s="870"/>
      <c r="BJ31" s="870"/>
      <c r="BK31" s="870"/>
      <c r="BL31" s="870"/>
      <c r="BM31" s="870"/>
      <c r="BN31" s="870"/>
      <c r="BO31" s="870"/>
      <c r="BP31" s="870"/>
    </row>
    <row r="32" spans="1:68" ht="16.5" customHeight="1" thickBot="1">
      <c r="A32" s="870"/>
      <c r="B32" s="870"/>
      <c r="C32" s="870"/>
      <c r="D32" s="870"/>
      <c r="E32" s="870"/>
      <c r="F32" s="870"/>
      <c r="G32" s="870"/>
      <c r="H32" s="870"/>
      <c r="I32" s="870"/>
      <c r="J32" s="870"/>
      <c r="K32" s="870"/>
      <c r="L32" s="870"/>
      <c r="M32" s="870"/>
      <c r="N32" s="870"/>
      <c r="O32" s="870"/>
      <c r="P32" s="870"/>
      <c r="Q32" s="870"/>
      <c r="R32" s="870"/>
      <c r="S32" s="870"/>
      <c r="T32" s="870"/>
      <c r="U32" s="870"/>
      <c r="V32" s="870"/>
      <c r="W32" s="870"/>
      <c r="X32" s="870"/>
      <c r="Y32" s="870"/>
      <c r="Z32" s="870"/>
      <c r="AA32" s="870"/>
      <c r="AB32" s="870"/>
      <c r="AC32" s="870"/>
      <c r="AD32" s="870"/>
      <c r="AE32" s="870"/>
      <c r="AF32" s="870"/>
      <c r="AG32" s="870"/>
      <c r="AH32" s="870"/>
      <c r="AI32" s="870"/>
      <c r="AJ32" s="870"/>
      <c r="AK32" s="870"/>
      <c r="AL32" s="870"/>
      <c r="AM32" s="870"/>
      <c r="AN32" s="870"/>
      <c r="AO32" s="870"/>
      <c r="AP32" s="870"/>
      <c r="AQ32" s="870"/>
      <c r="AR32" s="870"/>
      <c r="AS32" s="870"/>
      <c r="AT32" s="870"/>
      <c r="AU32" s="870"/>
      <c r="AV32" s="870"/>
      <c r="AW32" s="870"/>
      <c r="AX32" s="870"/>
      <c r="AY32" s="870"/>
      <c r="AZ32" s="870"/>
      <c r="BA32" s="870"/>
      <c r="BB32" s="870"/>
      <c r="BC32" s="870"/>
      <c r="BD32" s="870"/>
      <c r="BE32" s="870"/>
      <c r="BF32" s="870"/>
      <c r="BG32" s="870"/>
      <c r="BH32" s="870"/>
      <c r="BI32" s="870"/>
      <c r="BJ32" s="870"/>
      <c r="BK32" s="870"/>
      <c r="BL32" s="870"/>
      <c r="BM32" s="870"/>
      <c r="BN32" s="870"/>
      <c r="BO32" s="870"/>
      <c r="BP32" s="870"/>
    </row>
    <row r="33" spans="1:68" ht="24.75" customHeight="1" thickTop="1" thickBot="1">
      <c r="A33" s="839" t="s">
        <v>2488</v>
      </c>
      <c r="B33" s="840" t="s">
        <v>2516</v>
      </c>
      <c r="C33" s="871">
        <f>C3</f>
        <v>40179</v>
      </c>
      <c r="D33" s="871">
        <f>D3</f>
        <v>40211</v>
      </c>
      <c r="E33" s="871">
        <f t="shared" ref="E33:AO33" si="0">E3</f>
        <v>40239</v>
      </c>
      <c r="F33" s="871">
        <f t="shared" si="0"/>
        <v>40270</v>
      </c>
      <c r="G33" s="871">
        <f t="shared" si="0"/>
        <v>40300</v>
      </c>
      <c r="H33" s="871">
        <f t="shared" si="0"/>
        <v>40331</v>
      </c>
      <c r="I33" s="871">
        <f t="shared" si="0"/>
        <v>40361</v>
      </c>
      <c r="J33" s="872">
        <f t="shared" si="0"/>
        <v>40392</v>
      </c>
      <c r="K33" s="873">
        <f t="shared" si="0"/>
        <v>40423</v>
      </c>
      <c r="L33" s="873">
        <f t="shared" si="0"/>
        <v>40453</v>
      </c>
      <c r="M33" s="873">
        <f t="shared" si="0"/>
        <v>40484</v>
      </c>
      <c r="N33" s="873">
        <f t="shared" si="0"/>
        <v>40514</v>
      </c>
      <c r="O33" s="873">
        <f t="shared" si="0"/>
        <v>40545</v>
      </c>
      <c r="P33" s="873">
        <f t="shared" si="0"/>
        <v>40576</v>
      </c>
      <c r="Q33" s="873">
        <f t="shared" si="0"/>
        <v>40604</v>
      </c>
      <c r="R33" s="873">
        <f t="shared" si="0"/>
        <v>40635</v>
      </c>
      <c r="S33" s="873">
        <f t="shared" si="0"/>
        <v>40665</v>
      </c>
      <c r="T33" s="873">
        <f t="shared" si="0"/>
        <v>40696</v>
      </c>
      <c r="U33" s="873">
        <f t="shared" si="0"/>
        <v>40726</v>
      </c>
      <c r="V33" s="874">
        <f t="shared" si="0"/>
        <v>40757</v>
      </c>
      <c r="W33" s="874">
        <f t="shared" si="0"/>
        <v>40788</v>
      </c>
      <c r="X33" s="874">
        <f t="shared" si="0"/>
        <v>40818</v>
      </c>
      <c r="Y33" s="874">
        <f t="shared" si="0"/>
        <v>40849</v>
      </c>
      <c r="Z33" s="874">
        <f t="shared" si="0"/>
        <v>40879</v>
      </c>
      <c r="AA33" s="874">
        <f t="shared" si="0"/>
        <v>40910</v>
      </c>
      <c r="AB33" s="874">
        <f t="shared" si="0"/>
        <v>40941</v>
      </c>
      <c r="AC33" s="874">
        <f t="shared" si="0"/>
        <v>40970</v>
      </c>
      <c r="AD33" s="874">
        <f t="shared" si="0"/>
        <v>41001</v>
      </c>
      <c r="AE33" s="874">
        <f t="shared" si="0"/>
        <v>41031</v>
      </c>
      <c r="AF33" s="874">
        <f t="shared" si="0"/>
        <v>41062</v>
      </c>
      <c r="AG33" s="874">
        <f t="shared" si="0"/>
        <v>41092</v>
      </c>
      <c r="AH33" s="874">
        <f t="shared" si="0"/>
        <v>41123</v>
      </c>
      <c r="AI33" s="874">
        <f t="shared" si="0"/>
        <v>41154</v>
      </c>
      <c r="AJ33" s="874">
        <f t="shared" si="0"/>
        <v>41184</v>
      </c>
      <c r="AK33" s="874">
        <f t="shared" si="0"/>
        <v>41215</v>
      </c>
      <c r="AL33" s="874">
        <f t="shared" si="0"/>
        <v>41245</v>
      </c>
      <c r="AM33" s="874">
        <f t="shared" si="0"/>
        <v>41276</v>
      </c>
      <c r="AN33" s="874">
        <f t="shared" si="0"/>
        <v>41307</v>
      </c>
      <c r="AO33" s="875">
        <f t="shared" si="0"/>
        <v>41335</v>
      </c>
      <c r="AP33" s="845">
        <f>AP3</f>
        <v>41366</v>
      </c>
      <c r="AQ33" s="845">
        <f>AQ3</f>
        <v>41396</v>
      </c>
      <c r="AR33" s="845">
        <f>AR3</f>
        <v>41427</v>
      </c>
      <c r="AS33" s="845">
        <f>AS3</f>
        <v>41457</v>
      </c>
      <c r="AT33" s="845">
        <f>AT3</f>
        <v>41488</v>
      </c>
      <c r="AU33" s="845">
        <v>41519</v>
      </c>
      <c r="AV33" s="845">
        <f>AV3</f>
        <v>41549</v>
      </c>
      <c r="AW33" s="845">
        <v>41580</v>
      </c>
      <c r="AX33" s="845">
        <v>41610</v>
      </c>
      <c r="AY33" s="845">
        <v>41641</v>
      </c>
      <c r="AZ33" s="845">
        <v>41672</v>
      </c>
      <c r="BA33" s="845">
        <v>41700</v>
      </c>
      <c r="BB33" s="845">
        <v>41731</v>
      </c>
      <c r="BC33" s="845">
        <v>41761</v>
      </c>
      <c r="BD33" s="845">
        <f>BD3</f>
        <v>41791</v>
      </c>
      <c r="BE33" s="845">
        <v>41822</v>
      </c>
      <c r="BF33" s="845">
        <f>BF3</f>
        <v>41853</v>
      </c>
      <c r="BG33" s="845">
        <f>BG3</f>
        <v>41884</v>
      </c>
      <c r="BH33" s="845">
        <v>41914</v>
      </c>
      <c r="BI33" s="845">
        <v>41945</v>
      </c>
      <c r="BJ33" s="845">
        <v>41975</v>
      </c>
      <c r="BK33" s="845">
        <v>42006</v>
      </c>
      <c r="BL33" s="845">
        <v>42037</v>
      </c>
      <c r="BM33" s="845">
        <v>42065</v>
      </c>
      <c r="BN33" s="845">
        <v>42096</v>
      </c>
      <c r="BO33" s="845">
        <v>42126</v>
      </c>
      <c r="BP33" s="845">
        <v>42157</v>
      </c>
    </row>
    <row r="34" spans="1:68" ht="16.5" customHeight="1" thickTop="1">
      <c r="A34" s="857"/>
      <c r="B34" s="876"/>
      <c r="C34" s="860"/>
      <c r="D34" s="860"/>
      <c r="E34" s="860"/>
      <c r="F34" s="860"/>
      <c r="G34" s="860"/>
      <c r="H34" s="860"/>
      <c r="I34" s="860"/>
      <c r="J34" s="877"/>
      <c r="K34" s="878"/>
      <c r="L34" s="878"/>
      <c r="M34" s="878"/>
      <c r="N34" s="878"/>
      <c r="O34" s="878"/>
      <c r="P34" s="878"/>
      <c r="Q34" s="878"/>
      <c r="R34" s="878"/>
      <c r="S34" s="878"/>
      <c r="T34" s="878"/>
      <c r="U34" s="878"/>
      <c r="V34" s="879"/>
      <c r="W34" s="879"/>
      <c r="X34" s="879"/>
      <c r="Y34" s="879"/>
      <c r="Z34" s="879"/>
      <c r="AA34" s="879"/>
      <c r="AB34" s="879"/>
      <c r="AC34" s="879"/>
      <c r="AD34" s="879"/>
      <c r="AE34" s="879"/>
      <c r="AF34" s="879"/>
      <c r="AG34" s="879"/>
      <c r="AH34" s="879"/>
      <c r="AI34" s="879"/>
      <c r="AJ34" s="879"/>
      <c r="AK34" s="879"/>
      <c r="AL34" s="879"/>
      <c r="AM34" s="879"/>
      <c r="AN34" s="879"/>
      <c r="AO34" s="852"/>
      <c r="AP34" s="852"/>
      <c r="AQ34" s="852"/>
      <c r="AR34" s="852"/>
      <c r="AS34" s="852"/>
      <c r="AT34" s="852"/>
      <c r="AU34" s="852"/>
      <c r="AV34" s="852"/>
      <c r="AW34" s="852"/>
      <c r="AX34" s="852"/>
      <c r="AY34" s="852"/>
      <c r="AZ34" s="852"/>
      <c r="BA34" s="852"/>
      <c r="BB34" s="852"/>
      <c r="BC34" s="852"/>
      <c r="BD34" s="852"/>
      <c r="BE34" s="852"/>
      <c r="BF34" s="852"/>
      <c r="BG34" s="852"/>
      <c r="BH34" s="852"/>
      <c r="BI34" s="852"/>
      <c r="BJ34" s="852"/>
      <c r="BK34" s="852"/>
      <c r="BL34" s="852"/>
      <c r="BM34" s="852"/>
      <c r="BN34" s="852"/>
      <c r="BO34" s="852"/>
      <c r="BP34" s="852"/>
    </row>
    <row r="35" spans="1:68" ht="16.5" customHeight="1">
      <c r="A35" s="853" t="s">
        <v>2517</v>
      </c>
      <c r="B35" s="854" t="s">
        <v>2518</v>
      </c>
      <c r="C35" s="855">
        <v>18952.441887060002</v>
      </c>
      <c r="D35" s="855">
        <v>18641.061393979999</v>
      </c>
      <c r="E35" s="855">
        <v>18743.303560849996</v>
      </c>
      <c r="F35" s="855">
        <v>18751.685785169997</v>
      </c>
      <c r="G35" s="855">
        <v>18911.351549290001</v>
      </c>
      <c r="H35" s="855">
        <v>18649.461355769999</v>
      </c>
      <c r="I35" s="855">
        <v>18959.472219740001</v>
      </c>
      <c r="J35" s="855">
        <v>19099.734956819997</v>
      </c>
      <c r="K35" s="855">
        <v>19096.175257759998</v>
      </c>
      <c r="L35" s="855">
        <v>19126.732547099997</v>
      </c>
      <c r="M35" s="855">
        <v>19515.158774399999</v>
      </c>
      <c r="N35" s="855">
        <v>22591.76147184</v>
      </c>
      <c r="O35" s="855">
        <v>21236.65837347</v>
      </c>
      <c r="P35" s="855">
        <v>20538.891013150002</v>
      </c>
      <c r="Q35" s="855">
        <v>20556.85096652</v>
      </c>
      <c r="R35" s="855">
        <v>20352.834272419997</v>
      </c>
      <c r="S35" s="855">
        <v>20595.249062759998</v>
      </c>
      <c r="T35" s="855">
        <v>20453.797603709998</v>
      </c>
      <c r="U35" s="855">
        <v>20905.664051119998</v>
      </c>
      <c r="V35" s="855">
        <v>21645.42161148</v>
      </c>
      <c r="W35" s="855">
        <v>21156.80149025</v>
      </c>
      <c r="X35" s="855">
        <v>21838.137164569998</v>
      </c>
      <c r="Y35" s="855">
        <v>21414.945182689997</v>
      </c>
      <c r="Z35" s="855">
        <v>24469.755843179999</v>
      </c>
      <c r="AA35" s="855">
        <v>22588.058014799997</v>
      </c>
      <c r="AB35" s="855">
        <v>22171.260158819998</v>
      </c>
      <c r="AC35" s="855">
        <v>21862.04674324</v>
      </c>
      <c r="AD35" s="855">
        <v>21939.357956429998</v>
      </c>
      <c r="AE35" s="855">
        <v>22081.98990434</v>
      </c>
      <c r="AF35" s="855">
        <v>21745.491674569999</v>
      </c>
      <c r="AG35" s="855">
        <v>22149.626996290001</v>
      </c>
      <c r="AH35" s="855">
        <v>22572.425488049998</v>
      </c>
      <c r="AI35" s="855">
        <v>22452.776109720002</v>
      </c>
      <c r="AJ35" s="855">
        <v>23032.897365330002</v>
      </c>
      <c r="AK35" s="855">
        <v>23216.152670249998</v>
      </c>
      <c r="AL35" s="855">
        <v>26961.314001819999</v>
      </c>
      <c r="AM35" s="855">
        <v>25163.105337090001</v>
      </c>
      <c r="AN35" s="855">
        <v>24498.755108590001</v>
      </c>
      <c r="AO35" s="856">
        <v>24955.023412139999</v>
      </c>
      <c r="AP35" s="856">
        <v>24919.571457469996</v>
      </c>
      <c r="AQ35" s="856">
        <v>24588.03063723</v>
      </c>
      <c r="AR35" s="856">
        <v>24405.038596909999</v>
      </c>
      <c r="AS35" s="856">
        <v>25220.77754155</v>
      </c>
      <c r="AT35" s="856">
        <v>25317.262526309998</v>
      </c>
      <c r="AU35" s="856">
        <v>24906.271864289996</v>
      </c>
      <c r="AV35" s="856">
        <v>25514.94680301</v>
      </c>
      <c r="AW35" s="856">
        <v>25355.99961635</v>
      </c>
      <c r="AX35" s="856">
        <v>30127.65067585</v>
      </c>
      <c r="AY35" s="856">
        <v>27335.793403099997</v>
      </c>
      <c r="AZ35" s="856">
        <v>26937.436175199997</v>
      </c>
      <c r="BA35" s="856">
        <v>26769.000060089998</v>
      </c>
      <c r="BB35" s="856">
        <v>26721.178490309998</v>
      </c>
      <c r="BC35" s="856">
        <v>26022.338344529999</v>
      </c>
      <c r="BD35" s="856">
        <v>26344.899356469996</v>
      </c>
      <c r="BE35" s="856">
        <v>27338.762973989997</v>
      </c>
      <c r="BF35" s="856">
        <v>26980.232630539998</v>
      </c>
      <c r="BG35" s="856">
        <v>26570.910404800001</v>
      </c>
      <c r="BH35" s="856">
        <v>26596.024344789996</v>
      </c>
      <c r="BI35" s="856">
        <v>27231.957308459998</v>
      </c>
      <c r="BJ35" s="856">
        <v>32530.922907949996</v>
      </c>
      <c r="BK35" s="856">
        <v>28693.542673849999</v>
      </c>
      <c r="BL35" s="856">
        <v>28537.310704579999</v>
      </c>
      <c r="BM35" s="856">
        <v>28235.79267477</v>
      </c>
      <c r="BN35" s="856">
        <v>28891.639225089999</v>
      </c>
      <c r="BO35" s="856">
        <v>28381.598166739997</v>
      </c>
      <c r="BP35" s="856">
        <v>28401.159025539997</v>
      </c>
    </row>
    <row r="36" spans="1:68" ht="16.5" customHeight="1">
      <c r="A36" s="857"/>
      <c r="B36" s="858"/>
      <c r="C36" s="859"/>
      <c r="D36" s="859"/>
      <c r="E36" s="859"/>
      <c r="F36" s="859"/>
      <c r="G36" s="859"/>
      <c r="H36" s="859"/>
      <c r="I36" s="859"/>
      <c r="J36" s="859"/>
      <c r="K36" s="859"/>
      <c r="L36" s="859"/>
      <c r="M36" s="859"/>
      <c r="N36" s="859"/>
      <c r="O36" s="859"/>
      <c r="P36" s="859"/>
      <c r="Q36" s="859"/>
      <c r="R36" s="859"/>
      <c r="S36" s="859"/>
      <c r="T36" s="859"/>
      <c r="U36" s="859"/>
      <c r="V36" s="859"/>
      <c r="W36" s="859"/>
      <c r="X36" s="859"/>
      <c r="Y36" s="859"/>
      <c r="Z36" s="859"/>
      <c r="AA36" s="859"/>
      <c r="AB36" s="859"/>
      <c r="AC36" s="859"/>
      <c r="AD36" s="859"/>
      <c r="AE36" s="859"/>
      <c r="AF36" s="859"/>
      <c r="AG36" s="859"/>
      <c r="AH36" s="859"/>
      <c r="AI36" s="859"/>
      <c r="AJ36" s="859"/>
      <c r="AK36" s="859"/>
      <c r="AL36" s="859"/>
      <c r="AM36" s="859"/>
      <c r="AN36" s="859"/>
      <c r="AO36" s="852"/>
      <c r="AP36" s="852"/>
      <c r="AQ36" s="852"/>
      <c r="AR36" s="852"/>
      <c r="AS36" s="852"/>
      <c r="AT36" s="852"/>
      <c r="AU36" s="852"/>
      <c r="AV36" s="852"/>
      <c r="AW36" s="852"/>
      <c r="AX36" s="852"/>
      <c r="AY36" s="852"/>
      <c r="AZ36" s="852"/>
      <c r="BA36" s="852"/>
      <c r="BB36" s="852"/>
      <c r="BC36" s="852"/>
      <c r="BD36" s="852"/>
      <c r="BE36" s="852"/>
      <c r="BF36" s="852"/>
      <c r="BG36" s="852"/>
      <c r="BH36" s="852"/>
      <c r="BI36" s="852"/>
      <c r="BJ36" s="852"/>
      <c r="BK36" s="852"/>
      <c r="BL36" s="852"/>
      <c r="BM36" s="852"/>
      <c r="BN36" s="852"/>
      <c r="BO36" s="852"/>
      <c r="BP36" s="852"/>
    </row>
    <row r="37" spans="1:68" ht="16.5" customHeight="1">
      <c r="A37" s="853" t="s">
        <v>2519</v>
      </c>
      <c r="B37" s="854" t="s">
        <v>2520</v>
      </c>
      <c r="C37" s="855">
        <v>173.77583848999998</v>
      </c>
      <c r="D37" s="855">
        <v>102.15030181408299</v>
      </c>
      <c r="E37" s="855">
        <v>107.57548442879599</v>
      </c>
      <c r="F37" s="855">
        <v>96.970545829999992</v>
      </c>
      <c r="G37" s="855">
        <v>92.457328589252</v>
      </c>
      <c r="H37" s="855">
        <v>440.817523815794</v>
      </c>
      <c r="I37" s="855">
        <v>144.695107660503</v>
      </c>
      <c r="J37" s="855">
        <v>139.61848140775101</v>
      </c>
      <c r="K37" s="855">
        <v>267.13934071788196</v>
      </c>
      <c r="L37" s="855">
        <v>140.39613334605099</v>
      </c>
      <c r="M37" s="855">
        <v>147.65538167153198</v>
      </c>
      <c r="N37" s="855">
        <v>156.18358312016798</v>
      </c>
      <c r="O37" s="855">
        <v>141.37216390342701</v>
      </c>
      <c r="P37" s="855">
        <v>165.14521648076197</v>
      </c>
      <c r="Q37" s="855">
        <v>156.283154672509</v>
      </c>
      <c r="R37" s="855">
        <v>170.538513680878</v>
      </c>
      <c r="S37" s="855">
        <v>118.92258400263799</v>
      </c>
      <c r="T37" s="855">
        <v>227.06391243610898</v>
      </c>
      <c r="U37" s="855">
        <v>147.606747109975</v>
      </c>
      <c r="V37" s="855">
        <v>145.05270454831998</v>
      </c>
      <c r="W37" s="855">
        <v>178.60699340812801</v>
      </c>
      <c r="X37" s="855">
        <v>228.86708454979401</v>
      </c>
      <c r="Y37" s="855">
        <v>145.94768976260698</v>
      </c>
      <c r="Z37" s="855">
        <v>144.74181716741302</v>
      </c>
      <c r="AA37" s="855">
        <v>134.190323829216</v>
      </c>
      <c r="AB37" s="855">
        <v>122.79770026911299</v>
      </c>
      <c r="AC37" s="855">
        <v>128.30850091761698</v>
      </c>
      <c r="AD37" s="855">
        <v>125.31778668365899</v>
      </c>
      <c r="AE37" s="855">
        <v>104.85266671033099</v>
      </c>
      <c r="AF37" s="855">
        <v>188.10748455776599</v>
      </c>
      <c r="AG37" s="855">
        <v>198.07162782</v>
      </c>
      <c r="AH37" s="855">
        <v>71.810326250000003</v>
      </c>
      <c r="AI37" s="855">
        <v>223.63965296000001</v>
      </c>
      <c r="AJ37" s="855">
        <v>238.61876867999996</v>
      </c>
      <c r="AK37" s="855">
        <v>151.47403553999999</v>
      </c>
      <c r="AL37" s="855">
        <v>146.47737080000002</v>
      </c>
      <c r="AM37" s="855">
        <v>69.348740169999985</v>
      </c>
      <c r="AN37" s="855">
        <v>65.960218440000006</v>
      </c>
      <c r="AO37" s="856">
        <v>64.97840020999999</v>
      </c>
      <c r="AP37" s="856">
        <v>65.584209119999997</v>
      </c>
      <c r="AQ37" s="856">
        <v>68.513367979999998</v>
      </c>
      <c r="AR37" s="856">
        <v>311.48284962999998</v>
      </c>
      <c r="AS37" s="856">
        <v>90.367219909999989</v>
      </c>
      <c r="AT37" s="856">
        <v>88.740492129999993</v>
      </c>
      <c r="AU37" s="856">
        <v>165.29868494999999</v>
      </c>
      <c r="AV37" s="856">
        <v>96.820067709999989</v>
      </c>
      <c r="AW37" s="856">
        <v>176.07912083000002</v>
      </c>
      <c r="AX37" s="856">
        <v>327.56298057999999</v>
      </c>
      <c r="AY37" s="856">
        <v>68.868365640000007</v>
      </c>
      <c r="AZ37" s="856">
        <v>92.072264139999987</v>
      </c>
      <c r="BA37" s="856">
        <v>87.70549441</v>
      </c>
      <c r="BB37" s="856">
        <v>85.291687549999992</v>
      </c>
      <c r="BC37" s="856">
        <v>79.022807060000005</v>
      </c>
      <c r="BD37" s="856">
        <v>286.60368328999999</v>
      </c>
      <c r="BE37" s="856">
        <v>117.17449668</v>
      </c>
      <c r="BF37" s="856">
        <v>93.580257980000013</v>
      </c>
      <c r="BG37" s="856">
        <v>174.95850214999999</v>
      </c>
      <c r="BH37" s="856">
        <v>198.19834580999998</v>
      </c>
      <c r="BI37" s="856">
        <v>116.58136098999999</v>
      </c>
      <c r="BJ37" s="856">
        <v>132.96940228</v>
      </c>
      <c r="BK37" s="856">
        <v>90.140118959999995</v>
      </c>
      <c r="BL37" s="856">
        <v>98.214010599999995</v>
      </c>
      <c r="BM37" s="856">
        <v>287.49325514999998</v>
      </c>
      <c r="BN37" s="856">
        <v>106.17286981999999</v>
      </c>
      <c r="BO37" s="856">
        <v>119.60855578000002</v>
      </c>
      <c r="BP37" s="856">
        <v>205.71154525</v>
      </c>
    </row>
    <row r="38" spans="1:68" ht="16.5" customHeight="1">
      <c r="A38" s="857" t="s">
        <v>2521</v>
      </c>
      <c r="B38" s="858" t="s">
        <v>2522</v>
      </c>
      <c r="C38" s="860">
        <v>22.587345850000002</v>
      </c>
      <c r="D38" s="860">
        <v>24.744540514082999</v>
      </c>
      <c r="E38" s="860">
        <v>23.849837548796</v>
      </c>
      <c r="F38" s="860">
        <v>18.228978470000001</v>
      </c>
      <c r="G38" s="860">
        <v>18.263779599251997</v>
      </c>
      <c r="H38" s="860">
        <v>20.765367005793998</v>
      </c>
      <c r="I38" s="860">
        <v>19.718758210502997</v>
      </c>
      <c r="J38" s="860">
        <v>24.796664857751008</v>
      </c>
      <c r="K38" s="860">
        <v>24.287037047881995</v>
      </c>
      <c r="L38" s="860">
        <v>19.542466706051002</v>
      </c>
      <c r="M38" s="860">
        <v>21.999239441531991</v>
      </c>
      <c r="N38" s="860">
        <v>24.493795200167998</v>
      </c>
      <c r="O38" s="860">
        <v>14.350253283427008</v>
      </c>
      <c r="P38" s="860">
        <v>12.139555840761995</v>
      </c>
      <c r="Q38" s="860">
        <v>11.978865682509007</v>
      </c>
      <c r="R38" s="860">
        <v>10.738506780878001</v>
      </c>
      <c r="S38" s="860">
        <v>11.205565562638004</v>
      </c>
      <c r="T38" s="860">
        <v>10.587319066109</v>
      </c>
      <c r="U38" s="860">
        <v>14.109763349974992</v>
      </c>
      <c r="V38" s="860">
        <v>13.63773414832</v>
      </c>
      <c r="W38" s="860">
        <v>15.698556618128009</v>
      </c>
      <c r="X38" s="860">
        <v>14.606797769794008</v>
      </c>
      <c r="Y38" s="860">
        <v>15.119194412606996</v>
      </c>
      <c r="Z38" s="860">
        <v>16.387315327413003</v>
      </c>
      <c r="AA38" s="860">
        <v>19.396711529215999</v>
      </c>
      <c r="AB38" s="860">
        <v>15.694678129113001</v>
      </c>
      <c r="AC38" s="860">
        <v>15.629992317616994</v>
      </c>
      <c r="AD38" s="860">
        <v>8.5982636536590107</v>
      </c>
      <c r="AE38" s="860">
        <v>8.3524888203310006</v>
      </c>
      <c r="AF38" s="860">
        <v>10.438192297765998</v>
      </c>
      <c r="AG38" s="860">
        <v>8.942154580000004</v>
      </c>
      <c r="AH38" s="860">
        <v>12.123119959999997</v>
      </c>
      <c r="AI38" s="860">
        <v>9.9914872199999998</v>
      </c>
      <c r="AJ38" s="860">
        <v>10.633213389999991</v>
      </c>
      <c r="AK38" s="860">
        <v>15.135496139999999</v>
      </c>
      <c r="AL38" s="860">
        <v>12.26796014</v>
      </c>
      <c r="AM38" s="860">
        <v>9.4486492399999911</v>
      </c>
      <c r="AN38" s="860">
        <v>8.5116829600000106</v>
      </c>
      <c r="AO38" s="861">
        <v>8.9783699599999913</v>
      </c>
      <c r="AP38" s="861">
        <v>9.1002109599999983</v>
      </c>
      <c r="AQ38" s="861">
        <v>9.4573140000000002</v>
      </c>
      <c r="AR38" s="861">
        <v>12.949643999999999</v>
      </c>
      <c r="AS38" s="861">
        <v>15.529333999999999</v>
      </c>
      <c r="AT38" s="861">
        <v>12.122377</v>
      </c>
      <c r="AU38" s="861">
        <v>10.837873999999999</v>
      </c>
      <c r="AV38" s="861">
        <v>12.407376999999999</v>
      </c>
      <c r="AW38" s="861">
        <v>13.756131</v>
      </c>
      <c r="AX38" s="861">
        <v>11.081707</v>
      </c>
      <c r="AY38" s="861">
        <v>12.787836</v>
      </c>
      <c r="AZ38" s="861">
        <v>19.284112</v>
      </c>
      <c r="BA38" s="861">
        <v>20.909382000000001</v>
      </c>
      <c r="BB38" s="861">
        <v>20.245926999999998</v>
      </c>
      <c r="BC38" s="861">
        <v>20.801047000000001</v>
      </c>
      <c r="BD38" s="861">
        <v>22.928493</v>
      </c>
      <c r="BE38" s="861">
        <v>21.38899</v>
      </c>
      <c r="BF38" s="861">
        <v>21.812104999999999</v>
      </c>
      <c r="BG38" s="861">
        <v>22.688719000000003</v>
      </c>
      <c r="BH38" s="861">
        <v>23.482017999999997</v>
      </c>
      <c r="BI38" s="861">
        <v>24.858671999999999</v>
      </c>
      <c r="BJ38" s="861">
        <v>27.873531999999997</v>
      </c>
      <c r="BK38" s="861">
        <v>27.794181999999999</v>
      </c>
      <c r="BL38" s="861">
        <v>27.968121999999997</v>
      </c>
      <c r="BM38" s="861">
        <v>28.234946000000001</v>
      </c>
      <c r="BN38" s="861">
        <v>27.068202000000003</v>
      </c>
      <c r="BO38" s="861">
        <v>28.037162000000002</v>
      </c>
      <c r="BP38" s="861">
        <v>21.76407</v>
      </c>
    </row>
    <row r="39" spans="1:68" ht="16.5" customHeight="1">
      <c r="A39" s="857" t="s">
        <v>2523</v>
      </c>
      <c r="B39" s="858" t="s">
        <v>2524</v>
      </c>
      <c r="C39" s="860">
        <v>0</v>
      </c>
      <c r="D39" s="860">
        <v>0</v>
      </c>
      <c r="E39" s="860">
        <v>0</v>
      </c>
      <c r="F39" s="860">
        <v>0</v>
      </c>
      <c r="G39" s="860">
        <v>0</v>
      </c>
      <c r="H39" s="860">
        <v>0</v>
      </c>
      <c r="I39" s="860">
        <v>0</v>
      </c>
      <c r="J39" s="860">
        <v>0</v>
      </c>
      <c r="K39" s="860">
        <v>0</v>
      </c>
      <c r="L39" s="860">
        <v>0</v>
      </c>
      <c r="M39" s="860">
        <v>0</v>
      </c>
      <c r="N39" s="860">
        <v>0</v>
      </c>
      <c r="O39" s="860">
        <v>0</v>
      </c>
      <c r="P39" s="860">
        <v>0</v>
      </c>
      <c r="Q39" s="860">
        <v>0</v>
      </c>
      <c r="R39" s="860">
        <v>0</v>
      </c>
      <c r="S39" s="860">
        <v>0</v>
      </c>
      <c r="T39" s="860">
        <v>0</v>
      </c>
      <c r="U39" s="860">
        <v>0</v>
      </c>
      <c r="V39" s="860">
        <v>0</v>
      </c>
      <c r="W39" s="860">
        <v>0</v>
      </c>
      <c r="X39" s="860">
        <v>0</v>
      </c>
      <c r="Y39" s="860">
        <v>0</v>
      </c>
      <c r="Z39" s="860">
        <v>0</v>
      </c>
      <c r="AA39" s="860">
        <v>0</v>
      </c>
      <c r="AB39" s="860">
        <v>0</v>
      </c>
      <c r="AC39" s="860">
        <v>0</v>
      </c>
      <c r="AD39" s="860">
        <v>0</v>
      </c>
      <c r="AE39" s="860">
        <v>0</v>
      </c>
      <c r="AF39" s="860">
        <v>0</v>
      </c>
      <c r="AG39" s="860">
        <v>0</v>
      </c>
      <c r="AH39" s="860">
        <v>0</v>
      </c>
      <c r="AI39" s="860">
        <v>0</v>
      </c>
      <c r="AJ39" s="860">
        <v>0</v>
      </c>
      <c r="AK39" s="860">
        <v>0</v>
      </c>
      <c r="AL39" s="860">
        <v>0</v>
      </c>
      <c r="AM39" s="860">
        <v>0</v>
      </c>
      <c r="AN39" s="860">
        <v>0</v>
      </c>
      <c r="AO39" s="861">
        <v>0</v>
      </c>
      <c r="AP39" s="861">
        <v>0</v>
      </c>
      <c r="AQ39" s="861">
        <v>0</v>
      </c>
      <c r="AR39" s="861">
        <v>0</v>
      </c>
      <c r="AS39" s="861">
        <v>0</v>
      </c>
      <c r="AT39" s="861">
        <v>0</v>
      </c>
      <c r="AU39" s="861">
        <v>0</v>
      </c>
      <c r="AV39" s="861">
        <v>0</v>
      </c>
      <c r="AW39" s="861">
        <v>0</v>
      </c>
      <c r="AX39" s="861">
        <v>0</v>
      </c>
      <c r="AY39" s="861">
        <v>0</v>
      </c>
      <c r="AZ39" s="861">
        <v>0</v>
      </c>
      <c r="BA39" s="861">
        <v>0</v>
      </c>
      <c r="BB39" s="861">
        <v>0</v>
      </c>
      <c r="BC39" s="861">
        <v>0</v>
      </c>
      <c r="BD39" s="861">
        <v>0</v>
      </c>
      <c r="BE39" s="861">
        <v>0</v>
      </c>
      <c r="BF39" s="861">
        <v>0</v>
      </c>
      <c r="BG39" s="861">
        <v>0</v>
      </c>
      <c r="BH39" s="861">
        <v>0</v>
      </c>
      <c r="BI39" s="861">
        <v>0</v>
      </c>
      <c r="BJ39" s="861">
        <v>0</v>
      </c>
      <c r="BK39" s="861">
        <v>0</v>
      </c>
      <c r="BL39" s="861">
        <v>0</v>
      </c>
      <c r="BM39" s="861">
        <v>0</v>
      </c>
      <c r="BN39" s="861">
        <v>0</v>
      </c>
      <c r="BO39" s="861">
        <v>0</v>
      </c>
      <c r="BP39" s="861">
        <v>0</v>
      </c>
    </row>
    <row r="40" spans="1:68" ht="16.5" customHeight="1">
      <c r="A40" s="857" t="s">
        <v>2525</v>
      </c>
      <c r="B40" s="858" t="s">
        <v>2526</v>
      </c>
      <c r="C40" s="860">
        <v>151.18849263999999</v>
      </c>
      <c r="D40" s="860">
        <v>77.405761299999995</v>
      </c>
      <c r="E40" s="860">
        <v>83.725646879999985</v>
      </c>
      <c r="F40" s="860">
        <v>78.741567359999991</v>
      </c>
      <c r="G40" s="860">
        <v>74.193548989999996</v>
      </c>
      <c r="H40" s="860">
        <v>420.05215680999999</v>
      </c>
      <c r="I40" s="860">
        <v>124.97634945</v>
      </c>
      <c r="J40" s="860">
        <v>114.82181654999999</v>
      </c>
      <c r="K40" s="860">
        <v>242.85230366999997</v>
      </c>
      <c r="L40" s="860">
        <v>120.85366664</v>
      </c>
      <c r="M40" s="860">
        <v>125.65614223</v>
      </c>
      <c r="N40" s="860">
        <v>131.68978791999999</v>
      </c>
      <c r="O40" s="860">
        <v>127.02191062</v>
      </c>
      <c r="P40" s="860">
        <v>153.00566063999997</v>
      </c>
      <c r="Q40" s="860">
        <v>144.30428899</v>
      </c>
      <c r="R40" s="860">
        <v>159.8000069</v>
      </c>
      <c r="S40" s="860">
        <v>107.71701843999999</v>
      </c>
      <c r="T40" s="860">
        <v>216.47659336999999</v>
      </c>
      <c r="U40" s="860">
        <v>133.49698376000001</v>
      </c>
      <c r="V40" s="860">
        <v>131.41497039999999</v>
      </c>
      <c r="W40" s="860">
        <v>162.90843679</v>
      </c>
      <c r="X40" s="860">
        <v>214.26028678</v>
      </c>
      <c r="Y40" s="860">
        <v>130.82849535</v>
      </c>
      <c r="Z40" s="860">
        <v>128.35450184000001</v>
      </c>
      <c r="AA40" s="860">
        <v>114.79361229999999</v>
      </c>
      <c r="AB40" s="860">
        <v>107.10302213999999</v>
      </c>
      <c r="AC40" s="860">
        <v>112.67850859999999</v>
      </c>
      <c r="AD40" s="860">
        <v>116.71952302999999</v>
      </c>
      <c r="AE40" s="860">
        <v>96.500177889999989</v>
      </c>
      <c r="AF40" s="860">
        <v>177.66929225999999</v>
      </c>
      <c r="AG40" s="860">
        <v>189.12947324000001</v>
      </c>
      <c r="AH40" s="860">
        <v>59.687206289999999</v>
      </c>
      <c r="AI40" s="860">
        <v>213.64816574</v>
      </c>
      <c r="AJ40" s="860">
        <v>227.98555528999998</v>
      </c>
      <c r="AK40" s="860">
        <v>136.3385394</v>
      </c>
      <c r="AL40" s="860">
        <v>134.20941066</v>
      </c>
      <c r="AM40" s="860">
        <v>59.900090929999998</v>
      </c>
      <c r="AN40" s="860">
        <v>57.448535479999997</v>
      </c>
      <c r="AO40" s="861">
        <v>56.000030250000002</v>
      </c>
      <c r="AP40" s="861">
        <v>56.483998159999999</v>
      </c>
      <c r="AQ40" s="861">
        <v>59.056053979999994</v>
      </c>
      <c r="AR40" s="861">
        <v>298.53320563</v>
      </c>
      <c r="AS40" s="861">
        <v>74.837885909999997</v>
      </c>
      <c r="AT40" s="861">
        <v>76.618115129999993</v>
      </c>
      <c r="AU40" s="861">
        <v>154.46081095</v>
      </c>
      <c r="AV40" s="861">
        <v>84.412690709999993</v>
      </c>
      <c r="AW40" s="861">
        <v>162.32298983000001</v>
      </c>
      <c r="AX40" s="861">
        <v>316.48127357999999</v>
      </c>
      <c r="AY40" s="861">
        <v>56.080529640000002</v>
      </c>
      <c r="AZ40" s="861">
        <v>72.788152139999994</v>
      </c>
      <c r="BA40" s="861">
        <v>66.796112409999992</v>
      </c>
      <c r="BB40" s="861">
        <v>65.045760549999997</v>
      </c>
      <c r="BC40" s="861">
        <v>58.221760060000001</v>
      </c>
      <c r="BD40" s="861">
        <v>263.67519028999999</v>
      </c>
      <c r="BE40" s="861">
        <v>95.785506680000012</v>
      </c>
      <c r="BF40" s="861">
        <v>71.768152980000011</v>
      </c>
      <c r="BG40" s="861">
        <v>152.26978314999999</v>
      </c>
      <c r="BH40" s="861">
        <v>174.71632781</v>
      </c>
      <c r="BI40" s="861">
        <v>91.722688989999995</v>
      </c>
      <c r="BJ40" s="861">
        <v>105.09587028</v>
      </c>
      <c r="BK40" s="861">
        <v>62.345936960000003</v>
      </c>
      <c r="BL40" s="861">
        <v>70.245888600000001</v>
      </c>
      <c r="BM40" s="861">
        <v>259.25830915</v>
      </c>
      <c r="BN40" s="861">
        <v>79.104667819999989</v>
      </c>
      <c r="BO40" s="861">
        <v>91.571393780000008</v>
      </c>
      <c r="BP40" s="861">
        <v>183.94747525</v>
      </c>
    </row>
    <row r="41" spans="1:68" ht="16.5" customHeight="1">
      <c r="A41" s="857"/>
      <c r="B41" s="858"/>
      <c r="C41" s="859"/>
      <c r="D41" s="859"/>
      <c r="E41" s="859"/>
      <c r="F41" s="859"/>
      <c r="G41" s="859"/>
      <c r="H41" s="859"/>
      <c r="I41" s="859"/>
      <c r="J41" s="859"/>
      <c r="K41" s="859"/>
      <c r="L41" s="859"/>
      <c r="M41" s="859"/>
      <c r="N41" s="859"/>
      <c r="O41" s="859"/>
      <c r="P41" s="859"/>
      <c r="Q41" s="859"/>
      <c r="R41" s="859"/>
      <c r="S41" s="859"/>
      <c r="T41" s="859"/>
      <c r="U41" s="859"/>
      <c r="V41" s="859"/>
      <c r="W41" s="859"/>
      <c r="X41" s="859"/>
      <c r="Y41" s="859"/>
      <c r="Z41" s="859"/>
      <c r="AA41" s="859"/>
      <c r="AB41" s="859"/>
      <c r="AC41" s="859"/>
      <c r="AD41" s="859"/>
      <c r="AE41" s="859"/>
      <c r="AF41" s="859"/>
      <c r="AG41" s="859"/>
      <c r="AH41" s="859"/>
      <c r="AI41" s="859"/>
      <c r="AJ41" s="859"/>
      <c r="AK41" s="859"/>
      <c r="AL41" s="859"/>
      <c r="AM41" s="859"/>
      <c r="AN41" s="859"/>
      <c r="AO41" s="852"/>
      <c r="AP41" s="852"/>
      <c r="AQ41" s="852"/>
      <c r="AR41" s="852"/>
      <c r="AS41" s="852"/>
      <c r="AT41" s="852"/>
      <c r="AU41" s="852"/>
      <c r="AV41" s="852"/>
      <c r="AW41" s="852"/>
      <c r="AX41" s="852"/>
      <c r="AY41" s="852"/>
      <c r="AZ41" s="852"/>
      <c r="BA41" s="852"/>
      <c r="BB41" s="852"/>
      <c r="BC41" s="852"/>
      <c r="BD41" s="852"/>
      <c r="BE41" s="852"/>
      <c r="BF41" s="852"/>
      <c r="BG41" s="852"/>
      <c r="BH41" s="852"/>
      <c r="BI41" s="852"/>
      <c r="BJ41" s="852"/>
      <c r="BK41" s="852"/>
      <c r="BL41" s="852"/>
      <c r="BM41" s="852"/>
      <c r="BN41" s="852"/>
      <c r="BO41" s="852"/>
      <c r="BP41" s="852"/>
    </row>
    <row r="42" spans="1:68" ht="16.5" customHeight="1">
      <c r="A42" s="853" t="s">
        <v>2527</v>
      </c>
      <c r="B42" s="854" t="s">
        <v>2528</v>
      </c>
      <c r="C42" s="855">
        <v>29966.975270430004</v>
      </c>
      <c r="D42" s="855">
        <v>31254.647347658003</v>
      </c>
      <c r="E42" s="855">
        <v>30372.563617634001</v>
      </c>
      <c r="F42" s="855">
        <v>30963.920489230004</v>
      </c>
      <c r="G42" s="855">
        <v>30613.226018459998</v>
      </c>
      <c r="H42" s="855">
        <v>33128.330575418004</v>
      </c>
      <c r="I42" s="855">
        <v>33789.267421356002</v>
      </c>
      <c r="J42" s="855">
        <v>33020.689187719807</v>
      </c>
      <c r="K42" s="855">
        <v>30534.132591883994</v>
      </c>
      <c r="L42" s="855">
        <v>31544.458324931002</v>
      </c>
      <c r="M42" s="855">
        <v>34977.812640402</v>
      </c>
      <c r="N42" s="855">
        <v>35949.448974421</v>
      </c>
      <c r="O42" s="855">
        <v>35192.75877875572</v>
      </c>
      <c r="P42" s="855">
        <v>34541.421341773646</v>
      </c>
      <c r="Q42" s="855">
        <v>36939.507580827478</v>
      </c>
      <c r="R42" s="855">
        <v>36646.860198302456</v>
      </c>
      <c r="S42" s="855">
        <v>36053.616068564763</v>
      </c>
      <c r="T42" s="855">
        <v>36084.724062089997</v>
      </c>
      <c r="U42" s="855">
        <v>36239.179683970557</v>
      </c>
      <c r="V42" s="855">
        <v>35220.694716186779</v>
      </c>
      <c r="W42" s="855">
        <v>35968.445858579995</v>
      </c>
      <c r="X42" s="855">
        <v>36491.476768018532</v>
      </c>
      <c r="Y42" s="855">
        <v>36444.609430624776</v>
      </c>
      <c r="Z42" s="855">
        <v>38789.824571191995</v>
      </c>
      <c r="AA42" s="855">
        <v>38832.313905730829</v>
      </c>
      <c r="AB42" s="855">
        <v>39201.650866966433</v>
      </c>
      <c r="AC42" s="855">
        <v>39598.520794407035</v>
      </c>
      <c r="AD42" s="855">
        <v>39343.312606860163</v>
      </c>
      <c r="AE42" s="855">
        <v>39252.326794396096</v>
      </c>
      <c r="AF42" s="855">
        <v>42619.680820155401</v>
      </c>
      <c r="AG42" s="855">
        <v>42577.058093508051</v>
      </c>
      <c r="AH42" s="855">
        <v>43504.518758566446</v>
      </c>
      <c r="AI42" s="855">
        <v>43201.277614377948</v>
      </c>
      <c r="AJ42" s="855">
        <v>42159.302407638199</v>
      </c>
      <c r="AK42" s="855">
        <v>42910.437745755764</v>
      </c>
      <c r="AL42" s="855">
        <v>40614.66020448348</v>
      </c>
      <c r="AM42" s="855">
        <v>42825.937377875787</v>
      </c>
      <c r="AN42" s="855">
        <v>43964.981252033365</v>
      </c>
      <c r="AO42" s="856">
        <v>42932.13565626496</v>
      </c>
      <c r="AP42" s="856">
        <v>40830.506188844367</v>
      </c>
      <c r="AQ42" s="856">
        <v>47274.165556918102</v>
      </c>
      <c r="AR42" s="856">
        <v>48436.776476322426</v>
      </c>
      <c r="AS42" s="856">
        <v>44985.178309535302</v>
      </c>
      <c r="AT42" s="856">
        <v>41348.617100414427</v>
      </c>
      <c r="AU42" s="856">
        <v>44235.655758825626</v>
      </c>
      <c r="AV42" s="856">
        <v>43755.652114609475</v>
      </c>
      <c r="AW42" s="856">
        <v>44181.708255133148</v>
      </c>
      <c r="AX42" s="856">
        <v>45777.675150546376</v>
      </c>
      <c r="AY42" s="856">
        <v>47958.153422024698</v>
      </c>
      <c r="AZ42" s="856">
        <v>52887.297649936125</v>
      </c>
      <c r="BA42" s="856">
        <v>52134.949325764224</v>
      </c>
      <c r="BB42" s="856">
        <v>56217.050935438325</v>
      </c>
      <c r="BC42" s="856">
        <v>55100.478066376672</v>
      </c>
      <c r="BD42" s="856">
        <v>56440.796463404222</v>
      </c>
      <c r="BE42" s="856">
        <v>58292.819903318996</v>
      </c>
      <c r="BF42" s="856">
        <v>62112.201600465844</v>
      </c>
      <c r="BG42" s="856">
        <v>63458.390614410375</v>
      </c>
      <c r="BH42" s="856">
        <v>62322.811491108325</v>
      </c>
      <c r="BI42" s="856">
        <v>56410.697808099874</v>
      </c>
      <c r="BJ42" s="856">
        <v>55987.2849719515</v>
      </c>
      <c r="BK42" s="856">
        <v>59825.179798573226</v>
      </c>
      <c r="BL42" s="856">
        <v>65161.407995931448</v>
      </c>
      <c r="BM42" s="856">
        <v>71010.513358596872</v>
      </c>
      <c r="BN42" s="856">
        <v>70912.953684895256</v>
      </c>
      <c r="BO42" s="856">
        <v>68932.392346479101</v>
      </c>
      <c r="BP42" s="856">
        <v>68217.023590271958</v>
      </c>
    </row>
    <row r="43" spans="1:68" ht="16.5" customHeight="1">
      <c r="A43" s="857" t="s">
        <v>2529</v>
      </c>
      <c r="B43" s="858" t="s">
        <v>2522</v>
      </c>
      <c r="C43" s="860">
        <v>29905.948359430004</v>
      </c>
      <c r="D43" s="860">
        <v>31193.630936658003</v>
      </c>
      <c r="E43" s="860">
        <v>27311.545206634</v>
      </c>
      <c r="F43" s="860">
        <v>29202.901078230003</v>
      </c>
      <c r="G43" s="860">
        <v>30552.205607459997</v>
      </c>
      <c r="H43" s="860">
        <v>31067.309164418002</v>
      </c>
      <c r="I43" s="860">
        <v>33728.246010356001</v>
      </c>
      <c r="J43" s="860">
        <v>32959.665776719805</v>
      </c>
      <c r="K43" s="860">
        <v>30473.108180883995</v>
      </c>
      <c r="L43" s="860">
        <v>31483.433913931003</v>
      </c>
      <c r="M43" s="860">
        <v>34916.786229402001</v>
      </c>
      <c r="N43" s="860">
        <v>35888.421563420998</v>
      </c>
      <c r="O43" s="860">
        <v>35131.730367755721</v>
      </c>
      <c r="P43" s="860">
        <v>34480.391930773643</v>
      </c>
      <c r="Q43" s="860">
        <v>36878.477169827478</v>
      </c>
      <c r="R43" s="860">
        <v>36585.829787302457</v>
      </c>
      <c r="S43" s="860">
        <v>35982.459657564759</v>
      </c>
      <c r="T43" s="860">
        <v>36017.19423909</v>
      </c>
      <c r="U43" s="860">
        <v>36171.64986097056</v>
      </c>
      <c r="V43" s="860">
        <v>35153.164893186782</v>
      </c>
      <c r="W43" s="860">
        <v>35900.916035579998</v>
      </c>
      <c r="X43" s="860">
        <v>36423.946945018535</v>
      </c>
      <c r="Y43" s="860">
        <v>36377.079607624779</v>
      </c>
      <c r="Z43" s="860">
        <v>38722.294748191998</v>
      </c>
      <c r="AA43" s="860">
        <v>38764.784082730832</v>
      </c>
      <c r="AB43" s="860">
        <v>39134.121043966436</v>
      </c>
      <c r="AC43" s="860">
        <v>39530.990971407038</v>
      </c>
      <c r="AD43" s="860">
        <v>39275.779788860164</v>
      </c>
      <c r="AE43" s="860">
        <v>39184.793976396097</v>
      </c>
      <c r="AF43" s="860">
        <v>42552.138171155399</v>
      </c>
      <c r="AG43" s="860">
        <v>42506.010275508052</v>
      </c>
      <c r="AH43" s="860">
        <v>43433.470940566447</v>
      </c>
      <c r="AI43" s="860">
        <v>43130.22012637795</v>
      </c>
      <c r="AJ43" s="860">
        <v>42088.247914638203</v>
      </c>
      <c r="AK43" s="860">
        <v>42839.383252755768</v>
      </c>
      <c r="AL43" s="860">
        <v>40543.605711483484</v>
      </c>
      <c r="AM43" s="860">
        <v>42754.882884875791</v>
      </c>
      <c r="AN43" s="860">
        <v>43897.441759033369</v>
      </c>
      <c r="AO43" s="861">
        <v>42864.596163264956</v>
      </c>
      <c r="AP43" s="861">
        <v>40762.96669584437</v>
      </c>
      <c r="AQ43" s="861">
        <v>47206.626063918106</v>
      </c>
      <c r="AR43" s="861">
        <v>48369.236983322422</v>
      </c>
      <c r="AS43" s="861">
        <v>44917.638816535298</v>
      </c>
      <c r="AT43" s="861">
        <v>41281.077607414431</v>
      </c>
      <c r="AU43" s="861">
        <v>44168.116265825622</v>
      </c>
      <c r="AV43" s="861">
        <v>43688.112621609478</v>
      </c>
      <c r="AW43" s="861">
        <v>44114.168762133151</v>
      </c>
      <c r="AX43" s="861">
        <v>45710.135657546372</v>
      </c>
      <c r="AY43" s="861">
        <v>47890.613929024701</v>
      </c>
      <c r="AZ43" s="861">
        <v>52715.362689936119</v>
      </c>
      <c r="BA43" s="861">
        <v>51963.014365764218</v>
      </c>
      <c r="BB43" s="861">
        <v>56048.243475438321</v>
      </c>
      <c r="BC43" s="861">
        <v>54931.670606376669</v>
      </c>
      <c r="BD43" s="861">
        <v>56271.989003404218</v>
      </c>
      <c r="BE43" s="861">
        <v>58124.012443318992</v>
      </c>
      <c r="BF43" s="861">
        <v>61943.39414046584</v>
      </c>
      <c r="BG43" s="861">
        <v>63289.583154410371</v>
      </c>
      <c r="BH43" s="861">
        <v>62154.004031108321</v>
      </c>
      <c r="BI43" s="861">
        <v>56241.890348099871</v>
      </c>
      <c r="BJ43" s="861">
        <v>55818.477511951496</v>
      </c>
      <c r="BK43" s="861">
        <v>59094.987338573228</v>
      </c>
      <c r="BL43" s="861">
        <v>63683.215535931449</v>
      </c>
      <c r="BM43" s="861">
        <v>68422.250898596874</v>
      </c>
      <c r="BN43" s="861">
        <v>68324.691224895258</v>
      </c>
      <c r="BO43" s="861">
        <v>64352.684886479095</v>
      </c>
      <c r="BP43" s="861">
        <v>62659.31613027196</v>
      </c>
    </row>
    <row r="44" spans="1:68" ht="16.5" customHeight="1">
      <c r="A44" s="857" t="s">
        <v>2530</v>
      </c>
      <c r="B44" s="858" t="s">
        <v>2524</v>
      </c>
      <c r="C44" s="860">
        <v>61.026910999999927</v>
      </c>
      <c r="D44" s="860">
        <v>61.016411000000062</v>
      </c>
      <c r="E44" s="860">
        <v>61.018411000000015</v>
      </c>
      <c r="F44" s="860">
        <v>61.019411000000218</v>
      </c>
      <c r="G44" s="860">
        <v>61.020410999999967</v>
      </c>
      <c r="H44" s="860">
        <v>61.021410999999716</v>
      </c>
      <c r="I44" s="860">
        <v>61.021411000000171</v>
      </c>
      <c r="J44" s="860">
        <v>61.023411000000124</v>
      </c>
      <c r="K44" s="860">
        <v>61.024410999999873</v>
      </c>
      <c r="L44" s="860">
        <v>61.024410999999873</v>
      </c>
      <c r="M44" s="860">
        <v>61.026410999999825</v>
      </c>
      <c r="N44" s="860">
        <v>61.027411000000029</v>
      </c>
      <c r="O44" s="860">
        <v>61.028410999999778</v>
      </c>
      <c r="P44" s="860">
        <v>61.029410999999982</v>
      </c>
      <c r="Q44" s="860">
        <v>61.030411000000186</v>
      </c>
      <c r="R44" s="860">
        <v>61.030411000000186</v>
      </c>
      <c r="S44" s="860">
        <v>71.156410999999935</v>
      </c>
      <c r="T44" s="860">
        <v>67.529822999999851</v>
      </c>
      <c r="U44" s="860">
        <v>67.529822999999851</v>
      </c>
      <c r="V44" s="860">
        <v>67.529822999999851</v>
      </c>
      <c r="W44" s="860">
        <v>67.529822999999851</v>
      </c>
      <c r="X44" s="860">
        <v>67.529822999999851</v>
      </c>
      <c r="Y44" s="860">
        <v>67.529822999999851</v>
      </c>
      <c r="Z44" s="860">
        <v>67.529822999999851</v>
      </c>
      <c r="AA44" s="860">
        <v>67.529822999999851</v>
      </c>
      <c r="AB44" s="860">
        <v>67.529822999999851</v>
      </c>
      <c r="AC44" s="860">
        <v>67.529822999999851</v>
      </c>
      <c r="AD44" s="860">
        <v>67.532818000000134</v>
      </c>
      <c r="AE44" s="860">
        <v>67.532818000000134</v>
      </c>
      <c r="AF44" s="860">
        <v>67.542648999999983</v>
      </c>
      <c r="AG44" s="860">
        <v>67.532818000000006</v>
      </c>
      <c r="AH44" s="860">
        <v>67.532818000000006</v>
      </c>
      <c r="AI44" s="860">
        <v>67.542487999999921</v>
      </c>
      <c r="AJ44" s="860">
        <v>67.539493000000093</v>
      </c>
      <c r="AK44" s="860">
        <v>67.539493000000093</v>
      </c>
      <c r="AL44" s="860">
        <v>67.539493000000093</v>
      </c>
      <c r="AM44" s="860">
        <v>67.539493000000093</v>
      </c>
      <c r="AN44" s="860">
        <v>67.53949300000022</v>
      </c>
      <c r="AO44" s="861">
        <v>67.53949300000022</v>
      </c>
      <c r="AP44" s="861">
        <v>67.539492999999766</v>
      </c>
      <c r="AQ44" s="861">
        <v>67.539492999999766</v>
      </c>
      <c r="AR44" s="861">
        <v>67.53949300000022</v>
      </c>
      <c r="AS44" s="861">
        <v>67.53949300000022</v>
      </c>
      <c r="AT44" s="861">
        <v>67.53949300000022</v>
      </c>
      <c r="AU44" s="861">
        <v>67.53949300000022</v>
      </c>
      <c r="AV44" s="861">
        <v>67.539492999999766</v>
      </c>
      <c r="AW44" s="861">
        <v>67.539492999999766</v>
      </c>
      <c r="AX44" s="861">
        <v>67.53949300000022</v>
      </c>
      <c r="AY44" s="861">
        <v>67.53949300000022</v>
      </c>
      <c r="AZ44" s="861">
        <v>64.790993000000043</v>
      </c>
      <c r="BA44" s="861">
        <v>64.790993000000043</v>
      </c>
      <c r="BB44" s="861">
        <v>58.063492999999994</v>
      </c>
      <c r="BC44" s="861">
        <v>58.063492999999994</v>
      </c>
      <c r="BD44" s="861">
        <v>58.063492999999994</v>
      </c>
      <c r="BE44" s="861">
        <v>58.063492999999994</v>
      </c>
      <c r="BF44" s="861">
        <v>58.063492999999994</v>
      </c>
      <c r="BG44" s="861">
        <v>58.063492999999994</v>
      </c>
      <c r="BH44" s="861">
        <v>58.063492999999994</v>
      </c>
      <c r="BI44" s="861">
        <v>58.063492999999994</v>
      </c>
      <c r="BJ44" s="861">
        <v>58.063492999999994</v>
      </c>
      <c r="BK44" s="861">
        <v>58.063493000000221</v>
      </c>
      <c r="BL44" s="861">
        <v>58.063492999999653</v>
      </c>
      <c r="BM44" s="861">
        <v>58.063493000000562</v>
      </c>
      <c r="BN44" s="861">
        <v>58.063492999999653</v>
      </c>
      <c r="BO44" s="861">
        <v>58.063492999998743</v>
      </c>
      <c r="BP44" s="861">
        <v>58.063492999998743</v>
      </c>
    </row>
    <row r="45" spans="1:68" ht="16.5" customHeight="1">
      <c r="A45" s="857" t="s">
        <v>2531</v>
      </c>
      <c r="B45" s="858" t="s">
        <v>2526</v>
      </c>
      <c r="C45" s="860">
        <v>0</v>
      </c>
      <c r="D45" s="860">
        <v>0</v>
      </c>
      <c r="E45" s="860">
        <v>3000</v>
      </c>
      <c r="F45" s="860">
        <v>1700</v>
      </c>
      <c r="G45" s="860">
        <v>0</v>
      </c>
      <c r="H45" s="860">
        <v>2000</v>
      </c>
      <c r="I45" s="860">
        <v>0</v>
      </c>
      <c r="J45" s="860">
        <v>0</v>
      </c>
      <c r="K45" s="860">
        <v>0</v>
      </c>
      <c r="L45" s="860">
        <v>0</v>
      </c>
      <c r="M45" s="860">
        <v>0</v>
      </c>
      <c r="N45" s="860">
        <v>0</v>
      </c>
      <c r="O45" s="860">
        <v>0</v>
      </c>
      <c r="P45" s="860">
        <v>0</v>
      </c>
      <c r="Q45" s="860">
        <v>0</v>
      </c>
      <c r="R45" s="860">
        <v>0</v>
      </c>
      <c r="S45" s="860">
        <v>0</v>
      </c>
      <c r="T45" s="860">
        <v>0</v>
      </c>
      <c r="U45" s="860">
        <v>0</v>
      </c>
      <c r="V45" s="860">
        <v>0</v>
      </c>
      <c r="W45" s="860">
        <v>0</v>
      </c>
      <c r="X45" s="860">
        <v>0</v>
      </c>
      <c r="Y45" s="860">
        <v>0</v>
      </c>
      <c r="Z45" s="860">
        <v>0</v>
      </c>
      <c r="AA45" s="860">
        <v>0</v>
      </c>
      <c r="AB45" s="860">
        <v>0</v>
      </c>
      <c r="AC45" s="860">
        <v>0</v>
      </c>
      <c r="AD45" s="860">
        <v>0</v>
      </c>
      <c r="AE45" s="860">
        <v>0</v>
      </c>
      <c r="AF45" s="860">
        <v>0</v>
      </c>
      <c r="AG45" s="860">
        <v>3.5150000000000001</v>
      </c>
      <c r="AH45" s="860">
        <v>3.5150000000000001</v>
      </c>
      <c r="AI45" s="860">
        <v>3.5150000000000001</v>
      </c>
      <c r="AJ45" s="860">
        <v>3.5150000000000001</v>
      </c>
      <c r="AK45" s="860">
        <v>3.5150000000000001</v>
      </c>
      <c r="AL45" s="860">
        <v>3.5150000000000001</v>
      </c>
      <c r="AM45" s="860">
        <v>3.5150000000000001</v>
      </c>
      <c r="AN45" s="860">
        <v>0</v>
      </c>
      <c r="AO45" s="861">
        <v>0</v>
      </c>
      <c r="AP45" s="861">
        <v>0</v>
      </c>
      <c r="AQ45" s="861">
        <v>0</v>
      </c>
      <c r="AR45" s="861">
        <v>0</v>
      </c>
      <c r="AS45" s="861">
        <v>0</v>
      </c>
      <c r="AT45" s="861">
        <v>0</v>
      </c>
      <c r="AU45" s="861">
        <v>0</v>
      </c>
      <c r="AV45" s="861">
        <v>0</v>
      </c>
      <c r="AW45" s="861">
        <v>0</v>
      </c>
      <c r="AX45" s="861">
        <v>0</v>
      </c>
      <c r="AY45" s="861">
        <v>0</v>
      </c>
      <c r="AZ45" s="861">
        <v>107.143967</v>
      </c>
      <c r="BA45" s="861">
        <v>107.143967</v>
      </c>
      <c r="BB45" s="861">
        <v>110.743967</v>
      </c>
      <c r="BC45" s="861">
        <v>110.743967</v>
      </c>
      <c r="BD45" s="861">
        <v>110.743967</v>
      </c>
      <c r="BE45" s="861">
        <v>110.743967</v>
      </c>
      <c r="BF45" s="861">
        <v>110.743967</v>
      </c>
      <c r="BG45" s="861">
        <v>110.743967</v>
      </c>
      <c r="BH45" s="861">
        <v>110.743967</v>
      </c>
      <c r="BI45" s="861">
        <v>110.743967</v>
      </c>
      <c r="BJ45" s="861">
        <v>110.743967</v>
      </c>
      <c r="BK45" s="861">
        <v>672.12896699999999</v>
      </c>
      <c r="BL45" s="861">
        <v>1420.1289670000001</v>
      </c>
      <c r="BM45" s="861">
        <v>2530.1989669999998</v>
      </c>
      <c r="BN45" s="861">
        <v>2530.1989669999998</v>
      </c>
      <c r="BO45" s="861">
        <v>4521.643967</v>
      </c>
      <c r="BP45" s="861">
        <v>5499.643967</v>
      </c>
    </row>
    <row r="46" spans="1:68" ht="16.5" customHeight="1">
      <c r="A46" s="857"/>
      <c r="B46" s="858"/>
      <c r="C46" s="859"/>
      <c r="D46" s="859"/>
      <c r="E46" s="859"/>
      <c r="F46" s="859"/>
      <c r="G46" s="859"/>
      <c r="H46" s="859"/>
      <c r="I46" s="859"/>
      <c r="J46" s="859"/>
      <c r="K46" s="859"/>
      <c r="L46" s="859"/>
      <c r="M46" s="859"/>
      <c r="N46" s="859"/>
      <c r="O46" s="859"/>
      <c r="P46" s="859"/>
      <c r="Q46" s="859"/>
      <c r="R46" s="859"/>
      <c r="S46" s="859"/>
      <c r="T46" s="859"/>
      <c r="U46" s="859"/>
      <c r="V46" s="859"/>
      <c r="W46" s="859"/>
      <c r="X46" s="859"/>
      <c r="Y46" s="859"/>
      <c r="Z46" s="859"/>
      <c r="AA46" s="859"/>
      <c r="AB46" s="859"/>
      <c r="AC46" s="859"/>
      <c r="AD46" s="859"/>
      <c r="AE46" s="859"/>
      <c r="AF46" s="859"/>
      <c r="AG46" s="859"/>
      <c r="AH46" s="859"/>
      <c r="AI46" s="859"/>
      <c r="AJ46" s="859"/>
      <c r="AK46" s="859"/>
      <c r="AL46" s="859"/>
      <c r="AM46" s="859"/>
      <c r="AN46" s="859"/>
      <c r="AO46" s="852"/>
      <c r="AP46" s="852"/>
      <c r="AQ46" s="852"/>
      <c r="AR46" s="852"/>
      <c r="AS46" s="852"/>
      <c r="AT46" s="852"/>
      <c r="AU46" s="852"/>
      <c r="AV46" s="852"/>
      <c r="AW46" s="852"/>
      <c r="AX46" s="852"/>
      <c r="AY46" s="852"/>
      <c r="AZ46" s="852"/>
      <c r="BA46" s="852"/>
      <c r="BB46" s="852"/>
      <c r="BC46" s="852"/>
      <c r="BD46" s="852"/>
      <c r="BE46" s="852"/>
      <c r="BF46" s="852"/>
      <c r="BG46" s="852"/>
      <c r="BH46" s="852"/>
      <c r="BI46" s="852"/>
      <c r="BJ46" s="852"/>
      <c r="BK46" s="852"/>
      <c r="BL46" s="852"/>
      <c r="BM46" s="852"/>
      <c r="BN46" s="852"/>
      <c r="BO46" s="852"/>
      <c r="BP46" s="852"/>
    </row>
    <row r="47" spans="1:68" ht="16.5" customHeight="1">
      <c r="A47" s="853" t="s">
        <v>2532</v>
      </c>
      <c r="B47" s="854" t="s">
        <v>2533</v>
      </c>
      <c r="C47" s="855">
        <v>0</v>
      </c>
      <c r="D47" s="855">
        <v>0</v>
      </c>
      <c r="E47" s="855">
        <v>0</v>
      </c>
      <c r="F47" s="855">
        <v>0</v>
      </c>
      <c r="G47" s="855">
        <v>0</v>
      </c>
      <c r="H47" s="855">
        <v>0</v>
      </c>
      <c r="I47" s="855">
        <v>0</v>
      </c>
      <c r="J47" s="855">
        <v>303.74899999999991</v>
      </c>
      <c r="K47" s="855">
        <v>502.16046600000004</v>
      </c>
      <c r="L47" s="855">
        <v>502.16046600000004</v>
      </c>
      <c r="M47" s="855">
        <v>502.16046600000004</v>
      </c>
      <c r="N47" s="855">
        <v>477.37821600000007</v>
      </c>
      <c r="O47" s="855">
        <v>522.35433200000011</v>
      </c>
      <c r="P47" s="855">
        <v>563.02008699999988</v>
      </c>
      <c r="Q47" s="855">
        <v>709.01456599999983</v>
      </c>
      <c r="R47" s="855">
        <v>760.30179399999975</v>
      </c>
      <c r="S47" s="855">
        <v>957.91281299999991</v>
      </c>
      <c r="T47" s="855">
        <v>1111.7664229999998</v>
      </c>
      <c r="U47" s="855">
        <v>1421.1139969999999</v>
      </c>
      <c r="V47" s="855">
        <v>1345.9546740000001</v>
      </c>
      <c r="W47" s="855">
        <v>1097.4000299999998</v>
      </c>
      <c r="X47" s="855">
        <v>1147.5015679999997</v>
      </c>
      <c r="Y47" s="855">
        <v>1074.3758809999999</v>
      </c>
      <c r="Z47" s="855">
        <v>973.89911399999983</v>
      </c>
      <c r="AA47" s="855">
        <v>987.01167250000026</v>
      </c>
      <c r="AB47" s="855">
        <v>987.61469880999994</v>
      </c>
      <c r="AC47" s="855">
        <v>987.90412218000029</v>
      </c>
      <c r="AD47" s="855">
        <v>964.24856999999986</v>
      </c>
      <c r="AE47" s="855">
        <v>815.01807333999989</v>
      </c>
      <c r="AF47" s="855">
        <v>829.00589168999988</v>
      </c>
      <c r="AG47" s="855">
        <v>879.56600669000034</v>
      </c>
      <c r="AH47" s="855">
        <v>783.56822769379312</v>
      </c>
      <c r="AI47" s="855">
        <v>728.4015081</v>
      </c>
      <c r="AJ47" s="855">
        <v>626.68072635999999</v>
      </c>
      <c r="AK47" s="855">
        <v>702.04092421000007</v>
      </c>
      <c r="AL47" s="855">
        <v>860.31270639999991</v>
      </c>
      <c r="AM47" s="855">
        <v>1136.02626151</v>
      </c>
      <c r="AN47" s="855">
        <v>1214.9587380400001</v>
      </c>
      <c r="AO47" s="856">
        <v>2300.1123070199992</v>
      </c>
      <c r="AP47" s="856">
        <v>2583.8162419999999</v>
      </c>
      <c r="AQ47" s="856">
        <v>2828.7816888536649</v>
      </c>
      <c r="AR47" s="856">
        <v>2783.8348632041857</v>
      </c>
      <c r="AS47" s="856">
        <v>2614.354993311681</v>
      </c>
      <c r="AT47" s="856">
        <v>2994.8673294889336</v>
      </c>
      <c r="AU47" s="856">
        <v>2660.8722954435084</v>
      </c>
      <c r="AV47" s="856">
        <v>2610.2756306442334</v>
      </c>
      <c r="AW47" s="856">
        <v>2571.964406937097</v>
      </c>
      <c r="AX47" s="856">
        <v>1818.6549297441982</v>
      </c>
      <c r="AY47" s="856">
        <v>1566.6874621341976</v>
      </c>
      <c r="AZ47" s="856">
        <v>1518.7520036264834</v>
      </c>
      <c r="BA47" s="856">
        <v>1626.8607322698992</v>
      </c>
      <c r="BB47" s="856">
        <v>1542.129128801779</v>
      </c>
      <c r="BC47" s="856">
        <v>1945.7750698424302</v>
      </c>
      <c r="BD47" s="856">
        <v>1906.2233462202012</v>
      </c>
      <c r="BE47" s="856">
        <v>1931.966328434846</v>
      </c>
      <c r="BF47" s="856">
        <v>1845.619172527418</v>
      </c>
      <c r="BG47" s="856">
        <v>1813.8576627535981</v>
      </c>
      <c r="BH47" s="856">
        <v>1809.8412517385532</v>
      </c>
      <c r="BI47" s="856">
        <v>1933.8905259506596</v>
      </c>
      <c r="BJ47" s="856">
        <v>1977.8356894148478</v>
      </c>
      <c r="BK47" s="856">
        <v>3104.4042453554771</v>
      </c>
      <c r="BL47" s="856">
        <v>3130.5526144907531</v>
      </c>
      <c r="BM47" s="856">
        <v>3028.5484233272427</v>
      </c>
      <c r="BN47" s="856">
        <v>2193.1226852449554</v>
      </c>
      <c r="BO47" s="856">
        <v>2056.4769072711374</v>
      </c>
      <c r="BP47" s="856">
        <v>1994.7740961039547</v>
      </c>
    </row>
    <row r="48" spans="1:68" ht="16.5" customHeight="1">
      <c r="A48" s="857"/>
      <c r="B48" s="858"/>
      <c r="C48" s="859"/>
      <c r="D48" s="859"/>
      <c r="E48" s="859"/>
      <c r="F48" s="859"/>
      <c r="G48" s="859"/>
      <c r="H48" s="859"/>
      <c r="I48" s="859"/>
      <c r="J48" s="859"/>
      <c r="K48" s="859"/>
      <c r="L48" s="859"/>
      <c r="M48" s="859"/>
      <c r="N48" s="859"/>
      <c r="O48" s="859"/>
      <c r="P48" s="859"/>
      <c r="Q48" s="859"/>
      <c r="R48" s="859"/>
      <c r="S48" s="859"/>
      <c r="T48" s="859"/>
      <c r="U48" s="859"/>
      <c r="V48" s="859"/>
      <c r="W48" s="859"/>
      <c r="X48" s="859"/>
      <c r="Y48" s="859"/>
      <c r="Z48" s="859"/>
      <c r="AA48" s="859"/>
      <c r="AB48" s="859"/>
      <c r="AC48" s="859"/>
      <c r="AD48" s="859"/>
      <c r="AE48" s="859"/>
      <c r="AF48" s="859"/>
      <c r="AG48" s="859"/>
      <c r="AH48" s="859"/>
      <c r="AI48" s="859"/>
      <c r="AJ48" s="859"/>
      <c r="AK48" s="859"/>
      <c r="AL48" s="859"/>
      <c r="AM48" s="859"/>
      <c r="AN48" s="859"/>
      <c r="AO48" s="852"/>
      <c r="AP48" s="852"/>
      <c r="AQ48" s="852"/>
      <c r="AR48" s="852"/>
      <c r="AS48" s="852"/>
      <c r="AT48" s="852"/>
      <c r="AU48" s="852"/>
      <c r="AV48" s="852"/>
      <c r="AW48" s="852"/>
      <c r="AX48" s="852"/>
      <c r="AY48" s="852"/>
      <c r="AZ48" s="852"/>
      <c r="BA48" s="852"/>
      <c r="BB48" s="852"/>
      <c r="BC48" s="852"/>
      <c r="BD48" s="852"/>
      <c r="BE48" s="852"/>
      <c r="BF48" s="852"/>
      <c r="BG48" s="852"/>
      <c r="BH48" s="852"/>
      <c r="BI48" s="852"/>
      <c r="BJ48" s="852"/>
      <c r="BK48" s="852"/>
      <c r="BL48" s="852"/>
      <c r="BM48" s="852"/>
      <c r="BN48" s="852"/>
      <c r="BO48" s="852"/>
      <c r="BP48" s="852"/>
    </row>
    <row r="49" spans="1:68" ht="16.5" customHeight="1">
      <c r="A49" s="853" t="s">
        <v>2534</v>
      </c>
      <c r="B49" s="854" t="s">
        <v>2535</v>
      </c>
      <c r="C49" s="855">
        <v>0.97697899999999993</v>
      </c>
      <c r="D49" s="855">
        <v>0.97697899999999993</v>
      </c>
      <c r="E49" s="855">
        <v>0.97697899999999993</v>
      </c>
      <c r="F49" s="855">
        <v>0.97697899999999993</v>
      </c>
      <c r="G49" s="855">
        <v>700.304979</v>
      </c>
      <c r="H49" s="855">
        <v>0.97697899999999993</v>
      </c>
      <c r="I49" s="855">
        <v>0.97697899999999993</v>
      </c>
      <c r="J49" s="855">
        <v>1949.5115290000001</v>
      </c>
      <c r="K49" s="855">
        <v>6727.3778899999998</v>
      </c>
      <c r="L49" s="855">
        <v>6727.3778899999998</v>
      </c>
      <c r="M49" s="855">
        <v>6727.3778899999998</v>
      </c>
      <c r="N49" s="855">
        <v>5101.1285029999999</v>
      </c>
      <c r="O49" s="855">
        <v>5899.3738249999997</v>
      </c>
      <c r="P49" s="855">
        <v>7178.258124</v>
      </c>
      <c r="Q49" s="855">
        <v>6962.9102419999999</v>
      </c>
      <c r="R49" s="855">
        <v>7176.5287470000003</v>
      </c>
      <c r="S49" s="855">
        <v>8050.2318850000011</v>
      </c>
      <c r="T49" s="855">
        <v>9350.0623379999997</v>
      </c>
      <c r="U49" s="855">
        <v>10061.164205000001</v>
      </c>
      <c r="V49" s="855">
        <v>9783.8574340000014</v>
      </c>
      <c r="W49" s="855">
        <v>8884.4224610000001</v>
      </c>
      <c r="X49" s="855">
        <v>8906.7630180000015</v>
      </c>
      <c r="Y49" s="855">
        <v>8989.1163437203486</v>
      </c>
      <c r="Z49" s="855">
        <v>7621.8026020000007</v>
      </c>
      <c r="AA49" s="855">
        <v>8098.1933754899992</v>
      </c>
      <c r="AB49" s="855">
        <v>8103.3600904899986</v>
      </c>
      <c r="AC49" s="855">
        <v>7987.70630239</v>
      </c>
      <c r="AD49" s="855">
        <v>7666.8660758100004</v>
      </c>
      <c r="AE49" s="855">
        <v>7059.1474340511413</v>
      </c>
      <c r="AF49" s="855">
        <v>6924.8333079799986</v>
      </c>
      <c r="AG49" s="855">
        <v>6810.575498449999</v>
      </c>
      <c r="AH49" s="855">
        <v>5899.4714549999999</v>
      </c>
      <c r="AI49" s="855">
        <v>5548.3711433400003</v>
      </c>
      <c r="AJ49" s="855">
        <v>5151.53506191</v>
      </c>
      <c r="AK49" s="855">
        <v>5432.9948068099993</v>
      </c>
      <c r="AL49" s="855">
        <v>5650.9292838000001</v>
      </c>
      <c r="AM49" s="855">
        <v>8292.3251740800006</v>
      </c>
      <c r="AN49" s="855">
        <v>8229.7347259200014</v>
      </c>
      <c r="AO49" s="856">
        <v>10911.038199100001</v>
      </c>
      <c r="AP49" s="856">
        <v>12400.236332000002</v>
      </c>
      <c r="AQ49" s="856">
        <v>14397.987373506336</v>
      </c>
      <c r="AR49" s="856">
        <v>15073.430049965815</v>
      </c>
      <c r="AS49" s="856">
        <v>14639.647727208319</v>
      </c>
      <c r="AT49" s="856">
        <v>16841.729297471069</v>
      </c>
      <c r="AU49" s="856">
        <v>16527.854840426491</v>
      </c>
      <c r="AV49" s="856">
        <v>16256.050535835768</v>
      </c>
      <c r="AW49" s="856">
        <v>16006.596918962901</v>
      </c>
      <c r="AX49" s="856">
        <v>14816.341808295803</v>
      </c>
      <c r="AY49" s="856">
        <v>15805.867442425804</v>
      </c>
      <c r="AZ49" s="856">
        <v>16853.601829623516</v>
      </c>
      <c r="BA49" s="856">
        <v>19037.1664735501</v>
      </c>
      <c r="BB49" s="856">
        <v>19558.669342488218</v>
      </c>
      <c r="BC49" s="856">
        <v>21690.958455277567</v>
      </c>
      <c r="BD49" s="856">
        <v>21769.819955249801</v>
      </c>
      <c r="BE49" s="856">
        <v>20515.969835745153</v>
      </c>
      <c r="BF49" s="856">
        <v>18707.384725992579</v>
      </c>
      <c r="BG49" s="856">
        <v>17194.662906816404</v>
      </c>
      <c r="BH49" s="856">
        <v>17534.395552451446</v>
      </c>
      <c r="BI49" s="856">
        <v>21430.804232799339</v>
      </c>
      <c r="BJ49" s="856">
        <v>21819.989235755154</v>
      </c>
      <c r="BK49" s="856">
        <v>18820.833436914523</v>
      </c>
      <c r="BL49" s="856">
        <v>17561.064038939247</v>
      </c>
      <c r="BM49" s="856">
        <v>16093.248044462756</v>
      </c>
      <c r="BN49" s="856">
        <v>16303.566108505043</v>
      </c>
      <c r="BO49" s="856">
        <v>20072.59277831886</v>
      </c>
      <c r="BP49" s="856">
        <v>24761.408888216043</v>
      </c>
    </row>
    <row r="50" spans="1:68" ht="16.5" customHeight="1">
      <c r="A50" s="857"/>
      <c r="B50" s="858"/>
      <c r="C50" s="859"/>
      <c r="D50" s="859"/>
      <c r="E50" s="859"/>
      <c r="F50" s="859"/>
      <c r="G50" s="859"/>
      <c r="H50" s="859"/>
      <c r="I50" s="859"/>
      <c r="J50" s="859"/>
      <c r="K50" s="859"/>
      <c r="L50" s="859"/>
      <c r="M50" s="859"/>
      <c r="N50" s="859"/>
      <c r="O50" s="859"/>
      <c r="P50" s="859"/>
      <c r="Q50" s="859"/>
      <c r="R50" s="859"/>
      <c r="S50" s="859"/>
      <c r="T50" s="859"/>
      <c r="U50" s="859"/>
      <c r="V50" s="859"/>
      <c r="W50" s="859"/>
      <c r="X50" s="859"/>
      <c r="Y50" s="859"/>
      <c r="Z50" s="859"/>
      <c r="AA50" s="859"/>
      <c r="AB50" s="859"/>
      <c r="AC50" s="859"/>
      <c r="AD50" s="859"/>
      <c r="AE50" s="859"/>
      <c r="AF50" s="859"/>
      <c r="AG50" s="859"/>
      <c r="AH50" s="859"/>
      <c r="AI50" s="859"/>
      <c r="AJ50" s="859"/>
      <c r="AK50" s="859"/>
      <c r="AL50" s="859"/>
      <c r="AM50" s="859"/>
      <c r="AN50" s="859"/>
      <c r="AO50" s="852"/>
      <c r="AP50" s="852"/>
      <c r="AQ50" s="852"/>
      <c r="AR50" s="852"/>
      <c r="AS50" s="852"/>
      <c r="AT50" s="852"/>
      <c r="AU50" s="852"/>
      <c r="AV50" s="852"/>
      <c r="AW50" s="852"/>
      <c r="AX50" s="852"/>
      <c r="AY50" s="852"/>
      <c r="AZ50" s="852"/>
      <c r="BA50" s="852"/>
      <c r="BB50" s="852"/>
      <c r="BC50" s="852"/>
      <c r="BD50" s="852"/>
      <c r="BE50" s="852"/>
      <c r="BF50" s="852"/>
      <c r="BG50" s="852"/>
      <c r="BH50" s="852"/>
      <c r="BI50" s="852"/>
      <c r="BJ50" s="852"/>
      <c r="BK50" s="852"/>
      <c r="BL50" s="852"/>
      <c r="BM50" s="852"/>
      <c r="BN50" s="852"/>
      <c r="BO50" s="852"/>
      <c r="BP50" s="852"/>
    </row>
    <row r="51" spans="1:68" ht="16.5" customHeight="1">
      <c r="A51" s="853" t="s">
        <v>2536</v>
      </c>
      <c r="B51" s="854" t="s">
        <v>2312</v>
      </c>
      <c r="C51" s="855">
        <v>0</v>
      </c>
      <c r="D51" s="855">
        <v>0</v>
      </c>
      <c r="E51" s="855">
        <v>0</v>
      </c>
      <c r="F51" s="855">
        <v>0</v>
      </c>
      <c r="G51" s="855">
        <v>0</v>
      </c>
      <c r="H51" s="855">
        <v>0</v>
      </c>
      <c r="I51" s="855">
        <v>0</v>
      </c>
      <c r="J51" s="855">
        <v>0</v>
      </c>
      <c r="K51" s="855">
        <v>0</v>
      </c>
      <c r="L51" s="855">
        <v>0</v>
      </c>
      <c r="M51" s="855">
        <v>0</v>
      </c>
      <c r="N51" s="855">
        <v>0</v>
      </c>
      <c r="O51" s="855">
        <v>0</v>
      </c>
      <c r="P51" s="855">
        <v>0</v>
      </c>
      <c r="Q51" s="855">
        <v>0</v>
      </c>
      <c r="R51" s="855">
        <v>0</v>
      </c>
      <c r="S51" s="855">
        <v>0</v>
      </c>
      <c r="T51" s="855">
        <v>0</v>
      </c>
      <c r="U51" s="855">
        <v>0</v>
      </c>
      <c r="V51" s="855">
        <v>0</v>
      </c>
      <c r="W51" s="855">
        <v>0</v>
      </c>
      <c r="X51" s="855">
        <v>0</v>
      </c>
      <c r="Y51" s="855">
        <v>0</v>
      </c>
      <c r="Z51" s="855">
        <v>0</v>
      </c>
      <c r="AA51" s="855">
        <v>0</v>
      </c>
      <c r="AB51" s="855">
        <v>0</v>
      </c>
      <c r="AC51" s="855">
        <v>0</v>
      </c>
      <c r="AD51" s="855">
        <v>0</v>
      </c>
      <c r="AE51" s="855">
        <v>0</v>
      </c>
      <c r="AF51" s="855">
        <v>0</v>
      </c>
      <c r="AG51" s="855">
        <v>0</v>
      </c>
      <c r="AH51" s="855">
        <v>0</v>
      </c>
      <c r="AI51" s="855">
        <v>0</v>
      </c>
      <c r="AJ51" s="855">
        <v>0</v>
      </c>
      <c r="AK51" s="855">
        <v>0</v>
      </c>
      <c r="AL51" s="855">
        <v>0</v>
      </c>
      <c r="AM51" s="855">
        <v>0</v>
      </c>
      <c r="AN51" s="855">
        <v>0</v>
      </c>
      <c r="AO51" s="856">
        <v>0</v>
      </c>
      <c r="AP51" s="856">
        <v>0</v>
      </c>
      <c r="AQ51" s="856">
        <v>0</v>
      </c>
      <c r="AR51" s="856">
        <v>0</v>
      </c>
      <c r="AS51" s="856">
        <v>0</v>
      </c>
      <c r="AT51" s="856">
        <v>0</v>
      </c>
      <c r="AU51" s="856">
        <v>0</v>
      </c>
      <c r="AV51" s="856">
        <v>0</v>
      </c>
      <c r="AW51" s="856">
        <v>0</v>
      </c>
      <c r="AX51" s="856">
        <v>0</v>
      </c>
      <c r="AY51" s="856">
        <v>900</v>
      </c>
      <c r="AZ51" s="856">
        <v>0</v>
      </c>
      <c r="BA51" s="856">
        <v>0</v>
      </c>
      <c r="BB51" s="856">
        <v>0</v>
      </c>
      <c r="BC51" s="856">
        <v>0</v>
      </c>
      <c r="BD51" s="856">
        <v>0</v>
      </c>
      <c r="BE51" s="856">
        <v>0</v>
      </c>
      <c r="BF51" s="856">
        <v>0</v>
      </c>
      <c r="BG51" s="856">
        <v>0</v>
      </c>
      <c r="BH51" s="856">
        <v>0</v>
      </c>
      <c r="BI51" s="856">
        <v>0</v>
      </c>
      <c r="BJ51" s="856">
        <v>0</v>
      </c>
      <c r="BK51" s="856">
        <v>0</v>
      </c>
      <c r="BL51" s="856">
        <v>0</v>
      </c>
      <c r="BM51" s="856">
        <v>0</v>
      </c>
      <c r="BN51" s="856">
        <v>0</v>
      </c>
      <c r="BO51" s="856">
        <v>0</v>
      </c>
      <c r="BP51" s="856">
        <v>0</v>
      </c>
    </row>
    <row r="52" spans="1:68" ht="16.5" customHeight="1">
      <c r="A52" s="857"/>
      <c r="B52" s="880"/>
      <c r="C52" s="859"/>
      <c r="D52" s="859"/>
      <c r="E52" s="859"/>
      <c r="F52" s="859"/>
      <c r="G52" s="859"/>
      <c r="H52" s="859"/>
      <c r="I52" s="859"/>
      <c r="J52" s="859"/>
      <c r="K52" s="859"/>
      <c r="L52" s="859"/>
      <c r="M52" s="859"/>
      <c r="N52" s="859"/>
      <c r="O52" s="859"/>
      <c r="P52" s="859"/>
      <c r="Q52" s="859"/>
      <c r="R52" s="859"/>
      <c r="S52" s="859"/>
      <c r="T52" s="859"/>
      <c r="U52" s="859"/>
      <c r="V52" s="859"/>
      <c r="W52" s="859"/>
      <c r="X52" s="859"/>
      <c r="Y52" s="859"/>
      <c r="Z52" s="859"/>
      <c r="AA52" s="859"/>
      <c r="AB52" s="859"/>
      <c r="AC52" s="859"/>
      <c r="AD52" s="859"/>
      <c r="AE52" s="859"/>
      <c r="AF52" s="859"/>
      <c r="AG52" s="859"/>
      <c r="AH52" s="859"/>
      <c r="AI52" s="859"/>
      <c r="AJ52" s="859"/>
      <c r="AK52" s="859"/>
      <c r="AL52" s="859"/>
      <c r="AM52" s="859"/>
      <c r="AN52" s="859"/>
      <c r="AO52" s="852"/>
      <c r="AP52" s="852"/>
      <c r="AQ52" s="852"/>
      <c r="AR52" s="852"/>
      <c r="AS52" s="852"/>
      <c r="AT52" s="852"/>
      <c r="AU52" s="852"/>
      <c r="AV52" s="852"/>
      <c r="AW52" s="852"/>
      <c r="AX52" s="852"/>
      <c r="AY52" s="852"/>
      <c r="AZ52" s="852"/>
      <c r="BA52" s="852"/>
      <c r="BB52" s="852"/>
      <c r="BC52" s="852"/>
      <c r="BD52" s="852"/>
      <c r="BE52" s="852"/>
      <c r="BF52" s="852"/>
      <c r="BG52" s="852"/>
      <c r="BH52" s="852"/>
      <c r="BI52" s="852"/>
      <c r="BJ52" s="852"/>
      <c r="BK52" s="852"/>
      <c r="BL52" s="852"/>
      <c r="BM52" s="852"/>
      <c r="BN52" s="852"/>
      <c r="BO52" s="852"/>
      <c r="BP52" s="852"/>
    </row>
    <row r="53" spans="1:68" ht="16.5" customHeight="1">
      <c r="A53" s="853" t="s">
        <v>2537</v>
      </c>
      <c r="B53" s="854" t="s">
        <v>2508</v>
      </c>
      <c r="C53" s="855">
        <v>0</v>
      </c>
      <c r="D53" s="855">
        <v>0</v>
      </c>
      <c r="E53" s="855">
        <v>0</v>
      </c>
      <c r="F53" s="855">
        <v>0</v>
      </c>
      <c r="G53" s="855">
        <v>0</v>
      </c>
      <c r="H53" s="855">
        <v>0</v>
      </c>
      <c r="I53" s="855">
        <v>0</v>
      </c>
      <c r="J53" s="855">
        <v>0</v>
      </c>
      <c r="K53" s="855">
        <v>0</v>
      </c>
      <c r="L53" s="855">
        <v>0</v>
      </c>
      <c r="M53" s="855">
        <v>0</v>
      </c>
      <c r="N53" s="855">
        <v>0</v>
      </c>
      <c r="O53" s="855">
        <v>0</v>
      </c>
      <c r="P53" s="855">
        <v>0</v>
      </c>
      <c r="Q53" s="855">
        <v>0</v>
      </c>
      <c r="R53" s="855">
        <v>0</v>
      </c>
      <c r="S53" s="855">
        <v>0</v>
      </c>
      <c r="T53" s="855">
        <v>0</v>
      </c>
      <c r="U53" s="855">
        <v>0</v>
      </c>
      <c r="V53" s="855">
        <v>0</v>
      </c>
      <c r="W53" s="855">
        <v>0</v>
      </c>
      <c r="X53" s="855">
        <v>0</v>
      </c>
      <c r="Y53" s="855">
        <v>0</v>
      </c>
      <c r="Z53" s="855">
        <v>0</v>
      </c>
      <c r="AA53" s="855">
        <v>0</v>
      </c>
      <c r="AB53" s="855">
        <v>0</v>
      </c>
      <c r="AC53" s="855">
        <v>0</v>
      </c>
      <c r="AD53" s="855">
        <v>0</v>
      </c>
      <c r="AE53" s="855">
        <v>0</v>
      </c>
      <c r="AF53" s="855">
        <v>0</v>
      </c>
      <c r="AG53" s="855">
        <v>0</v>
      </c>
      <c r="AH53" s="855">
        <v>0</v>
      </c>
      <c r="AI53" s="855">
        <v>0</v>
      </c>
      <c r="AJ53" s="855">
        <v>0</v>
      </c>
      <c r="AK53" s="855">
        <v>0</v>
      </c>
      <c r="AL53" s="855">
        <v>0</v>
      </c>
      <c r="AM53" s="855">
        <v>0</v>
      </c>
      <c r="AN53" s="855">
        <v>0</v>
      </c>
      <c r="AO53" s="856">
        <v>0</v>
      </c>
      <c r="AP53" s="856">
        <v>0</v>
      </c>
      <c r="AQ53" s="856">
        <v>0</v>
      </c>
      <c r="AR53" s="856">
        <v>0</v>
      </c>
      <c r="AS53" s="856">
        <v>0</v>
      </c>
      <c r="AT53" s="856">
        <v>0</v>
      </c>
      <c r="AU53" s="856">
        <v>0</v>
      </c>
      <c r="AV53" s="856">
        <v>0</v>
      </c>
      <c r="AW53" s="856">
        <v>0</v>
      </c>
      <c r="AX53" s="856">
        <v>0</v>
      </c>
      <c r="AY53" s="856">
        <v>0</v>
      </c>
      <c r="AZ53" s="856">
        <v>0</v>
      </c>
      <c r="BA53" s="856">
        <v>0</v>
      </c>
      <c r="BB53" s="856">
        <v>0</v>
      </c>
      <c r="BC53" s="856">
        <v>0</v>
      </c>
      <c r="BD53" s="856">
        <v>0</v>
      </c>
      <c r="BE53" s="856">
        <v>0</v>
      </c>
      <c r="BF53" s="856">
        <v>0</v>
      </c>
      <c r="BG53" s="856">
        <v>0</v>
      </c>
      <c r="BH53" s="856">
        <v>0</v>
      </c>
      <c r="BI53" s="856">
        <v>0</v>
      </c>
      <c r="BJ53" s="856">
        <v>0</v>
      </c>
      <c r="BK53" s="856">
        <v>0</v>
      </c>
      <c r="BL53" s="856">
        <v>0</v>
      </c>
      <c r="BM53" s="856">
        <v>0</v>
      </c>
      <c r="BN53" s="856">
        <v>0</v>
      </c>
      <c r="BO53" s="856">
        <v>0</v>
      </c>
      <c r="BP53" s="856">
        <v>0</v>
      </c>
    </row>
    <row r="54" spans="1:68" ht="16.5" customHeight="1">
      <c r="A54" s="857"/>
      <c r="B54" s="858"/>
      <c r="C54" s="859"/>
      <c r="D54" s="859"/>
      <c r="E54" s="859"/>
      <c r="F54" s="859"/>
      <c r="G54" s="859"/>
      <c r="H54" s="859"/>
      <c r="I54" s="859"/>
      <c r="J54" s="859"/>
      <c r="K54" s="859"/>
      <c r="L54" s="859"/>
      <c r="M54" s="859"/>
      <c r="N54" s="859"/>
      <c r="O54" s="859"/>
      <c r="P54" s="859"/>
      <c r="Q54" s="859"/>
      <c r="R54" s="859"/>
      <c r="S54" s="859"/>
      <c r="T54" s="859"/>
      <c r="U54" s="859"/>
      <c r="V54" s="859"/>
      <c r="W54" s="859"/>
      <c r="X54" s="859"/>
      <c r="Y54" s="859"/>
      <c r="Z54" s="859"/>
      <c r="AA54" s="859"/>
      <c r="AB54" s="859"/>
      <c r="AC54" s="859"/>
      <c r="AD54" s="859"/>
      <c r="AE54" s="859"/>
      <c r="AF54" s="859"/>
      <c r="AG54" s="859"/>
      <c r="AH54" s="859"/>
      <c r="AI54" s="859"/>
      <c r="AJ54" s="859"/>
      <c r="AK54" s="859"/>
      <c r="AL54" s="859"/>
      <c r="AM54" s="859"/>
      <c r="AN54" s="859"/>
      <c r="AO54" s="852"/>
      <c r="AP54" s="852"/>
      <c r="AQ54" s="852"/>
      <c r="AR54" s="852"/>
      <c r="AS54" s="852"/>
      <c r="AT54" s="852"/>
      <c r="AU54" s="852"/>
      <c r="AV54" s="852"/>
      <c r="AW54" s="852"/>
      <c r="AX54" s="852"/>
      <c r="AY54" s="852"/>
      <c r="AZ54" s="852"/>
      <c r="BA54" s="852"/>
      <c r="BB54" s="852"/>
      <c r="BC54" s="852"/>
      <c r="BD54" s="852"/>
      <c r="BE54" s="852"/>
      <c r="BF54" s="852"/>
      <c r="BG54" s="852"/>
      <c r="BH54" s="852"/>
      <c r="BI54" s="852"/>
      <c r="BJ54" s="852"/>
      <c r="BK54" s="852"/>
      <c r="BL54" s="852"/>
      <c r="BM54" s="852"/>
      <c r="BN54" s="852"/>
      <c r="BO54" s="852"/>
      <c r="BP54" s="852"/>
    </row>
    <row r="55" spans="1:68" ht="16.5" customHeight="1">
      <c r="A55" s="853" t="s">
        <v>2538</v>
      </c>
      <c r="B55" s="854" t="s">
        <v>2510</v>
      </c>
      <c r="C55" s="855">
        <v>0</v>
      </c>
      <c r="D55" s="855">
        <v>0</v>
      </c>
      <c r="E55" s="855">
        <v>0</v>
      </c>
      <c r="F55" s="855">
        <v>0</v>
      </c>
      <c r="G55" s="855">
        <v>0</v>
      </c>
      <c r="H55" s="855">
        <v>0</v>
      </c>
      <c r="I55" s="855">
        <v>0</v>
      </c>
      <c r="J55" s="855">
        <v>0</v>
      </c>
      <c r="K55" s="855">
        <v>0</v>
      </c>
      <c r="L55" s="855">
        <v>0</v>
      </c>
      <c r="M55" s="855">
        <v>0</v>
      </c>
      <c r="N55" s="855">
        <v>0</v>
      </c>
      <c r="O55" s="855">
        <v>0</v>
      </c>
      <c r="P55" s="855">
        <v>0</v>
      </c>
      <c r="Q55" s="855">
        <v>0</v>
      </c>
      <c r="R55" s="855">
        <v>0</v>
      </c>
      <c r="S55" s="855">
        <v>0</v>
      </c>
      <c r="T55" s="855">
        <v>0</v>
      </c>
      <c r="U55" s="855">
        <v>0</v>
      </c>
      <c r="V55" s="855">
        <v>0</v>
      </c>
      <c r="W55" s="855">
        <v>0</v>
      </c>
      <c r="X55" s="855">
        <v>0</v>
      </c>
      <c r="Y55" s="855">
        <v>0</v>
      </c>
      <c r="Z55" s="855">
        <v>0</v>
      </c>
      <c r="AA55" s="855">
        <v>0</v>
      </c>
      <c r="AB55" s="855">
        <v>0</v>
      </c>
      <c r="AC55" s="855">
        <v>0</v>
      </c>
      <c r="AD55" s="855">
        <v>0</v>
      </c>
      <c r="AE55" s="855">
        <v>0</v>
      </c>
      <c r="AF55" s="855">
        <v>0</v>
      </c>
      <c r="AG55" s="855">
        <v>0</v>
      </c>
      <c r="AH55" s="855">
        <v>0</v>
      </c>
      <c r="AI55" s="855">
        <v>0</v>
      </c>
      <c r="AJ55" s="855">
        <v>0</v>
      </c>
      <c r="AK55" s="855">
        <v>0</v>
      </c>
      <c r="AL55" s="855">
        <v>0</v>
      </c>
      <c r="AM55" s="855">
        <v>0</v>
      </c>
      <c r="AN55" s="855">
        <v>0</v>
      </c>
      <c r="AO55" s="856">
        <v>0</v>
      </c>
      <c r="AP55" s="856">
        <v>0</v>
      </c>
      <c r="AQ55" s="856">
        <v>0</v>
      </c>
      <c r="AR55" s="856">
        <v>0</v>
      </c>
      <c r="AS55" s="856">
        <v>0</v>
      </c>
      <c r="AT55" s="856">
        <v>0</v>
      </c>
      <c r="AU55" s="856">
        <v>0</v>
      </c>
      <c r="AV55" s="856">
        <v>0</v>
      </c>
      <c r="AW55" s="856">
        <v>0</v>
      </c>
      <c r="AX55" s="856">
        <v>0</v>
      </c>
      <c r="AY55" s="856">
        <v>0</v>
      </c>
      <c r="AZ55" s="856">
        <v>0</v>
      </c>
      <c r="BA55" s="856">
        <v>0</v>
      </c>
      <c r="BB55" s="856">
        <v>0</v>
      </c>
      <c r="BC55" s="856">
        <v>0</v>
      </c>
      <c r="BD55" s="856">
        <v>0</v>
      </c>
      <c r="BE55" s="856">
        <v>0</v>
      </c>
      <c r="BF55" s="856">
        <v>0</v>
      </c>
      <c r="BG55" s="856">
        <v>0</v>
      </c>
      <c r="BH55" s="856">
        <v>0</v>
      </c>
      <c r="BI55" s="856">
        <v>0</v>
      </c>
      <c r="BJ55" s="856">
        <v>0</v>
      </c>
      <c r="BK55" s="856">
        <v>0</v>
      </c>
      <c r="BL55" s="856">
        <v>0</v>
      </c>
      <c r="BM55" s="856">
        <v>0</v>
      </c>
      <c r="BN55" s="856">
        <v>0</v>
      </c>
      <c r="BO55" s="856">
        <v>0</v>
      </c>
      <c r="BP55" s="856">
        <v>0</v>
      </c>
    </row>
    <row r="56" spans="1:68" ht="16.5" customHeight="1">
      <c r="A56" s="857"/>
      <c r="B56" s="858"/>
      <c r="C56" s="859"/>
      <c r="D56" s="859"/>
      <c r="E56" s="859"/>
      <c r="F56" s="859"/>
      <c r="G56" s="859"/>
      <c r="H56" s="859"/>
      <c r="I56" s="859"/>
      <c r="J56" s="859"/>
      <c r="K56" s="859"/>
      <c r="L56" s="859"/>
      <c r="M56" s="859"/>
      <c r="N56" s="859"/>
      <c r="O56" s="859"/>
      <c r="P56" s="859"/>
      <c r="Q56" s="859"/>
      <c r="R56" s="859"/>
      <c r="S56" s="859"/>
      <c r="T56" s="859"/>
      <c r="U56" s="859"/>
      <c r="V56" s="859"/>
      <c r="W56" s="859"/>
      <c r="X56" s="859"/>
      <c r="Y56" s="859"/>
      <c r="Z56" s="859"/>
      <c r="AA56" s="859"/>
      <c r="AB56" s="859"/>
      <c r="AC56" s="859"/>
      <c r="AD56" s="859"/>
      <c r="AE56" s="859"/>
      <c r="AF56" s="859"/>
      <c r="AG56" s="859"/>
      <c r="AH56" s="859"/>
      <c r="AI56" s="859"/>
      <c r="AJ56" s="859"/>
      <c r="AK56" s="859"/>
      <c r="AL56" s="859"/>
      <c r="AM56" s="859"/>
      <c r="AN56" s="859"/>
      <c r="AO56" s="852"/>
      <c r="AP56" s="852"/>
      <c r="AQ56" s="852"/>
      <c r="AR56" s="852"/>
      <c r="AS56" s="852"/>
      <c r="AT56" s="852"/>
      <c r="AU56" s="852"/>
      <c r="AV56" s="852"/>
      <c r="AW56" s="852"/>
      <c r="AX56" s="852"/>
      <c r="AY56" s="852"/>
      <c r="AZ56" s="852"/>
      <c r="BA56" s="852"/>
      <c r="BB56" s="852"/>
      <c r="BC56" s="852"/>
      <c r="BD56" s="852"/>
      <c r="BE56" s="852"/>
      <c r="BF56" s="852"/>
      <c r="BG56" s="852"/>
      <c r="BH56" s="852"/>
      <c r="BI56" s="852"/>
      <c r="BJ56" s="852"/>
      <c r="BK56" s="852"/>
      <c r="BL56" s="852"/>
      <c r="BM56" s="852"/>
      <c r="BN56" s="852"/>
      <c r="BO56" s="852"/>
      <c r="BP56" s="852"/>
    </row>
    <row r="57" spans="1:68" ht="16.5" customHeight="1">
      <c r="A57" s="853" t="s">
        <v>2539</v>
      </c>
      <c r="B57" s="854" t="s">
        <v>2540</v>
      </c>
      <c r="C57" s="855">
        <v>538.21283592999998</v>
      </c>
      <c r="D57" s="855">
        <v>486.14490092999995</v>
      </c>
      <c r="E57" s="855">
        <v>618.69126218000008</v>
      </c>
      <c r="F57" s="855">
        <v>512.37668000999997</v>
      </c>
      <c r="G57" s="855">
        <v>590.64657192999994</v>
      </c>
      <c r="H57" s="855">
        <v>929.23720615000002</v>
      </c>
      <c r="I57" s="855">
        <v>2338.0420034099998</v>
      </c>
      <c r="J57" s="855">
        <v>927.75824321999994</v>
      </c>
      <c r="K57" s="855">
        <v>1072.1266438399998</v>
      </c>
      <c r="L57" s="855">
        <v>1049.9736225899999</v>
      </c>
      <c r="M57" s="855">
        <v>921.2037224899999</v>
      </c>
      <c r="N57" s="855">
        <v>975.29421922999995</v>
      </c>
      <c r="O57" s="855">
        <v>1179.0680737399998</v>
      </c>
      <c r="P57" s="855">
        <v>845.18880186000001</v>
      </c>
      <c r="Q57" s="855">
        <v>867.82027834999997</v>
      </c>
      <c r="R57" s="855">
        <v>1070.84335545</v>
      </c>
      <c r="S57" s="855">
        <v>1155.9288818900002</v>
      </c>
      <c r="T57" s="855">
        <v>1215.97244467</v>
      </c>
      <c r="U57" s="855">
        <v>1354.25470415</v>
      </c>
      <c r="V57" s="855">
        <v>1353.74939073</v>
      </c>
      <c r="W57" s="855">
        <v>978.95630284999993</v>
      </c>
      <c r="X57" s="855">
        <v>1123.9420090399999</v>
      </c>
      <c r="Y57" s="855">
        <v>1187.4279252400001</v>
      </c>
      <c r="Z57" s="855">
        <v>1138.04615612</v>
      </c>
      <c r="AA57" s="855">
        <v>1126.1566596799998</v>
      </c>
      <c r="AB57" s="855">
        <v>1034.2038716699999</v>
      </c>
      <c r="AC57" s="855">
        <v>1047.56163956</v>
      </c>
      <c r="AD57" s="855">
        <v>1100.7612842200001</v>
      </c>
      <c r="AE57" s="855">
        <v>1237.1838996199999</v>
      </c>
      <c r="AF57" s="855">
        <v>911.68682326999988</v>
      </c>
      <c r="AG57" s="855">
        <v>1625.31888514</v>
      </c>
      <c r="AH57" s="855">
        <v>1549.26650855</v>
      </c>
      <c r="AI57" s="855">
        <v>1568.3670513499999</v>
      </c>
      <c r="AJ57" s="855">
        <v>1263.2788130399999</v>
      </c>
      <c r="AK57" s="855">
        <v>1250.9957634699999</v>
      </c>
      <c r="AL57" s="855">
        <v>1312.9801299100004</v>
      </c>
      <c r="AM57" s="855">
        <v>1373.2369780400002</v>
      </c>
      <c r="AN57" s="855">
        <v>1294.51844523</v>
      </c>
      <c r="AO57" s="856">
        <v>1309.22184118</v>
      </c>
      <c r="AP57" s="856">
        <v>1381.3287188100001</v>
      </c>
      <c r="AQ57" s="856">
        <v>1284.6913234800343</v>
      </c>
      <c r="AR57" s="856">
        <v>1128.0638976000148</v>
      </c>
      <c r="AS57" s="856">
        <v>1389.1377747299755</v>
      </c>
      <c r="AT57" s="856">
        <v>1621.9914351249708</v>
      </c>
      <c r="AU57" s="856">
        <v>1429.9281341417975</v>
      </c>
      <c r="AV57" s="856">
        <v>1350.8092643812051</v>
      </c>
      <c r="AW57" s="856">
        <v>1363.481055648788</v>
      </c>
      <c r="AX57" s="856">
        <v>1481.0242033974096</v>
      </c>
      <c r="AY57" s="856">
        <v>1369.1390704724565</v>
      </c>
      <c r="AZ57" s="856">
        <v>1211.890613675366</v>
      </c>
      <c r="BA57" s="856">
        <v>1287.3444427282561</v>
      </c>
      <c r="BB57" s="856">
        <v>1167.436104729722</v>
      </c>
      <c r="BC57" s="856">
        <v>1144.7062325860024</v>
      </c>
      <c r="BD57" s="856">
        <v>1185.1920070913661</v>
      </c>
      <c r="BE57" s="856">
        <v>1296.546781784871</v>
      </c>
      <c r="BF57" s="856">
        <v>1254.3451458262853</v>
      </c>
      <c r="BG57" s="856">
        <v>1264.0378001964027</v>
      </c>
      <c r="BH57" s="856">
        <v>1616.3914386308027</v>
      </c>
      <c r="BI57" s="856">
        <v>1627.2223627918927</v>
      </c>
      <c r="BJ57" s="856">
        <v>1842.6271117917099</v>
      </c>
      <c r="BK57" s="856">
        <v>1628.6121597820661</v>
      </c>
      <c r="BL57" s="856">
        <v>1622.6072468596196</v>
      </c>
      <c r="BM57" s="856">
        <v>1753.2287598542005</v>
      </c>
      <c r="BN57" s="856">
        <v>1650.7368296397069</v>
      </c>
      <c r="BO57" s="856">
        <v>1651.2165607760658</v>
      </c>
      <c r="BP57" s="856">
        <v>1634.1071258180323</v>
      </c>
    </row>
    <row r="58" spans="1:68" ht="16.5" customHeight="1">
      <c r="A58" s="857"/>
      <c r="B58" s="858"/>
      <c r="C58" s="859"/>
      <c r="D58" s="859"/>
      <c r="E58" s="859"/>
      <c r="F58" s="859"/>
      <c r="G58" s="859"/>
      <c r="H58" s="859"/>
      <c r="I58" s="859"/>
      <c r="J58" s="859"/>
      <c r="K58" s="859"/>
      <c r="L58" s="859"/>
      <c r="M58" s="859"/>
      <c r="N58" s="859"/>
      <c r="O58" s="859"/>
      <c r="P58" s="859"/>
      <c r="Q58" s="859"/>
      <c r="R58" s="859"/>
      <c r="S58" s="859"/>
      <c r="T58" s="859"/>
      <c r="U58" s="859"/>
      <c r="V58" s="859"/>
      <c r="W58" s="859"/>
      <c r="X58" s="859"/>
      <c r="Y58" s="859"/>
      <c r="Z58" s="859"/>
      <c r="AA58" s="859"/>
      <c r="AB58" s="859"/>
      <c r="AC58" s="859"/>
      <c r="AD58" s="859"/>
      <c r="AE58" s="859"/>
      <c r="AF58" s="859"/>
      <c r="AG58" s="859"/>
      <c r="AH58" s="859"/>
      <c r="AI58" s="859"/>
      <c r="AJ58" s="859"/>
      <c r="AK58" s="859"/>
      <c r="AL58" s="859"/>
      <c r="AM58" s="859"/>
      <c r="AN58" s="859"/>
      <c r="AO58" s="852"/>
      <c r="AP58" s="852"/>
      <c r="AQ58" s="852"/>
      <c r="AR58" s="852"/>
      <c r="AS58" s="852"/>
      <c r="AT58" s="852"/>
      <c r="AU58" s="852"/>
      <c r="AV58" s="852"/>
      <c r="AW58" s="852"/>
      <c r="AX58" s="852"/>
      <c r="AY58" s="852"/>
      <c r="AZ58" s="852"/>
      <c r="BA58" s="852"/>
      <c r="BB58" s="852"/>
      <c r="BC58" s="852"/>
      <c r="BD58" s="852"/>
      <c r="BE58" s="852"/>
      <c r="BF58" s="852"/>
      <c r="BG58" s="852"/>
      <c r="BH58" s="852"/>
      <c r="BI58" s="852"/>
      <c r="BJ58" s="852"/>
      <c r="BK58" s="852"/>
      <c r="BL58" s="852"/>
      <c r="BM58" s="852"/>
      <c r="BN58" s="852"/>
      <c r="BO58" s="852"/>
      <c r="BP58" s="852"/>
    </row>
    <row r="59" spans="1:68" ht="16.5" customHeight="1">
      <c r="A59" s="853" t="s">
        <v>2541</v>
      </c>
      <c r="B59" s="854" t="s">
        <v>2506</v>
      </c>
      <c r="C59" s="855">
        <v>19964.110167409999</v>
      </c>
      <c r="D59" s="855">
        <v>20456.15655851</v>
      </c>
      <c r="E59" s="855">
        <v>20656.54350453</v>
      </c>
      <c r="F59" s="855">
        <v>20976.469956159999</v>
      </c>
      <c r="G59" s="855">
        <v>23542.384742170001</v>
      </c>
      <c r="H59" s="855">
        <v>20273.87106505</v>
      </c>
      <c r="I59" s="855">
        <v>18508.569286829999</v>
      </c>
      <c r="J59" s="855">
        <v>19472.344551769998</v>
      </c>
      <c r="K59" s="855">
        <v>20495.222189169999</v>
      </c>
      <c r="L59" s="855">
        <v>20301.791217229998</v>
      </c>
      <c r="M59" s="855">
        <v>20191.020255150001</v>
      </c>
      <c r="N59" s="855">
        <v>21361.044988709997</v>
      </c>
      <c r="O59" s="855">
        <v>19413.827296809999</v>
      </c>
      <c r="P59" s="855">
        <v>19582.327154340001</v>
      </c>
      <c r="Q59" s="855">
        <v>18243.485036359998</v>
      </c>
      <c r="R59" s="855">
        <v>17904.736877859999</v>
      </c>
      <c r="S59" s="855">
        <v>18921.887750959999</v>
      </c>
      <c r="T59" s="855">
        <v>20149.1601701</v>
      </c>
      <c r="U59" s="855">
        <v>18753.241767789998</v>
      </c>
      <c r="V59" s="855">
        <v>19617.36774234</v>
      </c>
      <c r="W59" s="855">
        <v>19604.223607199998</v>
      </c>
      <c r="X59" s="855">
        <v>21354.738473539997</v>
      </c>
      <c r="Y59" s="855">
        <v>20283.88373102</v>
      </c>
      <c r="Z59" s="855">
        <v>19542.970377909998</v>
      </c>
      <c r="AA59" s="855">
        <v>21291.50351029</v>
      </c>
      <c r="AB59" s="855">
        <v>21595.119234289999</v>
      </c>
      <c r="AC59" s="855">
        <v>20783.147565799998</v>
      </c>
      <c r="AD59" s="855">
        <v>21203.46923585</v>
      </c>
      <c r="AE59" s="855">
        <v>19954.35588607</v>
      </c>
      <c r="AF59" s="855">
        <v>23783.569044779997</v>
      </c>
      <c r="AG59" s="855">
        <v>23780.145553330003</v>
      </c>
      <c r="AH59" s="855">
        <v>23569.844059790001</v>
      </c>
      <c r="AI59" s="855">
        <v>25164.681625080102</v>
      </c>
      <c r="AJ59" s="855">
        <v>26025.415872760001</v>
      </c>
      <c r="AK59" s="855">
        <v>25692.210255179998</v>
      </c>
      <c r="AL59" s="855">
        <v>25383.877467489987</v>
      </c>
      <c r="AM59" s="855">
        <v>25930.891317520014</v>
      </c>
      <c r="AN59" s="855">
        <v>25189.279282339961</v>
      </c>
      <c r="AO59" s="856">
        <v>25613.860504809993</v>
      </c>
      <c r="AP59" s="856">
        <v>25224.743159949947</v>
      </c>
      <c r="AQ59" s="856">
        <v>23948.197494770015</v>
      </c>
      <c r="AR59" s="856">
        <v>21850.039449129999</v>
      </c>
      <c r="AS59" s="856">
        <v>22254.871252340021</v>
      </c>
      <c r="AT59" s="856">
        <v>21879.72865525998</v>
      </c>
      <c r="AU59" s="856">
        <v>22545.301191179984</v>
      </c>
      <c r="AV59" s="856">
        <v>22101.591468449988</v>
      </c>
      <c r="AW59" s="856">
        <v>21365.243426009973</v>
      </c>
      <c r="AX59" s="856">
        <v>20881.14524601998</v>
      </c>
      <c r="AY59" s="856">
        <v>20472.976203240014</v>
      </c>
      <c r="AZ59" s="856">
        <v>21487.784692900019</v>
      </c>
      <c r="BA59" s="856">
        <v>21928.267963229922</v>
      </c>
      <c r="BB59" s="856">
        <v>21797.014970980046</v>
      </c>
      <c r="BC59" s="856">
        <v>22086.19730513003</v>
      </c>
      <c r="BD59" s="856">
        <v>22650.277264699977</v>
      </c>
      <c r="BE59" s="856">
        <v>21679.910396959978</v>
      </c>
      <c r="BF59" s="856">
        <v>22462.728441649982</v>
      </c>
      <c r="BG59" s="856">
        <v>20288.861448660031</v>
      </c>
      <c r="BH59" s="856">
        <v>18978.052171999949</v>
      </c>
      <c r="BI59" s="856">
        <v>18191.658810679994</v>
      </c>
      <c r="BJ59" s="856">
        <v>17271.864959959996</v>
      </c>
      <c r="BK59" s="856">
        <v>16252.714630709965</v>
      </c>
      <c r="BL59" s="856">
        <v>18325.476515089984</v>
      </c>
      <c r="BM59" s="856">
        <v>27006.25268139</v>
      </c>
      <c r="BN59" s="856">
        <v>26101.492148820111</v>
      </c>
      <c r="BO59" s="856">
        <v>24870.176161724856</v>
      </c>
      <c r="BP59" s="856">
        <v>24471.645377400018</v>
      </c>
    </row>
    <row r="60" spans="1:68" ht="16.5" customHeight="1">
      <c r="A60" s="857"/>
      <c r="B60" s="858"/>
      <c r="C60" s="860"/>
      <c r="D60" s="860"/>
      <c r="E60" s="860"/>
      <c r="F60" s="860"/>
      <c r="G60" s="860"/>
      <c r="H60" s="860"/>
      <c r="I60" s="860"/>
      <c r="J60" s="860"/>
      <c r="K60" s="860"/>
      <c r="L60" s="860"/>
      <c r="M60" s="860"/>
      <c r="N60" s="860"/>
      <c r="O60" s="860"/>
      <c r="P60" s="860"/>
      <c r="Q60" s="860"/>
      <c r="R60" s="860"/>
      <c r="S60" s="860"/>
      <c r="T60" s="860"/>
      <c r="U60" s="860"/>
      <c r="V60" s="860"/>
      <c r="W60" s="860"/>
      <c r="X60" s="860"/>
      <c r="Y60" s="860"/>
      <c r="Z60" s="860"/>
      <c r="AA60" s="860"/>
      <c r="AB60" s="860"/>
      <c r="AC60" s="860"/>
      <c r="AD60" s="860"/>
      <c r="AE60" s="860"/>
      <c r="AF60" s="860"/>
      <c r="AG60" s="860"/>
      <c r="AH60" s="860"/>
      <c r="AI60" s="860"/>
      <c r="AJ60" s="860"/>
      <c r="AK60" s="860"/>
      <c r="AL60" s="860"/>
      <c r="AM60" s="860"/>
      <c r="AN60" s="860"/>
      <c r="AO60" s="852"/>
      <c r="AP60" s="852"/>
      <c r="AQ60" s="852"/>
      <c r="AR60" s="852"/>
      <c r="AS60" s="852"/>
      <c r="AT60" s="852"/>
      <c r="AU60" s="852"/>
      <c r="AV60" s="852"/>
      <c r="AW60" s="852"/>
      <c r="AX60" s="852"/>
      <c r="AY60" s="852"/>
      <c r="AZ60" s="852"/>
      <c r="BA60" s="852"/>
      <c r="BB60" s="852"/>
      <c r="BC60" s="852"/>
      <c r="BD60" s="852"/>
      <c r="BE60" s="852"/>
      <c r="BF60" s="852"/>
      <c r="BG60" s="852"/>
      <c r="BH60" s="852"/>
      <c r="BI60" s="852"/>
      <c r="BJ60" s="852"/>
      <c r="BK60" s="852"/>
      <c r="BL60" s="852"/>
      <c r="BM60" s="852"/>
      <c r="BN60" s="852"/>
      <c r="BO60" s="852"/>
      <c r="BP60" s="852"/>
    </row>
    <row r="61" spans="1:68" ht="16.5" customHeight="1">
      <c r="A61" s="853"/>
      <c r="B61" s="854" t="s">
        <v>2542</v>
      </c>
      <c r="C61" s="855">
        <v>69596.492978319991</v>
      </c>
      <c r="D61" s="855">
        <v>70941.137481892089</v>
      </c>
      <c r="E61" s="855">
        <v>70499.654408622795</v>
      </c>
      <c r="F61" s="855">
        <v>71302.400435399992</v>
      </c>
      <c r="G61" s="855">
        <v>74450.371189439247</v>
      </c>
      <c r="H61" s="855">
        <v>73422.694705203787</v>
      </c>
      <c r="I61" s="855">
        <v>73741.023017996515</v>
      </c>
      <c r="J61" s="855">
        <v>74913.405949937558</v>
      </c>
      <c r="K61" s="855">
        <v>78694.334379371867</v>
      </c>
      <c r="L61" s="855">
        <v>79392.890201197049</v>
      </c>
      <c r="M61" s="855">
        <v>82982.38913011353</v>
      </c>
      <c r="N61" s="855">
        <v>86612.239956321166</v>
      </c>
      <c r="O61" s="855">
        <v>83585.412843679136</v>
      </c>
      <c r="P61" s="855">
        <v>83414.251738604406</v>
      </c>
      <c r="Q61" s="855">
        <v>84435.871824729984</v>
      </c>
      <c r="R61" s="855">
        <v>84082.643758713326</v>
      </c>
      <c r="S61" s="855">
        <v>85853.7490461774</v>
      </c>
      <c r="T61" s="855">
        <v>88592.546954006102</v>
      </c>
      <c r="U61" s="855">
        <v>88882.225156140514</v>
      </c>
      <c r="V61" s="855">
        <v>89112.098273285083</v>
      </c>
      <c r="W61" s="855">
        <v>87868.85674328811</v>
      </c>
      <c r="X61" s="855">
        <v>91091.426085718325</v>
      </c>
      <c r="Y61" s="855">
        <v>89540.306184057728</v>
      </c>
      <c r="Z61" s="855">
        <v>92681.040481569406</v>
      </c>
      <c r="AA61" s="855">
        <v>93057.427462320033</v>
      </c>
      <c r="AB61" s="855">
        <v>93216.006621315551</v>
      </c>
      <c r="AC61" s="855">
        <v>92395.195668494649</v>
      </c>
      <c r="AD61" s="855">
        <v>92343.333515853825</v>
      </c>
      <c r="AE61" s="855">
        <v>90504.874658527566</v>
      </c>
      <c r="AF61" s="855">
        <v>97002.375047003166</v>
      </c>
      <c r="AG61" s="855">
        <v>98020.36266122805</v>
      </c>
      <c r="AH61" s="855">
        <v>97950.904823900244</v>
      </c>
      <c r="AI61" s="855">
        <v>98887.514704928049</v>
      </c>
      <c r="AJ61" s="855">
        <v>98497.729015718214</v>
      </c>
      <c r="AK61" s="855">
        <v>99356.306201215775</v>
      </c>
      <c r="AL61" s="855">
        <v>100930.55116470347</v>
      </c>
      <c r="AM61" s="855">
        <v>104790.8711862858</v>
      </c>
      <c r="AN61" s="855">
        <v>104458.18777059334</v>
      </c>
      <c r="AO61" s="856">
        <v>108086.37032072496</v>
      </c>
      <c r="AP61" s="856">
        <v>107405.78630819431</v>
      </c>
      <c r="AQ61" s="856">
        <v>114390.36744273815</v>
      </c>
      <c r="AR61" s="856">
        <v>113988.66618276245</v>
      </c>
      <c r="AS61" s="856">
        <v>111194.3348185853</v>
      </c>
      <c r="AT61" s="856">
        <v>110092.93683619938</v>
      </c>
      <c r="AU61" s="856">
        <v>112471.1827692574</v>
      </c>
      <c r="AV61" s="856">
        <v>111686.14588464067</v>
      </c>
      <c r="AW61" s="856">
        <v>111021.07279987191</v>
      </c>
      <c r="AX61" s="856">
        <v>115230.05499443377</v>
      </c>
      <c r="AY61" s="856">
        <v>115477.48536903718</v>
      </c>
      <c r="AZ61" s="856">
        <v>120988.83522910152</v>
      </c>
      <c r="BA61" s="856">
        <v>122871.29449204239</v>
      </c>
      <c r="BB61" s="856">
        <v>127088.77066029809</v>
      </c>
      <c r="BC61" s="856">
        <v>128069.4762808027</v>
      </c>
      <c r="BD61" s="856">
        <v>130583.81207642556</v>
      </c>
      <c r="BE61" s="856">
        <v>131173.15071691383</v>
      </c>
      <c r="BF61" s="856">
        <v>133456.09197498212</v>
      </c>
      <c r="BG61" s="856">
        <v>130765.6793397868</v>
      </c>
      <c r="BH61" s="856">
        <v>129055.71459652908</v>
      </c>
      <c r="BI61" s="856">
        <v>126942.81240977174</v>
      </c>
      <c r="BJ61" s="856">
        <v>131563.49427910321</v>
      </c>
      <c r="BK61" s="856">
        <v>128415.42706414525</v>
      </c>
      <c r="BL61" s="856">
        <v>134436.63312649104</v>
      </c>
      <c r="BM61" s="856">
        <v>147415.07719755106</v>
      </c>
      <c r="BN61" s="856">
        <v>146159.68355201508</v>
      </c>
      <c r="BO61" s="856">
        <v>146084.06147709003</v>
      </c>
      <c r="BP61" s="856">
        <v>149685.82964859999</v>
      </c>
    </row>
    <row r="62" spans="1:68" ht="16.5" customHeight="1" thickBot="1">
      <c r="A62" s="881"/>
      <c r="B62" s="882"/>
      <c r="C62" s="883"/>
      <c r="D62" s="883"/>
      <c r="E62" s="883"/>
      <c r="F62" s="883"/>
      <c r="G62" s="883"/>
      <c r="H62" s="883"/>
      <c r="I62" s="883"/>
      <c r="J62" s="884"/>
      <c r="K62" s="885"/>
      <c r="L62" s="885"/>
      <c r="M62" s="885"/>
      <c r="N62" s="885"/>
      <c r="O62" s="885"/>
      <c r="P62" s="885"/>
      <c r="Q62" s="885"/>
      <c r="R62" s="885"/>
      <c r="S62" s="885"/>
      <c r="T62" s="885"/>
      <c r="U62" s="885"/>
      <c r="V62" s="886"/>
      <c r="W62" s="886"/>
      <c r="X62" s="886"/>
      <c r="Y62" s="886"/>
      <c r="Z62" s="886"/>
      <c r="AA62" s="886"/>
      <c r="AB62" s="886"/>
      <c r="AC62" s="886"/>
      <c r="AD62" s="886"/>
      <c r="AE62" s="886"/>
      <c r="AF62" s="886"/>
      <c r="AG62" s="886"/>
      <c r="AH62" s="886"/>
      <c r="AI62" s="886"/>
      <c r="AJ62" s="886"/>
      <c r="AK62" s="886"/>
      <c r="AL62" s="886"/>
      <c r="AM62" s="886"/>
      <c r="AN62" s="886"/>
      <c r="AO62" s="887"/>
      <c r="AP62" s="887"/>
      <c r="AQ62" s="887"/>
      <c r="AR62" s="887"/>
      <c r="AS62" s="887"/>
      <c r="AT62" s="887"/>
      <c r="AU62" s="887"/>
      <c r="AV62" s="887"/>
      <c r="AW62" s="887"/>
      <c r="AX62" s="887"/>
      <c r="AY62" s="887"/>
      <c r="AZ62" s="887"/>
      <c r="BA62" s="887"/>
      <c r="BB62" s="887"/>
      <c r="BC62" s="887"/>
      <c r="BD62" s="887"/>
      <c r="BE62" s="887"/>
      <c r="BF62" s="887"/>
      <c r="BG62" s="887"/>
      <c r="BH62" s="887"/>
      <c r="BI62" s="887"/>
      <c r="BJ62" s="887"/>
      <c r="BK62" s="887"/>
      <c r="BL62" s="887"/>
      <c r="BM62" s="887"/>
      <c r="BN62" s="887"/>
      <c r="BO62" s="887"/>
      <c r="BP62" s="887"/>
    </row>
    <row r="63" spans="1:68" ht="17.25" customHeight="1" thickTop="1">
      <c r="A63" s="628" t="s">
        <v>2543</v>
      </c>
      <c r="B63" s="807"/>
    </row>
    <row r="64" spans="1:68" ht="14.25" customHeight="1">
      <c r="A64" s="888" t="s">
        <v>2544</v>
      </c>
      <c r="B64" s="889"/>
    </row>
    <row r="65" spans="1:68" ht="14.25" customHeight="1">
      <c r="A65" s="890" t="s">
        <v>2545</v>
      </c>
      <c r="B65" s="889"/>
    </row>
    <row r="66" spans="1:68" ht="14.25" customHeight="1">
      <c r="A66" s="628" t="s">
        <v>2346</v>
      </c>
      <c r="B66" s="807"/>
    </row>
    <row r="67" spans="1:68" ht="13.5" customHeight="1">
      <c r="A67" s="628" t="s">
        <v>2053</v>
      </c>
      <c r="B67" s="807"/>
    </row>
    <row r="68" spans="1:68">
      <c r="A68" s="891"/>
    </row>
    <row r="70" spans="1:68" ht="15.75">
      <c r="A70" s="870"/>
      <c r="B70" s="870"/>
      <c r="C70" s="870"/>
      <c r="D70" s="870"/>
      <c r="E70" s="870"/>
      <c r="F70" s="870"/>
      <c r="G70" s="870"/>
      <c r="H70" s="870"/>
      <c r="I70" s="870"/>
      <c r="J70" s="870"/>
      <c r="K70" s="870"/>
      <c r="L70" s="870"/>
      <c r="M70" s="870"/>
      <c r="N70" s="870"/>
      <c r="O70" s="870"/>
      <c r="P70" s="870"/>
      <c r="Q70" s="870"/>
      <c r="R70" s="870"/>
      <c r="S70" s="870"/>
      <c r="T70" s="870"/>
      <c r="U70" s="870"/>
      <c r="V70" s="870"/>
      <c r="W70" s="870"/>
      <c r="X70" s="870"/>
      <c r="Y70" s="870"/>
      <c r="Z70" s="870"/>
      <c r="AA70" s="870"/>
      <c r="AB70" s="870"/>
      <c r="AC70" s="870"/>
      <c r="AD70" s="870"/>
      <c r="AE70" s="870"/>
      <c r="AF70" s="870"/>
      <c r="AG70" s="870"/>
      <c r="AH70" s="870"/>
      <c r="AI70" s="870"/>
      <c r="AJ70" s="870"/>
      <c r="AK70" s="870"/>
      <c r="AL70" s="870"/>
      <c r="AM70" s="870"/>
      <c r="AN70" s="870"/>
      <c r="AO70" s="870"/>
      <c r="AP70" s="870"/>
      <c r="AQ70" s="870"/>
      <c r="AR70" s="870"/>
      <c r="AS70" s="870"/>
      <c r="AT70" s="870"/>
      <c r="AU70" s="870"/>
      <c r="AV70" s="870"/>
      <c r="AW70" s="870"/>
      <c r="AX70" s="870"/>
      <c r="AY70" s="870"/>
      <c r="AZ70" s="870"/>
      <c r="BA70" s="870"/>
      <c r="BB70" s="870"/>
      <c r="BC70" s="870"/>
      <c r="BD70" s="870"/>
      <c r="BE70" s="870"/>
      <c r="BF70" s="870"/>
      <c r="BG70" s="870"/>
      <c r="BH70" s="870"/>
      <c r="BI70" s="870"/>
      <c r="BJ70" s="870"/>
      <c r="BK70" s="870"/>
      <c r="BL70" s="870"/>
      <c r="BM70" s="870"/>
      <c r="BN70" s="870"/>
      <c r="BO70" s="870"/>
      <c r="BP70" s="870"/>
    </row>
    <row r="71" spans="1:68" ht="15.75">
      <c r="A71" s="870"/>
      <c r="B71" s="870"/>
      <c r="C71" s="870"/>
      <c r="D71" s="870"/>
      <c r="E71" s="870"/>
      <c r="F71" s="870"/>
      <c r="G71" s="870"/>
      <c r="H71" s="870"/>
      <c r="I71" s="870"/>
      <c r="J71" s="870"/>
      <c r="K71" s="870"/>
      <c r="L71" s="870"/>
      <c r="M71" s="870"/>
      <c r="N71" s="870"/>
      <c r="O71" s="870"/>
      <c r="P71" s="870"/>
      <c r="Q71" s="870"/>
      <c r="R71" s="870"/>
      <c r="S71" s="870"/>
      <c r="T71" s="870"/>
      <c r="U71" s="870"/>
      <c r="V71" s="870"/>
      <c r="W71" s="870"/>
      <c r="X71" s="870"/>
      <c r="Y71" s="870"/>
      <c r="Z71" s="870"/>
      <c r="AA71" s="870"/>
      <c r="AB71" s="870"/>
      <c r="AC71" s="870"/>
      <c r="AD71" s="870"/>
      <c r="AE71" s="870"/>
      <c r="AF71" s="870"/>
      <c r="AG71" s="870"/>
      <c r="AH71" s="870"/>
      <c r="AI71" s="870"/>
      <c r="AJ71" s="870"/>
      <c r="AK71" s="870"/>
      <c r="AL71" s="870"/>
      <c r="AM71" s="870"/>
      <c r="AN71" s="870"/>
      <c r="AO71" s="870"/>
      <c r="AP71" s="870"/>
      <c r="AQ71" s="870"/>
      <c r="AR71" s="870"/>
      <c r="AS71" s="870"/>
      <c r="AT71" s="870"/>
      <c r="AU71" s="870"/>
      <c r="AV71" s="870"/>
      <c r="AW71" s="870"/>
      <c r="AX71" s="870"/>
      <c r="AY71" s="870"/>
      <c r="AZ71" s="870"/>
      <c r="BA71" s="870"/>
      <c r="BB71" s="870"/>
      <c r="BC71" s="870"/>
      <c r="BD71" s="870"/>
      <c r="BE71" s="870"/>
      <c r="BF71" s="870"/>
      <c r="BG71" s="870"/>
      <c r="BH71" s="870"/>
      <c r="BI71" s="870"/>
      <c r="BJ71" s="870"/>
      <c r="BK71" s="870"/>
      <c r="BL71" s="870"/>
      <c r="BM71" s="870"/>
      <c r="BN71" s="870"/>
      <c r="BO71" s="870"/>
      <c r="BP71" s="870"/>
    </row>
    <row r="72" spans="1:68" ht="15.75">
      <c r="A72" s="870"/>
      <c r="B72" s="870"/>
      <c r="C72" s="870"/>
      <c r="D72" s="870"/>
      <c r="E72" s="870"/>
      <c r="F72" s="870"/>
      <c r="G72" s="870"/>
      <c r="H72" s="870"/>
      <c r="I72" s="870"/>
      <c r="J72" s="870"/>
      <c r="K72" s="870"/>
      <c r="L72" s="870"/>
      <c r="M72" s="870"/>
      <c r="N72" s="870"/>
      <c r="O72" s="870"/>
      <c r="P72" s="870"/>
      <c r="Q72" s="870"/>
      <c r="R72" s="870"/>
      <c r="S72" s="870"/>
      <c r="T72" s="870"/>
      <c r="U72" s="870"/>
      <c r="V72" s="870"/>
      <c r="W72" s="870"/>
      <c r="X72" s="870"/>
      <c r="Y72" s="870"/>
      <c r="Z72" s="870"/>
      <c r="AA72" s="870"/>
      <c r="AB72" s="870"/>
      <c r="AC72" s="870"/>
      <c r="AD72" s="870"/>
      <c r="AE72" s="870"/>
      <c r="AF72" s="870"/>
      <c r="AG72" s="870"/>
      <c r="AH72" s="870"/>
      <c r="AI72" s="870"/>
      <c r="AJ72" s="870"/>
      <c r="AK72" s="870"/>
      <c r="AL72" s="870"/>
      <c r="AM72" s="870"/>
      <c r="AN72" s="870"/>
      <c r="AO72" s="870"/>
      <c r="AP72" s="870"/>
      <c r="AQ72" s="870"/>
      <c r="AR72" s="870"/>
      <c r="AS72" s="870"/>
      <c r="AT72" s="870"/>
      <c r="AU72" s="870"/>
      <c r="AV72" s="870"/>
      <c r="AW72" s="870"/>
      <c r="AX72" s="870"/>
      <c r="AY72" s="870"/>
      <c r="AZ72" s="870"/>
      <c r="BA72" s="870"/>
      <c r="BB72" s="870"/>
      <c r="BC72" s="870"/>
      <c r="BD72" s="870"/>
      <c r="BE72" s="870"/>
      <c r="BF72" s="870"/>
      <c r="BG72" s="870"/>
      <c r="BH72" s="870"/>
      <c r="BI72" s="870"/>
      <c r="BJ72" s="870"/>
      <c r="BK72" s="870"/>
      <c r="BL72" s="870"/>
      <c r="BM72" s="870"/>
      <c r="BN72" s="870"/>
      <c r="BO72" s="870"/>
      <c r="BP72" s="870"/>
    </row>
    <row r="73" spans="1:68" ht="15.75">
      <c r="A73" s="870"/>
      <c r="B73" s="870"/>
      <c r="C73" s="870"/>
      <c r="D73" s="870"/>
      <c r="E73" s="870"/>
      <c r="F73" s="870"/>
      <c r="G73" s="870"/>
      <c r="H73" s="870"/>
      <c r="I73" s="870"/>
      <c r="J73" s="870"/>
      <c r="K73" s="870"/>
      <c r="L73" s="870"/>
      <c r="M73" s="870"/>
      <c r="N73" s="870"/>
      <c r="O73" s="870"/>
      <c r="P73" s="870"/>
      <c r="Q73" s="870"/>
      <c r="R73" s="870"/>
      <c r="S73" s="870"/>
      <c r="T73" s="870"/>
      <c r="U73" s="870"/>
      <c r="V73" s="870"/>
      <c r="W73" s="870"/>
      <c r="X73" s="870"/>
      <c r="Y73" s="870"/>
      <c r="Z73" s="870"/>
      <c r="AA73" s="870"/>
      <c r="AB73" s="870"/>
      <c r="AC73" s="870"/>
      <c r="AD73" s="870"/>
      <c r="AE73" s="870"/>
      <c r="AF73" s="870"/>
      <c r="AG73" s="870"/>
      <c r="AH73" s="870"/>
      <c r="AI73" s="870"/>
      <c r="AJ73" s="870"/>
      <c r="AK73" s="870"/>
      <c r="AL73" s="870"/>
      <c r="AM73" s="870"/>
      <c r="AN73" s="870"/>
      <c r="AO73" s="870"/>
      <c r="AP73" s="870"/>
      <c r="AQ73" s="870"/>
      <c r="AR73" s="870"/>
      <c r="AS73" s="870"/>
      <c r="AT73" s="870"/>
      <c r="AU73" s="870"/>
      <c r="AV73" s="870"/>
      <c r="AW73" s="870"/>
      <c r="AX73" s="870"/>
      <c r="AY73" s="870"/>
      <c r="AZ73" s="870"/>
      <c r="BA73" s="870"/>
      <c r="BB73" s="870"/>
      <c r="BC73" s="870"/>
      <c r="BD73" s="870"/>
      <c r="BE73" s="870"/>
      <c r="BF73" s="870"/>
      <c r="BG73" s="870"/>
      <c r="BH73" s="870"/>
      <c r="BI73" s="870"/>
      <c r="BJ73" s="870"/>
      <c r="BK73" s="870"/>
      <c r="BL73" s="870"/>
      <c r="BM73" s="870"/>
      <c r="BN73" s="870"/>
      <c r="BO73" s="870"/>
      <c r="BP73" s="870"/>
    </row>
  </sheetData>
  <printOptions horizontalCentered="1" verticalCentered="1"/>
  <pageMargins left="0" right="0" top="0.51181102362204722" bottom="0" header="0" footer="0"/>
  <pageSetup paperSize="9" scale="5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S68"/>
  <sheetViews>
    <sheetView zoomScaleNormal="100" workbookViewId="0">
      <pane xSplit="105" ySplit="4" topLeftCell="DG5" activePane="bottomRight" state="frozen"/>
      <selection pane="topRight" activeCell="DB1" sqref="DB1"/>
      <selection pane="bottomLeft" activeCell="A5" sqref="A5"/>
      <selection pane="bottomRight" activeCell="A18" sqref="A18"/>
    </sheetView>
  </sheetViews>
  <sheetFormatPr defaultRowHeight="15"/>
  <cols>
    <col min="1" max="1" width="5.85546875" style="894" customWidth="1"/>
    <col min="2" max="2" width="57.140625" style="894" customWidth="1"/>
    <col min="3" max="43" width="9.140625" style="894" hidden="1" customWidth="1"/>
    <col min="44" max="44" width="9" style="894" hidden="1" customWidth="1"/>
    <col min="45" max="51" width="9.140625" style="894" hidden="1" customWidth="1"/>
    <col min="52" max="56" width="9" style="894" hidden="1" customWidth="1"/>
    <col min="57" max="61" width="8.85546875" style="894" hidden="1" customWidth="1"/>
    <col min="62" max="95" width="10.7109375" style="894" hidden="1" customWidth="1"/>
    <col min="96" max="96" width="11.85546875" style="894" hidden="1" customWidth="1"/>
    <col min="97" max="110" width="13.28515625" style="894" hidden="1" customWidth="1"/>
    <col min="111" max="123" width="13.28515625" style="894" customWidth="1"/>
    <col min="124" max="266" width="9.140625" style="894"/>
    <col min="267" max="267" width="5.85546875" style="894" customWidth="1"/>
    <col min="268" max="268" width="55.42578125" style="894" bestFit="1" customWidth="1"/>
    <col min="269" max="361" width="0" style="894" hidden="1" customWidth="1"/>
    <col min="362" max="372" width="10.7109375" style="894" customWidth="1"/>
    <col min="373" max="373" width="10.85546875" style="894" customWidth="1"/>
    <col min="374" max="374" width="10.7109375" style="894" bestFit="1" customWidth="1"/>
    <col min="375" max="522" width="9.140625" style="894"/>
    <col min="523" max="523" width="5.85546875" style="894" customWidth="1"/>
    <col min="524" max="524" width="55.42578125" style="894" bestFit="1" customWidth="1"/>
    <col min="525" max="617" width="0" style="894" hidden="1" customWidth="1"/>
    <col min="618" max="628" width="10.7109375" style="894" customWidth="1"/>
    <col min="629" max="629" width="10.85546875" style="894" customWidth="1"/>
    <col min="630" max="630" width="10.7109375" style="894" bestFit="1" customWidth="1"/>
    <col min="631" max="778" width="9.140625" style="894"/>
    <col min="779" max="779" width="5.85546875" style="894" customWidth="1"/>
    <col min="780" max="780" width="55.42578125" style="894" bestFit="1" customWidth="1"/>
    <col min="781" max="873" width="0" style="894" hidden="1" customWidth="1"/>
    <col min="874" max="884" width="10.7109375" style="894" customWidth="1"/>
    <col min="885" max="885" width="10.85546875" style="894" customWidth="1"/>
    <col min="886" max="886" width="10.7109375" style="894" bestFit="1" customWidth="1"/>
    <col min="887" max="1034" width="9.140625" style="894"/>
    <col min="1035" max="1035" width="5.85546875" style="894" customWidth="1"/>
    <col min="1036" max="1036" width="55.42578125" style="894" bestFit="1" customWidth="1"/>
    <col min="1037" max="1129" width="0" style="894" hidden="1" customWidth="1"/>
    <col min="1130" max="1140" width="10.7109375" style="894" customWidth="1"/>
    <col min="1141" max="1141" width="10.85546875" style="894" customWidth="1"/>
    <col min="1142" max="1142" width="10.7109375" style="894" bestFit="1" customWidth="1"/>
    <col min="1143" max="1290" width="9.140625" style="894"/>
    <col min="1291" max="1291" width="5.85546875" style="894" customWidth="1"/>
    <col min="1292" max="1292" width="55.42578125" style="894" bestFit="1" customWidth="1"/>
    <col min="1293" max="1385" width="0" style="894" hidden="1" customWidth="1"/>
    <col min="1386" max="1396" width="10.7109375" style="894" customWidth="1"/>
    <col min="1397" max="1397" width="10.85546875" style="894" customWidth="1"/>
    <col min="1398" max="1398" width="10.7109375" style="894" bestFit="1" customWidth="1"/>
    <col min="1399" max="1546" width="9.140625" style="894"/>
    <col min="1547" max="1547" width="5.85546875" style="894" customWidth="1"/>
    <col min="1548" max="1548" width="55.42578125" style="894" bestFit="1" customWidth="1"/>
    <col min="1549" max="1641" width="0" style="894" hidden="1" customWidth="1"/>
    <col min="1642" max="1652" width="10.7109375" style="894" customWidth="1"/>
    <col min="1653" max="1653" width="10.85546875" style="894" customWidth="1"/>
    <col min="1654" max="1654" width="10.7109375" style="894" bestFit="1" customWidth="1"/>
    <col min="1655" max="1802" width="9.140625" style="894"/>
    <col min="1803" max="1803" width="5.85546875" style="894" customWidth="1"/>
    <col min="1804" max="1804" width="55.42578125" style="894" bestFit="1" customWidth="1"/>
    <col min="1805" max="1897" width="0" style="894" hidden="1" customWidth="1"/>
    <col min="1898" max="1908" width="10.7109375" style="894" customWidth="1"/>
    <col min="1909" max="1909" width="10.85546875" style="894" customWidth="1"/>
    <col min="1910" max="1910" width="10.7109375" style="894" bestFit="1" customWidth="1"/>
    <col min="1911" max="2058" width="9.140625" style="894"/>
    <col min="2059" max="2059" width="5.85546875" style="894" customWidth="1"/>
    <col min="2060" max="2060" width="55.42578125" style="894" bestFit="1" customWidth="1"/>
    <col min="2061" max="2153" width="0" style="894" hidden="1" customWidth="1"/>
    <col min="2154" max="2164" width="10.7109375" style="894" customWidth="1"/>
    <col min="2165" max="2165" width="10.85546875" style="894" customWidth="1"/>
    <col min="2166" max="2166" width="10.7109375" style="894" bestFit="1" customWidth="1"/>
    <col min="2167" max="2314" width="9.140625" style="894"/>
    <col min="2315" max="2315" width="5.85546875" style="894" customWidth="1"/>
    <col min="2316" max="2316" width="55.42578125" style="894" bestFit="1" customWidth="1"/>
    <col min="2317" max="2409" width="0" style="894" hidden="1" customWidth="1"/>
    <col min="2410" max="2420" width="10.7109375" style="894" customWidth="1"/>
    <col min="2421" max="2421" width="10.85546875" style="894" customWidth="1"/>
    <col min="2422" max="2422" width="10.7109375" style="894" bestFit="1" customWidth="1"/>
    <col min="2423" max="2570" width="9.140625" style="894"/>
    <col min="2571" max="2571" width="5.85546875" style="894" customWidth="1"/>
    <col min="2572" max="2572" width="55.42578125" style="894" bestFit="1" customWidth="1"/>
    <col min="2573" max="2665" width="0" style="894" hidden="1" customWidth="1"/>
    <col min="2666" max="2676" width="10.7109375" style="894" customWidth="1"/>
    <col min="2677" max="2677" width="10.85546875" style="894" customWidth="1"/>
    <col min="2678" max="2678" width="10.7109375" style="894" bestFit="1" customWidth="1"/>
    <col min="2679" max="2826" width="9.140625" style="894"/>
    <col min="2827" max="2827" width="5.85546875" style="894" customWidth="1"/>
    <col min="2828" max="2828" width="55.42578125" style="894" bestFit="1" customWidth="1"/>
    <col min="2829" max="2921" width="0" style="894" hidden="1" customWidth="1"/>
    <col min="2922" max="2932" width="10.7109375" style="894" customWidth="1"/>
    <col min="2933" max="2933" width="10.85546875" style="894" customWidth="1"/>
    <col min="2934" max="2934" width="10.7109375" style="894" bestFit="1" customWidth="1"/>
    <col min="2935" max="3082" width="9.140625" style="894"/>
    <col min="3083" max="3083" width="5.85546875" style="894" customWidth="1"/>
    <col min="3084" max="3084" width="55.42578125" style="894" bestFit="1" customWidth="1"/>
    <col min="3085" max="3177" width="0" style="894" hidden="1" customWidth="1"/>
    <col min="3178" max="3188" width="10.7109375" style="894" customWidth="1"/>
    <col min="3189" max="3189" width="10.85546875" style="894" customWidth="1"/>
    <col min="3190" max="3190" width="10.7109375" style="894" bestFit="1" customWidth="1"/>
    <col min="3191" max="3338" width="9.140625" style="894"/>
    <col min="3339" max="3339" width="5.85546875" style="894" customWidth="1"/>
    <col min="3340" max="3340" width="55.42578125" style="894" bestFit="1" customWidth="1"/>
    <col min="3341" max="3433" width="0" style="894" hidden="1" customWidth="1"/>
    <col min="3434" max="3444" width="10.7109375" style="894" customWidth="1"/>
    <col min="3445" max="3445" width="10.85546875" style="894" customWidth="1"/>
    <col min="3446" max="3446" width="10.7109375" style="894" bestFit="1" customWidth="1"/>
    <col min="3447" max="3594" width="9.140625" style="894"/>
    <col min="3595" max="3595" width="5.85546875" style="894" customWidth="1"/>
    <col min="3596" max="3596" width="55.42578125" style="894" bestFit="1" customWidth="1"/>
    <col min="3597" max="3689" width="0" style="894" hidden="1" customWidth="1"/>
    <col min="3690" max="3700" width="10.7109375" style="894" customWidth="1"/>
    <col min="3701" max="3701" width="10.85546875" style="894" customWidth="1"/>
    <col min="3702" max="3702" width="10.7109375" style="894" bestFit="1" customWidth="1"/>
    <col min="3703" max="3850" width="9.140625" style="894"/>
    <col min="3851" max="3851" width="5.85546875" style="894" customWidth="1"/>
    <col min="3852" max="3852" width="55.42578125" style="894" bestFit="1" customWidth="1"/>
    <col min="3853" max="3945" width="0" style="894" hidden="1" customWidth="1"/>
    <col min="3946" max="3956" width="10.7109375" style="894" customWidth="1"/>
    <col min="3957" max="3957" width="10.85546875" style="894" customWidth="1"/>
    <col min="3958" max="3958" width="10.7109375" style="894" bestFit="1" customWidth="1"/>
    <col min="3959" max="4106" width="9.140625" style="894"/>
    <col min="4107" max="4107" width="5.85546875" style="894" customWidth="1"/>
    <col min="4108" max="4108" width="55.42578125" style="894" bestFit="1" customWidth="1"/>
    <col min="4109" max="4201" width="0" style="894" hidden="1" customWidth="1"/>
    <col min="4202" max="4212" width="10.7109375" style="894" customWidth="1"/>
    <col min="4213" max="4213" width="10.85546875" style="894" customWidth="1"/>
    <col min="4214" max="4214" width="10.7109375" style="894" bestFit="1" customWidth="1"/>
    <col min="4215" max="4362" width="9.140625" style="894"/>
    <col min="4363" max="4363" width="5.85546875" style="894" customWidth="1"/>
    <col min="4364" max="4364" width="55.42578125" style="894" bestFit="1" customWidth="1"/>
    <col min="4365" max="4457" width="0" style="894" hidden="1" customWidth="1"/>
    <col min="4458" max="4468" width="10.7109375" style="894" customWidth="1"/>
    <col min="4469" max="4469" width="10.85546875" style="894" customWidth="1"/>
    <col min="4470" max="4470" width="10.7109375" style="894" bestFit="1" customWidth="1"/>
    <col min="4471" max="4618" width="9.140625" style="894"/>
    <col min="4619" max="4619" width="5.85546875" style="894" customWidth="1"/>
    <col min="4620" max="4620" width="55.42578125" style="894" bestFit="1" customWidth="1"/>
    <col min="4621" max="4713" width="0" style="894" hidden="1" customWidth="1"/>
    <col min="4714" max="4724" width="10.7109375" style="894" customWidth="1"/>
    <col min="4725" max="4725" width="10.85546875" style="894" customWidth="1"/>
    <col min="4726" max="4726" width="10.7109375" style="894" bestFit="1" customWidth="1"/>
    <col min="4727" max="4874" width="9.140625" style="894"/>
    <col min="4875" max="4875" width="5.85546875" style="894" customWidth="1"/>
    <col min="4876" max="4876" width="55.42578125" style="894" bestFit="1" customWidth="1"/>
    <col min="4877" max="4969" width="0" style="894" hidden="1" customWidth="1"/>
    <col min="4970" max="4980" width="10.7109375" style="894" customWidth="1"/>
    <col min="4981" max="4981" width="10.85546875" style="894" customWidth="1"/>
    <col min="4982" max="4982" width="10.7109375" style="894" bestFit="1" customWidth="1"/>
    <col min="4983" max="5130" width="9.140625" style="894"/>
    <col min="5131" max="5131" width="5.85546875" style="894" customWidth="1"/>
    <col min="5132" max="5132" width="55.42578125" style="894" bestFit="1" customWidth="1"/>
    <col min="5133" max="5225" width="0" style="894" hidden="1" customWidth="1"/>
    <col min="5226" max="5236" width="10.7109375" style="894" customWidth="1"/>
    <col min="5237" max="5237" width="10.85546875" style="894" customWidth="1"/>
    <col min="5238" max="5238" width="10.7109375" style="894" bestFit="1" customWidth="1"/>
    <col min="5239" max="5386" width="9.140625" style="894"/>
    <col min="5387" max="5387" width="5.85546875" style="894" customWidth="1"/>
    <col min="5388" max="5388" width="55.42578125" style="894" bestFit="1" customWidth="1"/>
    <col min="5389" max="5481" width="0" style="894" hidden="1" customWidth="1"/>
    <col min="5482" max="5492" width="10.7109375" style="894" customWidth="1"/>
    <col min="5493" max="5493" width="10.85546875" style="894" customWidth="1"/>
    <col min="5494" max="5494" width="10.7109375" style="894" bestFit="1" customWidth="1"/>
    <col min="5495" max="5642" width="9.140625" style="894"/>
    <col min="5643" max="5643" width="5.85546875" style="894" customWidth="1"/>
    <col min="5644" max="5644" width="55.42578125" style="894" bestFit="1" customWidth="1"/>
    <col min="5645" max="5737" width="0" style="894" hidden="1" customWidth="1"/>
    <col min="5738" max="5748" width="10.7109375" style="894" customWidth="1"/>
    <col min="5749" max="5749" width="10.85546875" style="894" customWidth="1"/>
    <col min="5750" max="5750" width="10.7109375" style="894" bestFit="1" customWidth="1"/>
    <col min="5751" max="5898" width="9.140625" style="894"/>
    <col min="5899" max="5899" width="5.85546875" style="894" customWidth="1"/>
    <col min="5900" max="5900" width="55.42578125" style="894" bestFit="1" customWidth="1"/>
    <col min="5901" max="5993" width="0" style="894" hidden="1" customWidth="1"/>
    <col min="5994" max="6004" width="10.7109375" style="894" customWidth="1"/>
    <col min="6005" max="6005" width="10.85546875" style="894" customWidth="1"/>
    <col min="6006" max="6006" width="10.7109375" style="894" bestFit="1" customWidth="1"/>
    <col min="6007" max="6154" width="9.140625" style="894"/>
    <col min="6155" max="6155" width="5.85546875" style="894" customWidth="1"/>
    <col min="6156" max="6156" width="55.42578125" style="894" bestFit="1" customWidth="1"/>
    <col min="6157" max="6249" width="0" style="894" hidden="1" customWidth="1"/>
    <col min="6250" max="6260" width="10.7109375" style="894" customWidth="1"/>
    <col min="6261" max="6261" width="10.85546875" style="894" customWidth="1"/>
    <col min="6262" max="6262" width="10.7109375" style="894" bestFit="1" customWidth="1"/>
    <col min="6263" max="6410" width="9.140625" style="894"/>
    <col min="6411" max="6411" width="5.85546875" style="894" customWidth="1"/>
    <col min="6412" max="6412" width="55.42578125" style="894" bestFit="1" customWidth="1"/>
    <col min="6413" max="6505" width="0" style="894" hidden="1" customWidth="1"/>
    <col min="6506" max="6516" width="10.7109375" style="894" customWidth="1"/>
    <col min="6517" max="6517" width="10.85546875" style="894" customWidth="1"/>
    <col min="6518" max="6518" width="10.7109375" style="894" bestFit="1" customWidth="1"/>
    <col min="6519" max="6666" width="9.140625" style="894"/>
    <col min="6667" max="6667" width="5.85546875" style="894" customWidth="1"/>
    <col min="6668" max="6668" width="55.42578125" style="894" bestFit="1" customWidth="1"/>
    <col min="6669" max="6761" width="0" style="894" hidden="1" customWidth="1"/>
    <col min="6762" max="6772" width="10.7109375" style="894" customWidth="1"/>
    <col min="6773" max="6773" width="10.85546875" style="894" customWidth="1"/>
    <col min="6774" max="6774" width="10.7109375" style="894" bestFit="1" customWidth="1"/>
    <col min="6775" max="6922" width="9.140625" style="894"/>
    <col min="6923" max="6923" width="5.85546875" style="894" customWidth="1"/>
    <col min="6924" max="6924" width="55.42578125" style="894" bestFit="1" customWidth="1"/>
    <col min="6925" max="7017" width="0" style="894" hidden="1" customWidth="1"/>
    <col min="7018" max="7028" width="10.7109375" style="894" customWidth="1"/>
    <col min="7029" max="7029" width="10.85546875" style="894" customWidth="1"/>
    <col min="7030" max="7030" width="10.7109375" style="894" bestFit="1" customWidth="1"/>
    <col min="7031" max="7178" width="9.140625" style="894"/>
    <col min="7179" max="7179" width="5.85546875" style="894" customWidth="1"/>
    <col min="7180" max="7180" width="55.42578125" style="894" bestFit="1" customWidth="1"/>
    <col min="7181" max="7273" width="0" style="894" hidden="1" customWidth="1"/>
    <col min="7274" max="7284" width="10.7109375" style="894" customWidth="1"/>
    <col min="7285" max="7285" width="10.85546875" style="894" customWidth="1"/>
    <col min="7286" max="7286" width="10.7109375" style="894" bestFit="1" customWidth="1"/>
    <col min="7287" max="7434" width="9.140625" style="894"/>
    <col min="7435" max="7435" width="5.85546875" style="894" customWidth="1"/>
    <col min="7436" max="7436" width="55.42578125" style="894" bestFit="1" customWidth="1"/>
    <col min="7437" max="7529" width="0" style="894" hidden="1" customWidth="1"/>
    <col min="7530" max="7540" width="10.7109375" style="894" customWidth="1"/>
    <col min="7541" max="7541" width="10.85546875" style="894" customWidth="1"/>
    <col min="7542" max="7542" width="10.7109375" style="894" bestFit="1" customWidth="1"/>
    <col min="7543" max="7690" width="9.140625" style="894"/>
    <col min="7691" max="7691" width="5.85546875" style="894" customWidth="1"/>
    <col min="7692" max="7692" width="55.42578125" style="894" bestFit="1" customWidth="1"/>
    <col min="7693" max="7785" width="0" style="894" hidden="1" customWidth="1"/>
    <col min="7786" max="7796" width="10.7109375" style="894" customWidth="1"/>
    <col min="7797" max="7797" width="10.85546875" style="894" customWidth="1"/>
    <col min="7798" max="7798" width="10.7109375" style="894" bestFit="1" customWidth="1"/>
    <col min="7799" max="7946" width="9.140625" style="894"/>
    <col min="7947" max="7947" width="5.85546875" style="894" customWidth="1"/>
    <col min="7948" max="7948" width="55.42578125" style="894" bestFit="1" customWidth="1"/>
    <col min="7949" max="8041" width="0" style="894" hidden="1" customWidth="1"/>
    <col min="8042" max="8052" width="10.7109375" style="894" customWidth="1"/>
    <col min="8053" max="8053" width="10.85546875" style="894" customWidth="1"/>
    <col min="8054" max="8054" width="10.7109375" style="894" bestFit="1" customWidth="1"/>
    <col min="8055" max="8202" width="9.140625" style="894"/>
    <col min="8203" max="8203" width="5.85546875" style="894" customWidth="1"/>
    <col min="8204" max="8204" width="55.42578125" style="894" bestFit="1" customWidth="1"/>
    <col min="8205" max="8297" width="0" style="894" hidden="1" customWidth="1"/>
    <col min="8298" max="8308" width="10.7109375" style="894" customWidth="1"/>
    <col min="8309" max="8309" width="10.85546875" style="894" customWidth="1"/>
    <col min="8310" max="8310" width="10.7109375" style="894" bestFit="1" customWidth="1"/>
    <col min="8311" max="8458" width="9.140625" style="894"/>
    <col min="8459" max="8459" width="5.85546875" style="894" customWidth="1"/>
    <col min="8460" max="8460" width="55.42578125" style="894" bestFit="1" customWidth="1"/>
    <col min="8461" max="8553" width="0" style="894" hidden="1" customWidth="1"/>
    <col min="8554" max="8564" width="10.7109375" style="894" customWidth="1"/>
    <col min="8565" max="8565" width="10.85546875" style="894" customWidth="1"/>
    <col min="8566" max="8566" width="10.7109375" style="894" bestFit="1" customWidth="1"/>
    <col min="8567" max="8714" width="9.140625" style="894"/>
    <col min="8715" max="8715" width="5.85546875" style="894" customWidth="1"/>
    <col min="8716" max="8716" width="55.42578125" style="894" bestFit="1" customWidth="1"/>
    <col min="8717" max="8809" width="0" style="894" hidden="1" customWidth="1"/>
    <col min="8810" max="8820" width="10.7109375" style="894" customWidth="1"/>
    <col min="8821" max="8821" width="10.85546875" style="894" customWidth="1"/>
    <col min="8822" max="8822" width="10.7109375" style="894" bestFit="1" customWidth="1"/>
    <col min="8823" max="8970" width="9.140625" style="894"/>
    <col min="8971" max="8971" width="5.85546875" style="894" customWidth="1"/>
    <col min="8972" max="8972" width="55.42578125" style="894" bestFit="1" customWidth="1"/>
    <col min="8973" max="9065" width="0" style="894" hidden="1" customWidth="1"/>
    <col min="9066" max="9076" width="10.7109375" style="894" customWidth="1"/>
    <col min="9077" max="9077" width="10.85546875" style="894" customWidth="1"/>
    <col min="9078" max="9078" width="10.7109375" style="894" bestFit="1" customWidth="1"/>
    <col min="9079" max="9226" width="9.140625" style="894"/>
    <col min="9227" max="9227" width="5.85546875" style="894" customWidth="1"/>
    <col min="9228" max="9228" width="55.42578125" style="894" bestFit="1" customWidth="1"/>
    <col min="9229" max="9321" width="0" style="894" hidden="1" customWidth="1"/>
    <col min="9322" max="9332" width="10.7109375" style="894" customWidth="1"/>
    <col min="9333" max="9333" width="10.85546875" style="894" customWidth="1"/>
    <col min="9334" max="9334" width="10.7109375" style="894" bestFit="1" customWidth="1"/>
    <col min="9335" max="9482" width="9.140625" style="894"/>
    <col min="9483" max="9483" width="5.85546875" style="894" customWidth="1"/>
    <col min="9484" max="9484" width="55.42578125" style="894" bestFit="1" customWidth="1"/>
    <col min="9485" max="9577" width="0" style="894" hidden="1" customWidth="1"/>
    <col min="9578" max="9588" width="10.7109375" style="894" customWidth="1"/>
    <col min="9589" max="9589" width="10.85546875" style="894" customWidth="1"/>
    <col min="9590" max="9590" width="10.7109375" style="894" bestFit="1" customWidth="1"/>
    <col min="9591" max="9738" width="9.140625" style="894"/>
    <col min="9739" max="9739" width="5.85546875" style="894" customWidth="1"/>
    <col min="9740" max="9740" width="55.42578125" style="894" bestFit="1" customWidth="1"/>
    <col min="9741" max="9833" width="0" style="894" hidden="1" customWidth="1"/>
    <col min="9834" max="9844" width="10.7109375" style="894" customWidth="1"/>
    <col min="9845" max="9845" width="10.85546875" style="894" customWidth="1"/>
    <col min="9846" max="9846" width="10.7109375" style="894" bestFit="1" customWidth="1"/>
    <col min="9847" max="9994" width="9.140625" style="894"/>
    <col min="9995" max="9995" width="5.85546875" style="894" customWidth="1"/>
    <col min="9996" max="9996" width="55.42578125" style="894" bestFit="1" customWidth="1"/>
    <col min="9997" max="10089" width="0" style="894" hidden="1" customWidth="1"/>
    <col min="10090" max="10100" width="10.7109375" style="894" customWidth="1"/>
    <col min="10101" max="10101" width="10.85546875" style="894" customWidth="1"/>
    <col min="10102" max="10102" width="10.7109375" style="894" bestFit="1" customWidth="1"/>
    <col min="10103" max="10250" width="9.140625" style="894"/>
    <col min="10251" max="10251" width="5.85546875" style="894" customWidth="1"/>
    <col min="10252" max="10252" width="55.42578125" style="894" bestFit="1" customWidth="1"/>
    <col min="10253" max="10345" width="0" style="894" hidden="1" customWidth="1"/>
    <col min="10346" max="10356" width="10.7109375" style="894" customWidth="1"/>
    <col min="10357" max="10357" width="10.85546875" style="894" customWidth="1"/>
    <col min="10358" max="10358" width="10.7109375" style="894" bestFit="1" customWidth="1"/>
    <col min="10359" max="10506" width="9.140625" style="894"/>
    <col min="10507" max="10507" width="5.85546875" style="894" customWidth="1"/>
    <col min="10508" max="10508" width="55.42578125" style="894" bestFit="1" customWidth="1"/>
    <col min="10509" max="10601" width="0" style="894" hidden="1" customWidth="1"/>
    <col min="10602" max="10612" width="10.7109375" style="894" customWidth="1"/>
    <col min="10613" max="10613" width="10.85546875" style="894" customWidth="1"/>
    <col min="10614" max="10614" width="10.7109375" style="894" bestFit="1" customWidth="1"/>
    <col min="10615" max="10762" width="9.140625" style="894"/>
    <col min="10763" max="10763" width="5.85546875" style="894" customWidth="1"/>
    <col min="10764" max="10764" width="55.42578125" style="894" bestFit="1" customWidth="1"/>
    <col min="10765" max="10857" width="0" style="894" hidden="1" customWidth="1"/>
    <col min="10858" max="10868" width="10.7109375" style="894" customWidth="1"/>
    <col min="10869" max="10869" width="10.85546875" style="894" customWidth="1"/>
    <col min="10870" max="10870" width="10.7109375" style="894" bestFit="1" customWidth="1"/>
    <col min="10871" max="11018" width="9.140625" style="894"/>
    <col min="11019" max="11019" width="5.85546875" style="894" customWidth="1"/>
    <col min="11020" max="11020" width="55.42578125" style="894" bestFit="1" customWidth="1"/>
    <col min="11021" max="11113" width="0" style="894" hidden="1" customWidth="1"/>
    <col min="11114" max="11124" width="10.7109375" style="894" customWidth="1"/>
    <col min="11125" max="11125" width="10.85546875" style="894" customWidth="1"/>
    <col min="11126" max="11126" width="10.7109375" style="894" bestFit="1" customWidth="1"/>
    <col min="11127" max="11274" width="9.140625" style="894"/>
    <col min="11275" max="11275" width="5.85546875" style="894" customWidth="1"/>
    <col min="11276" max="11276" width="55.42578125" style="894" bestFit="1" customWidth="1"/>
    <col min="11277" max="11369" width="0" style="894" hidden="1" customWidth="1"/>
    <col min="11370" max="11380" width="10.7109375" style="894" customWidth="1"/>
    <col min="11381" max="11381" width="10.85546875" style="894" customWidth="1"/>
    <col min="11382" max="11382" width="10.7109375" style="894" bestFit="1" customWidth="1"/>
    <col min="11383" max="11530" width="9.140625" style="894"/>
    <col min="11531" max="11531" width="5.85546875" style="894" customWidth="1"/>
    <col min="11532" max="11532" width="55.42578125" style="894" bestFit="1" customWidth="1"/>
    <col min="11533" max="11625" width="0" style="894" hidden="1" customWidth="1"/>
    <col min="11626" max="11636" width="10.7109375" style="894" customWidth="1"/>
    <col min="11637" max="11637" width="10.85546875" style="894" customWidth="1"/>
    <col min="11638" max="11638" width="10.7109375" style="894" bestFit="1" customWidth="1"/>
    <col min="11639" max="11786" width="9.140625" style="894"/>
    <col min="11787" max="11787" width="5.85546875" style="894" customWidth="1"/>
    <col min="11788" max="11788" width="55.42578125" style="894" bestFit="1" customWidth="1"/>
    <col min="11789" max="11881" width="0" style="894" hidden="1" customWidth="1"/>
    <col min="11882" max="11892" width="10.7109375" style="894" customWidth="1"/>
    <col min="11893" max="11893" width="10.85546875" style="894" customWidth="1"/>
    <col min="11894" max="11894" width="10.7109375" style="894" bestFit="1" customWidth="1"/>
    <col min="11895" max="12042" width="9.140625" style="894"/>
    <col min="12043" max="12043" width="5.85546875" style="894" customWidth="1"/>
    <col min="12044" max="12044" width="55.42578125" style="894" bestFit="1" customWidth="1"/>
    <col min="12045" max="12137" width="0" style="894" hidden="1" customWidth="1"/>
    <col min="12138" max="12148" width="10.7109375" style="894" customWidth="1"/>
    <col min="12149" max="12149" width="10.85546875" style="894" customWidth="1"/>
    <col min="12150" max="12150" width="10.7109375" style="894" bestFit="1" customWidth="1"/>
    <col min="12151" max="12298" width="9.140625" style="894"/>
    <col min="12299" max="12299" width="5.85546875" style="894" customWidth="1"/>
    <col min="12300" max="12300" width="55.42578125" style="894" bestFit="1" customWidth="1"/>
    <col min="12301" max="12393" width="0" style="894" hidden="1" customWidth="1"/>
    <col min="12394" max="12404" width="10.7109375" style="894" customWidth="1"/>
    <col min="12405" max="12405" width="10.85546875" style="894" customWidth="1"/>
    <col min="12406" max="12406" width="10.7109375" style="894" bestFit="1" customWidth="1"/>
    <col min="12407" max="12554" width="9.140625" style="894"/>
    <col min="12555" max="12555" width="5.85546875" style="894" customWidth="1"/>
    <col min="12556" max="12556" width="55.42578125" style="894" bestFit="1" customWidth="1"/>
    <col min="12557" max="12649" width="0" style="894" hidden="1" customWidth="1"/>
    <col min="12650" max="12660" width="10.7109375" style="894" customWidth="1"/>
    <col min="12661" max="12661" width="10.85546875" style="894" customWidth="1"/>
    <col min="12662" max="12662" width="10.7109375" style="894" bestFit="1" customWidth="1"/>
    <col min="12663" max="12810" width="9.140625" style="894"/>
    <col min="12811" max="12811" width="5.85546875" style="894" customWidth="1"/>
    <col min="12812" max="12812" width="55.42578125" style="894" bestFit="1" customWidth="1"/>
    <col min="12813" max="12905" width="0" style="894" hidden="1" customWidth="1"/>
    <col min="12906" max="12916" width="10.7109375" style="894" customWidth="1"/>
    <col min="12917" max="12917" width="10.85546875" style="894" customWidth="1"/>
    <col min="12918" max="12918" width="10.7109375" style="894" bestFit="1" customWidth="1"/>
    <col min="12919" max="13066" width="9.140625" style="894"/>
    <col min="13067" max="13067" width="5.85546875" style="894" customWidth="1"/>
    <col min="13068" max="13068" width="55.42578125" style="894" bestFit="1" customWidth="1"/>
    <col min="13069" max="13161" width="0" style="894" hidden="1" customWidth="1"/>
    <col min="13162" max="13172" width="10.7109375" style="894" customWidth="1"/>
    <col min="13173" max="13173" width="10.85546875" style="894" customWidth="1"/>
    <col min="13174" max="13174" width="10.7109375" style="894" bestFit="1" customWidth="1"/>
    <col min="13175" max="13322" width="9.140625" style="894"/>
    <col min="13323" max="13323" width="5.85546875" style="894" customWidth="1"/>
    <col min="13324" max="13324" width="55.42578125" style="894" bestFit="1" customWidth="1"/>
    <col min="13325" max="13417" width="0" style="894" hidden="1" customWidth="1"/>
    <col min="13418" max="13428" width="10.7109375" style="894" customWidth="1"/>
    <col min="13429" max="13429" width="10.85546875" style="894" customWidth="1"/>
    <col min="13430" max="13430" width="10.7109375" style="894" bestFit="1" customWidth="1"/>
    <col min="13431" max="13578" width="9.140625" style="894"/>
    <col min="13579" max="13579" width="5.85546875" style="894" customWidth="1"/>
    <col min="13580" max="13580" width="55.42578125" style="894" bestFit="1" customWidth="1"/>
    <col min="13581" max="13673" width="0" style="894" hidden="1" customWidth="1"/>
    <col min="13674" max="13684" width="10.7109375" style="894" customWidth="1"/>
    <col min="13685" max="13685" width="10.85546875" style="894" customWidth="1"/>
    <col min="13686" max="13686" width="10.7109375" style="894" bestFit="1" customWidth="1"/>
    <col min="13687" max="13834" width="9.140625" style="894"/>
    <col min="13835" max="13835" width="5.85546875" style="894" customWidth="1"/>
    <col min="13836" max="13836" width="55.42578125" style="894" bestFit="1" customWidth="1"/>
    <col min="13837" max="13929" width="0" style="894" hidden="1" customWidth="1"/>
    <col min="13930" max="13940" width="10.7109375" style="894" customWidth="1"/>
    <col min="13941" max="13941" width="10.85546875" style="894" customWidth="1"/>
    <col min="13942" max="13942" width="10.7109375" style="894" bestFit="1" customWidth="1"/>
    <col min="13943" max="14090" width="9.140625" style="894"/>
    <col min="14091" max="14091" width="5.85546875" style="894" customWidth="1"/>
    <col min="14092" max="14092" width="55.42578125" style="894" bestFit="1" customWidth="1"/>
    <col min="14093" max="14185" width="0" style="894" hidden="1" customWidth="1"/>
    <col min="14186" max="14196" width="10.7109375" style="894" customWidth="1"/>
    <col min="14197" max="14197" width="10.85546875" style="894" customWidth="1"/>
    <col min="14198" max="14198" width="10.7109375" style="894" bestFit="1" customWidth="1"/>
    <col min="14199" max="14346" width="9.140625" style="894"/>
    <col min="14347" max="14347" width="5.85546875" style="894" customWidth="1"/>
    <col min="14348" max="14348" width="55.42578125" style="894" bestFit="1" customWidth="1"/>
    <col min="14349" max="14441" width="0" style="894" hidden="1" customWidth="1"/>
    <col min="14442" max="14452" width="10.7109375" style="894" customWidth="1"/>
    <col min="14453" max="14453" width="10.85546875" style="894" customWidth="1"/>
    <col min="14454" max="14454" width="10.7109375" style="894" bestFit="1" customWidth="1"/>
    <col min="14455" max="14602" width="9.140625" style="894"/>
    <col min="14603" max="14603" width="5.85546875" style="894" customWidth="1"/>
    <col min="14604" max="14604" width="55.42578125" style="894" bestFit="1" customWidth="1"/>
    <col min="14605" max="14697" width="0" style="894" hidden="1" customWidth="1"/>
    <col min="14698" max="14708" width="10.7109375" style="894" customWidth="1"/>
    <col min="14709" max="14709" width="10.85546875" style="894" customWidth="1"/>
    <col min="14710" max="14710" width="10.7109375" style="894" bestFit="1" customWidth="1"/>
    <col min="14711" max="14858" width="9.140625" style="894"/>
    <col min="14859" max="14859" width="5.85546875" style="894" customWidth="1"/>
    <col min="14860" max="14860" width="55.42578125" style="894" bestFit="1" customWidth="1"/>
    <col min="14861" max="14953" width="0" style="894" hidden="1" customWidth="1"/>
    <col min="14954" max="14964" width="10.7109375" style="894" customWidth="1"/>
    <col min="14965" max="14965" width="10.85546875" style="894" customWidth="1"/>
    <col min="14966" max="14966" width="10.7109375" style="894" bestFit="1" customWidth="1"/>
    <col min="14967" max="15114" width="9.140625" style="894"/>
    <col min="15115" max="15115" width="5.85546875" style="894" customWidth="1"/>
    <col min="15116" max="15116" width="55.42578125" style="894" bestFit="1" customWidth="1"/>
    <col min="15117" max="15209" width="0" style="894" hidden="1" customWidth="1"/>
    <col min="15210" max="15220" width="10.7109375" style="894" customWidth="1"/>
    <col min="15221" max="15221" width="10.85546875" style="894" customWidth="1"/>
    <col min="15222" max="15222" width="10.7109375" style="894" bestFit="1" customWidth="1"/>
    <col min="15223" max="15370" width="9.140625" style="894"/>
    <col min="15371" max="15371" width="5.85546875" style="894" customWidth="1"/>
    <col min="15372" max="15372" width="55.42578125" style="894" bestFit="1" customWidth="1"/>
    <col min="15373" max="15465" width="0" style="894" hidden="1" customWidth="1"/>
    <col min="15466" max="15476" width="10.7109375" style="894" customWidth="1"/>
    <col min="15477" max="15477" width="10.85546875" style="894" customWidth="1"/>
    <col min="15478" max="15478" width="10.7109375" style="894" bestFit="1" customWidth="1"/>
    <col min="15479" max="15626" width="9.140625" style="894"/>
    <col min="15627" max="15627" width="5.85546875" style="894" customWidth="1"/>
    <col min="15628" max="15628" width="55.42578125" style="894" bestFit="1" customWidth="1"/>
    <col min="15629" max="15721" width="0" style="894" hidden="1" customWidth="1"/>
    <col min="15722" max="15732" width="10.7109375" style="894" customWidth="1"/>
    <col min="15733" max="15733" width="10.85546875" style="894" customWidth="1"/>
    <col min="15734" max="15734" width="10.7109375" style="894" bestFit="1" customWidth="1"/>
    <col min="15735" max="15882" width="9.140625" style="894"/>
    <col min="15883" max="15883" width="5.85546875" style="894" customWidth="1"/>
    <col min="15884" max="15884" width="55.42578125" style="894" bestFit="1" customWidth="1"/>
    <col min="15885" max="15977" width="0" style="894" hidden="1" customWidth="1"/>
    <col min="15978" max="15988" width="10.7109375" style="894" customWidth="1"/>
    <col min="15989" max="15989" width="10.85546875" style="894" customWidth="1"/>
    <col min="15990" max="15990" width="10.7109375" style="894" bestFit="1" customWidth="1"/>
    <col min="15991" max="16138" width="9.140625" style="894"/>
    <col min="16139" max="16139" width="5.85546875" style="894" customWidth="1"/>
    <col min="16140" max="16140" width="55.42578125" style="894" bestFit="1" customWidth="1"/>
    <col min="16141" max="16233" width="0" style="894" hidden="1" customWidth="1"/>
    <col min="16234" max="16244" width="10.7109375" style="894" customWidth="1"/>
    <col min="16245" max="16245" width="10.85546875" style="894" customWidth="1"/>
    <col min="16246" max="16246" width="10.7109375" style="894" bestFit="1" customWidth="1"/>
    <col min="16247" max="16384" width="9.140625" style="894"/>
  </cols>
  <sheetData>
    <row r="1" spans="1:123" ht="18.75">
      <c r="A1" s="834" t="s">
        <v>2546</v>
      </c>
      <c r="B1" s="892"/>
      <c r="C1" s="893"/>
      <c r="D1" s="541"/>
      <c r="E1" s="541"/>
      <c r="F1" s="541"/>
      <c r="G1" s="541"/>
      <c r="H1" s="541"/>
      <c r="I1" s="541"/>
      <c r="J1" s="541"/>
      <c r="K1" s="541"/>
      <c r="L1" s="541"/>
      <c r="M1" s="541"/>
      <c r="N1" s="541"/>
      <c r="O1" s="541"/>
      <c r="P1" s="541"/>
      <c r="Q1" s="541"/>
      <c r="R1" s="541"/>
      <c r="S1" s="541"/>
      <c r="T1" s="541"/>
      <c r="U1" s="541"/>
      <c r="V1" s="541"/>
      <c r="W1" s="541"/>
      <c r="X1" s="541"/>
      <c r="Y1" s="541"/>
      <c r="Z1" s="541"/>
      <c r="AA1" s="541"/>
      <c r="AB1" s="541"/>
      <c r="AC1" s="541"/>
    </row>
    <row r="2" spans="1:123" hidden="1">
      <c r="A2" s="895"/>
      <c r="B2" s="896"/>
      <c r="C2" s="897"/>
      <c r="D2" s="541"/>
      <c r="E2" s="541"/>
      <c r="F2" s="541"/>
      <c r="G2" s="541"/>
      <c r="H2" s="541"/>
      <c r="I2" s="541"/>
      <c r="J2" s="541"/>
      <c r="K2" s="541"/>
      <c r="L2" s="541"/>
      <c r="M2" s="541"/>
      <c r="N2" s="541"/>
      <c r="O2" s="541"/>
      <c r="P2" s="541"/>
      <c r="Q2" s="541"/>
      <c r="R2" s="541"/>
      <c r="S2" s="541"/>
      <c r="T2" s="541"/>
      <c r="U2" s="541"/>
      <c r="V2" s="541"/>
      <c r="W2" s="541"/>
      <c r="X2" s="541"/>
      <c r="Y2" s="541"/>
      <c r="Z2" s="541"/>
      <c r="AA2" s="541"/>
      <c r="AB2" s="541"/>
      <c r="AC2" s="541"/>
    </row>
    <row r="3" spans="1:123" ht="15.75" thickBot="1">
      <c r="A3" s="837"/>
      <c r="B3" s="837"/>
      <c r="C3" s="541"/>
      <c r="D3" s="541"/>
      <c r="E3" s="541"/>
      <c r="F3" s="541"/>
      <c r="G3" s="541"/>
      <c r="H3" s="541"/>
      <c r="I3" s="541"/>
      <c r="J3" s="541"/>
      <c r="K3" s="541"/>
      <c r="L3" s="541"/>
      <c r="M3" s="541"/>
      <c r="N3" s="541"/>
      <c r="O3" s="541"/>
      <c r="P3" s="541"/>
      <c r="Q3" s="541"/>
      <c r="R3" s="541"/>
      <c r="S3" s="541"/>
      <c r="T3" s="541"/>
      <c r="U3" s="629"/>
      <c r="V3" s="541"/>
      <c r="W3" s="541"/>
      <c r="X3" s="541"/>
      <c r="Y3" s="541"/>
      <c r="Z3" s="541"/>
      <c r="AA3" s="541"/>
      <c r="AB3" s="541"/>
      <c r="AC3" s="541"/>
      <c r="AE3" s="629"/>
      <c r="AH3" s="3164"/>
      <c r="AI3" s="3164"/>
      <c r="AM3" s="3164"/>
      <c r="AN3" s="3164"/>
      <c r="AO3" s="3164"/>
      <c r="AP3" s="3164"/>
      <c r="AZ3" s="3164"/>
      <c r="BA3" s="3164"/>
      <c r="BB3" s="3164"/>
      <c r="BC3" s="3164"/>
      <c r="BI3" s="3164"/>
      <c r="BJ3" s="3164"/>
      <c r="BK3" s="898"/>
      <c r="BL3" s="898"/>
      <c r="BO3" s="3164"/>
      <c r="BP3" s="3164"/>
      <c r="BV3" s="899"/>
      <c r="BW3" s="899"/>
      <c r="BX3" s="773"/>
      <c r="BY3" s="773"/>
      <c r="BZ3" s="773"/>
      <c r="CA3" s="773"/>
      <c r="CB3" s="773"/>
      <c r="CC3" s="773"/>
      <c r="CD3" s="773"/>
      <c r="CE3" s="773"/>
      <c r="CF3" s="773"/>
      <c r="CG3" s="773"/>
      <c r="CH3" s="773"/>
      <c r="CI3" s="773"/>
      <c r="CJ3" s="773"/>
      <c r="CK3" s="773"/>
      <c r="CL3" s="773"/>
      <c r="CM3" s="773"/>
      <c r="CN3" s="773"/>
      <c r="CO3" s="773"/>
      <c r="CP3" s="773"/>
      <c r="CQ3" s="773"/>
      <c r="CR3" s="773"/>
      <c r="CS3" s="773"/>
      <c r="CT3" s="773"/>
      <c r="CU3" s="773"/>
      <c r="CV3" s="773"/>
      <c r="CW3" s="773"/>
      <c r="CZ3" s="773"/>
      <c r="DA3" s="773"/>
      <c r="DE3" s="900"/>
      <c r="DF3" s="900"/>
      <c r="DG3" s="900"/>
      <c r="DH3" s="900"/>
      <c r="DI3" s="900"/>
      <c r="DJ3" s="900"/>
      <c r="DK3" s="900"/>
      <c r="DL3" s="900"/>
      <c r="DM3" s="900"/>
      <c r="DN3" s="900"/>
      <c r="DO3" s="900"/>
      <c r="DP3" s="900"/>
      <c r="DQ3" s="900"/>
      <c r="DR3" s="900"/>
      <c r="DS3" s="900" t="s">
        <v>49</v>
      </c>
    </row>
    <row r="4" spans="1:123" ht="24" customHeight="1" thickTop="1" thickBot="1">
      <c r="A4" s="839" t="s">
        <v>2488</v>
      </c>
      <c r="B4" s="840" t="s">
        <v>2489</v>
      </c>
      <c r="C4" s="843">
        <v>38504</v>
      </c>
      <c r="D4" s="843">
        <v>38534</v>
      </c>
      <c r="E4" s="843">
        <v>38565</v>
      </c>
      <c r="F4" s="901">
        <v>38596</v>
      </c>
      <c r="G4" s="843">
        <v>38626</v>
      </c>
      <c r="H4" s="902">
        <v>38657</v>
      </c>
      <c r="I4" s="843">
        <v>38687</v>
      </c>
      <c r="J4" s="843">
        <v>38718</v>
      </c>
      <c r="K4" s="843">
        <v>38749</v>
      </c>
      <c r="L4" s="843">
        <v>38777</v>
      </c>
      <c r="M4" s="901">
        <v>38808</v>
      </c>
      <c r="N4" s="843">
        <v>38838</v>
      </c>
      <c r="O4" s="843">
        <v>38869</v>
      </c>
      <c r="P4" s="843">
        <v>38899</v>
      </c>
      <c r="Q4" s="843">
        <v>38930</v>
      </c>
      <c r="R4" s="843">
        <v>38961</v>
      </c>
      <c r="S4" s="843">
        <v>38991</v>
      </c>
      <c r="T4" s="843">
        <v>39022</v>
      </c>
      <c r="U4" s="843">
        <v>39052</v>
      </c>
      <c r="V4" s="843">
        <v>39083</v>
      </c>
      <c r="W4" s="843">
        <v>39114</v>
      </c>
      <c r="X4" s="843">
        <v>39142</v>
      </c>
      <c r="Y4" s="843">
        <v>39173</v>
      </c>
      <c r="Z4" s="843">
        <v>39203</v>
      </c>
      <c r="AA4" s="843">
        <v>39234</v>
      </c>
      <c r="AB4" s="901">
        <v>39264</v>
      </c>
      <c r="AC4" s="843">
        <v>39295</v>
      </c>
      <c r="AD4" s="843">
        <v>39326</v>
      </c>
      <c r="AE4" s="843">
        <v>39356</v>
      </c>
      <c r="AF4" s="843">
        <v>39387</v>
      </c>
      <c r="AG4" s="843">
        <v>39417</v>
      </c>
      <c r="AH4" s="843">
        <v>39448</v>
      </c>
      <c r="AI4" s="843">
        <v>39479</v>
      </c>
      <c r="AJ4" s="843">
        <v>39508</v>
      </c>
      <c r="AK4" s="843">
        <v>39539</v>
      </c>
      <c r="AL4" s="843">
        <v>39569</v>
      </c>
      <c r="AM4" s="843">
        <v>39600</v>
      </c>
      <c r="AN4" s="843">
        <v>39630</v>
      </c>
      <c r="AO4" s="843">
        <v>39661</v>
      </c>
      <c r="AP4" s="843">
        <v>39692</v>
      </c>
      <c r="AQ4" s="843">
        <v>39722</v>
      </c>
      <c r="AR4" s="843">
        <v>39753</v>
      </c>
      <c r="AS4" s="843">
        <v>39783</v>
      </c>
      <c r="AT4" s="843">
        <v>39814</v>
      </c>
      <c r="AU4" s="843">
        <v>39845</v>
      </c>
      <c r="AV4" s="843">
        <v>39881</v>
      </c>
      <c r="AW4" s="843">
        <v>39904</v>
      </c>
      <c r="AX4" s="843">
        <v>39934</v>
      </c>
      <c r="AY4" s="843">
        <v>39965</v>
      </c>
      <c r="AZ4" s="843">
        <v>39995</v>
      </c>
      <c r="BA4" s="843">
        <v>40026</v>
      </c>
      <c r="BB4" s="843">
        <v>40057</v>
      </c>
      <c r="BC4" s="843">
        <v>40087</v>
      </c>
      <c r="BD4" s="843">
        <v>40118</v>
      </c>
      <c r="BE4" s="843">
        <v>40148</v>
      </c>
      <c r="BF4" s="843">
        <v>40179</v>
      </c>
      <c r="BG4" s="843">
        <v>40210</v>
      </c>
      <c r="BH4" s="843">
        <v>40238</v>
      </c>
      <c r="BI4" s="843">
        <v>40269</v>
      </c>
      <c r="BJ4" s="843">
        <v>40299</v>
      </c>
      <c r="BK4" s="843">
        <v>40330</v>
      </c>
      <c r="BL4" s="843">
        <v>40360</v>
      </c>
      <c r="BM4" s="843">
        <v>40391</v>
      </c>
      <c r="BN4" s="843">
        <v>40422</v>
      </c>
      <c r="BO4" s="843">
        <v>40452</v>
      </c>
      <c r="BP4" s="843">
        <v>40483</v>
      </c>
      <c r="BQ4" s="843">
        <v>40513</v>
      </c>
      <c r="BR4" s="843">
        <v>40544</v>
      </c>
      <c r="BS4" s="843">
        <v>40575</v>
      </c>
      <c r="BT4" s="843">
        <v>40603</v>
      </c>
      <c r="BU4" s="843">
        <v>40634</v>
      </c>
      <c r="BV4" s="843">
        <v>40664</v>
      </c>
      <c r="BW4" s="843">
        <v>40695</v>
      </c>
      <c r="BX4" s="843">
        <v>40725</v>
      </c>
      <c r="BY4" s="843">
        <v>40756</v>
      </c>
      <c r="BZ4" s="843">
        <v>40787</v>
      </c>
      <c r="CA4" s="843">
        <v>40817</v>
      </c>
      <c r="CB4" s="843">
        <v>40848</v>
      </c>
      <c r="CC4" s="843">
        <v>40878</v>
      </c>
      <c r="CD4" s="843">
        <v>40909</v>
      </c>
      <c r="CE4" s="843">
        <v>40940</v>
      </c>
      <c r="CF4" s="843">
        <v>40969</v>
      </c>
      <c r="CG4" s="843">
        <v>41000</v>
      </c>
      <c r="CH4" s="843">
        <v>41030</v>
      </c>
      <c r="CI4" s="843">
        <v>41061</v>
      </c>
      <c r="CJ4" s="843">
        <v>41091</v>
      </c>
      <c r="CK4" s="843">
        <v>41122</v>
      </c>
      <c r="CL4" s="843">
        <v>41153</v>
      </c>
      <c r="CM4" s="843">
        <v>41183</v>
      </c>
      <c r="CN4" s="843">
        <v>41214</v>
      </c>
      <c r="CO4" s="843">
        <v>41244</v>
      </c>
      <c r="CP4" s="843">
        <v>41275</v>
      </c>
      <c r="CQ4" s="843">
        <v>41306</v>
      </c>
      <c r="CR4" s="843">
        <v>41334</v>
      </c>
      <c r="CS4" s="843">
        <v>41365</v>
      </c>
      <c r="CT4" s="843">
        <v>41395</v>
      </c>
      <c r="CU4" s="843">
        <v>41426</v>
      </c>
      <c r="CV4" s="843">
        <v>41456</v>
      </c>
      <c r="CW4" s="843">
        <v>41487</v>
      </c>
      <c r="CX4" s="843">
        <v>41518</v>
      </c>
      <c r="CY4" s="843">
        <v>41548</v>
      </c>
      <c r="CZ4" s="843">
        <v>41579</v>
      </c>
      <c r="DA4" s="843">
        <v>41609</v>
      </c>
      <c r="DB4" s="902">
        <v>41640</v>
      </c>
      <c r="DC4" s="841">
        <v>41671</v>
      </c>
      <c r="DD4" s="841">
        <v>41699</v>
      </c>
      <c r="DE4" s="841">
        <v>41730</v>
      </c>
      <c r="DF4" s="841">
        <v>41760</v>
      </c>
      <c r="DG4" s="841">
        <v>41791</v>
      </c>
      <c r="DH4" s="841">
        <v>41821</v>
      </c>
      <c r="DI4" s="841">
        <v>41852</v>
      </c>
      <c r="DJ4" s="841">
        <v>41883</v>
      </c>
      <c r="DK4" s="841">
        <v>41913</v>
      </c>
      <c r="DL4" s="841">
        <v>41944</v>
      </c>
      <c r="DM4" s="841">
        <v>41974</v>
      </c>
      <c r="DN4" s="841">
        <v>42005</v>
      </c>
      <c r="DO4" s="841">
        <v>42036</v>
      </c>
      <c r="DP4" s="841">
        <v>42064</v>
      </c>
      <c r="DQ4" s="841">
        <v>42095</v>
      </c>
      <c r="DR4" s="841">
        <v>42125</v>
      </c>
      <c r="DS4" s="841">
        <v>42156</v>
      </c>
    </row>
    <row r="5" spans="1:123" ht="18" customHeight="1" thickTop="1">
      <c r="A5" s="846"/>
      <c r="B5" s="847"/>
      <c r="C5" s="903"/>
      <c r="D5" s="903"/>
      <c r="E5" s="903"/>
      <c r="F5" s="904"/>
      <c r="G5" s="903"/>
      <c r="H5" s="905"/>
      <c r="I5" s="903"/>
      <c r="J5" s="903"/>
      <c r="K5" s="903"/>
      <c r="L5" s="903"/>
      <c r="M5" s="904"/>
      <c r="N5" s="903"/>
      <c r="O5" s="903"/>
      <c r="P5" s="903"/>
      <c r="Q5" s="903"/>
      <c r="R5" s="903"/>
      <c r="S5" s="903"/>
      <c r="T5" s="903"/>
      <c r="U5" s="903"/>
      <c r="V5" s="903"/>
      <c r="W5" s="903"/>
      <c r="X5" s="903"/>
      <c r="Y5" s="903"/>
      <c r="Z5" s="903"/>
      <c r="AA5" s="903"/>
      <c r="AB5" s="904"/>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6"/>
      <c r="BC5" s="906"/>
      <c r="BD5" s="906"/>
      <c r="BE5" s="906"/>
      <c r="BF5" s="906"/>
      <c r="BG5" s="906"/>
      <c r="BH5" s="906"/>
      <c r="BI5" s="906"/>
      <c r="BJ5" s="906"/>
      <c r="BK5" s="906"/>
      <c r="BL5" s="906"/>
      <c r="BM5" s="906"/>
      <c r="BN5" s="906"/>
      <c r="BO5" s="906"/>
      <c r="BP5" s="906"/>
      <c r="BQ5" s="906"/>
      <c r="BR5" s="906"/>
      <c r="BS5" s="906"/>
      <c r="BT5" s="906"/>
      <c r="BU5" s="906"/>
      <c r="BV5" s="906"/>
      <c r="BW5" s="906"/>
      <c r="BX5" s="906"/>
      <c r="BY5" s="906"/>
      <c r="BZ5" s="906"/>
      <c r="CA5" s="906"/>
      <c r="CB5" s="906"/>
      <c r="CC5" s="906"/>
      <c r="CD5" s="906"/>
      <c r="CE5" s="906"/>
      <c r="CF5" s="906"/>
      <c r="CG5" s="906"/>
      <c r="CH5" s="906"/>
      <c r="CI5" s="906"/>
      <c r="CJ5" s="906"/>
      <c r="CK5" s="906"/>
      <c r="CL5" s="906"/>
      <c r="CM5" s="906"/>
      <c r="CN5" s="906"/>
      <c r="CO5" s="906"/>
      <c r="CP5" s="906"/>
      <c r="CQ5" s="906"/>
      <c r="CR5" s="906"/>
      <c r="CS5" s="906"/>
      <c r="CT5" s="906"/>
      <c r="CU5" s="906"/>
      <c r="CV5" s="906"/>
      <c r="CW5" s="906"/>
      <c r="CX5" s="906"/>
      <c r="CY5" s="906"/>
      <c r="CZ5" s="906"/>
      <c r="DA5" s="906"/>
      <c r="DB5" s="907"/>
      <c r="DC5" s="906"/>
      <c r="DD5" s="908"/>
      <c r="DE5" s="908"/>
      <c r="DF5" s="908"/>
      <c r="DG5" s="908"/>
      <c r="DH5" s="908"/>
      <c r="DI5" s="908"/>
      <c r="DJ5" s="908"/>
      <c r="DK5" s="908"/>
      <c r="DL5" s="908"/>
      <c r="DM5" s="908"/>
      <c r="DN5" s="908"/>
      <c r="DO5" s="908"/>
      <c r="DP5" s="908"/>
      <c r="DQ5" s="908"/>
      <c r="DR5" s="908"/>
      <c r="DS5" s="908"/>
    </row>
    <row r="6" spans="1:123" ht="18" customHeight="1">
      <c r="A6" s="853" t="s">
        <v>2490</v>
      </c>
      <c r="B6" s="854" t="s">
        <v>2491</v>
      </c>
      <c r="C6" s="909">
        <v>0</v>
      </c>
      <c r="D6" s="909">
        <v>0</v>
      </c>
      <c r="E6" s="909">
        <v>0</v>
      </c>
      <c r="F6" s="910">
        <v>0</v>
      </c>
      <c r="G6" s="909">
        <v>0</v>
      </c>
      <c r="H6" s="911">
        <v>0</v>
      </c>
      <c r="I6" s="909">
        <v>0</v>
      </c>
      <c r="J6" s="909">
        <v>0</v>
      </c>
      <c r="K6" s="909">
        <v>0</v>
      </c>
      <c r="L6" s="909">
        <v>0</v>
      </c>
      <c r="M6" s="910">
        <v>0</v>
      </c>
      <c r="N6" s="909">
        <v>0</v>
      </c>
      <c r="O6" s="909">
        <v>0</v>
      </c>
      <c r="P6" s="909">
        <v>0</v>
      </c>
      <c r="Q6" s="909">
        <v>0</v>
      </c>
      <c r="R6" s="909">
        <v>0</v>
      </c>
      <c r="S6" s="909">
        <v>0</v>
      </c>
      <c r="T6" s="909">
        <v>0</v>
      </c>
      <c r="U6" s="909">
        <v>0</v>
      </c>
      <c r="V6" s="909">
        <v>0</v>
      </c>
      <c r="W6" s="909">
        <v>0</v>
      </c>
      <c r="X6" s="909">
        <v>0</v>
      </c>
      <c r="Y6" s="909">
        <v>0</v>
      </c>
      <c r="Z6" s="909">
        <v>0</v>
      </c>
      <c r="AA6" s="909">
        <v>0</v>
      </c>
      <c r="AB6" s="910">
        <v>0</v>
      </c>
      <c r="AC6" s="909">
        <v>0</v>
      </c>
      <c r="AD6" s="909">
        <v>0</v>
      </c>
      <c r="AE6" s="909">
        <v>0</v>
      </c>
      <c r="AF6" s="909">
        <v>0</v>
      </c>
      <c r="AG6" s="909">
        <v>0</v>
      </c>
      <c r="AH6" s="909">
        <v>0</v>
      </c>
      <c r="AI6" s="909">
        <v>0</v>
      </c>
      <c r="AJ6" s="909">
        <v>0</v>
      </c>
      <c r="AK6" s="909">
        <v>0</v>
      </c>
      <c r="AL6" s="909">
        <v>0</v>
      </c>
      <c r="AM6" s="909">
        <v>0</v>
      </c>
      <c r="AN6" s="909">
        <v>0</v>
      </c>
      <c r="AO6" s="909">
        <v>0</v>
      </c>
      <c r="AP6" s="909">
        <v>0</v>
      </c>
      <c r="AQ6" s="909">
        <v>0</v>
      </c>
      <c r="AR6" s="909">
        <v>0</v>
      </c>
      <c r="AS6" s="909">
        <v>0</v>
      </c>
      <c r="AT6" s="909">
        <v>0</v>
      </c>
      <c r="AU6" s="909">
        <v>0</v>
      </c>
      <c r="AV6" s="909">
        <v>0</v>
      </c>
      <c r="AW6" s="909">
        <v>0</v>
      </c>
      <c r="AX6" s="909">
        <v>0</v>
      </c>
      <c r="AY6" s="909">
        <v>0</v>
      </c>
      <c r="AZ6" s="909">
        <v>0</v>
      </c>
      <c r="BA6" s="909">
        <v>0</v>
      </c>
      <c r="BB6" s="909">
        <v>0</v>
      </c>
      <c r="BC6" s="909">
        <v>0</v>
      </c>
      <c r="BD6" s="909">
        <v>0</v>
      </c>
      <c r="BE6" s="909">
        <v>0</v>
      </c>
      <c r="BF6" s="909">
        <v>0</v>
      </c>
      <c r="BG6" s="909">
        <v>0</v>
      </c>
      <c r="BH6" s="909">
        <v>0</v>
      </c>
      <c r="BI6" s="909">
        <v>0</v>
      </c>
      <c r="BJ6" s="909">
        <v>0</v>
      </c>
      <c r="BK6" s="909">
        <v>0</v>
      </c>
      <c r="BL6" s="909">
        <v>0</v>
      </c>
      <c r="BM6" s="909">
        <v>0</v>
      </c>
      <c r="BN6" s="909">
        <v>0</v>
      </c>
      <c r="BO6" s="909">
        <v>0</v>
      </c>
      <c r="BP6" s="909">
        <v>0</v>
      </c>
      <c r="BQ6" s="909">
        <v>0</v>
      </c>
      <c r="BR6" s="909">
        <v>0</v>
      </c>
      <c r="BS6" s="909">
        <v>0</v>
      </c>
      <c r="BT6" s="909">
        <v>0</v>
      </c>
      <c r="BU6" s="909">
        <v>0</v>
      </c>
      <c r="BV6" s="909">
        <v>0</v>
      </c>
      <c r="BW6" s="909">
        <v>0</v>
      </c>
      <c r="BX6" s="909">
        <v>0</v>
      </c>
      <c r="BY6" s="909">
        <v>0</v>
      </c>
      <c r="BZ6" s="909">
        <v>0</v>
      </c>
      <c r="CA6" s="909">
        <v>0</v>
      </c>
      <c r="CB6" s="909">
        <v>0</v>
      </c>
      <c r="CC6" s="909">
        <v>0</v>
      </c>
      <c r="CD6" s="909">
        <v>0</v>
      </c>
      <c r="CE6" s="909">
        <v>0</v>
      </c>
      <c r="CF6" s="909">
        <v>0</v>
      </c>
      <c r="CG6" s="909">
        <v>0</v>
      </c>
      <c r="CH6" s="909">
        <v>0</v>
      </c>
      <c r="CI6" s="909">
        <v>0</v>
      </c>
      <c r="CJ6" s="909">
        <v>0</v>
      </c>
      <c r="CK6" s="909">
        <v>0</v>
      </c>
      <c r="CL6" s="909">
        <v>0</v>
      </c>
      <c r="CM6" s="909">
        <v>0</v>
      </c>
      <c r="CN6" s="909">
        <v>0</v>
      </c>
      <c r="CO6" s="909">
        <v>0</v>
      </c>
      <c r="CP6" s="909">
        <v>0</v>
      </c>
      <c r="CQ6" s="909">
        <v>0</v>
      </c>
      <c r="CR6" s="909">
        <v>0</v>
      </c>
      <c r="CS6" s="909">
        <v>0</v>
      </c>
      <c r="CT6" s="909">
        <v>0</v>
      </c>
      <c r="CU6" s="909">
        <v>0</v>
      </c>
      <c r="CV6" s="909">
        <v>0</v>
      </c>
      <c r="CW6" s="909">
        <v>0</v>
      </c>
      <c r="CX6" s="909">
        <v>0</v>
      </c>
      <c r="CY6" s="909">
        <v>0</v>
      </c>
      <c r="CZ6" s="909">
        <v>0</v>
      </c>
      <c r="DA6" s="909">
        <v>0</v>
      </c>
      <c r="DB6" s="912">
        <v>0</v>
      </c>
      <c r="DC6" s="909">
        <v>0</v>
      </c>
      <c r="DD6" s="855">
        <v>0</v>
      </c>
      <c r="DE6" s="855">
        <v>0</v>
      </c>
      <c r="DF6" s="855">
        <v>0</v>
      </c>
      <c r="DG6" s="855">
        <v>0</v>
      </c>
      <c r="DH6" s="855">
        <v>0</v>
      </c>
      <c r="DI6" s="855">
        <v>0</v>
      </c>
      <c r="DJ6" s="855">
        <v>0</v>
      </c>
      <c r="DK6" s="855">
        <v>0</v>
      </c>
      <c r="DL6" s="855">
        <v>0</v>
      </c>
      <c r="DM6" s="855">
        <v>0</v>
      </c>
      <c r="DN6" s="855">
        <v>0</v>
      </c>
      <c r="DO6" s="855">
        <v>0</v>
      </c>
      <c r="DP6" s="855">
        <v>0</v>
      </c>
      <c r="DQ6" s="855">
        <v>0</v>
      </c>
      <c r="DR6" s="855">
        <v>0</v>
      </c>
      <c r="DS6" s="855">
        <v>0</v>
      </c>
    </row>
    <row r="7" spans="1:123" ht="18" customHeight="1">
      <c r="A7" s="857"/>
      <c r="B7" s="858"/>
      <c r="C7" s="913"/>
      <c r="D7" s="913"/>
      <c r="E7" s="913"/>
      <c r="F7" s="914"/>
      <c r="G7" s="913"/>
      <c r="H7" s="915"/>
      <c r="I7" s="913"/>
      <c r="J7" s="913"/>
      <c r="K7" s="913"/>
      <c r="L7" s="913"/>
      <c r="M7" s="914"/>
      <c r="N7" s="913"/>
      <c r="O7" s="913"/>
      <c r="P7" s="913"/>
      <c r="Q7" s="913"/>
      <c r="R7" s="913"/>
      <c r="S7" s="913"/>
      <c r="T7" s="913"/>
      <c r="U7" s="913"/>
      <c r="V7" s="913"/>
      <c r="W7" s="913"/>
      <c r="X7" s="913"/>
      <c r="Y7" s="913"/>
      <c r="Z7" s="913"/>
      <c r="AA7" s="913"/>
      <c r="AB7" s="914"/>
      <c r="AC7" s="913"/>
      <c r="AD7" s="913"/>
      <c r="AE7" s="913"/>
      <c r="AF7" s="913"/>
      <c r="AG7" s="913"/>
      <c r="AH7" s="913"/>
      <c r="AI7" s="913"/>
      <c r="AJ7" s="913"/>
      <c r="AK7" s="913"/>
      <c r="AL7" s="913"/>
      <c r="AM7" s="913"/>
      <c r="AN7" s="913"/>
      <c r="AO7" s="913"/>
      <c r="AP7" s="913"/>
      <c r="AQ7" s="913"/>
      <c r="AR7" s="913"/>
      <c r="AS7" s="913"/>
      <c r="AT7" s="913"/>
      <c r="AU7" s="913"/>
      <c r="AV7" s="913"/>
      <c r="AW7" s="913"/>
      <c r="AX7" s="913"/>
      <c r="AY7" s="913"/>
      <c r="AZ7" s="913"/>
      <c r="BA7" s="913"/>
      <c r="BB7" s="913"/>
      <c r="BC7" s="913"/>
      <c r="BD7" s="913"/>
      <c r="BE7" s="913"/>
      <c r="BF7" s="913"/>
      <c r="BG7" s="913"/>
      <c r="BH7" s="913"/>
      <c r="BI7" s="913"/>
      <c r="BJ7" s="913"/>
      <c r="BK7" s="913"/>
      <c r="BL7" s="913"/>
      <c r="BM7" s="913"/>
      <c r="BN7" s="913"/>
      <c r="BO7" s="913"/>
      <c r="BP7" s="913"/>
      <c r="BQ7" s="913"/>
      <c r="BR7" s="913"/>
      <c r="BS7" s="913"/>
      <c r="BT7" s="913"/>
      <c r="BU7" s="913"/>
      <c r="BV7" s="913"/>
      <c r="BW7" s="913"/>
      <c r="BX7" s="913"/>
      <c r="BY7" s="913"/>
      <c r="BZ7" s="913"/>
      <c r="CA7" s="913"/>
      <c r="CB7" s="913"/>
      <c r="CC7" s="913"/>
      <c r="CD7" s="913"/>
      <c r="CE7" s="913"/>
      <c r="CF7" s="913"/>
      <c r="CG7" s="913"/>
      <c r="CH7" s="913"/>
      <c r="CI7" s="913"/>
      <c r="CJ7" s="913"/>
      <c r="CK7" s="913"/>
      <c r="CL7" s="913"/>
      <c r="CM7" s="913"/>
      <c r="CN7" s="913"/>
      <c r="CO7" s="913"/>
      <c r="CP7" s="913"/>
      <c r="CQ7" s="913"/>
      <c r="CR7" s="913"/>
      <c r="CS7" s="913"/>
      <c r="CT7" s="913"/>
      <c r="CU7" s="913"/>
      <c r="CV7" s="913"/>
      <c r="CW7" s="913"/>
      <c r="CX7" s="913"/>
      <c r="CY7" s="913"/>
      <c r="CZ7" s="913"/>
      <c r="DA7" s="913"/>
      <c r="DB7" s="916"/>
      <c r="DC7" s="913"/>
      <c r="DD7" s="859"/>
      <c r="DE7" s="859"/>
      <c r="DF7" s="859"/>
      <c r="DG7" s="859"/>
      <c r="DH7" s="859"/>
      <c r="DI7" s="859"/>
      <c r="DJ7" s="859"/>
      <c r="DK7" s="859"/>
      <c r="DL7" s="859"/>
      <c r="DM7" s="859"/>
      <c r="DN7" s="859"/>
      <c r="DO7" s="859"/>
      <c r="DP7" s="859"/>
      <c r="DQ7" s="859"/>
      <c r="DR7" s="859"/>
      <c r="DS7" s="859"/>
    </row>
    <row r="8" spans="1:123" ht="18" customHeight="1">
      <c r="A8" s="853" t="s">
        <v>2492</v>
      </c>
      <c r="B8" s="854" t="s">
        <v>2493</v>
      </c>
      <c r="C8" s="909">
        <v>136178.43999452301</v>
      </c>
      <c r="D8" s="909">
        <v>116230.03408391667</v>
      </c>
      <c r="E8" s="909">
        <v>130132.37196290678</v>
      </c>
      <c r="F8" s="910">
        <v>139521.98715559201</v>
      </c>
      <c r="G8" s="909">
        <v>139367.33836026196</v>
      </c>
      <c r="H8" s="911">
        <v>157762.66453401314</v>
      </c>
      <c r="I8" s="909">
        <v>143451.05274890381</v>
      </c>
      <c r="J8" s="909">
        <v>148155.25278240716</v>
      </c>
      <c r="K8" s="909">
        <v>177797.85328286284</v>
      </c>
      <c r="L8" s="909">
        <v>183467.7645240183</v>
      </c>
      <c r="M8" s="910">
        <v>169663.0647888302</v>
      </c>
      <c r="N8" s="909">
        <v>195799.69742275891</v>
      </c>
      <c r="O8" s="909">
        <v>187507.06538600696</v>
      </c>
      <c r="P8" s="909">
        <v>199013.7328134976</v>
      </c>
      <c r="Q8" s="909">
        <v>205198.34475756431</v>
      </c>
      <c r="R8" s="909">
        <v>230350.69407867076</v>
      </c>
      <c r="S8" s="909">
        <v>233076.84816871831</v>
      </c>
      <c r="T8" s="909">
        <v>250966.8914985405</v>
      </c>
      <c r="U8" s="909">
        <v>276375.87292437919</v>
      </c>
      <c r="V8" s="909">
        <v>243155.21555671969</v>
      </c>
      <c r="W8" s="909">
        <v>240416.3637943858</v>
      </c>
      <c r="X8" s="909">
        <v>239185.99880830882</v>
      </c>
      <c r="Y8" s="909">
        <v>228709.43412511045</v>
      </c>
      <c r="Z8" s="909">
        <v>227011.69903462991</v>
      </c>
      <c r="AA8" s="909">
        <v>234098.59419943648</v>
      </c>
      <c r="AB8" s="910">
        <v>260109.87297384226</v>
      </c>
      <c r="AC8" s="909">
        <v>272734.00079297763</v>
      </c>
      <c r="AD8" s="909">
        <v>276341.08277825976</v>
      </c>
      <c r="AE8" s="909">
        <v>264167.83444763487</v>
      </c>
      <c r="AF8" s="909">
        <v>295025.7933259884</v>
      </c>
      <c r="AG8" s="909">
        <v>276984.07760893798</v>
      </c>
      <c r="AH8" s="909">
        <v>293130.94655232655</v>
      </c>
      <c r="AI8" s="909">
        <v>268554.87057226081</v>
      </c>
      <c r="AJ8" s="909">
        <v>259006.22230780192</v>
      </c>
      <c r="AK8" s="909">
        <v>236645.51199449706</v>
      </c>
      <c r="AL8" s="909">
        <v>243650.5208996307</v>
      </c>
      <c r="AM8" s="909">
        <v>255585.31891297194</v>
      </c>
      <c r="AN8" s="909">
        <v>279887.81503659399</v>
      </c>
      <c r="AO8" s="909">
        <v>257411.54356240056</v>
      </c>
      <c r="AP8" s="909">
        <v>235388.51431186678</v>
      </c>
      <c r="AQ8" s="909">
        <v>242599.32134361344</v>
      </c>
      <c r="AR8" s="909">
        <v>242909.14039155218</v>
      </c>
      <c r="AS8" s="909">
        <v>222126.34724996117</v>
      </c>
      <c r="AT8" s="909">
        <v>244276.71415654916</v>
      </c>
      <c r="AU8" s="909">
        <v>251635.90433816437</v>
      </c>
      <c r="AV8" s="909">
        <v>257142.14499298923</v>
      </c>
      <c r="AW8" s="909">
        <v>246223.51353805588</v>
      </c>
      <c r="AX8" s="909">
        <v>242231.97659319796</v>
      </c>
      <c r="AY8" s="909">
        <v>233918.13117396811</v>
      </c>
      <c r="AZ8" s="909">
        <v>216309.13123138339</v>
      </c>
      <c r="BA8" s="909">
        <v>206554.12635361252</v>
      </c>
      <c r="BB8" s="909">
        <v>214871.6219141389</v>
      </c>
      <c r="BC8" s="909">
        <v>223527.69391904242</v>
      </c>
      <c r="BD8" s="909">
        <v>218840.07105076354</v>
      </c>
      <c r="BE8" s="909">
        <v>236285.32378748566</v>
      </c>
      <c r="BF8" s="909">
        <v>246330.23434637161</v>
      </c>
      <c r="BG8" s="909">
        <v>239911.35103890789</v>
      </c>
      <c r="BH8" s="909">
        <v>251110.30049444461</v>
      </c>
      <c r="BI8" s="909">
        <v>233179.76966713739</v>
      </c>
      <c r="BJ8" s="909">
        <v>265891.45698459179</v>
      </c>
      <c r="BK8" s="909">
        <v>251091.27311556888</v>
      </c>
      <c r="BL8" s="909">
        <v>206610.44095982582</v>
      </c>
      <c r="BM8" s="909">
        <v>234315.70890849963</v>
      </c>
      <c r="BN8" s="909">
        <v>237730.71370376952</v>
      </c>
      <c r="BO8" s="909">
        <v>244526.9694849565</v>
      </c>
      <c r="BP8" s="909">
        <v>251433.09264393171</v>
      </c>
      <c r="BQ8" s="909">
        <v>248371.92779843963</v>
      </c>
      <c r="BR8" s="909">
        <v>249037.7096510827</v>
      </c>
      <c r="BS8" s="909">
        <v>249966.23457969213</v>
      </c>
      <c r="BT8" s="909">
        <v>209095.88711222709</v>
      </c>
      <c r="BU8" s="909">
        <v>245681.91932774591</v>
      </c>
      <c r="BV8" s="909">
        <v>204668.14780793706</v>
      </c>
      <c r="BW8" s="909">
        <v>235655.57660381799</v>
      </c>
      <c r="BX8" s="909">
        <v>210901.19464144739</v>
      </c>
      <c r="BY8" s="909">
        <v>197483.72443542042</v>
      </c>
      <c r="BZ8" s="909">
        <v>209697.98557407345</v>
      </c>
      <c r="CA8" s="909">
        <v>210427.60377609509</v>
      </c>
      <c r="CB8" s="909">
        <v>257384.77811784571</v>
      </c>
      <c r="CC8" s="909">
        <v>207166.58874576859</v>
      </c>
      <c r="CD8" s="909">
        <v>167566.96571080218</v>
      </c>
      <c r="CE8" s="909">
        <v>188761.54489262865</v>
      </c>
      <c r="CF8" s="909">
        <v>237917.17436641685</v>
      </c>
      <c r="CG8" s="909">
        <v>235637.24590558562</v>
      </c>
      <c r="CH8" s="909">
        <v>243001.46460930759</v>
      </c>
      <c r="CI8" s="909">
        <v>184322.05402565229</v>
      </c>
      <c r="CJ8" s="909">
        <v>226817.20269414515</v>
      </c>
      <c r="CK8" s="909">
        <v>196214.34019245527</v>
      </c>
      <c r="CL8" s="909">
        <v>205966.0335260616</v>
      </c>
      <c r="CM8" s="909">
        <v>214191.04639274476</v>
      </c>
      <c r="CN8" s="909">
        <v>214750.81469717098</v>
      </c>
      <c r="CO8" s="909">
        <v>238219.25371931389</v>
      </c>
      <c r="CP8" s="909">
        <v>252737.0724059433</v>
      </c>
      <c r="CQ8" s="909">
        <v>206447.59290120611</v>
      </c>
      <c r="CR8" s="909">
        <v>244517.21015118383</v>
      </c>
      <c r="CS8" s="909">
        <v>247465.85431716559</v>
      </c>
      <c r="CT8" s="909">
        <v>270782.79846521025</v>
      </c>
      <c r="CU8" s="909">
        <v>250902.03883934926</v>
      </c>
      <c r="CV8" s="909">
        <v>269445.49592200166</v>
      </c>
      <c r="CW8" s="909">
        <v>242742.17159747274</v>
      </c>
      <c r="CX8" s="909">
        <v>239745.49042027007</v>
      </c>
      <c r="CY8" s="909">
        <v>234926.05418041517</v>
      </c>
      <c r="CZ8" s="909">
        <v>242721.10131536936</v>
      </c>
      <c r="DA8" s="909">
        <v>290584.88886338269</v>
      </c>
      <c r="DB8" s="912">
        <v>258532.7906612095</v>
      </c>
      <c r="DC8" s="909">
        <v>268814.4350144621</v>
      </c>
      <c r="DD8" s="855">
        <v>285706.13734245277</v>
      </c>
      <c r="DE8" s="855">
        <v>272951.72499069362</v>
      </c>
      <c r="DF8" s="855">
        <v>242969.68492250441</v>
      </c>
      <c r="DG8" s="855">
        <v>236050.20186665712</v>
      </c>
      <c r="DH8" s="855">
        <v>257737.82243300517</v>
      </c>
      <c r="DI8" s="855">
        <v>262496.00318591669</v>
      </c>
      <c r="DJ8" s="855">
        <v>289195.25407391018</v>
      </c>
      <c r="DK8" s="855">
        <v>335244.44140372943</v>
      </c>
      <c r="DL8" s="855">
        <v>295887.05619782652</v>
      </c>
      <c r="DM8" s="855">
        <v>315595.85531323199</v>
      </c>
      <c r="DN8" s="855">
        <v>338188.46949475585</v>
      </c>
      <c r="DO8" s="855">
        <v>331380.512153321</v>
      </c>
      <c r="DP8" s="855">
        <v>377501.53602262237</v>
      </c>
      <c r="DQ8" s="855">
        <v>394177.68814548431</v>
      </c>
      <c r="DR8" s="855">
        <v>348902.27270686242</v>
      </c>
      <c r="DS8" s="855">
        <v>336992.56356861792</v>
      </c>
    </row>
    <row r="9" spans="1:123" ht="18" customHeight="1">
      <c r="A9" s="857" t="s">
        <v>2494</v>
      </c>
      <c r="B9" s="858" t="s">
        <v>2362</v>
      </c>
      <c r="C9" s="878">
        <v>2411.5080739245864</v>
      </c>
      <c r="D9" s="878">
        <v>2374.2704695120633</v>
      </c>
      <c r="E9" s="878">
        <v>2689.4286805223851</v>
      </c>
      <c r="F9" s="917">
        <v>2609.3305751896678</v>
      </c>
      <c r="G9" s="878">
        <v>2829.9908421619598</v>
      </c>
      <c r="H9" s="918">
        <v>3422.3627835995226</v>
      </c>
      <c r="I9" s="878">
        <v>3857.0544986418649</v>
      </c>
      <c r="J9" s="878">
        <v>2834.672189555828</v>
      </c>
      <c r="K9" s="878">
        <v>2471.2032170934831</v>
      </c>
      <c r="L9" s="878">
        <v>2242.8746434496229</v>
      </c>
      <c r="M9" s="917">
        <v>2325.7475869641262</v>
      </c>
      <c r="N9" s="878">
        <v>2201.1372161125737</v>
      </c>
      <c r="O9" s="878">
        <v>2000.4248363982758</v>
      </c>
      <c r="P9" s="878">
        <v>2248.1926656085639</v>
      </c>
      <c r="Q9" s="878">
        <v>2611.2474925302877</v>
      </c>
      <c r="R9" s="878">
        <v>2145.4001480244069</v>
      </c>
      <c r="S9" s="878">
        <v>2471.1521219531987</v>
      </c>
      <c r="T9" s="878">
        <v>2775.6725251363996</v>
      </c>
      <c r="U9" s="878">
        <v>3733.3959026907896</v>
      </c>
      <c r="V9" s="878">
        <v>2768.3246351410908</v>
      </c>
      <c r="W9" s="878">
        <v>2662.1335959648309</v>
      </c>
      <c r="X9" s="878">
        <v>2443.8508128417689</v>
      </c>
      <c r="Y9" s="878">
        <v>2448.3523229018556</v>
      </c>
      <c r="Z9" s="878">
        <v>2350.0757424319381</v>
      </c>
      <c r="AA9" s="878">
        <v>2179.8350122071138</v>
      </c>
      <c r="AB9" s="917">
        <v>2430.911087485094</v>
      </c>
      <c r="AC9" s="878">
        <v>2272.8653160495328</v>
      </c>
      <c r="AD9" s="878">
        <v>2236.8598920954041</v>
      </c>
      <c r="AE9" s="878">
        <v>2654.1271336085929</v>
      </c>
      <c r="AF9" s="878">
        <v>2637.0378675246689</v>
      </c>
      <c r="AG9" s="878">
        <v>4080.4407354679688</v>
      </c>
      <c r="AH9" s="878">
        <v>3184.1021022115565</v>
      </c>
      <c r="AI9" s="878">
        <v>2678.2470005154933</v>
      </c>
      <c r="AJ9" s="878">
        <v>2471.0397739160198</v>
      </c>
      <c r="AK9" s="878">
        <v>2611.3709323426338</v>
      </c>
      <c r="AL9" s="878">
        <v>2543.4467479521204</v>
      </c>
      <c r="AM9" s="878">
        <v>2419.4218642864121</v>
      </c>
      <c r="AN9" s="878">
        <v>2828.5732531700705</v>
      </c>
      <c r="AO9" s="878">
        <v>2635.5941385999749</v>
      </c>
      <c r="AP9" s="878">
        <v>2433.0508271385793</v>
      </c>
      <c r="AQ9" s="878">
        <v>2727.1367521419652</v>
      </c>
      <c r="AR9" s="878">
        <v>2735.8121807136531</v>
      </c>
      <c r="AS9" s="878">
        <v>4915.9890583607203</v>
      </c>
      <c r="AT9" s="878">
        <v>3156.0812645841052</v>
      </c>
      <c r="AU9" s="878">
        <v>2931.6981214160155</v>
      </c>
      <c r="AV9" s="878">
        <v>2635.3750150856335</v>
      </c>
      <c r="AW9" s="878">
        <v>2802.4667992532422</v>
      </c>
      <c r="AX9" s="878">
        <v>2500.8052513529528</v>
      </c>
      <c r="AY9" s="878">
        <v>2639.1395872433595</v>
      </c>
      <c r="AZ9" s="878">
        <v>2762.4244680578418</v>
      </c>
      <c r="BA9" s="878">
        <v>2763.1871916836071</v>
      </c>
      <c r="BB9" s="878">
        <v>2587.5747578782689</v>
      </c>
      <c r="BC9" s="878">
        <v>2615.9736950549827</v>
      </c>
      <c r="BD9" s="878">
        <v>2905.9479754705753</v>
      </c>
      <c r="BE9" s="878">
        <v>4540.4009026838485</v>
      </c>
      <c r="BF9" s="878">
        <v>3193.4770430194899</v>
      </c>
      <c r="BG9" s="878">
        <v>3013.6093341912247</v>
      </c>
      <c r="BH9" s="878">
        <v>3330.9740599154284</v>
      </c>
      <c r="BI9" s="878">
        <v>3034.4051382918592</v>
      </c>
      <c r="BJ9" s="878">
        <v>3057.9910606992457</v>
      </c>
      <c r="BK9" s="878">
        <v>3044.2690983029765</v>
      </c>
      <c r="BL9" s="878">
        <v>2922.3970337241335</v>
      </c>
      <c r="BM9" s="878">
        <v>3203.9671479032882</v>
      </c>
      <c r="BN9" s="878">
        <v>3270.4690305055519</v>
      </c>
      <c r="BO9" s="878">
        <v>3170.4250638812568</v>
      </c>
      <c r="BP9" s="878">
        <v>3235.2780204776659</v>
      </c>
      <c r="BQ9" s="878">
        <v>4205.9198756393207</v>
      </c>
      <c r="BR9" s="878">
        <v>3861.1149867947979</v>
      </c>
      <c r="BS9" s="878">
        <v>3247.8468417434906</v>
      </c>
      <c r="BT9" s="878">
        <v>3401.457315797285</v>
      </c>
      <c r="BU9" s="878">
        <v>3143.0336881032258</v>
      </c>
      <c r="BV9" s="878">
        <v>3347.6792710326076</v>
      </c>
      <c r="BW9" s="878">
        <v>3195.4686562305333</v>
      </c>
      <c r="BX9" s="878">
        <v>3270.5200782956481</v>
      </c>
      <c r="BY9" s="878">
        <v>3722.8116416959419</v>
      </c>
      <c r="BZ9" s="878">
        <v>3522.4362761507259</v>
      </c>
      <c r="CA9" s="878">
        <v>3952.2740490782348</v>
      </c>
      <c r="CB9" s="878">
        <v>3989.8715547605752</v>
      </c>
      <c r="CC9" s="878">
        <v>4740.2541348085651</v>
      </c>
      <c r="CD9" s="878">
        <v>3775.5713950513682</v>
      </c>
      <c r="CE9" s="878">
        <v>3639.9467417759838</v>
      </c>
      <c r="CF9" s="878">
        <v>3311.4361768832928</v>
      </c>
      <c r="CG9" s="878">
        <v>3394.0250294460238</v>
      </c>
      <c r="CH9" s="878">
        <v>3668.905479245519</v>
      </c>
      <c r="CI9" s="878">
        <v>3070.8687497072065</v>
      </c>
      <c r="CJ9" s="878">
        <v>3325.0385551201116</v>
      </c>
      <c r="CK9" s="878">
        <v>3591.2501800222963</v>
      </c>
      <c r="CL9" s="878">
        <v>3575.2710323313904</v>
      </c>
      <c r="CM9" s="878">
        <v>4228.1544489717844</v>
      </c>
      <c r="CN9" s="878">
        <v>3979.8004943419373</v>
      </c>
      <c r="CO9" s="878">
        <v>5631.2046430665814</v>
      </c>
      <c r="CP9" s="878">
        <v>4740.5413379273359</v>
      </c>
      <c r="CQ9" s="878">
        <v>4117.169277216608</v>
      </c>
      <c r="CR9" s="878">
        <v>4350.2830175349127</v>
      </c>
      <c r="CS9" s="878">
        <v>4595.5736209331744</v>
      </c>
      <c r="CT9" s="878">
        <v>4328.48083655542</v>
      </c>
      <c r="CU9" s="878">
        <v>4265.2787515115488</v>
      </c>
      <c r="CV9" s="878">
        <v>4924.9564298555197</v>
      </c>
      <c r="CW9" s="878">
        <v>4657.8419114214403</v>
      </c>
      <c r="CX9" s="878">
        <v>4653.6821646892813</v>
      </c>
      <c r="CY9" s="878">
        <v>5258.6775262798319</v>
      </c>
      <c r="CZ9" s="878">
        <v>5000.8422295872233</v>
      </c>
      <c r="DA9" s="878">
        <v>7541.1297477780081</v>
      </c>
      <c r="DB9" s="919">
        <v>5696.6861018466498</v>
      </c>
      <c r="DC9" s="878">
        <v>5342.9772100147902</v>
      </c>
      <c r="DD9" s="860">
        <v>5082.5744356377782</v>
      </c>
      <c r="DE9" s="860">
        <v>5534.5428225165551</v>
      </c>
      <c r="DF9" s="860">
        <v>4746.6565046213336</v>
      </c>
      <c r="DG9" s="860">
        <v>5116.0131775995214</v>
      </c>
      <c r="DH9" s="860">
        <v>5683.0228153632033</v>
      </c>
      <c r="DI9" s="860">
        <v>5273.0900524908002</v>
      </c>
      <c r="DJ9" s="860">
        <v>5125.9676858581461</v>
      </c>
      <c r="DK9" s="860">
        <v>4865.0798025394242</v>
      </c>
      <c r="DL9" s="860">
        <v>5198.890955817642</v>
      </c>
      <c r="DM9" s="860">
        <v>7837.5746487442948</v>
      </c>
      <c r="DN9" s="860">
        <v>5086.5721653655328</v>
      </c>
      <c r="DO9" s="860">
        <v>5053.8487829730348</v>
      </c>
      <c r="DP9" s="860">
        <v>5054.5801841706088</v>
      </c>
      <c r="DQ9" s="860">
        <v>5379.3081092375642</v>
      </c>
      <c r="DR9" s="860">
        <v>4599.7201895170774</v>
      </c>
      <c r="DS9" s="860">
        <v>4833.9303135237033</v>
      </c>
    </row>
    <row r="10" spans="1:123" ht="18" customHeight="1">
      <c r="A10" s="857" t="s">
        <v>2496</v>
      </c>
      <c r="B10" s="858" t="s">
        <v>2547</v>
      </c>
      <c r="C10" s="878">
        <v>19372.497178089121</v>
      </c>
      <c r="D10" s="878">
        <v>21811.45304293888</v>
      </c>
      <c r="E10" s="878">
        <v>20140.064850267598</v>
      </c>
      <c r="F10" s="917">
        <v>22500.198349040598</v>
      </c>
      <c r="G10" s="878">
        <v>21091.447033129349</v>
      </c>
      <c r="H10" s="918">
        <v>33863.571290211439</v>
      </c>
      <c r="I10" s="878">
        <v>16950.46396142547</v>
      </c>
      <c r="J10" s="878">
        <v>24828.484319455329</v>
      </c>
      <c r="K10" s="878">
        <v>20520.348330811332</v>
      </c>
      <c r="L10" s="878">
        <v>21788.716617751496</v>
      </c>
      <c r="M10" s="917">
        <v>21136.533940462206</v>
      </c>
      <c r="N10" s="878">
        <v>21881.029047653123</v>
      </c>
      <c r="O10" s="878">
        <v>29961.791713402781</v>
      </c>
      <c r="P10" s="878">
        <v>72762.31758220683</v>
      </c>
      <c r="Q10" s="878">
        <v>19813.471024808143</v>
      </c>
      <c r="R10" s="878">
        <v>24781.925601504456</v>
      </c>
      <c r="S10" s="878">
        <v>23970.775045566035</v>
      </c>
      <c r="T10" s="878">
        <v>79364.872045984797</v>
      </c>
      <c r="U10" s="878">
        <v>90373.548526471655</v>
      </c>
      <c r="V10" s="878">
        <v>85467.674202021604</v>
      </c>
      <c r="W10" s="878">
        <v>85963.10252231441</v>
      </c>
      <c r="X10" s="878">
        <v>87001.712854412603</v>
      </c>
      <c r="Y10" s="878">
        <v>73024.245739335296</v>
      </c>
      <c r="Z10" s="878">
        <v>74868.258054711288</v>
      </c>
      <c r="AA10" s="878">
        <v>85554.140486566248</v>
      </c>
      <c r="AB10" s="917">
        <v>95310.67266924381</v>
      </c>
      <c r="AC10" s="878">
        <v>99393.637243461111</v>
      </c>
      <c r="AD10" s="878">
        <v>106461.49659481132</v>
      </c>
      <c r="AE10" s="878">
        <v>104985.64466603976</v>
      </c>
      <c r="AF10" s="878">
        <v>128165.25093603706</v>
      </c>
      <c r="AG10" s="878">
        <v>118998.08743565575</v>
      </c>
      <c r="AH10" s="878">
        <v>115973.95053092935</v>
      </c>
      <c r="AI10" s="878">
        <v>121881.17877102098</v>
      </c>
      <c r="AJ10" s="878">
        <v>115071.06459612236</v>
      </c>
      <c r="AK10" s="878">
        <v>103068.83960736473</v>
      </c>
      <c r="AL10" s="878">
        <v>115070.62113672115</v>
      </c>
      <c r="AM10" s="878">
        <v>116133.69736549529</v>
      </c>
      <c r="AN10" s="878">
        <v>124154.22723424113</v>
      </c>
      <c r="AO10" s="878">
        <v>122454.82181064108</v>
      </c>
      <c r="AP10" s="878">
        <v>102430.08047653887</v>
      </c>
      <c r="AQ10" s="878">
        <v>105500.37623858193</v>
      </c>
      <c r="AR10" s="878">
        <v>111256.13827532271</v>
      </c>
      <c r="AS10" s="878">
        <v>93611.401633474787</v>
      </c>
      <c r="AT10" s="878">
        <v>109013.44494751716</v>
      </c>
      <c r="AU10" s="878">
        <v>116223.12000862884</v>
      </c>
      <c r="AV10" s="878">
        <v>121059.02344704936</v>
      </c>
      <c r="AW10" s="878">
        <v>115228.04676245789</v>
      </c>
      <c r="AX10" s="878">
        <v>128385.0851598944</v>
      </c>
      <c r="AY10" s="878">
        <v>116008.65179457638</v>
      </c>
      <c r="AZ10" s="878">
        <v>112596.29078310099</v>
      </c>
      <c r="BA10" s="878">
        <v>92141.03188137633</v>
      </c>
      <c r="BB10" s="878">
        <v>111171.92101952963</v>
      </c>
      <c r="BC10" s="878">
        <v>126452.85822182799</v>
      </c>
      <c r="BD10" s="878">
        <v>117627.13513352763</v>
      </c>
      <c r="BE10" s="878">
        <v>131861.36605195337</v>
      </c>
      <c r="BF10" s="878">
        <v>84638.301057638717</v>
      </c>
      <c r="BG10" s="878">
        <v>111324.48024282596</v>
      </c>
      <c r="BH10" s="878">
        <v>116309.43157712731</v>
      </c>
      <c r="BI10" s="878">
        <v>123528.10856784337</v>
      </c>
      <c r="BJ10" s="878">
        <v>129109.5650927508</v>
      </c>
      <c r="BK10" s="878">
        <v>118853.8001190136</v>
      </c>
      <c r="BL10" s="878">
        <v>106418.78767673639</v>
      </c>
      <c r="BM10" s="878">
        <v>111174.67117188471</v>
      </c>
      <c r="BN10" s="878">
        <v>125694.95124885418</v>
      </c>
      <c r="BO10" s="878">
        <v>120080.24828405512</v>
      </c>
      <c r="BP10" s="878">
        <v>140257.65722166409</v>
      </c>
      <c r="BQ10" s="878">
        <v>130678.39432055525</v>
      </c>
      <c r="BR10" s="878">
        <v>112871.51547570368</v>
      </c>
      <c r="BS10" s="878">
        <v>126582.20599317455</v>
      </c>
      <c r="BT10" s="878">
        <v>105608.86744171046</v>
      </c>
      <c r="BU10" s="878">
        <v>99480.647649199571</v>
      </c>
      <c r="BV10" s="878">
        <v>94612.881897526109</v>
      </c>
      <c r="BW10" s="878">
        <v>111227.37928747242</v>
      </c>
      <c r="BX10" s="878">
        <v>95601.870036061155</v>
      </c>
      <c r="BY10" s="878">
        <v>96979.441764803458</v>
      </c>
      <c r="BZ10" s="878">
        <v>94022.876384923948</v>
      </c>
      <c r="CA10" s="878">
        <v>75984.590253608243</v>
      </c>
      <c r="CB10" s="878">
        <v>88303.756366307178</v>
      </c>
      <c r="CC10" s="878">
        <v>80666.989539758899</v>
      </c>
      <c r="CD10" s="878">
        <v>74904.430257042593</v>
      </c>
      <c r="CE10" s="878">
        <v>96230.596931217719</v>
      </c>
      <c r="CF10" s="878">
        <v>152820.72861303377</v>
      </c>
      <c r="CG10" s="878">
        <v>138913.21934683764</v>
      </c>
      <c r="CH10" s="878">
        <v>160088.27656827722</v>
      </c>
      <c r="CI10" s="878">
        <v>101587.37974218235</v>
      </c>
      <c r="CJ10" s="878">
        <v>141205.43091802069</v>
      </c>
      <c r="CK10" s="878">
        <v>100357.13402877848</v>
      </c>
      <c r="CL10" s="878">
        <v>113904.00472743899</v>
      </c>
      <c r="CM10" s="878">
        <v>122004.62938306242</v>
      </c>
      <c r="CN10" s="878">
        <v>123236.02790771764</v>
      </c>
      <c r="CO10" s="878">
        <v>142045.80793896987</v>
      </c>
      <c r="CP10" s="878">
        <v>150699.32882133598</v>
      </c>
      <c r="CQ10" s="878">
        <v>103299.29378094574</v>
      </c>
      <c r="CR10" s="878">
        <v>121203.6343163019</v>
      </c>
      <c r="CS10" s="878">
        <v>125864.31109058317</v>
      </c>
      <c r="CT10" s="878">
        <v>138876.43120396076</v>
      </c>
      <c r="CU10" s="878">
        <v>130521.48745361326</v>
      </c>
      <c r="CV10" s="878">
        <v>130921.21079618514</v>
      </c>
      <c r="CW10" s="878">
        <v>125529.51688840915</v>
      </c>
      <c r="CX10" s="878">
        <v>125287.93493414717</v>
      </c>
      <c r="CY10" s="878">
        <v>124316.86160103552</v>
      </c>
      <c r="CZ10" s="878">
        <v>139009.63917346575</v>
      </c>
      <c r="DA10" s="878">
        <v>167737.88234618085</v>
      </c>
      <c r="DB10" s="919">
        <v>129846.3850754505</v>
      </c>
      <c r="DC10" s="878">
        <v>126437.55507817506</v>
      </c>
      <c r="DD10" s="860">
        <v>130889.365528255</v>
      </c>
      <c r="DE10" s="860">
        <v>138172.23158810395</v>
      </c>
      <c r="DF10" s="860">
        <v>113329.40477299481</v>
      </c>
      <c r="DG10" s="860">
        <v>116568.44757469567</v>
      </c>
      <c r="DH10" s="860">
        <v>142342.73141195992</v>
      </c>
      <c r="DI10" s="860">
        <v>138598.42789742717</v>
      </c>
      <c r="DJ10" s="860">
        <v>154106.64685385866</v>
      </c>
      <c r="DK10" s="860">
        <v>201451.11418156669</v>
      </c>
      <c r="DL10" s="860">
        <v>185183.87815653649</v>
      </c>
      <c r="DM10" s="860">
        <v>206233.5784419968</v>
      </c>
      <c r="DN10" s="860">
        <v>222409.48751441398</v>
      </c>
      <c r="DO10" s="860">
        <v>208759.98297655224</v>
      </c>
      <c r="DP10" s="860">
        <v>250959.52571014588</v>
      </c>
      <c r="DQ10" s="860">
        <v>238558.29390946688</v>
      </c>
      <c r="DR10" s="860">
        <v>209408.28189275225</v>
      </c>
      <c r="DS10" s="860">
        <v>186186.05511814312</v>
      </c>
    </row>
    <row r="11" spans="1:123" ht="18" customHeight="1">
      <c r="A11" s="857" t="s">
        <v>2498</v>
      </c>
      <c r="B11" s="858" t="s">
        <v>2548</v>
      </c>
      <c r="C11" s="878">
        <v>70.920454319999934</v>
      </c>
      <c r="D11" s="878">
        <v>360.85227277419995</v>
      </c>
      <c r="E11" s="878">
        <v>575.23873825420014</v>
      </c>
      <c r="F11" s="917">
        <v>246.11876686240001</v>
      </c>
      <c r="G11" s="878">
        <v>218.11239322679995</v>
      </c>
      <c r="H11" s="918">
        <v>835.80947388940001</v>
      </c>
      <c r="I11" s="878">
        <v>763.9751539163999</v>
      </c>
      <c r="J11" s="878">
        <v>1359.5783642255999</v>
      </c>
      <c r="K11" s="878">
        <v>705.37565373860014</v>
      </c>
      <c r="L11" s="878">
        <v>411.56452298479996</v>
      </c>
      <c r="M11" s="917">
        <v>620.27342922080004</v>
      </c>
      <c r="N11" s="878">
        <v>360.01000025300004</v>
      </c>
      <c r="O11" s="878">
        <v>104.19486440619993</v>
      </c>
      <c r="P11" s="878">
        <v>335.37000679859995</v>
      </c>
      <c r="Q11" s="878">
        <v>65.502828061600027</v>
      </c>
      <c r="R11" s="878">
        <v>72.012554168299999</v>
      </c>
      <c r="S11" s="878">
        <v>61.778148959799928</v>
      </c>
      <c r="T11" s="878">
        <v>95.56619359200009</v>
      </c>
      <c r="U11" s="878">
        <v>98.153958074999935</v>
      </c>
      <c r="V11" s="878">
        <v>151.68436484839989</v>
      </c>
      <c r="W11" s="878">
        <v>138.59943383369992</v>
      </c>
      <c r="X11" s="878">
        <v>78.566557189999941</v>
      </c>
      <c r="Y11" s="878">
        <v>66.169113649999971</v>
      </c>
      <c r="Z11" s="878">
        <v>63.810968990000006</v>
      </c>
      <c r="AA11" s="878">
        <v>77.894420040000085</v>
      </c>
      <c r="AB11" s="917">
        <v>55.28352579999995</v>
      </c>
      <c r="AC11" s="878">
        <v>84.578675290000078</v>
      </c>
      <c r="AD11" s="878">
        <v>53.702130899999979</v>
      </c>
      <c r="AE11" s="878">
        <v>54.629029289999963</v>
      </c>
      <c r="AF11" s="878">
        <v>31.799534870000006</v>
      </c>
      <c r="AG11" s="878">
        <v>33.147472899999855</v>
      </c>
      <c r="AH11" s="878">
        <v>33.617811150000094</v>
      </c>
      <c r="AI11" s="878">
        <v>28.310095590000035</v>
      </c>
      <c r="AJ11" s="878">
        <v>28.007880570000051</v>
      </c>
      <c r="AK11" s="878">
        <v>30.128625680000066</v>
      </c>
      <c r="AL11" s="878">
        <v>80.019914529999738</v>
      </c>
      <c r="AM11" s="878">
        <v>68.183187889999985</v>
      </c>
      <c r="AN11" s="878">
        <v>98.778285340000039</v>
      </c>
      <c r="AO11" s="878">
        <v>77.690181239999887</v>
      </c>
      <c r="AP11" s="878">
        <v>94.587463599999907</v>
      </c>
      <c r="AQ11" s="878">
        <v>107.04570761999989</v>
      </c>
      <c r="AR11" s="878">
        <v>101.31739917999982</v>
      </c>
      <c r="AS11" s="878">
        <v>97.130994959999796</v>
      </c>
      <c r="AT11" s="878">
        <v>96.348543409999849</v>
      </c>
      <c r="AU11" s="878">
        <v>131.95658680999995</v>
      </c>
      <c r="AV11" s="878">
        <v>239.06982174000001</v>
      </c>
      <c r="AW11" s="878">
        <v>316.99842974000023</v>
      </c>
      <c r="AX11" s="878">
        <v>391.93407399000023</v>
      </c>
      <c r="AY11" s="878">
        <v>313.37631256999993</v>
      </c>
      <c r="AZ11" s="878">
        <v>430.17006928000023</v>
      </c>
      <c r="BA11" s="878">
        <v>415.23923310999987</v>
      </c>
      <c r="BB11" s="878">
        <v>271.22492728999998</v>
      </c>
      <c r="BC11" s="878">
        <v>381.38800407000019</v>
      </c>
      <c r="BD11" s="878">
        <v>341.2010708900001</v>
      </c>
      <c r="BE11" s="878">
        <v>557.14549523000005</v>
      </c>
      <c r="BF11" s="878">
        <v>421.33078375000002</v>
      </c>
      <c r="BG11" s="878">
        <v>507.93813001000046</v>
      </c>
      <c r="BH11" s="878">
        <v>692.28925011000013</v>
      </c>
      <c r="BI11" s="878">
        <v>424.70352194999981</v>
      </c>
      <c r="BJ11" s="878">
        <v>482.5556980799999</v>
      </c>
      <c r="BK11" s="878">
        <v>863.6718329399996</v>
      </c>
      <c r="BL11" s="878">
        <v>641.06922653000026</v>
      </c>
      <c r="BM11" s="878">
        <v>601.57831634000013</v>
      </c>
      <c r="BN11" s="878">
        <v>569.73809253999991</v>
      </c>
      <c r="BO11" s="878">
        <v>910.43725463000055</v>
      </c>
      <c r="BP11" s="878">
        <v>547.17586496000024</v>
      </c>
      <c r="BQ11" s="878">
        <v>495.22329861000014</v>
      </c>
      <c r="BR11" s="878">
        <v>583.4981277400002</v>
      </c>
      <c r="BS11" s="878">
        <v>569.72189308000031</v>
      </c>
      <c r="BT11" s="878">
        <v>668.82277629999999</v>
      </c>
      <c r="BU11" s="878">
        <v>1078.9575788999998</v>
      </c>
      <c r="BV11" s="878">
        <v>965.06436724999958</v>
      </c>
      <c r="BW11" s="878">
        <v>316.563514</v>
      </c>
      <c r="BX11" s="878">
        <v>747.3139162599997</v>
      </c>
      <c r="BY11" s="878">
        <v>457.11329188000013</v>
      </c>
      <c r="BZ11" s="878">
        <v>450.92952379999969</v>
      </c>
      <c r="CA11" s="878">
        <v>449.15714103000067</v>
      </c>
      <c r="CB11" s="878">
        <v>465.92530578999998</v>
      </c>
      <c r="CC11" s="878">
        <v>544.45027290000007</v>
      </c>
      <c r="CD11" s="878">
        <v>496.84693280999994</v>
      </c>
      <c r="CE11" s="878">
        <v>440.59300530000019</v>
      </c>
      <c r="CF11" s="878">
        <v>428.37721201000073</v>
      </c>
      <c r="CG11" s="878">
        <v>470.43509617999985</v>
      </c>
      <c r="CH11" s="878">
        <v>468.40562928999947</v>
      </c>
      <c r="CI11" s="878">
        <v>846.99559690000058</v>
      </c>
      <c r="CJ11" s="878">
        <v>551.03779815000007</v>
      </c>
      <c r="CK11" s="878">
        <v>522.49862458999917</v>
      </c>
      <c r="CL11" s="878">
        <v>550.27020068999957</v>
      </c>
      <c r="CM11" s="878">
        <v>521.57993880000015</v>
      </c>
      <c r="CN11" s="878">
        <v>503.31552029000187</v>
      </c>
      <c r="CO11" s="878">
        <v>474.16894263000012</v>
      </c>
      <c r="CP11" s="878">
        <v>444.25430463000009</v>
      </c>
      <c r="CQ11" s="878">
        <v>437.27444015999936</v>
      </c>
      <c r="CR11" s="878">
        <v>495.43944164249973</v>
      </c>
      <c r="CS11" s="878">
        <v>492.46616275000002</v>
      </c>
      <c r="CT11" s="878">
        <v>512.05535365999981</v>
      </c>
      <c r="CU11" s="878">
        <v>525.59625028999903</v>
      </c>
      <c r="CV11" s="878">
        <v>636.50294570000028</v>
      </c>
      <c r="CW11" s="878">
        <v>531.06777960999966</v>
      </c>
      <c r="CX11" s="878">
        <v>586.81111527000041</v>
      </c>
      <c r="CY11" s="878">
        <v>657.67253418999962</v>
      </c>
      <c r="CZ11" s="878">
        <v>589.27336230000117</v>
      </c>
      <c r="DA11" s="878">
        <v>515.06294638999941</v>
      </c>
      <c r="DB11" s="919">
        <v>552.18107610000038</v>
      </c>
      <c r="DC11" s="878">
        <v>517.36964908000084</v>
      </c>
      <c r="DD11" s="860">
        <v>538.15694584000016</v>
      </c>
      <c r="DE11" s="860">
        <v>665.4054015800009</v>
      </c>
      <c r="DF11" s="860">
        <v>643.64173960000039</v>
      </c>
      <c r="DG11" s="860">
        <v>760.17521486000044</v>
      </c>
      <c r="DH11" s="860">
        <v>781.40613690000157</v>
      </c>
      <c r="DI11" s="860">
        <v>648.01487551000025</v>
      </c>
      <c r="DJ11" s="860">
        <v>659.25742778999995</v>
      </c>
      <c r="DK11" s="860">
        <v>426.32865156000094</v>
      </c>
      <c r="DL11" s="860">
        <v>393.18551452999895</v>
      </c>
      <c r="DM11" s="860">
        <v>257.57290196000002</v>
      </c>
      <c r="DN11" s="860">
        <v>90.264012689999277</v>
      </c>
      <c r="DO11" s="860">
        <v>429.60701761000001</v>
      </c>
      <c r="DP11" s="860">
        <v>458.47945472999959</v>
      </c>
      <c r="DQ11" s="860">
        <v>510.36277902999893</v>
      </c>
      <c r="DR11" s="860">
        <v>513.06052730000022</v>
      </c>
      <c r="DS11" s="860">
        <v>537.83896939999886</v>
      </c>
    </row>
    <row r="12" spans="1:123" ht="18" customHeight="1">
      <c r="A12" s="857" t="s">
        <v>2500</v>
      </c>
      <c r="B12" s="858" t="s">
        <v>2549</v>
      </c>
      <c r="C12" s="878">
        <v>114323.5142881893</v>
      </c>
      <c r="D12" s="878">
        <v>91683.458298691534</v>
      </c>
      <c r="E12" s="878">
        <v>106727.6396938626</v>
      </c>
      <c r="F12" s="917">
        <v>114166.33946449935</v>
      </c>
      <c r="G12" s="878">
        <v>115227.78809174386</v>
      </c>
      <c r="H12" s="918">
        <v>119640.92098631279</v>
      </c>
      <c r="I12" s="878">
        <v>121879.55913492008</v>
      </c>
      <c r="J12" s="878">
        <v>119132.5179091704</v>
      </c>
      <c r="K12" s="878">
        <v>154100.92608121943</v>
      </c>
      <c r="L12" s="878">
        <v>159024.60873983239</v>
      </c>
      <c r="M12" s="917">
        <v>145580.50983218307</v>
      </c>
      <c r="N12" s="878">
        <v>171357.52115874022</v>
      </c>
      <c r="O12" s="878">
        <v>155440.65397179971</v>
      </c>
      <c r="P12" s="878">
        <v>123667.85255888358</v>
      </c>
      <c r="Q12" s="878">
        <v>182708.12341216428</v>
      </c>
      <c r="R12" s="878">
        <v>203351.35577497361</v>
      </c>
      <c r="S12" s="878">
        <v>206573.14285223928</v>
      </c>
      <c r="T12" s="878">
        <v>168730.7807338273</v>
      </c>
      <c r="U12" s="878">
        <v>182170.77453714173</v>
      </c>
      <c r="V12" s="878">
        <v>154767.53235470859</v>
      </c>
      <c r="W12" s="878">
        <v>151652.52824227285</v>
      </c>
      <c r="X12" s="878">
        <v>149661.86858386445</v>
      </c>
      <c r="Y12" s="878">
        <v>153170.66694922329</v>
      </c>
      <c r="Z12" s="878">
        <v>149729.55426849669</v>
      </c>
      <c r="AA12" s="878">
        <v>146286.72428062311</v>
      </c>
      <c r="AB12" s="917">
        <v>162313.00569131336</v>
      </c>
      <c r="AC12" s="878">
        <v>170982.919558177</v>
      </c>
      <c r="AD12" s="878">
        <v>167589.02416045303</v>
      </c>
      <c r="AE12" s="878">
        <v>156473.43361869655</v>
      </c>
      <c r="AF12" s="878">
        <v>164191.70498755667</v>
      </c>
      <c r="AG12" s="878">
        <v>153872.40196491426</v>
      </c>
      <c r="AH12" s="878">
        <v>173939.27610803567</v>
      </c>
      <c r="AI12" s="878">
        <v>143967.13470513438</v>
      </c>
      <c r="AJ12" s="878">
        <v>141436.11005719352</v>
      </c>
      <c r="AK12" s="878">
        <v>130935.17282910971</v>
      </c>
      <c r="AL12" s="878">
        <v>125956.43310042743</v>
      </c>
      <c r="AM12" s="878">
        <v>136964.01649530025</v>
      </c>
      <c r="AN12" s="878">
        <v>152806.23626384279</v>
      </c>
      <c r="AO12" s="878">
        <v>132243.4374319195</v>
      </c>
      <c r="AP12" s="878">
        <v>130430.79554458933</v>
      </c>
      <c r="AQ12" s="878">
        <v>134264.76264526957</v>
      </c>
      <c r="AR12" s="878">
        <v>128815.87253633582</v>
      </c>
      <c r="AS12" s="878">
        <v>123501.82556316566</v>
      </c>
      <c r="AT12" s="878">
        <v>132010.8394010379</v>
      </c>
      <c r="AU12" s="878">
        <v>132349.12962130949</v>
      </c>
      <c r="AV12" s="878">
        <v>133208.67670911422</v>
      </c>
      <c r="AW12" s="878">
        <v>127876.00154660475</v>
      </c>
      <c r="AX12" s="878">
        <v>110954.1521079606</v>
      </c>
      <c r="AY12" s="878">
        <v>114956.96347957836</v>
      </c>
      <c r="AZ12" s="878">
        <v>100520.24591094456</v>
      </c>
      <c r="BA12" s="878">
        <v>111234.66804744258</v>
      </c>
      <c r="BB12" s="878">
        <v>100840.901209441</v>
      </c>
      <c r="BC12" s="878">
        <v>94077.473998089437</v>
      </c>
      <c r="BD12" s="878">
        <v>97965.786870875338</v>
      </c>
      <c r="BE12" s="878">
        <v>99326.41133761844</v>
      </c>
      <c r="BF12" s="878">
        <v>158077.12546196338</v>
      </c>
      <c r="BG12" s="878">
        <v>125065.3233318807</v>
      </c>
      <c r="BH12" s="878">
        <v>130777.60560729186</v>
      </c>
      <c r="BI12" s="878">
        <v>106192.55243905216</v>
      </c>
      <c r="BJ12" s="878">
        <v>133241.34513306178</v>
      </c>
      <c r="BK12" s="878">
        <v>128329.53206531231</v>
      </c>
      <c r="BL12" s="878">
        <v>96628.187022835307</v>
      </c>
      <c r="BM12" s="878">
        <v>119335.49227237162</v>
      </c>
      <c r="BN12" s="878">
        <v>108195.55533186978</v>
      </c>
      <c r="BO12" s="878">
        <v>120365.85888239012</v>
      </c>
      <c r="BP12" s="878">
        <v>107392.98153682993</v>
      </c>
      <c r="BQ12" s="878">
        <v>112992.39030363502</v>
      </c>
      <c r="BR12" s="878">
        <v>131721.58106084421</v>
      </c>
      <c r="BS12" s="878">
        <v>119566.45985169409</v>
      </c>
      <c r="BT12" s="878">
        <v>99416.739578419336</v>
      </c>
      <c r="BU12" s="878">
        <v>141979.28041154312</v>
      </c>
      <c r="BV12" s="878">
        <v>105742.52227212832</v>
      </c>
      <c r="BW12" s="878">
        <v>120916.16514611505</v>
      </c>
      <c r="BX12" s="878">
        <v>111281.4906108306</v>
      </c>
      <c r="BY12" s="878">
        <v>96324.357737041006</v>
      </c>
      <c r="BZ12" s="878">
        <v>111701.74338919876</v>
      </c>
      <c r="CA12" s="878">
        <v>130041.58233237863</v>
      </c>
      <c r="CB12" s="878">
        <v>164625.22489098794</v>
      </c>
      <c r="CC12" s="878">
        <v>121214.89479830113</v>
      </c>
      <c r="CD12" s="878">
        <v>88390.117125898221</v>
      </c>
      <c r="CE12" s="878">
        <v>88450.408214334937</v>
      </c>
      <c r="CF12" s="878">
        <v>81356.632364489778</v>
      </c>
      <c r="CG12" s="878">
        <v>92859.566433121945</v>
      </c>
      <c r="CH12" s="878">
        <v>78775.876932494823</v>
      </c>
      <c r="CI12" s="878">
        <v>78816.809936862745</v>
      </c>
      <c r="CJ12" s="878">
        <v>81735.695422854333</v>
      </c>
      <c r="CK12" s="878">
        <v>91743.457359064501</v>
      </c>
      <c r="CL12" s="878">
        <v>87936.487565601215</v>
      </c>
      <c r="CM12" s="878">
        <v>87436.682621910542</v>
      </c>
      <c r="CN12" s="878">
        <v>87031.67077482141</v>
      </c>
      <c r="CO12" s="878">
        <v>90068.072194647422</v>
      </c>
      <c r="CP12" s="878">
        <v>96852.947942049985</v>
      </c>
      <c r="CQ12" s="878">
        <v>98593.855402883753</v>
      </c>
      <c r="CR12" s="878">
        <v>118467.85337570451</v>
      </c>
      <c r="CS12" s="878">
        <v>116513.50344289924</v>
      </c>
      <c r="CT12" s="878">
        <v>127065.83107103407</v>
      </c>
      <c r="CU12" s="878">
        <v>115589.67638393448</v>
      </c>
      <c r="CV12" s="878">
        <v>132962.82575026096</v>
      </c>
      <c r="CW12" s="878">
        <v>112023.74501803216</v>
      </c>
      <c r="CX12" s="878">
        <v>109217.06220616364</v>
      </c>
      <c r="CY12" s="878">
        <v>104692.84251890982</v>
      </c>
      <c r="CZ12" s="878">
        <v>98121.346550016358</v>
      </c>
      <c r="DA12" s="878">
        <v>114790.81382303382</v>
      </c>
      <c r="DB12" s="919">
        <v>122437.53840781232</v>
      </c>
      <c r="DC12" s="878">
        <v>136516.53307719223</v>
      </c>
      <c r="DD12" s="860">
        <v>149196.04043271998</v>
      </c>
      <c r="DE12" s="860">
        <v>128579.54517849312</v>
      </c>
      <c r="DF12" s="860">
        <v>124249.98190528827</v>
      </c>
      <c r="DG12" s="860">
        <v>113605.56589950193</v>
      </c>
      <c r="DH12" s="860">
        <v>108930.66206878205</v>
      </c>
      <c r="DI12" s="860">
        <v>117976.47036048873</v>
      </c>
      <c r="DJ12" s="860">
        <v>129303.38210640337</v>
      </c>
      <c r="DK12" s="860">
        <v>128501.9187680633</v>
      </c>
      <c r="DL12" s="860">
        <v>105111.10157094237</v>
      </c>
      <c r="DM12" s="860">
        <v>101267.12932053092</v>
      </c>
      <c r="DN12" s="860">
        <v>110602.14580228635</v>
      </c>
      <c r="DO12" s="860">
        <v>117137.07337618574</v>
      </c>
      <c r="DP12" s="860">
        <v>121028.95067357592</v>
      </c>
      <c r="DQ12" s="860">
        <v>149729.72334774988</v>
      </c>
      <c r="DR12" s="860">
        <v>134381.21009729311</v>
      </c>
      <c r="DS12" s="860">
        <v>145434.73916755107</v>
      </c>
    </row>
    <row r="13" spans="1:123" ht="18" customHeight="1">
      <c r="A13" s="857"/>
      <c r="B13" s="858"/>
      <c r="C13" s="913"/>
      <c r="D13" s="913"/>
      <c r="E13" s="913"/>
      <c r="F13" s="914"/>
      <c r="G13" s="913"/>
      <c r="H13" s="915"/>
      <c r="I13" s="913"/>
      <c r="J13" s="913"/>
      <c r="K13" s="913"/>
      <c r="L13" s="913"/>
      <c r="M13" s="914"/>
      <c r="N13" s="913"/>
      <c r="O13" s="913"/>
      <c r="P13" s="913"/>
      <c r="Q13" s="913"/>
      <c r="R13" s="913"/>
      <c r="S13" s="913"/>
      <c r="T13" s="913"/>
      <c r="U13" s="913"/>
      <c r="V13" s="913"/>
      <c r="W13" s="913"/>
      <c r="X13" s="913"/>
      <c r="Y13" s="913"/>
      <c r="Z13" s="913"/>
      <c r="AA13" s="913"/>
      <c r="AB13" s="914"/>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6"/>
      <c r="DC13" s="913"/>
      <c r="DD13" s="859"/>
      <c r="DE13" s="859"/>
      <c r="DF13" s="859"/>
      <c r="DG13" s="859"/>
      <c r="DH13" s="859"/>
      <c r="DI13" s="859"/>
      <c r="DJ13" s="859"/>
      <c r="DK13" s="859"/>
      <c r="DL13" s="859"/>
      <c r="DM13" s="859"/>
      <c r="DN13" s="859"/>
      <c r="DO13" s="859"/>
      <c r="DP13" s="859"/>
      <c r="DQ13" s="859"/>
      <c r="DR13" s="859"/>
      <c r="DS13" s="859"/>
    </row>
    <row r="14" spans="1:123" ht="18" customHeight="1">
      <c r="A14" s="853" t="s">
        <v>2502</v>
      </c>
      <c r="B14" s="854" t="s">
        <v>2503</v>
      </c>
      <c r="C14" s="909">
        <v>82626.360389128167</v>
      </c>
      <c r="D14" s="909">
        <v>83567.312453427832</v>
      </c>
      <c r="E14" s="909">
        <v>81757.699899994375</v>
      </c>
      <c r="F14" s="910">
        <v>78884.335197591121</v>
      </c>
      <c r="G14" s="909">
        <v>78272.290446320214</v>
      </c>
      <c r="H14" s="911">
        <v>75122.342548932065</v>
      </c>
      <c r="I14" s="909">
        <v>75086.610615830927</v>
      </c>
      <c r="J14" s="909">
        <v>79052.611168353935</v>
      </c>
      <c r="K14" s="909">
        <v>78442.486392192557</v>
      </c>
      <c r="L14" s="909">
        <v>77506.998995166694</v>
      </c>
      <c r="M14" s="910">
        <v>75068.16541095679</v>
      </c>
      <c r="N14" s="909">
        <v>78846.624319984214</v>
      </c>
      <c r="O14" s="909">
        <v>78192.37447742169</v>
      </c>
      <c r="P14" s="909">
        <v>79939.833705522149</v>
      </c>
      <c r="Q14" s="909">
        <v>79577.839826028052</v>
      </c>
      <c r="R14" s="909">
        <v>75443.570082636477</v>
      </c>
      <c r="S14" s="909">
        <v>73435.359609997497</v>
      </c>
      <c r="T14" s="909">
        <v>73111.319912955354</v>
      </c>
      <c r="U14" s="909">
        <v>72806.98069229089</v>
      </c>
      <c r="V14" s="909">
        <v>71631.351229818058</v>
      </c>
      <c r="W14" s="909">
        <v>71491.119043442348</v>
      </c>
      <c r="X14" s="909">
        <v>74327.344918298666</v>
      </c>
      <c r="Y14" s="909">
        <v>79945.004682946223</v>
      </c>
      <c r="Z14" s="909">
        <v>80173.080006361197</v>
      </c>
      <c r="AA14" s="909">
        <v>81236.374323242344</v>
      </c>
      <c r="AB14" s="910">
        <v>79670.135959241612</v>
      </c>
      <c r="AC14" s="909">
        <v>82412.880946665406</v>
      </c>
      <c r="AD14" s="909">
        <v>81030.313924400878</v>
      </c>
      <c r="AE14" s="909">
        <v>80479.601918408633</v>
      </c>
      <c r="AF14" s="909">
        <v>83925.043083417695</v>
      </c>
      <c r="AG14" s="909">
        <v>83452.727416757654</v>
      </c>
      <c r="AH14" s="909">
        <v>84871.637613946776</v>
      </c>
      <c r="AI14" s="909">
        <v>85970.033963058435</v>
      </c>
      <c r="AJ14" s="909">
        <v>74046.562791216333</v>
      </c>
      <c r="AK14" s="909">
        <v>81163.989926882714</v>
      </c>
      <c r="AL14" s="909">
        <v>91316.80742407497</v>
      </c>
      <c r="AM14" s="909">
        <v>96539.980371974438</v>
      </c>
      <c r="AN14" s="909">
        <v>85873.866492769506</v>
      </c>
      <c r="AO14" s="909">
        <v>81844.776786486545</v>
      </c>
      <c r="AP14" s="909">
        <v>79127.07622286542</v>
      </c>
      <c r="AQ14" s="909">
        <v>76678.124097262553</v>
      </c>
      <c r="AR14" s="909">
        <v>75556.470414682422</v>
      </c>
      <c r="AS14" s="909">
        <v>93979.843620965083</v>
      </c>
      <c r="AT14" s="909">
        <v>77661.819176369565</v>
      </c>
      <c r="AU14" s="909">
        <v>78211.744231205434</v>
      </c>
      <c r="AV14" s="909">
        <v>79222.317912360319</v>
      </c>
      <c r="AW14" s="909">
        <v>85033.590933520463</v>
      </c>
      <c r="AX14" s="909">
        <v>86563.229182468756</v>
      </c>
      <c r="AY14" s="909">
        <v>96730.023722333659</v>
      </c>
      <c r="AZ14" s="909">
        <v>105153.85390564824</v>
      </c>
      <c r="BA14" s="909">
        <v>103493.59486433576</v>
      </c>
      <c r="BB14" s="909">
        <v>100474.35102567454</v>
      </c>
      <c r="BC14" s="909">
        <v>102914.6563340412</v>
      </c>
      <c r="BD14" s="909">
        <v>106043.44249806491</v>
      </c>
      <c r="BE14" s="909">
        <v>111036.16839818955</v>
      </c>
      <c r="BF14" s="909">
        <v>111749.17520217151</v>
      </c>
      <c r="BG14" s="909">
        <v>121874.9351728171</v>
      </c>
      <c r="BH14" s="909">
        <v>123758.83719426092</v>
      </c>
      <c r="BI14" s="909">
        <v>129716.99442449595</v>
      </c>
      <c r="BJ14" s="909">
        <v>148053.71745124331</v>
      </c>
      <c r="BK14" s="909">
        <v>144583.08279840273</v>
      </c>
      <c r="BL14" s="909">
        <v>139212.11305088253</v>
      </c>
      <c r="BM14" s="909">
        <v>140677.9113324655</v>
      </c>
      <c r="BN14" s="909">
        <v>146843.16248045588</v>
      </c>
      <c r="BO14" s="909">
        <v>143749.85896578743</v>
      </c>
      <c r="BP14" s="909">
        <v>143582.35501178046</v>
      </c>
      <c r="BQ14" s="909">
        <v>140529.94717886351</v>
      </c>
      <c r="BR14" s="909">
        <v>132222.59223122144</v>
      </c>
      <c r="BS14" s="909">
        <v>128383.79347015778</v>
      </c>
      <c r="BT14" s="909">
        <v>129312.30198168219</v>
      </c>
      <c r="BU14" s="909">
        <v>127890.33080152266</v>
      </c>
      <c r="BV14" s="909">
        <v>120646.17313871859</v>
      </c>
      <c r="BW14" s="909">
        <v>130881.52481520401</v>
      </c>
      <c r="BX14" s="909">
        <v>134800.38709182254</v>
      </c>
      <c r="BY14" s="909">
        <v>136678.66558510187</v>
      </c>
      <c r="BZ14" s="909">
        <v>133408.66838813169</v>
      </c>
      <c r="CA14" s="909">
        <v>134942.43902747094</v>
      </c>
      <c r="CB14" s="909">
        <v>127668.48975939756</v>
      </c>
      <c r="CC14" s="909">
        <v>124817.16336947604</v>
      </c>
      <c r="CD14" s="909">
        <v>136694.46976323763</v>
      </c>
      <c r="CE14" s="909">
        <v>131440.71090583361</v>
      </c>
      <c r="CF14" s="909">
        <v>134575.68138529616</v>
      </c>
      <c r="CG14" s="909">
        <v>138333.95997681268</v>
      </c>
      <c r="CH14" s="909">
        <v>134417.71675145789</v>
      </c>
      <c r="CI14" s="909">
        <v>144801.20404873413</v>
      </c>
      <c r="CJ14" s="909">
        <v>137015.58247171863</v>
      </c>
      <c r="CK14" s="909">
        <v>142202.88458265382</v>
      </c>
      <c r="CL14" s="909">
        <v>144769.32789235353</v>
      </c>
      <c r="CM14" s="909">
        <v>146232.46112448504</v>
      </c>
      <c r="CN14" s="909">
        <v>153178.67398663203</v>
      </c>
      <c r="CO14" s="909">
        <v>133503.22152563324</v>
      </c>
      <c r="CP14" s="909">
        <v>138177.67327067017</v>
      </c>
      <c r="CQ14" s="909">
        <v>142999.52260843097</v>
      </c>
      <c r="CR14" s="909">
        <v>151331.4072328991</v>
      </c>
      <c r="CS14" s="909">
        <v>150923.370790405</v>
      </c>
      <c r="CT14" s="909">
        <v>152572.23217010536</v>
      </c>
      <c r="CU14" s="909">
        <v>148990.09043479088</v>
      </c>
      <c r="CV14" s="909">
        <v>159291.67256344034</v>
      </c>
      <c r="CW14" s="909">
        <v>157710.66728859462</v>
      </c>
      <c r="CX14" s="909">
        <v>161924.4571730243</v>
      </c>
      <c r="CY14" s="909">
        <v>150105.813795828</v>
      </c>
      <c r="CZ14" s="909">
        <v>156624.60616534439</v>
      </c>
      <c r="DA14" s="909">
        <v>150203.52151299853</v>
      </c>
      <c r="DB14" s="912">
        <v>154812.61306433793</v>
      </c>
      <c r="DC14" s="909">
        <v>154510.75644848877</v>
      </c>
      <c r="DD14" s="855">
        <v>158914.36183453017</v>
      </c>
      <c r="DE14" s="855">
        <v>154662.6408893498</v>
      </c>
      <c r="DF14" s="855">
        <v>160714.9066653242</v>
      </c>
      <c r="DG14" s="855">
        <v>165991.31300809968</v>
      </c>
      <c r="DH14" s="855">
        <v>164523.2408908722</v>
      </c>
      <c r="DI14" s="855">
        <v>164859.22231090552</v>
      </c>
      <c r="DJ14" s="855">
        <v>186593.34441569331</v>
      </c>
      <c r="DK14" s="855">
        <v>181124.09066837584</v>
      </c>
      <c r="DL14" s="855">
        <v>185369.45025990976</v>
      </c>
      <c r="DM14" s="855">
        <v>180213.06043365065</v>
      </c>
      <c r="DN14" s="855">
        <v>178840.26760046624</v>
      </c>
      <c r="DO14" s="855">
        <v>177832.56071818969</v>
      </c>
      <c r="DP14" s="855">
        <v>191431.43215407434</v>
      </c>
      <c r="DQ14" s="855">
        <v>189223.78239331194</v>
      </c>
      <c r="DR14" s="855">
        <v>193790.76717026031</v>
      </c>
      <c r="DS14" s="855">
        <v>195021.94126679032</v>
      </c>
    </row>
    <row r="15" spans="1:123" ht="18" customHeight="1">
      <c r="A15" s="857"/>
      <c r="B15" s="858"/>
      <c r="C15" s="913"/>
      <c r="D15" s="913"/>
      <c r="E15" s="913"/>
      <c r="F15" s="914"/>
      <c r="G15" s="913"/>
      <c r="H15" s="915"/>
      <c r="I15" s="913"/>
      <c r="J15" s="913"/>
      <c r="K15" s="913"/>
      <c r="L15" s="913"/>
      <c r="M15" s="914"/>
      <c r="N15" s="913"/>
      <c r="O15" s="913"/>
      <c r="P15" s="913"/>
      <c r="Q15" s="913"/>
      <c r="R15" s="913"/>
      <c r="S15" s="913"/>
      <c r="T15" s="913"/>
      <c r="U15" s="913"/>
      <c r="V15" s="913"/>
      <c r="W15" s="913"/>
      <c r="X15" s="913"/>
      <c r="Y15" s="913"/>
      <c r="Z15" s="913"/>
      <c r="AA15" s="913"/>
      <c r="AB15" s="914"/>
      <c r="AC15" s="913"/>
      <c r="AD15" s="913"/>
      <c r="AE15" s="913"/>
      <c r="AF15" s="913"/>
      <c r="AG15" s="913"/>
      <c r="AH15" s="913"/>
      <c r="AI15" s="913"/>
      <c r="AJ15" s="913"/>
      <c r="AK15" s="913"/>
      <c r="AL15" s="913"/>
      <c r="AM15" s="913"/>
      <c r="AN15" s="913"/>
      <c r="AO15" s="913"/>
      <c r="AP15" s="913"/>
      <c r="AQ15" s="913"/>
      <c r="AR15" s="913"/>
      <c r="AS15" s="913"/>
      <c r="AT15" s="913"/>
      <c r="AU15" s="913"/>
      <c r="AV15" s="913"/>
      <c r="AW15" s="913"/>
      <c r="AX15" s="913"/>
      <c r="AY15" s="913"/>
      <c r="AZ15" s="913"/>
      <c r="BA15" s="913"/>
      <c r="BB15" s="913"/>
      <c r="BC15" s="913"/>
      <c r="BD15" s="913"/>
      <c r="BE15" s="913"/>
      <c r="BF15" s="913"/>
      <c r="BG15" s="913"/>
      <c r="BH15" s="913"/>
      <c r="BI15" s="913"/>
      <c r="BJ15" s="913"/>
      <c r="BK15" s="913"/>
      <c r="BL15" s="913"/>
      <c r="BM15" s="913"/>
      <c r="BN15" s="913"/>
      <c r="BO15" s="913"/>
      <c r="BP15" s="913"/>
      <c r="BQ15" s="913"/>
      <c r="BR15" s="913"/>
      <c r="BS15" s="913"/>
      <c r="BT15" s="913"/>
      <c r="BU15" s="913"/>
      <c r="BV15" s="913"/>
      <c r="BW15" s="913"/>
      <c r="BX15" s="913"/>
      <c r="BY15" s="913"/>
      <c r="BZ15" s="913"/>
      <c r="CA15" s="913"/>
      <c r="CB15" s="913"/>
      <c r="CC15" s="913"/>
      <c r="CD15" s="913"/>
      <c r="CE15" s="913"/>
      <c r="CF15" s="913"/>
      <c r="CG15" s="913"/>
      <c r="CH15" s="913"/>
      <c r="CI15" s="913"/>
      <c r="CJ15" s="913"/>
      <c r="CK15" s="913"/>
      <c r="CL15" s="913"/>
      <c r="CM15" s="913"/>
      <c r="CN15" s="913"/>
      <c r="CO15" s="913"/>
      <c r="CP15" s="913"/>
      <c r="CQ15" s="913"/>
      <c r="CR15" s="913"/>
      <c r="CS15" s="913"/>
      <c r="CT15" s="913"/>
      <c r="CU15" s="913"/>
      <c r="CV15" s="913"/>
      <c r="CW15" s="913"/>
      <c r="CX15" s="913"/>
      <c r="CY15" s="913"/>
      <c r="CZ15" s="913"/>
      <c r="DA15" s="913"/>
      <c r="DB15" s="916"/>
      <c r="DC15" s="913"/>
      <c r="DD15" s="859"/>
      <c r="DE15" s="859"/>
      <c r="DF15" s="859"/>
      <c r="DG15" s="859"/>
      <c r="DH15" s="859"/>
      <c r="DI15" s="859"/>
      <c r="DJ15" s="859"/>
      <c r="DK15" s="859"/>
      <c r="DL15" s="859"/>
      <c r="DM15" s="859"/>
      <c r="DN15" s="859"/>
      <c r="DO15" s="859"/>
      <c r="DP15" s="859"/>
      <c r="DQ15" s="859"/>
      <c r="DR15" s="859"/>
      <c r="DS15" s="859"/>
    </row>
    <row r="16" spans="1:123" ht="18" customHeight="1">
      <c r="A16" s="853" t="s">
        <v>2504</v>
      </c>
      <c r="B16" s="854" t="s">
        <v>2312</v>
      </c>
      <c r="C16" s="909">
        <v>179764.18146169593</v>
      </c>
      <c r="D16" s="909">
        <v>179591.61172792967</v>
      </c>
      <c r="E16" s="909">
        <v>180400.63368034217</v>
      </c>
      <c r="F16" s="910">
        <v>190932.37516618377</v>
      </c>
      <c r="G16" s="909">
        <v>188730.85419042656</v>
      </c>
      <c r="H16" s="911">
        <v>192952.9797188151</v>
      </c>
      <c r="I16" s="909">
        <v>195300.45640721545</v>
      </c>
      <c r="J16" s="909">
        <v>191302.08613044658</v>
      </c>
      <c r="K16" s="909">
        <v>188755.17446339058</v>
      </c>
      <c r="L16" s="909">
        <v>191139.48148165486</v>
      </c>
      <c r="M16" s="910">
        <v>199822.1173350476</v>
      </c>
      <c r="N16" s="909">
        <v>200946.74230554287</v>
      </c>
      <c r="O16" s="909">
        <v>201150.54437579276</v>
      </c>
      <c r="P16" s="909">
        <v>206000.09023063336</v>
      </c>
      <c r="Q16" s="909">
        <v>211691.52381715903</v>
      </c>
      <c r="R16" s="909">
        <v>215910.97425066982</v>
      </c>
      <c r="S16" s="909">
        <v>220003.52132813956</v>
      </c>
      <c r="T16" s="909">
        <v>227908.96346601471</v>
      </c>
      <c r="U16" s="909">
        <v>232633.69410979754</v>
      </c>
      <c r="V16" s="909">
        <v>237287.73676774194</v>
      </c>
      <c r="W16" s="909">
        <v>242373.00131097407</v>
      </c>
      <c r="X16" s="909">
        <v>256451.18042543554</v>
      </c>
      <c r="Y16" s="909">
        <v>260758.93102484845</v>
      </c>
      <c r="Z16" s="909">
        <v>267888.69959609298</v>
      </c>
      <c r="AA16" s="909">
        <v>278542.66735049873</v>
      </c>
      <c r="AB16" s="910">
        <v>276414.0546749708</v>
      </c>
      <c r="AC16" s="909">
        <v>278190.94833163772</v>
      </c>
      <c r="AD16" s="909">
        <v>285376.88376735453</v>
      </c>
      <c r="AE16" s="909">
        <v>294626.79030478245</v>
      </c>
      <c r="AF16" s="909">
        <v>305220.11318666465</v>
      </c>
      <c r="AG16" s="909">
        <v>305414.48065076885</v>
      </c>
      <c r="AH16" s="909">
        <v>316464.27412598266</v>
      </c>
      <c r="AI16" s="909">
        <v>321488.08190471033</v>
      </c>
      <c r="AJ16" s="909">
        <v>324718.76942076941</v>
      </c>
      <c r="AK16" s="909">
        <v>334334.91390119802</v>
      </c>
      <c r="AL16" s="909">
        <v>353784.7891928301</v>
      </c>
      <c r="AM16" s="909">
        <v>344918.27478603664</v>
      </c>
      <c r="AN16" s="909">
        <v>351080.79259677895</v>
      </c>
      <c r="AO16" s="909">
        <v>366799.36755449406</v>
      </c>
      <c r="AP16" s="909">
        <v>378298.36246365175</v>
      </c>
      <c r="AQ16" s="909">
        <v>405673.81507120864</v>
      </c>
      <c r="AR16" s="909">
        <v>407645.48360256373</v>
      </c>
      <c r="AS16" s="909">
        <v>406034.25630723045</v>
      </c>
      <c r="AT16" s="909">
        <v>406375.12004752737</v>
      </c>
      <c r="AU16" s="909">
        <v>407599.22215343959</v>
      </c>
      <c r="AV16" s="909">
        <v>392946.15722075611</v>
      </c>
      <c r="AW16" s="909">
        <v>387571.1121437776</v>
      </c>
      <c r="AX16" s="909">
        <v>382553.5277641057</v>
      </c>
      <c r="AY16" s="909">
        <v>378714.36046257848</v>
      </c>
      <c r="AZ16" s="909">
        <v>384547.53966456914</v>
      </c>
      <c r="BA16" s="909">
        <v>392966.88784112025</v>
      </c>
      <c r="BB16" s="909">
        <v>390396.04204216122</v>
      </c>
      <c r="BC16" s="909">
        <v>374723.27415283828</v>
      </c>
      <c r="BD16" s="909">
        <v>368585.876975864</v>
      </c>
      <c r="BE16" s="909">
        <v>369234.04283372802</v>
      </c>
      <c r="BF16" s="909">
        <v>367004.62905803765</v>
      </c>
      <c r="BG16" s="909">
        <v>373325.19938802731</v>
      </c>
      <c r="BH16" s="909">
        <v>368662.33569503558</v>
      </c>
      <c r="BI16" s="909">
        <v>374090.97362944548</v>
      </c>
      <c r="BJ16" s="909">
        <v>400651.4841397191</v>
      </c>
      <c r="BK16" s="909">
        <v>411413.14709731407</v>
      </c>
      <c r="BL16" s="909">
        <v>410272.1869251008</v>
      </c>
      <c r="BM16" s="909">
        <v>419210.44856338523</v>
      </c>
      <c r="BN16" s="909">
        <v>414383.54595580377</v>
      </c>
      <c r="BO16" s="909">
        <v>411871.50668126525</v>
      </c>
      <c r="BP16" s="909">
        <v>414354.97821152146</v>
      </c>
      <c r="BQ16" s="909">
        <v>427334.60872403492</v>
      </c>
      <c r="BR16" s="909">
        <v>422538.62061731407</v>
      </c>
      <c r="BS16" s="909">
        <v>427846.11300471361</v>
      </c>
      <c r="BT16" s="909">
        <v>431186.02208875871</v>
      </c>
      <c r="BU16" s="909">
        <v>428538.19527020393</v>
      </c>
      <c r="BV16" s="909">
        <v>445161.06554927357</v>
      </c>
      <c r="BW16" s="909">
        <v>453707.34446915303</v>
      </c>
      <c r="BX16" s="909">
        <v>458523.23958994192</v>
      </c>
      <c r="BY16" s="909">
        <v>467036.74765025225</v>
      </c>
      <c r="BZ16" s="909">
        <v>474422.99957642856</v>
      </c>
      <c r="CA16" s="909">
        <v>475904.6376257154</v>
      </c>
      <c r="CB16" s="909">
        <v>484559.66586078994</v>
      </c>
      <c r="CC16" s="909">
        <v>496998.63777517405</v>
      </c>
      <c r="CD16" s="909">
        <v>500608.26110202086</v>
      </c>
      <c r="CE16" s="909">
        <v>488704.15101132356</v>
      </c>
      <c r="CF16" s="909">
        <v>489964.81371050281</v>
      </c>
      <c r="CG16" s="909">
        <v>490261.90212582826</v>
      </c>
      <c r="CH16" s="909">
        <v>501158.97295709484</v>
      </c>
      <c r="CI16" s="909">
        <v>520940.20937516302</v>
      </c>
      <c r="CJ16" s="909">
        <v>513303.51404687302</v>
      </c>
      <c r="CK16" s="909">
        <v>505733.67093811667</v>
      </c>
      <c r="CL16" s="909">
        <v>510038.05878588563</v>
      </c>
      <c r="CM16" s="909">
        <v>525115.37969341618</v>
      </c>
      <c r="CN16" s="909">
        <v>535255.1564709571</v>
      </c>
      <c r="CO16" s="909">
        <v>534442.85094956658</v>
      </c>
      <c r="CP16" s="909">
        <v>528829.43426212191</v>
      </c>
      <c r="CQ16" s="909">
        <v>535822.38178457937</v>
      </c>
      <c r="CR16" s="909">
        <v>525131.19322032225</v>
      </c>
      <c r="CS16" s="909">
        <v>534376.31631043565</v>
      </c>
      <c r="CT16" s="909">
        <v>535363.84443642141</v>
      </c>
      <c r="CU16" s="909">
        <v>538156.66287378431</v>
      </c>
      <c r="CV16" s="909">
        <v>543695.71162569243</v>
      </c>
      <c r="CW16" s="909">
        <v>551922.62491460016</v>
      </c>
      <c r="CX16" s="909">
        <v>544505.03973308753</v>
      </c>
      <c r="CY16" s="909">
        <v>543406.81317608012</v>
      </c>
      <c r="CZ16" s="909">
        <v>550613.79821316188</v>
      </c>
      <c r="DA16" s="909">
        <v>544218.35939599189</v>
      </c>
      <c r="DB16" s="912">
        <v>541476.82614647131</v>
      </c>
      <c r="DC16" s="909">
        <v>540511.9295587606</v>
      </c>
      <c r="DD16" s="855">
        <v>536325.59287506342</v>
      </c>
      <c r="DE16" s="855">
        <v>548346.18336922873</v>
      </c>
      <c r="DF16" s="855">
        <v>554961.94959534938</v>
      </c>
      <c r="DG16" s="855">
        <v>555541.68647027446</v>
      </c>
      <c r="DH16" s="855">
        <v>551407.83008341584</v>
      </c>
      <c r="DI16" s="855">
        <v>559635.56540659163</v>
      </c>
      <c r="DJ16" s="855">
        <v>567764.7493229385</v>
      </c>
      <c r="DK16" s="855">
        <v>577360.62525041972</v>
      </c>
      <c r="DL16" s="855">
        <v>597778.73576408345</v>
      </c>
      <c r="DM16" s="855">
        <v>601127.98774454615</v>
      </c>
      <c r="DN16" s="855">
        <v>598807.04844054591</v>
      </c>
      <c r="DO16" s="855">
        <v>607309.91115209053</v>
      </c>
      <c r="DP16" s="855">
        <v>629017.37941753818</v>
      </c>
      <c r="DQ16" s="855">
        <v>603128.00661805132</v>
      </c>
      <c r="DR16" s="855">
        <v>591534.31124457461</v>
      </c>
      <c r="DS16" s="855">
        <v>589177.01463473414</v>
      </c>
    </row>
    <row r="17" spans="1:123" ht="18" customHeight="1">
      <c r="A17" s="857"/>
      <c r="B17" s="858"/>
      <c r="C17" s="913"/>
      <c r="D17" s="913"/>
      <c r="E17" s="913"/>
      <c r="F17" s="914"/>
      <c r="G17" s="913"/>
      <c r="H17" s="915"/>
      <c r="I17" s="913"/>
      <c r="J17" s="913"/>
      <c r="K17" s="913"/>
      <c r="L17" s="913"/>
      <c r="M17" s="914"/>
      <c r="N17" s="913"/>
      <c r="O17" s="913"/>
      <c r="P17" s="913"/>
      <c r="Q17" s="913"/>
      <c r="R17" s="913"/>
      <c r="S17" s="913"/>
      <c r="T17" s="913"/>
      <c r="U17" s="913"/>
      <c r="V17" s="913"/>
      <c r="W17" s="913"/>
      <c r="X17" s="913"/>
      <c r="Y17" s="913"/>
      <c r="Z17" s="913"/>
      <c r="AA17" s="913"/>
      <c r="AB17" s="914"/>
      <c r="AC17" s="913"/>
      <c r="AD17" s="913"/>
      <c r="AE17" s="913"/>
      <c r="AF17" s="913"/>
      <c r="AG17" s="913"/>
      <c r="AH17" s="913"/>
      <c r="AI17" s="913"/>
      <c r="AJ17" s="913"/>
      <c r="AK17" s="913"/>
      <c r="AL17" s="913"/>
      <c r="AM17" s="913"/>
      <c r="AN17" s="913"/>
      <c r="AO17" s="913"/>
      <c r="AP17" s="913"/>
      <c r="AQ17" s="913"/>
      <c r="AR17" s="913"/>
      <c r="AS17" s="913"/>
      <c r="AT17" s="913"/>
      <c r="AU17" s="913"/>
      <c r="AV17" s="913"/>
      <c r="AW17" s="913"/>
      <c r="AX17" s="913"/>
      <c r="AY17" s="913"/>
      <c r="AZ17" s="913"/>
      <c r="BA17" s="913"/>
      <c r="BB17" s="913"/>
      <c r="BC17" s="913"/>
      <c r="BD17" s="913"/>
      <c r="BE17" s="913"/>
      <c r="BF17" s="913"/>
      <c r="BG17" s="913"/>
      <c r="BH17" s="913"/>
      <c r="BI17" s="913"/>
      <c r="BJ17" s="913"/>
      <c r="BK17" s="913"/>
      <c r="BL17" s="913"/>
      <c r="BM17" s="913"/>
      <c r="BN17" s="913"/>
      <c r="BO17" s="913"/>
      <c r="BP17" s="913"/>
      <c r="BQ17" s="913"/>
      <c r="BR17" s="913"/>
      <c r="BS17" s="913"/>
      <c r="BT17" s="913"/>
      <c r="BU17" s="913"/>
      <c r="BV17" s="913"/>
      <c r="BW17" s="913"/>
      <c r="BX17" s="913"/>
      <c r="BY17" s="913"/>
      <c r="BZ17" s="913"/>
      <c r="CA17" s="913"/>
      <c r="CB17" s="913"/>
      <c r="CC17" s="913"/>
      <c r="CD17" s="913"/>
      <c r="CE17" s="913"/>
      <c r="CF17" s="913"/>
      <c r="CG17" s="913"/>
      <c r="CH17" s="913"/>
      <c r="CI17" s="913"/>
      <c r="CJ17" s="913"/>
      <c r="CK17" s="913"/>
      <c r="CL17" s="913"/>
      <c r="CM17" s="913"/>
      <c r="CN17" s="913"/>
      <c r="CO17" s="913"/>
      <c r="CP17" s="913"/>
      <c r="CQ17" s="913"/>
      <c r="CR17" s="913"/>
      <c r="CS17" s="913"/>
      <c r="CT17" s="913"/>
      <c r="CU17" s="913"/>
      <c r="CV17" s="913"/>
      <c r="CW17" s="913"/>
      <c r="CX17" s="913"/>
      <c r="CY17" s="913"/>
      <c r="CZ17" s="913"/>
      <c r="DA17" s="913"/>
      <c r="DB17" s="916"/>
      <c r="DC17" s="913"/>
      <c r="DD17" s="859"/>
      <c r="DE17" s="859"/>
      <c r="DF17" s="859"/>
      <c r="DG17" s="859"/>
      <c r="DH17" s="859"/>
      <c r="DI17" s="859"/>
      <c r="DJ17" s="859"/>
      <c r="DK17" s="859"/>
      <c r="DL17" s="859"/>
      <c r="DM17" s="859"/>
      <c r="DN17" s="859"/>
      <c r="DO17" s="859"/>
      <c r="DP17" s="859"/>
      <c r="DQ17" s="859"/>
      <c r="DR17" s="859"/>
      <c r="DS17" s="859"/>
    </row>
    <row r="18" spans="1:123" ht="18" customHeight="1">
      <c r="A18" s="853" t="s">
        <v>2505</v>
      </c>
      <c r="B18" s="854" t="s">
        <v>2506</v>
      </c>
      <c r="C18" s="909">
        <v>5282.042762257528</v>
      </c>
      <c r="D18" s="909">
        <v>6123.5235808214493</v>
      </c>
      <c r="E18" s="909">
        <v>6153.1801983783034</v>
      </c>
      <c r="F18" s="910">
        <v>6063.0566770590876</v>
      </c>
      <c r="G18" s="909">
        <v>6273.5712235014062</v>
      </c>
      <c r="H18" s="911">
        <v>6431.3921764998713</v>
      </c>
      <c r="I18" s="909">
        <v>6675.5342359677488</v>
      </c>
      <c r="J18" s="909">
        <v>6123.3352067205733</v>
      </c>
      <c r="K18" s="909">
        <v>6391.2170966939248</v>
      </c>
      <c r="L18" s="909">
        <v>6609.6105331083254</v>
      </c>
      <c r="M18" s="910">
        <v>6482.459391530756</v>
      </c>
      <c r="N18" s="909">
        <v>6162.9194693860054</v>
      </c>
      <c r="O18" s="909">
        <v>7050.0320425050813</v>
      </c>
      <c r="P18" s="909">
        <v>7810.9919800473563</v>
      </c>
      <c r="Q18" s="909">
        <v>8162.7798835411477</v>
      </c>
      <c r="R18" s="909">
        <v>8339.9352781056496</v>
      </c>
      <c r="S18" s="909">
        <v>8775.1399464384449</v>
      </c>
      <c r="T18" s="909">
        <v>9056.0215949071808</v>
      </c>
      <c r="U18" s="909">
        <v>9113.2825619745945</v>
      </c>
      <c r="V18" s="909">
        <v>8864.1059087831745</v>
      </c>
      <c r="W18" s="909">
        <v>8836.9800189444995</v>
      </c>
      <c r="X18" s="909">
        <v>9046.9744280820723</v>
      </c>
      <c r="Y18" s="909">
        <v>8892.6326690806345</v>
      </c>
      <c r="Z18" s="909">
        <v>9159.700990851059</v>
      </c>
      <c r="AA18" s="909">
        <v>9714.1885484408103</v>
      </c>
      <c r="AB18" s="910">
        <v>9721.5077135713418</v>
      </c>
      <c r="AC18" s="909">
        <v>9637.4572681773534</v>
      </c>
      <c r="AD18" s="909">
        <v>9905.6636775367569</v>
      </c>
      <c r="AE18" s="909">
        <v>10070.92471456089</v>
      </c>
      <c r="AF18" s="909">
        <v>9905.6309114562446</v>
      </c>
      <c r="AG18" s="909">
        <v>9492.5063277130303</v>
      </c>
      <c r="AH18" s="909">
        <v>9140.6115855565113</v>
      </c>
      <c r="AI18" s="909">
        <v>9097.9581863881867</v>
      </c>
      <c r="AJ18" s="909">
        <v>9049.2120614765481</v>
      </c>
      <c r="AK18" s="909">
        <v>9451.7013272666081</v>
      </c>
      <c r="AL18" s="909">
        <v>9903.4702497332273</v>
      </c>
      <c r="AM18" s="909">
        <v>10266.522122360468</v>
      </c>
      <c r="AN18" s="909">
        <v>10138.398130109386</v>
      </c>
      <c r="AO18" s="909">
        <v>10258.146089774506</v>
      </c>
      <c r="AP18" s="909">
        <v>10123.111599918151</v>
      </c>
      <c r="AQ18" s="909">
        <v>10381.543188819252</v>
      </c>
      <c r="AR18" s="909">
        <v>10247.739571464119</v>
      </c>
      <c r="AS18" s="909">
        <v>10020.429651028317</v>
      </c>
      <c r="AT18" s="909">
        <v>10457.706461113652</v>
      </c>
      <c r="AU18" s="909">
        <v>10427.419027896141</v>
      </c>
      <c r="AV18" s="909">
        <v>10321.16999048943</v>
      </c>
      <c r="AW18" s="909">
        <v>10757.798135475576</v>
      </c>
      <c r="AX18" s="909">
        <v>10905.522944980214</v>
      </c>
      <c r="AY18" s="909">
        <v>11138.713318420934</v>
      </c>
      <c r="AZ18" s="909">
        <v>10946.915813885547</v>
      </c>
      <c r="BA18" s="909">
        <v>11002.011173572051</v>
      </c>
      <c r="BB18" s="909">
        <v>11322.968254376423</v>
      </c>
      <c r="BC18" s="909">
        <v>11229.967388345669</v>
      </c>
      <c r="BD18" s="909">
        <v>10773.805149697238</v>
      </c>
      <c r="BE18" s="909">
        <v>10544.653757608021</v>
      </c>
      <c r="BF18" s="909">
        <v>10624.524407957028</v>
      </c>
      <c r="BG18" s="909">
        <v>10114.274971665242</v>
      </c>
      <c r="BH18" s="909">
        <v>10400.813354384767</v>
      </c>
      <c r="BI18" s="909">
        <v>10340.646852045124</v>
      </c>
      <c r="BJ18" s="909">
        <v>10667.759708783247</v>
      </c>
      <c r="BK18" s="909">
        <v>10824.915072189777</v>
      </c>
      <c r="BL18" s="909">
        <v>10531.243095866486</v>
      </c>
      <c r="BM18" s="909">
        <v>10469.677174365628</v>
      </c>
      <c r="BN18" s="909">
        <v>10644.814493983091</v>
      </c>
      <c r="BO18" s="909">
        <v>10490.394928120415</v>
      </c>
      <c r="BP18" s="909">
        <v>10669.389382399033</v>
      </c>
      <c r="BQ18" s="909">
        <v>11197.725749705383</v>
      </c>
      <c r="BR18" s="909">
        <v>11143.212660116214</v>
      </c>
      <c r="BS18" s="909">
        <v>14201.062500297105</v>
      </c>
      <c r="BT18" s="909">
        <v>14189.63483859886</v>
      </c>
      <c r="BU18" s="909">
        <v>14068.346302054286</v>
      </c>
      <c r="BV18" s="909">
        <v>14326.580397842639</v>
      </c>
      <c r="BW18" s="909">
        <v>14744.866356662254</v>
      </c>
      <c r="BX18" s="909">
        <v>14606.023406897541</v>
      </c>
      <c r="BY18" s="909">
        <v>14364.851775402482</v>
      </c>
      <c r="BZ18" s="909">
        <v>15612.987536650087</v>
      </c>
      <c r="CA18" s="909">
        <v>15428.354063499448</v>
      </c>
      <c r="CB18" s="909">
        <v>15535.647640264111</v>
      </c>
      <c r="CC18" s="909">
        <v>12876.78512332525</v>
      </c>
      <c r="CD18" s="909">
        <v>12373.018670679581</v>
      </c>
      <c r="CE18" s="909">
        <v>12863.420396478494</v>
      </c>
      <c r="CF18" s="909">
        <v>14295.046985859741</v>
      </c>
      <c r="CG18" s="909">
        <v>14965.028151925204</v>
      </c>
      <c r="CH18" s="909">
        <v>15129.693912540921</v>
      </c>
      <c r="CI18" s="909">
        <v>15533.467592170398</v>
      </c>
      <c r="CJ18" s="909">
        <v>13880.737775192189</v>
      </c>
      <c r="CK18" s="909">
        <v>14211.997956327354</v>
      </c>
      <c r="CL18" s="909">
        <v>13462.792695712837</v>
      </c>
      <c r="CM18" s="909">
        <v>13994.288435268953</v>
      </c>
      <c r="CN18" s="909">
        <v>13732.079233812961</v>
      </c>
      <c r="CO18" s="909">
        <v>14474.851702859765</v>
      </c>
      <c r="CP18" s="909">
        <v>13976.891304580611</v>
      </c>
      <c r="CQ18" s="909">
        <v>13932.548674511505</v>
      </c>
      <c r="CR18" s="909">
        <v>14698.590223126781</v>
      </c>
      <c r="CS18" s="909">
        <v>15642.891883911605</v>
      </c>
      <c r="CT18" s="909">
        <v>17394.078206901158</v>
      </c>
      <c r="CU18" s="909">
        <v>16355.407337861781</v>
      </c>
      <c r="CV18" s="909">
        <v>15652.446757701458</v>
      </c>
      <c r="CW18" s="909">
        <v>14599.792227274063</v>
      </c>
      <c r="CX18" s="909">
        <v>15009.438083744617</v>
      </c>
      <c r="CY18" s="909">
        <v>15872.7082222155</v>
      </c>
      <c r="CZ18" s="909">
        <v>15703.22625433937</v>
      </c>
      <c r="DA18" s="909">
        <v>15337.347954661607</v>
      </c>
      <c r="DB18" s="912">
        <v>15291.423040849417</v>
      </c>
      <c r="DC18" s="909">
        <v>15304.248521302898</v>
      </c>
      <c r="DD18" s="855">
        <v>15759.424104716456</v>
      </c>
      <c r="DE18" s="855">
        <v>16177.778753034627</v>
      </c>
      <c r="DF18" s="855">
        <v>18564.249199538408</v>
      </c>
      <c r="DG18" s="855">
        <v>15253.110492563517</v>
      </c>
      <c r="DH18" s="855">
        <v>17082.90853554559</v>
      </c>
      <c r="DI18" s="855">
        <v>16302.846908310043</v>
      </c>
      <c r="DJ18" s="855">
        <v>15563.607062005365</v>
      </c>
      <c r="DK18" s="855">
        <v>16127.239367514321</v>
      </c>
      <c r="DL18" s="855">
        <v>16372.538336519376</v>
      </c>
      <c r="DM18" s="855">
        <v>16507.220103531832</v>
      </c>
      <c r="DN18" s="855">
        <v>17830.325853343511</v>
      </c>
      <c r="DO18" s="855">
        <v>19259.351471781585</v>
      </c>
      <c r="DP18" s="855">
        <v>20947.837714979414</v>
      </c>
      <c r="DQ18" s="855">
        <v>20465.635504927839</v>
      </c>
      <c r="DR18" s="855">
        <v>20703.958174622268</v>
      </c>
      <c r="DS18" s="855">
        <v>20111.126631450825</v>
      </c>
    </row>
    <row r="19" spans="1:123" ht="18" customHeight="1">
      <c r="A19" s="857"/>
      <c r="B19" s="862"/>
      <c r="C19" s="913"/>
      <c r="D19" s="913"/>
      <c r="E19" s="913"/>
      <c r="F19" s="914"/>
      <c r="G19" s="913"/>
      <c r="H19" s="915"/>
      <c r="I19" s="913"/>
      <c r="J19" s="913"/>
      <c r="K19" s="913"/>
      <c r="L19" s="913"/>
      <c r="M19" s="914"/>
      <c r="N19" s="913"/>
      <c r="O19" s="913"/>
      <c r="P19" s="913"/>
      <c r="Q19" s="913"/>
      <c r="R19" s="913"/>
      <c r="S19" s="913"/>
      <c r="T19" s="913"/>
      <c r="U19" s="913"/>
      <c r="V19" s="913"/>
      <c r="W19" s="913"/>
      <c r="X19" s="913"/>
      <c r="Y19" s="913"/>
      <c r="Z19" s="913"/>
      <c r="AA19" s="913"/>
      <c r="AB19" s="914"/>
      <c r="AC19" s="913"/>
      <c r="AD19" s="913"/>
      <c r="AE19" s="913"/>
      <c r="AF19" s="913"/>
      <c r="AG19" s="913"/>
      <c r="AH19" s="913"/>
      <c r="AI19" s="913"/>
      <c r="AJ19" s="913"/>
      <c r="AK19" s="913"/>
      <c r="AL19" s="913"/>
      <c r="AM19" s="913"/>
      <c r="AN19" s="913"/>
      <c r="AO19" s="913"/>
      <c r="AP19" s="913"/>
      <c r="AQ19" s="913"/>
      <c r="AR19" s="913"/>
      <c r="AS19" s="913"/>
      <c r="AT19" s="913"/>
      <c r="AU19" s="913"/>
      <c r="AV19" s="913"/>
      <c r="AW19" s="913"/>
      <c r="AX19" s="913"/>
      <c r="AY19" s="913"/>
      <c r="AZ19" s="913"/>
      <c r="BA19" s="913"/>
      <c r="BB19" s="913"/>
      <c r="BC19" s="913"/>
      <c r="BD19" s="913"/>
      <c r="BE19" s="913"/>
      <c r="BF19" s="913"/>
      <c r="BG19" s="913"/>
      <c r="BH19" s="913"/>
      <c r="BI19" s="913"/>
      <c r="BJ19" s="913"/>
      <c r="BK19" s="913"/>
      <c r="BL19" s="913"/>
      <c r="BM19" s="913"/>
      <c r="BN19" s="913"/>
      <c r="BO19" s="913"/>
      <c r="BP19" s="913"/>
      <c r="BQ19" s="913"/>
      <c r="BR19" s="913"/>
      <c r="BS19" s="913"/>
      <c r="BT19" s="913"/>
      <c r="BU19" s="913"/>
      <c r="BV19" s="913"/>
      <c r="BW19" s="913"/>
      <c r="BX19" s="913"/>
      <c r="BY19" s="913"/>
      <c r="BZ19" s="913"/>
      <c r="CA19" s="913"/>
      <c r="CB19" s="913"/>
      <c r="CC19" s="913"/>
      <c r="CD19" s="913"/>
      <c r="CE19" s="913"/>
      <c r="CF19" s="913"/>
      <c r="CG19" s="913"/>
      <c r="CH19" s="913"/>
      <c r="CI19" s="913"/>
      <c r="CJ19" s="913"/>
      <c r="CK19" s="913"/>
      <c r="CL19" s="913"/>
      <c r="CM19" s="913"/>
      <c r="CN19" s="913"/>
      <c r="CO19" s="913"/>
      <c r="CP19" s="913"/>
      <c r="CQ19" s="913"/>
      <c r="CR19" s="913"/>
      <c r="CS19" s="913"/>
      <c r="CT19" s="913"/>
      <c r="CU19" s="913"/>
      <c r="CV19" s="913"/>
      <c r="CW19" s="913"/>
      <c r="CX19" s="913"/>
      <c r="CY19" s="913"/>
      <c r="CZ19" s="913"/>
      <c r="DA19" s="913"/>
      <c r="DB19" s="916"/>
      <c r="DC19" s="913"/>
      <c r="DD19" s="859"/>
      <c r="DE19" s="859"/>
      <c r="DF19" s="859"/>
      <c r="DG19" s="859"/>
      <c r="DH19" s="859"/>
      <c r="DI19" s="859"/>
      <c r="DJ19" s="859"/>
      <c r="DK19" s="859"/>
      <c r="DL19" s="859"/>
      <c r="DM19" s="859"/>
      <c r="DN19" s="859"/>
      <c r="DO19" s="859"/>
      <c r="DP19" s="859"/>
      <c r="DQ19" s="859"/>
      <c r="DR19" s="859"/>
      <c r="DS19" s="859"/>
    </row>
    <row r="20" spans="1:123" ht="18" customHeight="1">
      <c r="A20" s="853" t="s">
        <v>2507</v>
      </c>
      <c r="B20" s="854" t="s">
        <v>2508</v>
      </c>
      <c r="C20" s="909">
        <v>0</v>
      </c>
      <c r="D20" s="909">
        <v>0</v>
      </c>
      <c r="E20" s="909">
        <v>0</v>
      </c>
      <c r="F20" s="910">
        <v>0</v>
      </c>
      <c r="G20" s="909">
        <v>0</v>
      </c>
      <c r="H20" s="911">
        <v>0</v>
      </c>
      <c r="I20" s="909">
        <v>0</v>
      </c>
      <c r="J20" s="909">
        <v>0</v>
      </c>
      <c r="K20" s="909">
        <v>0</v>
      </c>
      <c r="L20" s="909">
        <v>0</v>
      </c>
      <c r="M20" s="910">
        <v>0</v>
      </c>
      <c r="N20" s="909">
        <v>0</v>
      </c>
      <c r="O20" s="909">
        <v>0</v>
      </c>
      <c r="P20" s="909">
        <v>0</v>
      </c>
      <c r="Q20" s="909">
        <v>0</v>
      </c>
      <c r="R20" s="909">
        <v>0</v>
      </c>
      <c r="S20" s="909">
        <v>0</v>
      </c>
      <c r="T20" s="909">
        <v>0</v>
      </c>
      <c r="U20" s="909">
        <v>0</v>
      </c>
      <c r="V20" s="909">
        <v>0</v>
      </c>
      <c r="W20" s="909">
        <v>0</v>
      </c>
      <c r="X20" s="909">
        <v>0</v>
      </c>
      <c r="Y20" s="909">
        <v>0</v>
      </c>
      <c r="Z20" s="909">
        <v>0</v>
      </c>
      <c r="AA20" s="909">
        <v>0</v>
      </c>
      <c r="AB20" s="910">
        <v>0</v>
      </c>
      <c r="AC20" s="909">
        <v>0</v>
      </c>
      <c r="AD20" s="909">
        <v>0</v>
      </c>
      <c r="AE20" s="909">
        <v>0</v>
      </c>
      <c r="AF20" s="909">
        <v>0</v>
      </c>
      <c r="AG20" s="909">
        <v>0</v>
      </c>
      <c r="AH20" s="909">
        <v>0</v>
      </c>
      <c r="AI20" s="909">
        <v>0</v>
      </c>
      <c r="AJ20" s="909">
        <v>0</v>
      </c>
      <c r="AK20" s="909">
        <v>0</v>
      </c>
      <c r="AL20" s="909">
        <v>0</v>
      </c>
      <c r="AM20" s="909">
        <v>0</v>
      </c>
      <c r="AN20" s="909">
        <v>0</v>
      </c>
      <c r="AO20" s="909">
        <v>0</v>
      </c>
      <c r="AP20" s="909">
        <v>0</v>
      </c>
      <c r="AQ20" s="909">
        <v>0</v>
      </c>
      <c r="AR20" s="909">
        <v>0</v>
      </c>
      <c r="AS20" s="909">
        <v>0</v>
      </c>
      <c r="AT20" s="909">
        <v>0</v>
      </c>
      <c r="AU20" s="909">
        <v>0</v>
      </c>
      <c r="AV20" s="909">
        <v>0</v>
      </c>
      <c r="AW20" s="909">
        <v>0</v>
      </c>
      <c r="AX20" s="909">
        <v>0</v>
      </c>
      <c r="AY20" s="909">
        <v>0</v>
      </c>
      <c r="AZ20" s="909">
        <v>0</v>
      </c>
      <c r="BA20" s="909">
        <v>0</v>
      </c>
      <c r="BB20" s="909">
        <v>0</v>
      </c>
      <c r="BC20" s="909">
        <v>0</v>
      </c>
      <c r="BD20" s="909">
        <v>0</v>
      </c>
      <c r="BE20" s="909">
        <v>0</v>
      </c>
      <c r="BF20" s="909">
        <v>0</v>
      </c>
      <c r="BG20" s="909">
        <v>0</v>
      </c>
      <c r="BH20" s="909">
        <v>0</v>
      </c>
      <c r="BI20" s="909">
        <v>0</v>
      </c>
      <c r="BJ20" s="909">
        <v>0</v>
      </c>
      <c r="BK20" s="909">
        <v>0</v>
      </c>
      <c r="BL20" s="909">
        <v>0</v>
      </c>
      <c r="BM20" s="909">
        <v>0</v>
      </c>
      <c r="BN20" s="909">
        <v>0</v>
      </c>
      <c r="BO20" s="909">
        <v>0</v>
      </c>
      <c r="BP20" s="909">
        <v>0</v>
      </c>
      <c r="BQ20" s="909">
        <v>0</v>
      </c>
      <c r="BR20" s="909">
        <v>0</v>
      </c>
      <c r="BS20" s="909">
        <v>0</v>
      </c>
      <c r="BT20" s="909">
        <v>0</v>
      </c>
      <c r="BU20" s="909">
        <v>0</v>
      </c>
      <c r="BV20" s="909">
        <v>0</v>
      </c>
      <c r="BW20" s="909">
        <v>0</v>
      </c>
      <c r="BX20" s="909">
        <v>0</v>
      </c>
      <c r="BY20" s="909">
        <v>0</v>
      </c>
      <c r="BZ20" s="909">
        <v>0</v>
      </c>
      <c r="CA20" s="909">
        <v>0</v>
      </c>
      <c r="CB20" s="909">
        <v>0</v>
      </c>
      <c r="CC20" s="909">
        <v>0</v>
      </c>
      <c r="CD20" s="909">
        <v>0</v>
      </c>
      <c r="CE20" s="909">
        <v>0</v>
      </c>
      <c r="CF20" s="909">
        <v>0</v>
      </c>
      <c r="CG20" s="909">
        <v>0</v>
      </c>
      <c r="CH20" s="909">
        <v>0</v>
      </c>
      <c r="CI20" s="909">
        <v>0</v>
      </c>
      <c r="CJ20" s="909">
        <v>0</v>
      </c>
      <c r="CK20" s="909">
        <v>0</v>
      </c>
      <c r="CL20" s="909">
        <v>0</v>
      </c>
      <c r="CM20" s="909">
        <v>0</v>
      </c>
      <c r="CN20" s="909">
        <v>0</v>
      </c>
      <c r="CO20" s="909">
        <v>0</v>
      </c>
      <c r="CP20" s="909">
        <v>0</v>
      </c>
      <c r="CQ20" s="909">
        <v>0</v>
      </c>
      <c r="CR20" s="909">
        <v>0</v>
      </c>
      <c r="CS20" s="909">
        <v>0</v>
      </c>
      <c r="CT20" s="909">
        <v>0</v>
      </c>
      <c r="CU20" s="909">
        <v>0</v>
      </c>
      <c r="CV20" s="909">
        <v>0</v>
      </c>
      <c r="CW20" s="909">
        <v>0</v>
      </c>
      <c r="CX20" s="909">
        <v>0</v>
      </c>
      <c r="CY20" s="909">
        <v>0</v>
      </c>
      <c r="CZ20" s="909">
        <v>0</v>
      </c>
      <c r="DA20" s="909">
        <v>0</v>
      </c>
      <c r="DB20" s="912">
        <v>0</v>
      </c>
      <c r="DC20" s="909">
        <v>0</v>
      </c>
      <c r="DD20" s="855">
        <v>0</v>
      </c>
      <c r="DE20" s="855">
        <v>0</v>
      </c>
      <c r="DF20" s="855">
        <v>0</v>
      </c>
      <c r="DG20" s="855">
        <v>0</v>
      </c>
      <c r="DH20" s="855">
        <v>0</v>
      </c>
      <c r="DI20" s="855">
        <v>0</v>
      </c>
      <c r="DJ20" s="855">
        <v>0</v>
      </c>
      <c r="DK20" s="855">
        <v>0</v>
      </c>
      <c r="DL20" s="855">
        <v>0</v>
      </c>
      <c r="DM20" s="855">
        <v>0</v>
      </c>
      <c r="DN20" s="855">
        <v>0</v>
      </c>
      <c r="DO20" s="855">
        <v>0</v>
      </c>
      <c r="DP20" s="855">
        <v>0</v>
      </c>
      <c r="DQ20" s="855">
        <v>0</v>
      </c>
      <c r="DR20" s="855">
        <v>0</v>
      </c>
      <c r="DS20" s="855">
        <v>0</v>
      </c>
    </row>
    <row r="21" spans="1:123" ht="18" customHeight="1">
      <c r="A21" s="857"/>
      <c r="B21" s="858"/>
      <c r="C21" s="913"/>
      <c r="D21" s="913"/>
      <c r="E21" s="913"/>
      <c r="F21" s="914"/>
      <c r="G21" s="913"/>
      <c r="H21" s="915"/>
      <c r="I21" s="913"/>
      <c r="J21" s="913"/>
      <c r="K21" s="913"/>
      <c r="L21" s="913"/>
      <c r="M21" s="914"/>
      <c r="N21" s="913"/>
      <c r="O21" s="913"/>
      <c r="P21" s="913"/>
      <c r="Q21" s="913"/>
      <c r="R21" s="913"/>
      <c r="S21" s="913"/>
      <c r="T21" s="913"/>
      <c r="U21" s="913"/>
      <c r="V21" s="913"/>
      <c r="W21" s="913"/>
      <c r="X21" s="913"/>
      <c r="Y21" s="913"/>
      <c r="Z21" s="913"/>
      <c r="AA21" s="913"/>
      <c r="AB21" s="914"/>
      <c r="AC21" s="913"/>
      <c r="AD21" s="913"/>
      <c r="AE21" s="913"/>
      <c r="AF21" s="913"/>
      <c r="AG21" s="913"/>
      <c r="AH21" s="913"/>
      <c r="AI21" s="913"/>
      <c r="AJ21" s="913"/>
      <c r="AK21" s="913"/>
      <c r="AL21" s="913"/>
      <c r="AM21" s="913"/>
      <c r="AN21" s="913"/>
      <c r="AO21" s="913"/>
      <c r="AP21" s="913"/>
      <c r="AQ21" s="913"/>
      <c r="AR21" s="913"/>
      <c r="AS21" s="913"/>
      <c r="AT21" s="913"/>
      <c r="AU21" s="913"/>
      <c r="AV21" s="913"/>
      <c r="AW21" s="913"/>
      <c r="AX21" s="913"/>
      <c r="AY21" s="913"/>
      <c r="AZ21" s="913"/>
      <c r="BA21" s="913"/>
      <c r="BB21" s="913"/>
      <c r="BC21" s="913"/>
      <c r="BD21" s="913"/>
      <c r="BE21" s="913"/>
      <c r="BF21" s="913"/>
      <c r="BG21" s="913"/>
      <c r="BH21" s="913"/>
      <c r="BI21" s="913"/>
      <c r="BJ21" s="913"/>
      <c r="BK21" s="913"/>
      <c r="BL21" s="913"/>
      <c r="BM21" s="913"/>
      <c r="BN21" s="913"/>
      <c r="BO21" s="913"/>
      <c r="BP21" s="913"/>
      <c r="BQ21" s="913"/>
      <c r="BR21" s="913"/>
      <c r="BS21" s="913"/>
      <c r="BT21" s="913"/>
      <c r="BU21" s="913"/>
      <c r="BV21" s="913"/>
      <c r="BW21" s="913"/>
      <c r="BX21" s="913"/>
      <c r="BY21" s="913"/>
      <c r="BZ21" s="913"/>
      <c r="CA21" s="913"/>
      <c r="CB21" s="913"/>
      <c r="CC21" s="913"/>
      <c r="CD21" s="913"/>
      <c r="CE21" s="913"/>
      <c r="CF21" s="913"/>
      <c r="CG21" s="913"/>
      <c r="CH21" s="913"/>
      <c r="CI21" s="913"/>
      <c r="CJ21" s="913"/>
      <c r="CK21" s="913"/>
      <c r="CL21" s="913"/>
      <c r="CM21" s="913"/>
      <c r="CN21" s="913"/>
      <c r="CO21" s="913"/>
      <c r="CP21" s="913"/>
      <c r="CQ21" s="913"/>
      <c r="CR21" s="913"/>
      <c r="CS21" s="913"/>
      <c r="CT21" s="913"/>
      <c r="CU21" s="913"/>
      <c r="CV21" s="913"/>
      <c r="CW21" s="913"/>
      <c r="CX21" s="913"/>
      <c r="CY21" s="913"/>
      <c r="CZ21" s="913"/>
      <c r="DA21" s="913"/>
      <c r="DB21" s="916"/>
      <c r="DC21" s="913"/>
      <c r="DD21" s="859"/>
      <c r="DE21" s="859"/>
      <c r="DF21" s="859"/>
      <c r="DG21" s="859"/>
      <c r="DH21" s="859"/>
      <c r="DI21" s="859"/>
      <c r="DJ21" s="859"/>
      <c r="DK21" s="859"/>
      <c r="DL21" s="859"/>
      <c r="DM21" s="859"/>
      <c r="DN21" s="859"/>
      <c r="DO21" s="859"/>
      <c r="DP21" s="859"/>
      <c r="DQ21" s="859"/>
      <c r="DR21" s="859"/>
      <c r="DS21" s="859"/>
    </row>
    <row r="22" spans="1:123" ht="18" customHeight="1">
      <c r="A22" s="853" t="s">
        <v>2509</v>
      </c>
      <c r="B22" s="854" t="s">
        <v>2510</v>
      </c>
      <c r="C22" s="909">
        <v>26183.901282920295</v>
      </c>
      <c r="D22" s="909">
        <v>30920.629340638301</v>
      </c>
      <c r="E22" s="909">
        <v>30127.544491920886</v>
      </c>
      <c r="F22" s="910">
        <v>27572.021538983245</v>
      </c>
      <c r="G22" s="909">
        <v>33933.736539922735</v>
      </c>
      <c r="H22" s="911">
        <v>32760.140197956243</v>
      </c>
      <c r="I22" s="909">
        <v>30932.200626476388</v>
      </c>
      <c r="J22" s="909">
        <v>36789.194293661276</v>
      </c>
      <c r="K22" s="909">
        <v>38716.69300264043</v>
      </c>
      <c r="L22" s="909">
        <v>35113.899233169977</v>
      </c>
      <c r="M22" s="910">
        <v>38261.367843577915</v>
      </c>
      <c r="N22" s="909">
        <v>35373.730196793753</v>
      </c>
      <c r="O22" s="909">
        <v>30702.881672898991</v>
      </c>
      <c r="P22" s="909">
        <v>24608.514195546501</v>
      </c>
      <c r="Q22" s="909">
        <v>23590.456271051909</v>
      </c>
      <c r="R22" s="909">
        <v>26051.634146052649</v>
      </c>
      <c r="S22" s="909">
        <v>23754.468337843799</v>
      </c>
      <c r="T22" s="909">
        <v>26204.682153106383</v>
      </c>
      <c r="U22" s="909">
        <v>20675.033267786333</v>
      </c>
      <c r="V22" s="909">
        <v>22950.153968386727</v>
      </c>
      <c r="W22" s="909">
        <v>23418.528605273306</v>
      </c>
      <c r="X22" s="909">
        <v>25423.366629636468</v>
      </c>
      <c r="Y22" s="909">
        <v>29513.872719127681</v>
      </c>
      <c r="Z22" s="909">
        <v>23818.396172333396</v>
      </c>
      <c r="AA22" s="909">
        <v>34451.741724165789</v>
      </c>
      <c r="AB22" s="910">
        <v>33222.715717653664</v>
      </c>
      <c r="AC22" s="909">
        <v>30110.290967177945</v>
      </c>
      <c r="AD22" s="909">
        <v>28922.717702781105</v>
      </c>
      <c r="AE22" s="909">
        <v>34532.161147931627</v>
      </c>
      <c r="AF22" s="909">
        <v>30103.844928940875</v>
      </c>
      <c r="AG22" s="909">
        <v>26603.276718278383</v>
      </c>
      <c r="AH22" s="909">
        <v>26714.359443100075</v>
      </c>
      <c r="AI22" s="909">
        <v>40370.62161006096</v>
      </c>
      <c r="AJ22" s="909">
        <v>42571.506750741144</v>
      </c>
      <c r="AK22" s="909">
        <v>34963.558149141951</v>
      </c>
      <c r="AL22" s="909">
        <v>38700.580017500237</v>
      </c>
      <c r="AM22" s="909">
        <v>38769.383876147826</v>
      </c>
      <c r="AN22" s="909">
        <v>38750.924156272849</v>
      </c>
      <c r="AO22" s="909">
        <v>41982.447517360888</v>
      </c>
      <c r="AP22" s="909">
        <v>37091.78975061958</v>
      </c>
      <c r="AQ22" s="909">
        <v>57479.341437148803</v>
      </c>
      <c r="AR22" s="909">
        <v>42436.091494125823</v>
      </c>
      <c r="AS22" s="909">
        <v>48467.510631874728</v>
      </c>
      <c r="AT22" s="909">
        <v>43766.19374855388</v>
      </c>
      <c r="AU22" s="909">
        <v>43751.220261671922</v>
      </c>
      <c r="AV22" s="909">
        <v>43168.524312416805</v>
      </c>
      <c r="AW22" s="909">
        <v>54777.149352958186</v>
      </c>
      <c r="AX22" s="909">
        <v>56565.334847755534</v>
      </c>
      <c r="AY22" s="909">
        <v>70806.799089933018</v>
      </c>
      <c r="AZ22" s="909">
        <v>90527.344397130335</v>
      </c>
      <c r="BA22" s="909">
        <v>96028.651392077169</v>
      </c>
      <c r="BB22" s="909">
        <v>76118.656717261925</v>
      </c>
      <c r="BC22" s="909">
        <v>80474.430639867147</v>
      </c>
      <c r="BD22" s="909">
        <v>77218.847195249997</v>
      </c>
      <c r="BE22" s="909">
        <v>98721.071718576917</v>
      </c>
      <c r="BF22" s="909">
        <v>111246.1864692542</v>
      </c>
      <c r="BG22" s="909">
        <v>123630.10038815008</v>
      </c>
      <c r="BH22" s="909">
        <v>137628.01191243459</v>
      </c>
      <c r="BI22" s="909">
        <v>145174.68787323617</v>
      </c>
      <c r="BJ22" s="909">
        <v>179768.03997429187</v>
      </c>
      <c r="BK22" s="909">
        <v>170478.7823330292</v>
      </c>
      <c r="BL22" s="909">
        <v>161000.1806050069</v>
      </c>
      <c r="BM22" s="909">
        <v>164772.99928111248</v>
      </c>
      <c r="BN22" s="909">
        <v>180117.91477136695</v>
      </c>
      <c r="BO22" s="909">
        <v>196966.81957067244</v>
      </c>
      <c r="BP22" s="909">
        <v>164974.35568354317</v>
      </c>
      <c r="BQ22" s="909">
        <v>205532.71512867292</v>
      </c>
      <c r="BR22" s="909">
        <v>233615.43440302191</v>
      </c>
      <c r="BS22" s="909">
        <v>237429.01184841729</v>
      </c>
      <c r="BT22" s="909">
        <v>229439.60619730927</v>
      </c>
      <c r="BU22" s="909">
        <v>264086.64914514747</v>
      </c>
      <c r="BV22" s="909">
        <v>227132.10828651127</v>
      </c>
      <c r="BW22" s="909">
        <v>243937.36260248709</v>
      </c>
      <c r="BX22" s="909">
        <v>234468.511852241</v>
      </c>
      <c r="BY22" s="909">
        <v>223431.57729376826</v>
      </c>
      <c r="BZ22" s="909">
        <v>280749.98540102836</v>
      </c>
      <c r="CA22" s="909">
        <v>259276.10367702376</v>
      </c>
      <c r="CB22" s="909">
        <v>238813.20075755485</v>
      </c>
      <c r="CC22" s="909">
        <v>291326.19892175758</v>
      </c>
      <c r="CD22" s="909">
        <v>332228.6903683822</v>
      </c>
      <c r="CE22" s="909">
        <v>366057.60420105705</v>
      </c>
      <c r="CF22" s="909">
        <v>332692.92225448351</v>
      </c>
      <c r="CG22" s="909">
        <v>306885.93879038072</v>
      </c>
      <c r="CH22" s="909">
        <v>326897.43717744708</v>
      </c>
      <c r="CI22" s="909">
        <v>345977.21981359209</v>
      </c>
      <c r="CJ22" s="909">
        <v>356196.03470418812</v>
      </c>
      <c r="CK22" s="909">
        <v>345138.7756166319</v>
      </c>
      <c r="CL22" s="909">
        <v>352278.96527660429</v>
      </c>
      <c r="CM22" s="909">
        <v>331072.12614123517</v>
      </c>
      <c r="CN22" s="909">
        <v>288516.44618739793</v>
      </c>
      <c r="CO22" s="909">
        <v>281109.40385980502</v>
      </c>
      <c r="CP22" s="909">
        <v>298079.43139751867</v>
      </c>
      <c r="CQ22" s="909">
        <v>298951.46021708444</v>
      </c>
      <c r="CR22" s="909">
        <v>308166.34326273529</v>
      </c>
      <c r="CS22" s="909">
        <v>284867.13106017641</v>
      </c>
      <c r="CT22" s="909">
        <v>297357.83912524022</v>
      </c>
      <c r="CU22" s="909">
        <v>295323.93049225374</v>
      </c>
      <c r="CV22" s="909">
        <v>314515.56371994573</v>
      </c>
      <c r="CW22" s="909">
        <v>370297.8490114939</v>
      </c>
      <c r="CX22" s="909">
        <v>363107.71730177087</v>
      </c>
      <c r="CY22" s="909">
        <v>312843.50544339872</v>
      </c>
      <c r="CZ22" s="909">
        <v>290773.28742760501</v>
      </c>
      <c r="DA22" s="909">
        <v>245961.29706358048</v>
      </c>
      <c r="DB22" s="912">
        <v>228788.83545939447</v>
      </c>
      <c r="DC22" s="909">
        <v>236889.84815945203</v>
      </c>
      <c r="DD22" s="855">
        <v>224507.99969644891</v>
      </c>
      <c r="DE22" s="855">
        <v>216242.61411776507</v>
      </c>
      <c r="DF22" s="855">
        <v>210178.16381137507</v>
      </c>
      <c r="DG22" s="855">
        <v>199296.28029635065</v>
      </c>
      <c r="DH22" s="855">
        <v>162926.06365316006</v>
      </c>
      <c r="DI22" s="855">
        <v>137350.36057499834</v>
      </c>
      <c r="DJ22" s="855">
        <v>168027.54636504498</v>
      </c>
      <c r="DK22" s="855">
        <v>151683.13655269722</v>
      </c>
      <c r="DL22" s="855">
        <v>140420.28511015893</v>
      </c>
      <c r="DM22" s="855">
        <v>146732.48401225373</v>
      </c>
      <c r="DN22" s="855">
        <v>145309.89309986381</v>
      </c>
      <c r="DO22" s="855">
        <v>146940.14293640625</v>
      </c>
      <c r="DP22" s="855">
        <v>181061.12408194668</v>
      </c>
      <c r="DQ22" s="855">
        <v>183160.03853034083</v>
      </c>
      <c r="DR22" s="855">
        <v>174470.07187032959</v>
      </c>
      <c r="DS22" s="855">
        <v>146450.01639286181</v>
      </c>
    </row>
    <row r="23" spans="1:123" ht="18" customHeight="1">
      <c r="A23" s="857"/>
      <c r="B23" s="858"/>
      <c r="C23" s="913"/>
      <c r="D23" s="913"/>
      <c r="E23" s="913"/>
      <c r="F23" s="914"/>
      <c r="G23" s="913"/>
      <c r="H23" s="915"/>
      <c r="I23" s="913"/>
      <c r="J23" s="913"/>
      <c r="K23" s="913"/>
      <c r="L23" s="913"/>
      <c r="M23" s="914"/>
      <c r="N23" s="913"/>
      <c r="O23" s="913"/>
      <c r="P23" s="913"/>
      <c r="Q23" s="913"/>
      <c r="R23" s="913"/>
      <c r="S23" s="913"/>
      <c r="T23" s="913"/>
      <c r="U23" s="913"/>
      <c r="V23" s="913"/>
      <c r="W23" s="913"/>
      <c r="X23" s="913"/>
      <c r="Y23" s="913"/>
      <c r="Z23" s="913"/>
      <c r="AA23" s="913"/>
      <c r="AB23" s="914"/>
      <c r="AC23" s="913"/>
      <c r="AD23" s="913"/>
      <c r="AE23" s="913"/>
      <c r="AF23" s="913"/>
      <c r="AG23" s="913"/>
      <c r="AH23" s="913"/>
      <c r="AI23" s="913"/>
      <c r="AJ23" s="913"/>
      <c r="AK23" s="913"/>
      <c r="AL23" s="913"/>
      <c r="AM23" s="913"/>
      <c r="AN23" s="913"/>
      <c r="AO23" s="913"/>
      <c r="AP23" s="913"/>
      <c r="AQ23" s="913"/>
      <c r="AR23" s="913"/>
      <c r="AS23" s="913"/>
      <c r="AT23" s="913"/>
      <c r="AU23" s="913"/>
      <c r="AV23" s="913"/>
      <c r="AW23" s="913"/>
      <c r="AX23" s="913"/>
      <c r="AY23" s="913"/>
      <c r="AZ23" s="913"/>
      <c r="BA23" s="913"/>
      <c r="BB23" s="913"/>
      <c r="BC23" s="913"/>
      <c r="BD23" s="913"/>
      <c r="BE23" s="913"/>
      <c r="BF23" s="913"/>
      <c r="BG23" s="913"/>
      <c r="BH23" s="913"/>
      <c r="BI23" s="913"/>
      <c r="BJ23" s="913"/>
      <c r="BK23" s="913"/>
      <c r="BL23" s="913"/>
      <c r="BM23" s="913"/>
      <c r="BN23" s="913"/>
      <c r="BO23" s="913"/>
      <c r="BP23" s="913"/>
      <c r="BQ23" s="913"/>
      <c r="BR23" s="913"/>
      <c r="BS23" s="913"/>
      <c r="BT23" s="913"/>
      <c r="BU23" s="913"/>
      <c r="BV23" s="913"/>
      <c r="BW23" s="913"/>
      <c r="BX23" s="913"/>
      <c r="BY23" s="913"/>
      <c r="BZ23" s="913"/>
      <c r="CA23" s="913"/>
      <c r="CB23" s="913"/>
      <c r="CC23" s="913"/>
      <c r="CD23" s="913"/>
      <c r="CE23" s="913"/>
      <c r="CF23" s="913"/>
      <c r="CG23" s="913"/>
      <c r="CH23" s="913"/>
      <c r="CI23" s="913"/>
      <c r="CJ23" s="913"/>
      <c r="CK23" s="913"/>
      <c r="CL23" s="913"/>
      <c r="CM23" s="913"/>
      <c r="CN23" s="913"/>
      <c r="CO23" s="913"/>
      <c r="CP23" s="913"/>
      <c r="CQ23" s="913"/>
      <c r="CR23" s="913"/>
      <c r="CS23" s="913"/>
      <c r="CT23" s="913"/>
      <c r="CU23" s="913"/>
      <c r="CV23" s="913"/>
      <c r="CW23" s="913"/>
      <c r="CX23" s="913"/>
      <c r="CY23" s="913"/>
      <c r="CZ23" s="913"/>
      <c r="DA23" s="913"/>
      <c r="DB23" s="916"/>
      <c r="DC23" s="913"/>
      <c r="DD23" s="859"/>
      <c r="DE23" s="859"/>
      <c r="DF23" s="859"/>
      <c r="DG23" s="859"/>
      <c r="DH23" s="859"/>
      <c r="DI23" s="859"/>
      <c r="DJ23" s="859"/>
      <c r="DK23" s="859"/>
      <c r="DL23" s="859"/>
      <c r="DM23" s="859"/>
      <c r="DN23" s="859"/>
      <c r="DO23" s="859"/>
      <c r="DP23" s="859"/>
      <c r="DQ23" s="859"/>
      <c r="DR23" s="859"/>
      <c r="DS23" s="859"/>
    </row>
    <row r="24" spans="1:123" ht="18" customHeight="1">
      <c r="A24" s="853" t="s">
        <v>2511</v>
      </c>
      <c r="B24" s="854" t="s">
        <v>2512</v>
      </c>
      <c r="C24" s="909">
        <v>5586.798867614908</v>
      </c>
      <c r="D24" s="909">
        <v>5670.2383501161712</v>
      </c>
      <c r="E24" s="909">
        <v>6117.0573349504757</v>
      </c>
      <c r="F24" s="910">
        <v>7474.1806698326081</v>
      </c>
      <c r="G24" s="909">
        <v>6266.8263476957054</v>
      </c>
      <c r="H24" s="911">
        <v>6063.7564736961303</v>
      </c>
      <c r="I24" s="909">
        <v>6666.9401175171824</v>
      </c>
      <c r="J24" s="909">
        <v>6579.056281183487</v>
      </c>
      <c r="K24" s="909">
        <v>7008.9555369945765</v>
      </c>
      <c r="L24" s="909">
        <v>6820.9021825312575</v>
      </c>
      <c r="M24" s="910">
        <v>7631.3581200062245</v>
      </c>
      <c r="N24" s="909">
        <v>7806.0112989903628</v>
      </c>
      <c r="O24" s="909">
        <v>8382.2791541429269</v>
      </c>
      <c r="P24" s="909">
        <v>5165.1919955896801</v>
      </c>
      <c r="Q24" s="909">
        <v>5723.0687758585036</v>
      </c>
      <c r="R24" s="909">
        <v>7551.9510162780534</v>
      </c>
      <c r="S24" s="909">
        <v>7663.7134439486545</v>
      </c>
      <c r="T24" s="909">
        <v>8255.4748656612992</v>
      </c>
      <c r="U24" s="909">
        <v>7438.1685543321464</v>
      </c>
      <c r="V24" s="909">
        <v>6960.562159441788</v>
      </c>
      <c r="W24" s="909">
        <v>7857.1388660158736</v>
      </c>
      <c r="X24" s="909">
        <v>8484.5331707902569</v>
      </c>
      <c r="Y24" s="909">
        <v>11530.962587584701</v>
      </c>
      <c r="Z24" s="909">
        <v>12922.31894454308</v>
      </c>
      <c r="AA24" s="909">
        <v>13641.58370018477</v>
      </c>
      <c r="AB24" s="910">
        <v>11192.800028664689</v>
      </c>
      <c r="AC24" s="909">
        <v>11547.884203073783</v>
      </c>
      <c r="AD24" s="909">
        <v>10500.761405279829</v>
      </c>
      <c r="AE24" s="909">
        <v>11355.924284038227</v>
      </c>
      <c r="AF24" s="909">
        <v>10284.080548874359</v>
      </c>
      <c r="AG24" s="909">
        <v>10027.130049652962</v>
      </c>
      <c r="AH24" s="909">
        <v>10673.026815798956</v>
      </c>
      <c r="AI24" s="909">
        <v>11371.503905600166</v>
      </c>
      <c r="AJ24" s="909">
        <v>12145.767563427276</v>
      </c>
      <c r="AK24" s="909">
        <v>11209.264290815925</v>
      </c>
      <c r="AL24" s="909">
        <v>11222.241155054264</v>
      </c>
      <c r="AM24" s="909">
        <v>15181.785867937439</v>
      </c>
      <c r="AN24" s="909">
        <v>12850.536794886611</v>
      </c>
      <c r="AO24" s="909">
        <v>10483.63429309343</v>
      </c>
      <c r="AP24" s="909">
        <v>11581.603150539095</v>
      </c>
      <c r="AQ24" s="909">
        <v>14172.875508021096</v>
      </c>
      <c r="AR24" s="909">
        <v>11941.791449044793</v>
      </c>
      <c r="AS24" s="909">
        <v>12288.775715904736</v>
      </c>
      <c r="AT24" s="909">
        <v>9553.3905783131268</v>
      </c>
      <c r="AU24" s="909">
        <v>10175.363463764746</v>
      </c>
      <c r="AV24" s="909">
        <v>11673.019489467513</v>
      </c>
      <c r="AW24" s="909">
        <v>10714.075941908723</v>
      </c>
      <c r="AX24" s="909">
        <v>10561.569703707139</v>
      </c>
      <c r="AY24" s="909">
        <v>10127.180403858782</v>
      </c>
      <c r="AZ24" s="909">
        <v>8916.3755402082861</v>
      </c>
      <c r="BA24" s="909">
        <v>9591.3565887875484</v>
      </c>
      <c r="BB24" s="909">
        <v>8824.9289822759856</v>
      </c>
      <c r="BC24" s="909">
        <v>8438.262072096717</v>
      </c>
      <c r="BD24" s="909">
        <v>8294.6577118151545</v>
      </c>
      <c r="BE24" s="909">
        <v>10294.380814194436</v>
      </c>
      <c r="BF24" s="909">
        <v>10135.351869342354</v>
      </c>
      <c r="BG24" s="909">
        <v>9562.9213973704991</v>
      </c>
      <c r="BH24" s="909">
        <v>7538.2620045354715</v>
      </c>
      <c r="BI24" s="909">
        <v>6656.081488824997</v>
      </c>
      <c r="BJ24" s="909">
        <v>5651.6614854600657</v>
      </c>
      <c r="BK24" s="909">
        <v>8234.2420163253446</v>
      </c>
      <c r="BL24" s="909">
        <v>11081.159814091725</v>
      </c>
      <c r="BM24" s="909">
        <v>7295.7186112800837</v>
      </c>
      <c r="BN24" s="909">
        <v>6789.8075006472918</v>
      </c>
      <c r="BO24" s="909">
        <v>9774.654724436692</v>
      </c>
      <c r="BP24" s="909">
        <v>11503.842018809039</v>
      </c>
      <c r="BQ24" s="909">
        <v>11520.901851768776</v>
      </c>
      <c r="BR24" s="909">
        <v>11830.500007035427</v>
      </c>
      <c r="BS24" s="909">
        <v>10787.077786941991</v>
      </c>
      <c r="BT24" s="909">
        <v>22353.30464532099</v>
      </c>
      <c r="BU24" s="909">
        <v>21263.833247622191</v>
      </c>
      <c r="BV24" s="909">
        <v>16977.151872741804</v>
      </c>
      <c r="BW24" s="909">
        <v>15160.294477557121</v>
      </c>
      <c r="BX24" s="909">
        <v>14739.210506365067</v>
      </c>
      <c r="BY24" s="909">
        <v>6759.9391974346472</v>
      </c>
      <c r="BZ24" s="909">
        <v>16885.390142336248</v>
      </c>
      <c r="CA24" s="909">
        <v>16904.848590467151</v>
      </c>
      <c r="CB24" s="909">
        <v>18464.724621975449</v>
      </c>
      <c r="CC24" s="909">
        <v>20310.023745208211</v>
      </c>
      <c r="CD24" s="909">
        <v>18136.786126254097</v>
      </c>
      <c r="CE24" s="909">
        <v>17796.881000042162</v>
      </c>
      <c r="CF24" s="909">
        <v>17003.577548785706</v>
      </c>
      <c r="CG24" s="909">
        <v>18239.700907009203</v>
      </c>
      <c r="CH24" s="909">
        <v>24046.779311109243</v>
      </c>
      <c r="CI24" s="909">
        <v>23259.807723009948</v>
      </c>
      <c r="CJ24" s="909">
        <v>22427.249946578446</v>
      </c>
      <c r="CK24" s="909">
        <v>21077.458555829788</v>
      </c>
      <c r="CL24" s="909">
        <v>20634.046926593754</v>
      </c>
      <c r="CM24" s="909">
        <v>19142.322849267592</v>
      </c>
      <c r="CN24" s="909">
        <v>17976.597196121158</v>
      </c>
      <c r="CO24" s="909">
        <v>26161.113849849502</v>
      </c>
      <c r="CP24" s="909">
        <v>25694.24424716974</v>
      </c>
      <c r="CQ24" s="909">
        <v>25123.26334604172</v>
      </c>
      <c r="CR24" s="909">
        <v>22664.22862983244</v>
      </c>
      <c r="CS24" s="909">
        <v>22719.158965007482</v>
      </c>
      <c r="CT24" s="909">
        <v>20410.115132084626</v>
      </c>
      <c r="CU24" s="909">
        <v>21952.648839768572</v>
      </c>
      <c r="CV24" s="909">
        <v>24187.179030909549</v>
      </c>
      <c r="CW24" s="909">
        <v>24962.343440261437</v>
      </c>
      <c r="CX24" s="909">
        <v>24430.691481260808</v>
      </c>
      <c r="CY24" s="909">
        <v>21228.153566194575</v>
      </c>
      <c r="CZ24" s="909">
        <v>13460.171899606245</v>
      </c>
      <c r="DA24" s="909">
        <v>13161.578803034829</v>
      </c>
      <c r="DB24" s="912">
        <v>13353.000956889064</v>
      </c>
      <c r="DC24" s="909">
        <v>14770.634525825522</v>
      </c>
      <c r="DD24" s="855">
        <v>12678.348490215165</v>
      </c>
      <c r="DE24" s="855">
        <v>13485.476447141784</v>
      </c>
      <c r="DF24" s="855">
        <v>13662.931185628504</v>
      </c>
      <c r="DG24" s="855">
        <v>15004.016252179814</v>
      </c>
      <c r="DH24" s="855">
        <v>14023.320203671998</v>
      </c>
      <c r="DI24" s="855">
        <v>15319.539279424494</v>
      </c>
      <c r="DJ24" s="855">
        <v>16957.73530230056</v>
      </c>
      <c r="DK24" s="855">
        <v>15008.632237125699</v>
      </c>
      <c r="DL24" s="855">
        <v>15821.082106714151</v>
      </c>
      <c r="DM24" s="855">
        <v>15077.025632343046</v>
      </c>
      <c r="DN24" s="855">
        <v>16562.16890410905</v>
      </c>
      <c r="DO24" s="855">
        <v>16069.248289282239</v>
      </c>
      <c r="DP24" s="855">
        <v>16932.623271443455</v>
      </c>
      <c r="DQ24" s="855">
        <v>17208.980758727099</v>
      </c>
      <c r="DR24" s="855">
        <v>16335.134598107172</v>
      </c>
      <c r="DS24" s="855">
        <v>16552.709291795978</v>
      </c>
    </row>
    <row r="25" spans="1:123" ht="18" customHeight="1">
      <c r="A25" s="857"/>
      <c r="B25" s="858"/>
      <c r="C25" s="913"/>
      <c r="D25" s="913"/>
      <c r="E25" s="913"/>
      <c r="F25" s="914"/>
      <c r="G25" s="913"/>
      <c r="H25" s="915"/>
      <c r="I25" s="913"/>
      <c r="J25" s="913"/>
      <c r="K25" s="913"/>
      <c r="L25" s="913"/>
      <c r="M25" s="914"/>
      <c r="N25" s="913"/>
      <c r="O25" s="913"/>
      <c r="P25" s="913"/>
      <c r="Q25" s="913"/>
      <c r="R25" s="913"/>
      <c r="S25" s="913"/>
      <c r="T25" s="913"/>
      <c r="U25" s="913"/>
      <c r="V25" s="913"/>
      <c r="W25" s="913"/>
      <c r="X25" s="913"/>
      <c r="Y25" s="913"/>
      <c r="Z25" s="913"/>
      <c r="AA25" s="913"/>
      <c r="AB25" s="914"/>
      <c r="AC25" s="913"/>
      <c r="AD25" s="913"/>
      <c r="AE25" s="913"/>
      <c r="AF25" s="913"/>
      <c r="AG25" s="913"/>
      <c r="AH25" s="913"/>
      <c r="AI25" s="913"/>
      <c r="AJ25" s="913"/>
      <c r="AK25" s="913"/>
      <c r="AL25" s="913"/>
      <c r="AM25" s="913"/>
      <c r="AN25" s="913"/>
      <c r="AO25" s="913"/>
      <c r="AP25" s="913"/>
      <c r="AQ25" s="913"/>
      <c r="AR25" s="913"/>
      <c r="AS25" s="913"/>
      <c r="AT25" s="913"/>
      <c r="AU25" s="913"/>
      <c r="AV25" s="913"/>
      <c r="AW25" s="913"/>
      <c r="AX25" s="913"/>
      <c r="AY25" s="913"/>
      <c r="AZ25" s="913"/>
      <c r="BA25" s="913"/>
      <c r="BB25" s="913"/>
      <c r="BC25" s="913"/>
      <c r="BD25" s="913"/>
      <c r="BE25" s="913"/>
      <c r="BF25" s="913"/>
      <c r="BG25" s="913"/>
      <c r="BH25" s="913"/>
      <c r="BI25" s="913"/>
      <c r="BJ25" s="913"/>
      <c r="BK25" s="913"/>
      <c r="BL25" s="913"/>
      <c r="BM25" s="913"/>
      <c r="BN25" s="913"/>
      <c r="BO25" s="913"/>
      <c r="BP25" s="913"/>
      <c r="BQ25" s="913"/>
      <c r="BR25" s="913"/>
      <c r="BS25" s="913"/>
      <c r="BT25" s="913"/>
      <c r="BU25" s="913"/>
      <c r="BV25" s="913"/>
      <c r="BW25" s="913"/>
      <c r="BX25" s="913"/>
      <c r="BY25" s="913"/>
      <c r="BZ25" s="913"/>
      <c r="CA25" s="913"/>
      <c r="CB25" s="913"/>
      <c r="CC25" s="913"/>
      <c r="CD25" s="913"/>
      <c r="CE25" s="913"/>
      <c r="CF25" s="913"/>
      <c r="CG25" s="913"/>
      <c r="CH25" s="913"/>
      <c r="CI25" s="913"/>
      <c r="CJ25" s="913"/>
      <c r="CK25" s="913"/>
      <c r="CL25" s="913"/>
      <c r="CM25" s="913"/>
      <c r="CN25" s="913"/>
      <c r="CO25" s="913"/>
      <c r="CP25" s="913"/>
      <c r="CQ25" s="913"/>
      <c r="CR25" s="913"/>
      <c r="CS25" s="913"/>
      <c r="CT25" s="913"/>
      <c r="CU25" s="913"/>
      <c r="CV25" s="913"/>
      <c r="CW25" s="913"/>
      <c r="CX25" s="913"/>
      <c r="CY25" s="913"/>
      <c r="CZ25" s="913"/>
      <c r="DA25" s="913"/>
      <c r="DB25" s="916"/>
      <c r="DC25" s="913"/>
      <c r="DD25" s="859"/>
      <c r="DE25" s="859"/>
      <c r="DF25" s="859"/>
      <c r="DG25" s="859"/>
      <c r="DH25" s="859"/>
      <c r="DI25" s="859"/>
      <c r="DJ25" s="859"/>
      <c r="DK25" s="859"/>
      <c r="DL25" s="859"/>
      <c r="DM25" s="859"/>
      <c r="DN25" s="859"/>
      <c r="DO25" s="859"/>
      <c r="DP25" s="859"/>
      <c r="DQ25" s="859"/>
      <c r="DR25" s="859"/>
      <c r="DS25" s="859"/>
    </row>
    <row r="26" spans="1:123" ht="18" customHeight="1">
      <c r="A26" s="853" t="s">
        <v>2513</v>
      </c>
      <c r="B26" s="854" t="s">
        <v>2514</v>
      </c>
      <c r="C26" s="909">
        <v>10215.371715636911</v>
      </c>
      <c r="D26" s="909">
        <v>10230.386176877602</v>
      </c>
      <c r="E26" s="909">
        <v>10264.534151124984</v>
      </c>
      <c r="F26" s="910">
        <v>10292.840694966148</v>
      </c>
      <c r="G26" s="909">
        <v>10359.952542342509</v>
      </c>
      <c r="H26" s="911">
        <v>10372.829824412309</v>
      </c>
      <c r="I26" s="909">
        <v>10483.290079899974</v>
      </c>
      <c r="J26" s="909">
        <v>10492.661873524687</v>
      </c>
      <c r="K26" s="909">
        <v>10513.580191881219</v>
      </c>
      <c r="L26" s="909">
        <v>10547.697643533049</v>
      </c>
      <c r="M26" s="910">
        <v>10566.463638046363</v>
      </c>
      <c r="N26" s="909">
        <v>10727.152068725743</v>
      </c>
      <c r="O26" s="909">
        <v>10865.093985192434</v>
      </c>
      <c r="P26" s="909">
        <v>10887.929830016839</v>
      </c>
      <c r="Q26" s="909">
        <v>10915.478152448781</v>
      </c>
      <c r="R26" s="909">
        <v>10964.996223353954</v>
      </c>
      <c r="S26" s="909">
        <v>11007.866502909934</v>
      </c>
      <c r="T26" s="909">
        <v>11010.610413217419</v>
      </c>
      <c r="U26" s="909">
        <v>11076.806146190253</v>
      </c>
      <c r="V26" s="909">
        <v>11105.093902010241</v>
      </c>
      <c r="W26" s="909">
        <v>11117.860938733025</v>
      </c>
      <c r="X26" s="909">
        <v>11158.444612866819</v>
      </c>
      <c r="Y26" s="909">
        <v>11210.363676150844</v>
      </c>
      <c r="Z26" s="909">
        <v>11272.935388662529</v>
      </c>
      <c r="AA26" s="909">
        <v>11409.284636318876</v>
      </c>
      <c r="AB26" s="910">
        <v>11422.076131039485</v>
      </c>
      <c r="AC26" s="909">
        <v>11444.44480959927</v>
      </c>
      <c r="AD26" s="909">
        <v>11532.252476586686</v>
      </c>
      <c r="AE26" s="909">
        <v>11590.240126935367</v>
      </c>
      <c r="AF26" s="909">
        <v>11673.571102098638</v>
      </c>
      <c r="AG26" s="909">
        <v>11761.047168821962</v>
      </c>
      <c r="AH26" s="909">
        <v>11763.811328135618</v>
      </c>
      <c r="AI26" s="909">
        <v>11806.061369881943</v>
      </c>
      <c r="AJ26" s="909">
        <v>11816.139712376122</v>
      </c>
      <c r="AK26" s="909">
        <v>11890.545455707794</v>
      </c>
      <c r="AL26" s="909">
        <v>11921.049115748849</v>
      </c>
      <c r="AM26" s="909">
        <v>11991.176862374597</v>
      </c>
      <c r="AN26" s="909">
        <v>12033.192013161477</v>
      </c>
      <c r="AO26" s="909">
        <v>12206.364103932192</v>
      </c>
      <c r="AP26" s="909">
        <v>12245.542505985177</v>
      </c>
      <c r="AQ26" s="909">
        <v>12337.511775198873</v>
      </c>
      <c r="AR26" s="909">
        <v>12388.003471182003</v>
      </c>
      <c r="AS26" s="909">
        <v>13072.915050843339</v>
      </c>
      <c r="AT26" s="909">
        <v>13232.176902227937</v>
      </c>
      <c r="AU26" s="909">
        <v>13097.938985023256</v>
      </c>
      <c r="AV26" s="909">
        <v>13260.289285591152</v>
      </c>
      <c r="AW26" s="909">
        <v>13403.191097281138</v>
      </c>
      <c r="AX26" s="909">
        <v>13544.565267320062</v>
      </c>
      <c r="AY26" s="909">
        <v>13614.289342267039</v>
      </c>
      <c r="AZ26" s="909">
        <v>13729.554368000301</v>
      </c>
      <c r="BA26" s="909">
        <v>13814.866305836849</v>
      </c>
      <c r="BB26" s="909">
        <v>13823.782985256501</v>
      </c>
      <c r="BC26" s="909">
        <v>14031.010314083316</v>
      </c>
      <c r="BD26" s="909">
        <v>14127.162151959725</v>
      </c>
      <c r="BE26" s="909">
        <v>14227.102351594973</v>
      </c>
      <c r="BF26" s="909">
        <v>14202.525275436403</v>
      </c>
      <c r="BG26" s="909">
        <v>14302.397524761791</v>
      </c>
      <c r="BH26" s="909">
        <v>14389.834409854073</v>
      </c>
      <c r="BI26" s="909">
        <v>14673.937178870799</v>
      </c>
      <c r="BJ26" s="909">
        <v>14995.416754536564</v>
      </c>
      <c r="BK26" s="909">
        <v>15409.890920938726</v>
      </c>
      <c r="BL26" s="909">
        <v>15414.545802328117</v>
      </c>
      <c r="BM26" s="909">
        <v>15554.16291438724</v>
      </c>
      <c r="BN26" s="909">
        <v>15894.255435636198</v>
      </c>
      <c r="BO26" s="909">
        <v>15918.77249047435</v>
      </c>
      <c r="BP26" s="909">
        <v>17467.182184771249</v>
      </c>
      <c r="BQ26" s="909">
        <v>17739.609993181337</v>
      </c>
      <c r="BR26" s="909">
        <v>17793.811540942119</v>
      </c>
      <c r="BS26" s="909">
        <v>17828.298934435472</v>
      </c>
      <c r="BT26" s="909">
        <v>18001.626249843775</v>
      </c>
      <c r="BU26" s="909">
        <v>18001.995798082295</v>
      </c>
      <c r="BV26" s="909">
        <v>18130.633536210713</v>
      </c>
      <c r="BW26" s="909">
        <v>18376.006039425818</v>
      </c>
      <c r="BX26" s="909">
        <v>18603.568490555725</v>
      </c>
      <c r="BY26" s="909">
        <v>18828.461346276672</v>
      </c>
      <c r="BZ26" s="909">
        <v>18979.960087374864</v>
      </c>
      <c r="CA26" s="909">
        <v>19084.166463022997</v>
      </c>
      <c r="CB26" s="909">
        <v>19207.484316991893</v>
      </c>
      <c r="CC26" s="909">
        <v>19517.614369597417</v>
      </c>
      <c r="CD26" s="909">
        <v>19533.764193612762</v>
      </c>
      <c r="CE26" s="909">
        <v>19537.005283991602</v>
      </c>
      <c r="CF26" s="909">
        <v>19557.575459742613</v>
      </c>
      <c r="CG26" s="909">
        <v>19579.441299077534</v>
      </c>
      <c r="CH26" s="909">
        <v>20428.375245526004</v>
      </c>
      <c r="CI26" s="909">
        <v>20556.179191954445</v>
      </c>
      <c r="CJ26" s="909">
        <v>19193.325564116065</v>
      </c>
      <c r="CK26" s="909">
        <v>18991.125073870578</v>
      </c>
      <c r="CL26" s="909">
        <v>19013.707845548543</v>
      </c>
      <c r="CM26" s="909">
        <v>19070.792677045647</v>
      </c>
      <c r="CN26" s="909">
        <v>19076.525389458013</v>
      </c>
      <c r="CO26" s="909">
        <v>19357.708645800292</v>
      </c>
      <c r="CP26" s="909">
        <v>19415.312732245835</v>
      </c>
      <c r="CQ26" s="909">
        <v>19468.269430811728</v>
      </c>
      <c r="CR26" s="909">
        <v>19521.315935019076</v>
      </c>
      <c r="CS26" s="909">
        <v>19464.659475675766</v>
      </c>
      <c r="CT26" s="909">
        <v>19530.660201881532</v>
      </c>
      <c r="CU26" s="909">
        <v>19486.743338668759</v>
      </c>
      <c r="CV26" s="909">
        <v>19488.230982296118</v>
      </c>
      <c r="CW26" s="909">
        <v>19530.093976924174</v>
      </c>
      <c r="CX26" s="909">
        <v>19541.220467600302</v>
      </c>
      <c r="CY26" s="909">
        <v>19515.603282422369</v>
      </c>
      <c r="CZ26" s="909">
        <v>19492.077551158658</v>
      </c>
      <c r="DA26" s="909">
        <v>19635.664827378263</v>
      </c>
      <c r="DB26" s="912">
        <v>19751.275374700119</v>
      </c>
      <c r="DC26" s="909">
        <v>19729.127296518513</v>
      </c>
      <c r="DD26" s="855">
        <v>19607.286023135839</v>
      </c>
      <c r="DE26" s="855">
        <v>19587.437834158958</v>
      </c>
      <c r="DF26" s="855">
        <v>19604.578768136802</v>
      </c>
      <c r="DG26" s="855">
        <v>19760.417300341342</v>
      </c>
      <c r="DH26" s="855">
        <v>19807.134491682395</v>
      </c>
      <c r="DI26" s="855">
        <v>19939.181298837218</v>
      </c>
      <c r="DJ26" s="855">
        <v>21242.825142080525</v>
      </c>
      <c r="DK26" s="855">
        <v>21291.988727455933</v>
      </c>
      <c r="DL26" s="855">
        <v>21308.232183883953</v>
      </c>
      <c r="DM26" s="855">
        <v>21391.700425447307</v>
      </c>
      <c r="DN26" s="855">
        <v>21433.171974494453</v>
      </c>
      <c r="DO26" s="855">
        <v>21456.870752559953</v>
      </c>
      <c r="DP26" s="855">
        <v>21668.754415733652</v>
      </c>
      <c r="DQ26" s="855">
        <v>21622.057773304194</v>
      </c>
      <c r="DR26" s="855">
        <v>21685.943097820887</v>
      </c>
      <c r="DS26" s="855">
        <v>21654.382337864117</v>
      </c>
    </row>
    <row r="27" spans="1:123" ht="18" customHeight="1">
      <c r="A27" s="857"/>
      <c r="B27" s="858"/>
      <c r="C27" s="878"/>
      <c r="D27" s="878"/>
      <c r="E27" s="878"/>
      <c r="F27" s="917"/>
      <c r="G27" s="878"/>
      <c r="H27" s="918"/>
      <c r="I27" s="878"/>
      <c r="J27" s="878"/>
      <c r="K27" s="878"/>
      <c r="L27" s="878"/>
      <c r="M27" s="917"/>
      <c r="N27" s="878"/>
      <c r="O27" s="878"/>
      <c r="P27" s="878"/>
      <c r="Q27" s="878"/>
      <c r="R27" s="878"/>
      <c r="S27" s="878"/>
      <c r="T27" s="878"/>
      <c r="U27" s="878"/>
      <c r="V27" s="878"/>
      <c r="W27" s="878"/>
      <c r="X27" s="878"/>
      <c r="Y27" s="878"/>
      <c r="Z27" s="878"/>
      <c r="AA27" s="878"/>
      <c r="AB27" s="917"/>
      <c r="AC27" s="878"/>
      <c r="AD27" s="878"/>
      <c r="AE27" s="878"/>
      <c r="AF27" s="878"/>
      <c r="AG27" s="878"/>
      <c r="AH27" s="878"/>
      <c r="AI27" s="878"/>
      <c r="AJ27" s="878"/>
      <c r="AK27" s="878"/>
      <c r="AL27" s="878"/>
      <c r="AM27" s="878"/>
      <c r="AN27" s="878"/>
      <c r="AO27" s="878"/>
      <c r="AP27" s="878"/>
      <c r="AQ27" s="878"/>
      <c r="AR27" s="878"/>
      <c r="AS27" s="878"/>
      <c r="AT27" s="878"/>
      <c r="AU27" s="878"/>
      <c r="AV27" s="878"/>
      <c r="AW27" s="878"/>
      <c r="AX27" s="878"/>
      <c r="AY27" s="878"/>
      <c r="AZ27" s="878"/>
      <c r="BA27" s="878"/>
      <c r="BB27" s="878"/>
      <c r="BC27" s="878"/>
      <c r="BD27" s="878"/>
      <c r="BE27" s="878"/>
      <c r="BF27" s="878"/>
      <c r="BG27" s="878"/>
      <c r="BH27" s="878"/>
      <c r="BI27" s="878"/>
      <c r="BJ27" s="878"/>
      <c r="BK27" s="878"/>
      <c r="BL27" s="878"/>
      <c r="BM27" s="878"/>
      <c r="BN27" s="878"/>
      <c r="BO27" s="878"/>
      <c r="BP27" s="878"/>
      <c r="BQ27" s="878"/>
      <c r="BR27" s="878"/>
      <c r="BS27" s="878"/>
      <c r="BT27" s="878"/>
      <c r="BU27" s="878"/>
      <c r="BV27" s="878"/>
      <c r="BW27" s="878"/>
      <c r="BX27" s="878"/>
      <c r="BY27" s="878"/>
      <c r="BZ27" s="878"/>
      <c r="CA27" s="878"/>
      <c r="CB27" s="878"/>
      <c r="CC27" s="878"/>
      <c r="CD27" s="878"/>
      <c r="CE27" s="878"/>
      <c r="CF27" s="878"/>
      <c r="CG27" s="878"/>
      <c r="CH27" s="878"/>
      <c r="CI27" s="878"/>
      <c r="CJ27" s="878"/>
      <c r="CK27" s="878"/>
      <c r="CL27" s="878"/>
      <c r="CM27" s="878"/>
      <c r="CN27" s="878"/>
      <c r="CO27" s="878"/>
      <c r="CP27" s="878"/>
      <c r="CQ27" s="878"/>
      <c r="CR27" s="878"/>
      <c r="CS27" s="878"/>
      <c r="CT27" s="878"/>
      <c r="CU27" s="878"/>
      <c r="CV27" s="878"/>
      <c r="CW27" s="878"/>
      <c r="CX27" s="878"/>
      <c r="CY27" s="878"/>
      <c r="CZ27" s="878"/>
      <c r="DA27" s="878"/>
      <c r="DB27" s="919"/>
      <c r="DC27" s="878"/>
      <c r="DD27" s="860"/>
      <c r="DE27" s="860"/>
      <c r="DF27" s="860"/>
      <c r="DG27" s="860"/>
      <c r="DH27" s="860"/>
      <c r="DI27" s="860"/>
      <c r="DJ27" s="860"/>
      <c r="DK27" s="860"/>
      <c r="DL27" s="860"/>
      <c r="DM27" s="860"/>
      <c r="DN27" s="860"/>
      <c r="DO27" s="860"/>
      <c r="DP27" s="860"/>
      <c r="DQ27" s="860"/>
      <c r="DR27" s="860"/>
      <c r="DS27" s="860"/>
    </row>
    <row r="28" spans="1:123" ht="18" customHeight="1">
      <c r="A28" s="853"/>
      <c r="B28" s="854" t="s">
        <v>2515</v>
      </c>
      <c r="C28" s="909">
        <v>445837.09647377668</v>
      </c>
      <c r="D28" s="909">
        <v>432333.73571372771</v>
      </c>
      <c r="E28" s="909">
        <v>444953.021719618</v>
      </c>
      <c r="F28" s="910">
        <v>460740.797100208</v>
      </c>
      <c r="G28" s="909">
        <v>463204.56965047109</v>
      </c>
      <c r="H28" s="911">
        <v>481466.10547432484</v>
      </c>
      <c r="I28" s="909">
        <v>468596.08483181143</v>
      </c>
      <c r="J28" s="909">
        <v>478494.19773629768</v>
      </c>
      <c r="K28" s="909">
        <v>507625.95996665611</v>
      </c>
      <c r="L28" s="909">
        <v>511206.35459318251</v>
      </c>
      <c r="M28" s="910">
        <v>507494.99652799591</v>
      </c>
      <c r="N28" s="909">
        <v>535662.87708218186</v>
      </c>
      <c r="O28" s="909">
        <v>523850.27109396091</v>
      </c>
      <c r="P28" s="909">
        <v>533426.28475085355</v>
      </c>
      <c r="Q28" s="909">
        <v>544859.49148365168</v>
      </c>
      <c r="R28" s="909">
        <v>574613.75507576729</v>
      </c>
      <c r="S28" s="909">
        <v>577716.91733799619</v>
      </c>
      <c r="T28" s="909">
        <v>606513.96390440303</v>
      </c>
      <c r="U28" s="909">
        <v>630119.83825675095</v>
      </c>
      <c r="V28" s="909">
        <v>601954.21949290158</v>
      </c>
      <c r="W28" s="909">
        <v>605510.99257776886</v>
      </c>
      <c r="X28" s="909">
        <v>624077.8429934188</v>
      </c>
      <c r="Y28" s="909">
        <v>630561.20148484898</v>
      </c>
      <c r="Z28" s="909">
        <v>632246.8301334742</v>
      </c>
      <c r="AA28" s="909">
        <v>663094.43448228785</v>
      </c>
      <c r="AB28" s="910">
        <v>681753.16319898376</v>
      </c>
      <c r="AC28" s="909">
        <v>696077.90731930907</v>
      </c>
      <c r="AD28" s="909">
        <v>703609.67573219968</v>
      </c>
      <c r="AE28" s="909">
        <v>706823.47694429208</v>
      </c>
      <c r="AF28" s="909">
        <v>746138.07708744076</v>
      </c>
      <c r="AG28" s="909">
        <v>723735.24594093079</v>
      </c>
      <c r="AH28" s="909">
        <v>752758.66746484721</v>
      </c>
      <c r="AI28" s="909">
        <v>748659.13151196076</v>
      </c>
      <c r="AJ28" s="909">
        <v>733354.18060780887</v>
      </c>
      <c r="AK28" s="909">
        <v>719659.48504551011</v>
      </c>
      <c r="AL28" s="909">
        <v>760499.45805457234</v>
      </c>
      <c r="AM28" s="909">
        <v>773252.44279980345</v>
      </c>
      <c r="AN28" s="909">
        <v>790615.52522057283</v>
      </c>
      <c r="AO28" s="909">
        <v>780986.27990754228</v>
      </c>
      <c r="AP28" s="909">
        <v>763856.00000544579</v>
      </c>
      <c r="AQ28" s="909">
        <v>819322.53242127271</v>
      </c>
      <c r="AR28" s="909">
        <v>803124.72039461497</v>
      </c>
      <c r="AS28" s="909">
        <v>805990.07822780788</v>
      </c>
      <c r="AT28" s="909">
        <v>805323.12107065471</v>
      </c>
      <c r="AU28" s="909">
        <v>814898.81246116548</v>
      </c>
      <c r="AV28" s="909">
        <v>807733.62320407038</v>
      </c>
      <c r="AW28" s="909">
        <v>808480.43114297767</v>
      </c>
      <c r="AX28" s="909">
        <v>802925.72630353528</v>
      </c>
      <c r="AY28" s="909">
        <v>815049.49751336011</v>
      </c>
      <c r="AZ28" s="909">
        <v>830130.71492082509</v>
      </c>
      <c r="BA28" s="909">
        <v>833451.49451934209</v>
      </c>
      <c r="BB28" s="909">
        <v>815832.35192114545</v>
      </c>
      <c r="BC28" s="909">
        <v>815339.29482031474</v>
      </c>
      <c r="BD28" s="909">
        <v>803883.86273341451</v>
      </c>
      <c r="BE28" s="909">
        <v>850342.74366137758</v>
      </c>
      <c r="BF28" s="909">
        <v>871292.62662857072</v>
      </c>
      <c r="BG28" s="909">
        <v>892721.17988169985</v>
      </c>
      <c r="BH28" s="909">
        <v>913488.39506494999</v>
      </c>
      <c r="BI28" s="909">
        <v>913833.09111405583</v>
      </c>
      <c r="BJ28" s="909">
        <v>1025679.536498626</v>
      </c>
      <c r="BK28" s="909">
        <v>1012035.3333537687</v>
      </c>
      <c r="BL28" s="909">
        <v>954121.8702531025</v>
      </c>
      <c r="BM28" s="909">
        <v>992296.62678549578</v>
      </c>
      <c r="BN28" s="909">
        <v>1012404.2143416627</v>
      </c>
      <c r="BO28" s="909">
        <v>1033298.9768457131</v>
      </c>
      <c r="BP28" s="909">
        <v>1013985.1951367562</v>
      </c>
      <c r="BQ28" s="909">
        <v>1062227.4364246663</v>
      </c>
      <c r="BR28" s="909">
        <v>1078181.8811107341</v>
      </c>
      <c r="BS28" s="909">
        <v>1086441.5921246554</v>
      </c>
      <c r="BT28" s="909">
        <v>1053578.3831137409</v>
      </c>
      <c r="BU28" s="909">
        <v>1119531.2698923787</v>
      </c>
      <c r="BV28" s="909">
        <v>1047041.8605892357</v>
      </c>
      <c r="BW28" s="909">
        <v>1112462.9753643072</v>
      </c>
      <c r="BX28" s="909">
        <v>1086642.1355792715</v>
      </c>
      <c r="BY28" s="909">
        <v>1064583.9672836566</v>
      </c>
      <c r="BZ28" s="909">
        <v>1149757.9767060231</v>
      </c>
      <c r="CA28" s="909">
        <v>1131968.1532232948</v>
      </c>
      <c r="CB28" s="909">
        <v>1161633.9910748196</v>
      </c>
      <c r="CC28" s="909">
        <v>1173013.0120503074</v>
      </c>
      <c r="CD28" s="909">
        <v>1187141.9559349895</v>
      </c>
      <c r="CE28" s="909">
        <v>1225161.3176913552</v>
      </c>
      <c r="CF28" s="909">
        <v>1246006.7917110873</v>
      </c>
      <c r="CG28" s="909">
        <v>1223903.2171566193</v>
      </c>
      <c r="CH28" s="909">
        <v>1265080.4399644835</v>
      </c>
      <c r="CI28" s="909">
        <v>1255390.1417702762</v>
      </c>
      <c r="CJ28" s="909">
        <v>1288833.6472028114</v>
      </c>
      <c r="CK28" s="909">
        <v>1243570.2529158853</v>
      </c>
      <c r="CL28" s="909">
        <v>1266162.93294876</v>
      </c>
      <c r="CM28" s="909">
        <v>1268818.4173134633</v>
      </c>
      <c r="CN28" s="909">
        <v>1242486.2931615503</v>
      </c>
      <c r="CO28" s="909">
        <v>1247268.4042528283</v>
      </c>
      <c r="CP28" s="909">
        <v>1276910.0596202502</v>
      </c>
      <c r="CQ28" s="909">
        <v>1242745.0389626659</v>
      </c>
      <c r="CR28" s="909">
        <v>1286030.2886551188</v>
      </c>
      <c r="CS28" s="909">
        <v>1275459.3828027775</v>
      </c>
      <c r="CT28" s="909">
        <v>1313411.5677378445</v>
      </c>
      <c r="CU28" s="909">
        <v>1291167.5221564772</v>
      </c>
      <c r="CV28" s="909">
        <v>1346276.3006019872</v>
      </c>
      <c r="CW28" s="909">
        <v>1381765.5424566211</v>
      </c>
      <c r="CX28" s="909">
        <v>1368264.0546607585</v>
      </c>
      <c r="CY28" s="909">
        <v>1297898.6516665544</v>
      </c>
      <c r="CZ28" s="909">
        <v>1289388.2688265848</v>
      </c>
      <c r="DA28" s="909">
        <v>1279102.6584210282</v>
      </c>
      <c r="DB28" s="912">
        <v>1232006.7647038517</v>
      </c>
      <c r="DC28" s="909">
        <v>1250530.9795248106</v>
      </c>
      <c r="DD28" s="855">
        <v>1253499.1503665627</v>
      </c>
      <c r="DE28" s="855">
        <v>1241453.8564013725</v>
      </c>
      <c r="DF28" s="855">
        <v>1220656.4641478569</v>
      </c>
      <c r="DG28" s="855">
        <v>1206897.0256864668</v>
      </c>
      <c r="DH28" s="855">
        <v>1187508.3202913532</v>
      </c>
      <c r="DI28" s="855">
        <v>1175902.7189649842</v>
      </c>
      <c r="DJ28" s="855">
        <v>1265345.0616839735</v>
      </c>
      <c r="DK28" s="855">
        <v>1297840.1542073183</v>
      </c>
      <c r="DL28" s="855">
        <v>1272957.379959096</v>
      </c>
      <c r="DM28" s="855">
        <v>1296645.3336650047</v>
      </c>
      <c r="DN28" s="855">
        <v>1316971.345367579</v>
      </c>
      <c r="DO28" s="855">
        <v>1320248.5974736311</v>
      </c>
      <c r="DP28" s="855">
        <v>1438560.6870783381</v>
      </c>
      <c r="DQ28" s="855">
        <v>1428986.1897241478</v>
      </c>
      <c r="DR28" s="855">
        <v>1367422.4588625773</v>
      </c>
      <c r="DS28" s="855">
        <v>1325959.7541241148</v>
      </c>
    </row>
    <row r="29" spans="1:123" ht="16.5" thickBot="1">
      <c r="A29" s="863"/>
      <c r="B29" s="864"/>
      <c r="C29" s="920"/>
      <c r="D29" s="920"/>
      <c r="E29" s="920"/>
      <c r="F29" s="921"/>
      <c r="G29" s="920"/>
      <c r="H29" s="922"/>
      <c r="I29" s="920"/>
      <c r="J29" s="920"/>
      <c r="K29" s="920"/>
      <c r="L29" s="920"/>
      <c r="M29" s="921"/>
      <c r="N29" s="920"/>
      <c r="O29" s="920"/>
      <c r="P29" s="920"/>
      <c r="Q29" s="920"/>
      <c r="R29" s="920"/>
      <c r="S29" s="920"/>
      <c r="T29" s="920"/>
      <c r="U29" s="920"/>
      <c r="V29" s="920"/>
      <c r="W29" s="920"/>
      <c r="X29" s="920"/>
      <c r="Y29" s="920"/>
      <c r="Z29" s="920"/>
      <c r="AA29" s="920"/>
      <c r="AB29" s="921"/>
      <c r="AC29" s="920"/>
      <c r="AD29" s="920"/>
      <c r="AE29" s="920"/>
      <c r="AF29" s="920"/>
      <c r="AG29" s="920"/>
      <c r="AH29" s="920"/>
      <c r="AI29" s="920"/>
      <c r="AJ29" s="920"/>
      <c r="AK29" s="920"/>
      <c r="AL29" s="920"/>
      <c r="AM29" s="920"/>
      <c r="AN29" s="920"/>
      <c r="AO29" s="920"/>
      <c r="AP29" s="920"/>
      <c r="AQ29" s="920"/>
      <c r="AR29" s="920"/>
      <c r="AS29" s="920"/>
      <c r="AT29" s="920"/>
      <c r="AU29" s="920"/>
      <c r="AV29" s="920"/>
      <c r="AW29" s="920"/>
      <c r="AX29" s="920"/>
      <c r="AY29" s="920"/>
      <c r="AZ29" s="920"/>
      <c r="BA29" s="920"/>
      <c r="BB29" s="920"/>
      <c r="BC29" s="920"/>
      <c r="BD29" s="920"/>
      <c r="BE29" s="920"/>
      <c r="BF29" s="920"/>
      <c r="BG29" s="920"/>
      <c r="BH29" s="920"/>
      <c r="BI29" s="920"/>
      <c r="BJ29" s="920"/>
      <c r="BK29" s="920"/>
      <c r="BL29" s="920"/>
      <c r="BM29" s="920"/>
      <c r="BN29" s="920"/>
      <c r="BO29" s="920"/>
      <c r="BP29" s="920"/>
      <c r="BQ29" s="920"/>
      <c r="BR29" s="920"/>
      <c r="BS29" s="920"/>
      <c r="BT29" s="920"/>
      <c r="BU29" s="920"/>
      <c r="BV29" s="920"/>
      <c r="BW29" s="920"/>
      <c r="BX29" s="920"/>
      <c r="BY29" s="920"/>
      <c r="BZ29" s="920"/>
      <c r="CA29" s="920"/>
      <c r="CB29" s="920"/>
      <c r="CC29" s="920"/>
      <c r="CD29" s="920"/>
      <c r="CE29" s="920"/>
      <c r="CF29" s="920"/>
      <c r="CG29" s="920"/>
      <c r="CH29" s="920"/>
      <c r="CI29" s="920"/>
      <c r="CJ29" s="920"/>
      <c r="CK29" s="920"/>
      <c r="CL29" s="920"/>
      <c r="CM29" s="920"/>
      <c r="CN29" s="920"/>
      <c r="CO29" s="920"/>
      <c r="CP29" s="920"/>
      <c r="CQ29" s="920"/>
      <c r="CR29" s="920"/>
      <c r="CS29" s="920"/>
      <c r="CT29" s="920"/>
      <c r="CU29" s="920"/>
      <c r="CV29" s="920"/>
      <c r="CW29" s="920"/>
      <c r="CX29" s="920"/>
      <c r="CY29" s="920"/>
      <c r="CZ29" s="920"/>
      <c r="DA29" s="920"/>
      <c r="DB29" s="923"/>
      <c r="DC29" s="920"/>
      <c r="DD29" s="924"/>
      <c r="DE29" s="924"/>
      <c r="DF29" s="924"/>
      <c r="DG29" s="924"/>
      <c r="DH29" s="924"/>
      <c r="DI29" s="924"/>
      <c r="DJ29" s="924"/>
      <c r="DK29" s="924"/>
      <c r="DL29" s="924"/>
      <c r="DM29" s="924"/>
      <c r="DN29" s="924"/>
      <c r="DO29" s="924"/>
      <c r="DP29" s="924"/>
      <c r="DQ29" s="924"/>
      <c r="DR29" s="924"/>
      <c r="DS29" s="924"/>
    </row>
    <row r="30" spans="1:123" s="541" customFormat="1" ht="16.5" hidden="1" thickTop="1">
      <c r="A30" s="925"/>
      <c r="B30" s="925"/>
      <c r="C30" s="926"/>
      <c r="D30" s="926"/>
      <c r="E30" s="926"/>
      <c r="F30" s="926"/>
      <c r="G30" s="926"/>
      <c r="H30" s="927"/>
      <c r="I30" s="926"/>
      <c r="J30" s="926"/>
      <c r="K30" s="926"/>
      <c r="L30" s="926"/>
      <c r="M30" s="926"/>
      <c r="N30" s="926"/>
      <c r="O30" s="926"/>
      <c r="P30" s="926"/>
      <c r="Q30" s="926"/>
      <c r="R30" s="926"/>
      <c r="S30" s="926"/>
      <c r="T30" s="926"/>
      <c r="U30" s="926"/>
      <c r="V30" s="926"/>
      <c r="W30" s="926"/>
      <c r="X30" s="926"/>
      <c r="Y30" s="926"/>
      <c r="Z30" s="926"/>
      <c r="AA30" s="926"/>
      <c r="AB30" s="926"/>
      <c r="AC30" s="926"/>
      <c r="AD30" s="926"/>
      <c r="AE30" s="926"/>
      <c r="AF30" s="926"/>
      <c r="AG30" s="926"/>
      <c r="AH30" s="926"/>
      <c r="AI30" s="926"/>
      <c r="AJ30" s="926"/>
      <c r="AK30" s="926"/>
      <c r="AL30" s="926"/>
      <c r="AM30" s="926"/>
      <c r="AN30" s="926"/>
      <c r="AO30" s="926"/>
      <c r="AP30" s="926"/>
      <c r="AQ30" s="926"/>
      <c r="AR30" s="926"/>
      <c r="AS30" s="926"/>
      <c r="AT30" s="926"/>
      <c r="AU30" s="926"/>
      <c r="AV30" s="870"/>
      <c r="AW30" s="926"/>
      <c r="AX30" s="926"/>
      <c r="AY30" s="926"/>
      <c r="AZ30" s="926"/>
      <c r="BA30" s="926"/>
      <c r="BB30" s="926"/>
      <c r="BC30" s="926"/>
      <c r="BD30" s="926"/>
      <c r="BE30" s="926"/>
      <c r="BF30" s="926"/>
      <c r="BG30" s="926"/>
      <c r="BH30" s="926"/>
      <c r="BI30" s="926"/>
      <c r="BJ30" s="926"/>
      <c r="BK30" s="926"/>
      <c r="BL30" s="926"/>
      <c r="BM30" s="926"/>
      <c r="BN30" s="926"/>
      <c r="BO30" s="926"/>
      <c r="BP30" s="926"/>
      <c r="BQ30" s="926"/>
      <c r="BR30" s="926"/>
      <c r="BS30" s="926"/>
      <c r="BT30" s="926"/>
      <c r="BU30" s="926"/>
      <c r="BV30" s="926"/>
      <c r="BW30" s="926"/>
      <c r="BX30" s="926"/>
      <c r="BY30" s="926"/>
      <c r="BZ30" s="926"/>
      <c r="CA30" s="926"/>
      <c r="CB30" s="926"/>
      <c r="CC30" s="926"/>
      <c r="CD30" s="926"/>
      <c r="CE30" s="926"/>
      <c r="CF30" s="926"/>
      <c r="CG30" s="926"/>
      <c r="CH30" s="926"/>
      <c r="CI30" s="926"/>
      <c r="CJ30" s="926"/>
      <c r="CK30" s="926"/>
      <c r="CL30" s="926"/>
      <c r="CM30" s="926"/>
      <c r="CN30" s="926"/>
      <c r="CO30" s="926"/>
      <c r="CP30" s="926"/>
      <c r="CQ30" s="926"/>
      <c r="CR30" s="926"/>
      <c r="CS30" s="926"/>
      <c r="CT30" s="926"/>
      <c r="CU30" s="926"/>
      <c r="CV30" s="926"/>
      <c r="CW30" s="926"/>
      <c r="CX30" s="926"/>
      <c r="CY30" s="926"/>
      <c r="CZ30" s="926"/>
      <c r="DA30" s="926"/>
      <c r="DB30" s="926"/>
      <c r="DC30" s="870"/>
      <c r="DD30" s="926"/>
      <c r="DE30" s="926"/>
      <c r="DF30" s="926"/>
      <c r="DG30" s="926"/>
      <c r="DH30" s="926"/>
      <c r="DI30" s="926"/>
      <c r="DJ30" s="926"/>
      <c r="DK30" s="926"/>
      <c r="DL30" s="926"/>
      <c r="DM30" s="926"/>
      <c r="DN30" s="926"/>
      <c r="DO30" s="926"/>
      <c r="DP30" s="926"/>
      <c r="DQ30" s="926"/>
      <c r="DR30" s="926"/>
      <c r="DS30" s="926"/>
    </row>
    <row r="31" spans="1:123" s="541" customFormat="1" ht="16.5" thickTop="1">
      <c r="A31" s="926"/>
      <c r="B31" s="926"/>
      <c r="C31" s="926"/>
      <c r="D31" s="926"/>
      <c r="E31" s="926"/>
      <c r="F31" s="926"/>
      <c r="G31" s="926"/>
      <c r="H31" s="928"/>
      <c r="I31" s="926"/>
      <c r="J31" s="926"/>
      <c r="K31" s="926"/>
      <c r="L31" s="926"/>
      <c r="M31" s="926"/>
      <c r="N31" s="926"/>
      <c r="O31" s="926"/>
      <c r="P31" s="926"/>
      <c r="Q31" s="926"/>
      <c r="R31" s="926"/>
      <c r="S31" s="926"/>
      <c r="T31" s="926"/>
      <c r="U31" s="926"/>
      <c r="V31" s="926"/>
      <c r="W31" s="926"/>
      <c r="X31" s="926"/>
      <c r="Y31" s="926"/>
      <c r="Z31" s="926"/>
      <c r="AA31" s="926"/>
      <c r="AB31" s="926"/>
      <c r="AC31" s="926"/>
      <c r="AD31" s="926"/>
      <c r="AE31" s="926"/>
      <c r="AF31" s="926"/>
      <c r="AG31" s="926"/>
      <c r="AH31" s="926"/>
      <c r="AI31" s="926"/>
      <c r="AJ31" s="926"/>
      <c r="AK31" s="926"/>
      <c r="AL31" s="926"/>
      <c r="AM31" s="926"/>
      <c r="AN31" s="926"/>
      <c r="AO31" s="926"/>
      <c r="AP31" s="926"/>
      <c r="AQ31" s="926"/>
      <c r="AR31" s="926"/>
      <c r="AS31" s="926"/>
      <c r="AT31" s="926"/>
      <c r="AU31" s="926"/>
      <c r="AV31" s="870"/>
      <c r="AW31" s="926"/>
      <c r="AX31" s="926"/>
      <c r="AY31" s="926"/>
      <c r="AZ31" s="926"/>
      <c r="BA31" s="926"/>
      <c r="BB31" s="926"/>
      <c r="BC31" s="926"/>
      <c r="BD31" s="926"/>
      <c r="BE31" s="926"/>
      <c r="BF31" s="926"/>
      <c r="BG31" s="926"/>
      <c r="BH31" s="926"/>
      <c r="BI31" s="926"/>
      <c r="BJ31" s="926"/>
      <c r="BK31" s="926"/>
      <c r="BL31" s="926"/>
      <c r="BM31" s="926"/>
      <c r="BN31" s="926"/>
      <c r="BO31" s="926"/>
      <c r="BP31" s="926"/>
      <c r="BQ31" s="926"/>
      <c r="BR31" s="926"/>
      <c r="BS31" s="926"/>
      <c r="BT31" s="926"/>
      <c r="BU31" s="926"/>
      <c r="BV31" s="926"/>
      <c r="BW31" s="926"/>
      <c r="BX31" s="926"/>
      <c r="BY31" s="926"/>
      <c r="BZ31" s="926"/>
      <c r="CA31" s="926"/>
      <c r="CB31" s="926"/>
      <c r="CC31" s="926"/>
      <c r="CD31" s="926"/>
      <c r="CE31" s="926"/>
      <c r="CF31" s="926"/>
      <c r="CG31" s="926"/>
      <c r="CH31" s="926"/>
      <c r="CI31" s="926"/>
      <c r="CJ31" s="926"/>
      <c r="CK31" s="926"/>
      <c r="CL31" s="926"/>
      <c r="CM31" s="926"/>
      <c r="CN31" s="926"/>
      <c r="CO31" s="926"/>
      <c r="CP31" s="926"/>
      <c r="CQ31" s="926"/>
      <c r="CR31" s="926"/>
      <c r="CS31" s="926"/>
      <c r="CT31" s="926"/>
      <c r="CU31" s="926"/>
      <c r="CV31" s="926"/>
      <c r="CW31" s="926"/>
      <c r="CX31" s="926"/>
      <c r="CY31" s="926"/>
      <c r="CZ31" s="926"/>
      <c r="DA31" s="926"/>
      <c r="DB31" s="926"/>
      <c r="DC31" s="870"/>
      <c r="DD31" s="926"/>
      <c r="DE31" s="926"/>
      <c r="DF31" s="926"/>
      <c r="DG31" s="926"/>
      <c r="DH31" s="926"/>
      <c r="DI31" s="926"/>
      <c r="DJ31" s="926"/>
      <c r="DK31" s="926"/>
      <c r="DL31" s="926"/>
      <c r="DM31" s="926"/>
      <c r="DN31" s="926"/>
      <c r="DO31" s="926"/>
      <c r="DP31" s="926"/>
      <c r="DQ31" s="926"/>
      <c r="DR31" s="926"/>
      <c r="DS31" s="926"/>
    </row>
    <row r="32" spans="1:123" s="541" customFormat="1" ht="16.5" thickBot="1">
      <c r="A32" s="929"/>
      <c r="B32" s="929"/>
      <c r="C32" s="929"/>
      <c r="D32" s="929"/>
      <c r="E32" s="929"/>
      <c r="F32" s="929"/>
      <c r="G32" s="929"/>
      <c r="H32" s="930"/>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9"/>
      <c r="AO32" s="929"/>
      <c r="AP32" s="929"/>
      <c r="AQ32" s="929"/>
      <c r="AR32" s="929"/>
      <c r="AS32" s="929"/>
      <c r="AT32" s="929"/>
      <c r="AU32" s="929"/>
      <c r="AV32" s="931"/>
      <c r="AW32" s="929"/>
      <c r="AX32" s="929"/>
      <c r="AY32" s="929"/>
      <c r="AZ32" s="929"/>
      <c r="BA32" s="929"/>
      <c r="BB32" s="929"/>
      <c r="BC32" s="929"/>
      <c r="BD32" s="929"/>
      <c r="BE32" s="929"/>
      <c r="BF32" s="929"/>
      <c r="BG32" s="929"/>
      <c r="BH32" s="929"/>
      <c r="BI32" s="929"/>
      <c r="BJ32" s="929"/>
      <c r="BK32" s="929"/>
      <c r="BL32" s="929"/>
      <c r="BM32" s="929"/>
      <c r="BN32" s="929"/>
      <c r="BO32" s="929"/>
      <c r="BP32" s="929"/>
      <c r="BQ32" s="929"/>
      <c r="BR32" s="929"/>
      <c r="BS32" s="929"/>
      <c r="BT32" s="929"/>
      <c r="BU32" s="929"/>
      <c r="BV32" s="929"/>
      <c r="BW32" s="929"/>
      <c r="BX32" s="929"/>
      <c r="BY32" s="929"/>
      <c r="BZ32" s="929"/>
      <c r="CA32" s="929"/>
      <c r="CB32" s="929"/>
      <c r="CC32" s="929"/>
      <c r="CD32" s="929"/>
      <c r="CE32" s="929"/>
      <c r="CF32" s="929"/>
      <c r="CG32" s="929"/>
      <c r="CH32" s="929"/>
      <c r="CI32" s="929"/>
      <c r="CJ32" s="929"/>
      <c r="CK32" s="929"/>
      <c r="CL32" s="929"/>
      <c r="CM32" s="929"/>
      <c r="CN32" s="929"/>
      <c r="CO32" s="929"/>
      <c r="CP32" s="929"/>
      <c r="CQ32" s="929"/>
      <c r="CR32" s="929"/>
      <c r="CS32" s="929"/>
      <c r="CT32" s="929"/>
      <c r="CU32" s="929"/>
      <c r="CV32" s="929"/>
      <c r="CW32" s="929"/>
      <c r="CX32" s="929"/>
      <c r="CY32" s="929"/>
      <c r="CZ32" s="929"/>
      <c r="DA32" s="929"/>
      <c r="DB32" s="929"/>
      <c r="DC32" s="870"/>
      <c r="DD32" s="929"/>
      <c r="DE32" s="929"/>
      <c r="DF32" s="929"/>
      <c r="DG32" s="929"/>
      <c r="DH32" s="929"/>
      <c r="DI32" s="929"/>
      <c r="DJ32" s="929"/>
      <c r="DK32" s="929"/>
      <c r="DL32" s="929"/>
      <c r="DM32" s="929"/>
      <c r="DN32" s="929"/>
      <c r="DO32" s="929"/>
      <c r="DP32" s="929"/>
      <c r="DQ32" s="929"/>
      <c r="DR32" s="929"/>
      <c r="DS32" s="929"/>
    </row>
    <row r="33" spans="1:123" ht="24" customHeight="1" thickTop="1" thickBot="1">
      <c r="A33" s="839" t="s">
        <v>2488</v>
      </c>
      <c r="B33" s="840" t="s">
        <v>2516</v>
      </c>
      <c r="C33" s="873">
        <v>38504</v>
      </c>
      <c r="D33" s="873">
        <v>38534</v>
      </c>
      <c r="E33" s="873">
        <v>38565</v>
      </c>
      <c r="F33" s="932">
        <v>38596</v>
      </c>
      <c r="G33" s="873">
        <v>38626</v>
      </c>
      <c r="H33" s="933">
        <v>38657</v>
      </c>
      <c r="I33" s="873">
        <v>38687</v>
      </c>
      <c r="J33" s="873">
        <v>38718</v>
      </c>
      <c r="K33" s="873">
        <v>38749</v>
      </c>
      <c r="L33" s="873">
        <v>38777</v>
      </c>
      <c r="M33" s="932">
        <v>38808</v>
      </c>
      <c r="N33" s="873">
        <v>38838</v>
      </c>
      <c r="O33" s="873">
        <v>38869</v>
      </c>
      <c r="P33" s="873">
        <v>38899</v>
      </c>
      <c r="Q33" s="873">
        <v>38930</v>
      </c>
      <c r="R33" s="873">
        <v>38961</v>
      </c>
      <c r="S33" s="873">
        <v>38991</v>
      </c>
      <c r="T33" s="873">
        <v>39022</v>
      </c>
      <c r="U33" s="873">
        <v>39052</v>
      </c>
      <c r="V33" s="873">
        <v>39083</v>
      </c>
      <c r="W33" s="873">
        <v>39114</v>
      </c>
      <c r="X33" s="873">
        <v>39142</v>
      </c>
      <c r="Y33" s="873">
        <v>39173</v>
      </c>
      <c r="Z33" s="873">
        <v>39203</v>
      </c>
      <c r="AA33" s="873">
        <v>39234</v>
      </c>
      <c r="AB33" s="871">
        <v>39264</v>
      </c>
      <c r="AC33" s="871">
        <v>39295</v>
      </c>
      <c r="AD33" s="872">
        <v>39326</v>
      </c>
      <c r="AE33" s="873">
        <v>39356</v>
      </c>
      <c r="AF33" s="873">
        <v>39387</v>
      </c>
      <c r="AG33" s="873">
        <v>39417</v>
      </c>
      <c r="AH33" s="873">
        <v>39448</v>
      </c>
      <c r="AI33" s="873">
        <v>39479</v>
      </c>
      <c r="AJ33" s="873">
        <v>39508</v>
      </c>
      <c r="AK33" s="873">
        <v>39539</v>
      </c>
      <c r="AL33" s="873">
        <v>39569</v>
      </c>
      <c r="AM33" s="873">
        <v>39600</v>
      </c>
      <c r="AN33" s="873">
        <v>39630</v>
      </c>
      <c r="AO33" s="873">
        <v>39661</v>
      </c>
      <c r="AP33" s="933">
        <v>39692</v>
      </c>
      <c r="AQ33" s="933">
        <v>39722</v>
      </c>
      <c r="AR33" s="873">
        <v>39753</v>
      </c>
      <c r="AS33" s="873">
        <v>39783</v>
      </c>
      <c r="AT33" s="873">
        <v>39814</v>
      </c>
      <c r="AU33" s="873">
        <v>39845</v>
      </c>
      <c r="AV33" s="873" t="s">
        <v>2550</v>
      </c>
      <c r="AW33" s="873">
        <v>39904</v>
      </c>
      <c r="AX33" s="873">
        <v>39934</v>
      </c>
      <c r="AY33" s="873">
        <v>39965</v>
      </c>
      <c r="AZ33" s="873">
        <v>39995</v>
      </c>
      <c r="BA33" s="873">
        <v>40026</v>
      </c>
      <c r="BB33" s="873">
        <v>40057</v>
      </c>
      <c r="BC33" s="873">
        <v>40087</v>
      </c>
      <c r="BD33" s="873">
        <v>40118</v>
      </c>
      <c r="BE33" s="873">
        <v>40148</v>
      </c>
      <c r="BF33" s="873">
        <v>40179</v>
      </c>
      <c r="BG33" s="873">
        <v>40210</v>
      </c>
      <c r="BH33" s="873">
        <v>40238</v>
      </c>
      <c r="BI33" s="873">
        <v>40269</v>
      </c>
      <c r="BJ33" s="873">
        <v>40299</v>
      </c>
      <c r="BK33" s="873">
        <v>40330</v>
      </c>
      <c r="BL33" s="873">
        <v>40360</v>
      </c>
      <c r="BM33" s="873">
        <v>40391</v>
      </c>
      <c r="BN33" s="873">
        <v>40422</v>
      </c>
      <c r="BO33" s="873">
        <v>40452</v>
      </c>
      <c r="BP33" s="873">
        <v>40483</v>
      </c>
      <c r="BQ33" s="873">
        <v>40513</v>
      </c>
      <c r="BR33" s="873">
        <v>40544</v>
      </c>
      <c r="BS33" s="873">
        <v>40575</v>
      </c>
      <c r="BT33" s="873">
        <v>40603</v>
      </c>
      <c r="BU33" s="873">
        <v>40634</v>
      </c>
      <c r="BV33" s="873">
        <v>40664</v>
      </c>
      <c r="BW33" s="873">
        <v>40695</v>
      </c>
      <c r="BX33" s="873">
        <v>40725</v>
      </c>
      <c r="BY33" s="873">
        <v>40756</v>
      </c>
      <c r="BZ33" s="873">
        <v>40787</v>
      </c>
      <c r="CA33" s="873">
        <v>40817</v>
      </c>
      <c r="CB33" s="873">
        <v>40848</v>
      </c>
      <c r="CC33" s="873">
        <v>40878</v>
      </c>
      <c r="CD33" s="873">
        <v>40909</v>
      </c>
      <c r="CE33" s="873">
        <v>40940</v>
      </c>
      <c r="CF33" s="873">
        <v>40969</v>
      </c>
      <c r="CG33" s="873">
        <v>41000</v>
      </c>
      <c r="CH33" s="873">
        <v>41030</v>
      </c>
      <c r="CI33" s="873">
        <v>41061</v>
      </c>
      <c r="CJ33" s="873">
        <v>41091</v>
      </c>
      <c r="CK33" s="873">
        <v>41122</v>
      </c>
      <c r="CL33" s="873">
        <v>41153</v>
      </c>
      <c r="CM33" s="873">
        <v>41183</v>
      </c>
      <c r="CN33" s="873">
        <v>41214</v>
      </c>
      <c r="CO33" s="873">
        <v>41244</v>
      </c>
      <c r="CP33" s="873">
        <v>41275</v>
      </c>
      <c r="CQ33" s="873">
        <v>41306</v>
      </c>
      <c r="CR33" s="873">
        <v>41334</v>
      </c>
      <c r="CS33" s="843">
        <v>41365</v>
      </c>
      <c r="CT33" s="843">
        <v>41395</v>
      </c>
      <c r="CU33" s="843">
        <v>41426</v>
      </c>
      <c r="CV33" s="843">
        <v>41456</v>
      </c>
      <c r="CW33" s="843">
        <v>41487</v>
      </c>
      <c r="CX33" s="843">
        <v>41518</v>
      </c>
      <c r="CY33" s="843">
        <v>41548</v>
      </c>
      <c r="CZ33" s="843">
        <v>41579</v>
      </c>
      <c r="DA33" s="843">
        <v>41609</v>
      </c>
      <c r="DB33" s="902">
        <v>41640</v>
      </c>
      <c r="DC33" s="841">
        <v>41671</v>
      </c>
      <c r="DD33" s="841">
        <v>41699</v>
      </c>
      <c r="DE33" s="841">
        <v>41730</v>
      </c>
      <c r="DF33" s="841">
        <v>41760</v>
      </c>
      <c r="DG33" s="841">
        <v>41791</v>
      </c>
      <c r="DH33" s="841">
        <v>41821</v>
      </c>
      <c r="DI33" s="841">
        <v>41852</v>
      </c>
      <c r="DJ33" s="841">
        <f>DJ4</f>
        <v>41883</v>
      </c>
      <c r="DK33" s="841">
        <v>41913</v>
      </c>
      <c r="DL33" s="841">
        <v>41944</v>
      </c>
      <c r="DM33" s="841">
        <v>41974</v>
      </c>
      <c r="DN33" s="841">
        <v>42005</v>
      </c>
      <c r="DO33" s="841">
        <v>42036</v>
      </c>
      <c r="DP33" s="841">
        <v>42064</v>
      </c>
      <c r="DQ33" s="841">
        <v>42095</v>
      </c>
      <c r="DR33" s="841">
        <v>42125</v>
      </c>
      <c r="DS33" s="841">
        <v>42156</v>
      </c>
    </row>
    <row r="34" spans="1:123" ht="18" customHeight="1" thickTop="1">
      <c r="A34" s="857"/>
      <c r="B34" s="876"/>
      <c r="C34" s="878"/>
      <c r="D34" s="878"/>
      <c r="E34" s="878"/>
      <c r="F34" s="917"/>
      <c r="G34" s="878"/>
      <c r="H34" s="918"/>
      <c r="I34" s="878"/>
      <c r="J34" s="878"/>
      <c r="K34" s="878"/>
      <c r="L34" s="878"/>
      <c r="M34" s="917"/>
      <c r="N34" s="878"/>
      <c r="O34" s="878"/>
      <c r="P34" s="878"/>
      <c r="Q34" s="878"/>
      <c r="R34" s="878"/>
      <c r="S34" s="878"/>
      <c r="T34" s="878"/>
      <c r="U34" s="878"/>
      <c r="V34" s="878"/>
      <c r="W34" s="878"/>
      <c r="X34" s="878"/>
      <c r="Y34" s="878"/>
      <c r="Z34" s="878"/>
      <c r="AA34" s="878"/>
      <c r="AB34" s="860"/>
      <c r="AC34" s="860"/>
      <c r="AD34" s="877"/>
      <c r="AE34" s="878"/>
      <c r="AF34" s="878"/>
      <c r="AG34" s="878"/>
      <c r="AH34" s="878"/>
      <c r="AI34" s="878"/>
      <c r="AJ34" s="878"/>
      <c r="AK34" s="878"/>
      <c r="AL34" s="878"/>
      <c r="AM34" s="878"/>
      <c r="AN34" s="878"/>
      <c r="AO34" s="878"/>
      <c r="AP34" s="934"/>
      <c r="AQ34" s="935"/>
      <c r="AR34" s="878"/>
      <c r="AS34" s="878"/>
      <c r="AT34" s="878"/>
      <c r="AU34" s="878"/>
      <c r="AV34" s="878"/>
      <c r="AW34" s="878"/>
      <c r="AX34" s="878"/>
      <c r="AY34" s="878"/>
      <c r="AZ34" s="878"/>
      <c r="BA34" s="878"/>
      <c r="BB34" s="878"/>
      <c r="BC34" s="878"/>
      <c r="BD34" s="878"/>
      <c r="BE34" s="878"/>
      <c r="BF34" s="878"/>
      <c r="BG34" s="878"/>
      <c r="BH34" s="878"/>
      <c r="BI34" s="878"/>
      <c r="BJ34" s="878"/>
      <c r="BK34" s="878"/>
      <c r="BL34" s="878"/>
      <c r="BM34" s="878"/>
      <c r="BN34" s="878"/>
      <c r="BO34" s="878"/>
      <c r="BP34" s="878"/>
      <c r="BQ34" s="878"/>
      <c r="BR34" s="878"/>
      <c r="BS34" s="878"/>
      <c r="BT34" s="878"/>
      <c r="BU34" s="878"/>
      <c r="BV34" s="878"/>
      <c r="BW34" s="878"/>
      <c r="BX34" s="878"/>
      <c r="BY34" s="878"/>
      <c r="BZ34" s="878"/>
      <c r="CA34" s="878"/>
      <c r="CB34" s="878"/>
      <c r="CC34" s="878"/>
      <c r="CD34" s="878"/>
      <c r="CE34" s="878"/>
      <c r="CF34" s="878"/>
      <c r="CG34" s="878"/>
      <c r="CH34" s="878"/>
      <c r="CI34" s="878"/>
      <c r="CJ34" s="878"/>
      <c r="CK34" s="878"/>
      <c r="CL34" s="878"/>
      <c r="CM34" s="878"/>
      <c r="CN34" s="878"/>
      <c r="CO34" s="878"/>
      <c r="CP34" s="878"/>
      <c r="CQ34" s="878"/>
      <c r="CR34" s="878"/>
      <c r="CS34" s="878"/>
      <c r="CT34" s="878"/>
      <c r="CU34" s="878"/>
      <c r="CV34" s="878"/>
      <c r="CW34" s="878"/>
      <c r="CX34" s="878"/>
      <c r="CY34" s="878"/>
      <c r="CZ34" s="878"/>
      <c r="DA34" s="878"/>
      <c r="DB34" s="917"/>
      <c r="DC34" s="878"/>
      <c r="DD34" s="860"/>
      <c r="DE34" s="860"/>
      <c r="DF34" s="860"/>
      <c r="DG34" s="860"/>
      <c r="DH34" s="860"/>
      <c r="DI34" s="860"/>
      <c r="DJ34" s="860"/>
      <c r="DK34" s="860"/>
      <c r="DL34" s="860"/>
      <c r="DM34" s="860"/>
      <c r="DN34" s="860"/>
      <c r="DO34" s="860"/>
      <c r="DP34" s="860"/>
      <c r="DQ34" s="860"/>
      <c r="DR34" s="860"/>
      <c r="DS34" s="860"/>
    </row>
    <row r="35" spans="1:123" ht="18" customHeight="1">
      <c r="A35" s="853" t="s">
        <v>2517</v>
      </c>
      <c r="B35" s="854" t="s">
        <v>2518</v>
      </c>
      <c r="C35" s="909">
        <v>0</v>
      </c>
      <c r="D35" s="909">
        <v>0</v>
      </c>
      <c r="E35" s="909">
        <v>0</v>
      </c>
      <c r="F35" s="910">
        <v>0</v>
      </c>
      <c r="G35" s="909">
        <v>0</v>
      </c>
      <c r="H35" s="911">
        <v>0</v>
      </c>
      <c r="I35" s="909">
        <v>0</v>
      </c>
      <c r="J35" s="909">
        <v>0</v>
      </c>
      <c r="K35" s="909">
        <v>0</v>
      </c>
      <c r="L35" s="909">
        <v>0</v>
      </c>
      <c r="M35" s="910">
        <v>0</v>
      </c>
      <c r="N35" s="909">
        <v>0</v>
      </c>
      <c r="O35" s="909">
        <v>0</v>
      </c>
      <c r="P35" s="909">
        <v>0</v>
      </c>
      <c r="Q35" s="909">
        <v>0</v>
      </c>
      <c r="R35" s="909">
        <v>0</v>
      </c>
      <c r="S35" s="909">
        <v>0</v>
      </c>
      <c r="T35" s="909">
        <v>0</v>
      </c>
      <c r="U35" s="909">
        <v>0</v>
      </c>
      <c r="V35" s="909">
        <v>0</v>
      </c>
      <c r="W35" s="909">
        <v>0</v>
      </c>
      <c r="X35" s="909">
        <v>0</v>
      </c>
      <c r="Y35" s="909">
        <v>0</v>
      </c>
      <c r="Z35" s="909">
        <v>0</v>
      </c>
      <c r="AA35" s="909">
        <v>0</v>
      </c>
      <c r="AB35" s="855">
        <v>0</v>
      </c>
      <c r="AC35" s="855">
        <v>0</v>
      </c>
      <c r="AD35" s="936">
        <v>0</v>
      </c>
      <c r="AE35" s="909">
        <v>0</v>
      </c>
      <c r="AF35" s="909">
        <v>0</v>
      </c>
      <c r="AG35" s="909">
        <v>0</v>
      </c>
      <c r="AH35" s="909">
        <v>0</v>
      </c>
      <c r="AI35" s="909">
        <v>0</v>
      </c>
      <c r="AJ35" s="909">
        <v>0</v>
      </c>
      <c r="AK35" s="909">
        <v>0</v>
      </c>
      <c r="AL35" s="909">
        <v>0</v>
      </c>
      <c r="AM35" s="909">
        <v>0</v>
      </c>
      <c r="AN35" s="909">
        <v>0</v>
      </c>
      <c r="AO35" s="909">
        <v>0</v>
      </c>
      <c r="AP35" s="911">
        <v>0</v>
      </c>
      <c r="AQ35" s="909">
        <v>0</v>
      </c>
      <c r="AR35" s="909">
        <v>0</v>
      </c>
      <c r="AS35" s="909">
        <v>0</v>
      </c>
      <c r="AT35" s="909">
        <v>0</v>
      </c>
      <c r="AU35" s="909">
        <v>0</v>
      </c>
      <c r="AV35" s="909">
        <v>0</v>
      </c>
      <c r="AW35" s="909">
        <v>0</v>
      </c>
      <c r="AX35" s="909">
        <v>0</v>
      </c>
      <c r="AY35" s="909">
        <v>0</v>
      </c>
      <c r="AZ35" s="909">
        <v>0</v>
      </c>
      <c r="BA35" s="909">
        <v>0</v>
      </c>
      <c r="BB35" s="909">
        <v>0</v>
      </c>
      <c r="BC35" s="909">
        <v>0</v>
      </c>
      <c r="BD35" s="909">
        <v>0</v>
      </c>
      <c r="BE35" s="909">
        <v>0</v>
      </c>
      <c r="BF35" s="909">
        <v>0</v>
      </c>
      <c r="BG35" s="909">
        <v>0</v>
      </c>
      <c r="BH35" s="909">
        <v>0</v>
      </c>
      <c r="BI35" s="909">
        <v>0</v>
      </c>
      <c r="BJ35" s="909">
        <v>0</v>
      </c>
      <c r="BK35" s="909">
        <v>0</v>
      </c>
      <c r="BL35" s="909">
        <v>0</v>
      </c>
      <c r="BM35" s="909">
        <v>0</v>
      </c>
      <c r="BN35" s="909">
        <v>0</v>
      </c>
      <c r="BO35" s="909">
        <v>0</v>
      </c>
      <c r="BP35" s="909">
        <v>0</v>
      </c>
      <c r="BQ35" s="909">
        <v>0</v>
      </c>
      <c r="BR35" s="909">
        <v>0</v>
      </c>
      <c r="BS35" s="909">
        <v>0</v>
      </c>
      <c r="BT35" s="909">
        <v>0</v>
      </c>
      <c r="BU35" s="909">
        <v>0</v>
      </c>
      <c r="BV35" s="909">
        <v>0</v>
      </c>
      <c r="BW35" s="909">
        <v>0</v>
      </c>
      <c r="BX35" s="909">
        <v>0</v>
      </c>
      <c r="BY35" s="909">
        <v>0</v>
      </c>
      <c r="BZ35" s="909">
        <v>0</v>
      </c>
      <c r="CA35" s="909">
        <v>0</v>
      </c>
      <c r="CB35" s="909">
        <v>0</v>
      </c>
      <c r="CC35" s="909">
        <v>0</v>
      </c>
      <c r="CD35" s="909">
        <v>0</v>
      </c>
      <c r="CE35" s="909">
        <v>0</v>
      </c>
      <c r="CF35" s="909">
        <v>0</v>
      </c>
      <c r="CG35" s="909">
        <v>0</v>
      </c>
      <c r="CH35" s="909">
        <v>0</v>
      </c>
      <c r="CI35" s="909">
        <v>0</v>
      </c>
      <c r="CJ35" s="909">
        <v>0</v>
      </c>
      <c r="CK35" s="909">
        <v>0</v>
      </c>
      <c r="CL35" s="909">
        <v>0</v>
      </c>
      <c r="CM35" s="909">
        <v>0</v>
      </c>
      <c r="CN35" s="909">
        <v>0</v>
      </c>
      <c r="CO35" s="909">
        <v>0</v>
      </c>
      <c r="CP35" s="909">
        <v>0</v>
      </c>
      <c r="CQ35" s="909">
        <v>0</v>
      </c>
      <c r="CR35" s="909">
        <v>0</v>
      </c>
      <c r="CS35" s="909">
        <v>0</v>
      </c>
      <c r="CT35" s="909">
        <v>0</v>
      </c>
      <c r="CU35" s="909">
        <v>0</v>
      </c>
      <c r="CV35" s="909">
        <v>0</v>
      </c>
      <c r="CW35" s="909">
        <v>0</v>
      </c>
      <c r="CX35" s="909">
        <v>0</v>
      </c>
      <c r="CY35" s="909">
        <v>0</v>
      </c>
      <c r="CZ35" s="909">
        <v>0</v>
      </c>
      <c r="DA35" s="909">
        <v>0</v>
      </c>
      <c r="DB35" s="910">
        <v>0</v>
      </c>
      <c r="DC35" s="909">
        <v>0</v>
      </c>
      <c r="DD35" s="855">
        <v>0</v>
      </c>
      <c r="DE35" s="855">
        <v>0</v>
      </c>
      <c r="DF35" s="855">
        <v>0</v>
      </c>
      <c r="DG35" s="855">
        <v>0</v>
      </c>
      <c r="DH35" s="855">
        <v>0</v>
      </c>
      <c r="DI35" s="855">
        <v>0</v>
      </c>
      <c r="DJ35" s="855">
        <v>0</v>
      </c>
      <c r="DK35" s="855">
        <v>0</v>
      </c>
      <c r="DL35" s="855">
        <v>0</v>
      </c>
      <c r="DM35" s="855">
        <v>0</v>
      </c>
      <c r="DN35" s="855">
        <v>0</v>
      </c>
      <c r="DO35" s="855">
        <v>0</v>
      </c>
      <c r="DP35" s="855">
        <v>0</v>
      </c>
      <c r="DQ35" s="855">
        <v>0</v>
      </c>
      <c r="DR35" s="855">
        <v>0</v>
      </c>
      <c r="DS35" s="855">
        <v>0</v>
      </c>
    </row>
    <row r="36" spans="1:123" ht="18" customHeight="1">
      <c r="A36" s="857"/>
      <c r="B36" s="858"/>
      <c r="C36" s="937"/>
      <c r="D36" s="937"/>
      <c r="E36" s="937"/>
      <c r="F36" s="938"/>
      <c r="G36" s="937"/>
      <c r="H36" s="939"/>
      <c r="I36" s="937"/>
      <c r="J36" s="937"/>
      <c r="K36" s="937"/>
      <c r="L36" s="937"/>
      <c r="M36" s="938"/>
      <c r="N36" s="937"/>
      <c r="O36" s="937"/>
      <c r="P36" s="937"/>
      <c r="Q36" s="937"/>
      <c r="R36" s="937"/>
      <c r="S36" s="937"/>
      <c r="T36" s="937"/>
      <c r="U36" s="937"/>
      <c r="V36" s="937"/>
      <c r="W36" s="937"/>
      <c r="X36" s="937"/>
      <c r="Y36" s="937"/>
      <c r="Z36" s="937"/>
      <c r="AA36" s="937"/>
      <c r="AB36" s="940"/>
      <c r="AC36" s="940"/>
      <c r="AD36" s="941"/>
      <c r="AE36" s="937"/>
      <c r="AF36" s="937"/>
      <c r="AG36" s="937"/>
      <c r="AH36" s="937"/>
      <c r="AI36" s="937"/>
      <c r="AJ36" s="937"/>
      <c r="AK36" s="937"/>
      <c r="AL36" s="937"/>
      <c r="AM36" s="937"/>
      <c r="AN36" s="937"/>
      <c r="AO36" s="937"/>
      <c r="AP36" s="939"/>
      <c r="AQ36" s="937"/>
      <c r="AR36" s="937"/>
      <c r="AS36" s="937"/>
      <c r="AT36" s="937"/>
      <c r="AU36" s="937"/>
      <c r="AV36" s="937"/>
      <c r="AW36" s="937"/>
      <c r="AX36" s="937"/>
      <c r="AY36" s="937"/>
      <c r="AZ36" s="937"/>
      <c r="BA36" s="937"/>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c r="CB36" s="937"/>
      <c r="CC36" s="937"/>
      <c r="CD36" s="937"/>
      <c r="CE36" s="937"/>
      <c r="CF36" s="937"/>
      <c r="CG36" s="937"/>
      <c r="CH36" s="937"/>
      <c r="CI36" s="937"/>
      <c r="CJ36" s="937"/>
      <c r="CK36" s="937"/>
      <c r="CL36" s="937"/>
      <c r="CM36" s="937"/>
      <c r="CN36" s="937"/>
      <c r="CO36" s="937"/>
      <c r="CP36" s="937"/>
      <c r="CQ36" s="937"/>
      <c r="CR36" s="937"/>
      <c r="CS36" s="937"/>
      <c r="CT36" s="937"/>
      <c r="CU36" s="937"/>
      <c r="CV36" s="937"/>
      <c r="CW36" s="937"/>
      <c r="CX36" s="937"/>
      <c r="CY36" s="937"/>
      <c r="CZ36" s="937"/>
      <c r="DA36" s="937"/>
      <c r="DB36" s="938"/>
      <c r="DC36" s="937"/>
      <c r="DD36" s="940"/>
      <c r="DE36" s="940"/>
      <c r="DF36" s="940"/>
      <c r="DG36" s="940"/>
      <c r="DH36" s="940"/>
      <c r="DI36" s="940"/>
      <c r="DJ36" s="940"/>
      <c r="DK36" s="940"/>
      <c r="DL36" s="940"/>
      <c r="DM36" s="940"/>
      <c r="DN36" s="940"/>
      <c r="DO36" s="940"/>
      <c r="DP36" s="940"/>
      <c r="DQ36" s="940"/>
      <c r="DR36" s="940"/>
      <c r="DS36" s="940"/>
    </row>
    <row r="37" spans="1:123" ht="18" customHeight="1">
      <c r="A37" s="853" t="s">
        <v>2519</v>
      </c>
      <c r="B37" s="854" t="s">
        <v>2520</v>
      </c>
      <c r="C37" s="909">
        <v>234659.69403894403</v>
      </c>
      <c r="D37" s="909">
        <v>216175.19586837472</v>
      </c>
      <c r="E37" s="909">
        <v>211764.41111288907</v>
      </c>
      <c r="F37" s="910">
        <v>221465.78791758599</v>
      </c>
      <c r="G37" s="909">
        <v>224608.9356504812</v>
      </c>
      <c r="H37" s="911">
        <v>239909.87763746487</v>
      </c>
      <c r="I37" s="909">
        <v>239646.34070809974</v>
      </c>
      <c r="J37" s="909">
        <v>238338.66339117137</v>
      </c>
      <c r="K37" s="909">
        <v>248027.07543167711</v>
      </c>
      <c r="L37" s="909">
        <v>254690.49543574249</v>
      </c>
      <c r="M37" s="910">
        <v>252200.82457217603</v>
      </c>
      <c r="N37" s="909">
        <v>272025.98400048987</v>
      </c>
      <c r="O37" s="909">
        <v>268854.55419032736</v>
      </c>
      <c r="P37" s="909">
        <v>278782.71408496238</v>
      </c>
      <c r="Q37" s="909">
        <v>280471.41074241279</v>
      </c>
      <c r="R37" s="909">
        <v>293880.7609238014</v>
      </c>
      <c r="S37" s="909">
        <v>293445.59651270462</v>
      </c>
      <c r="T37" s="909">
        <v>300335.28877690592</v>
      </c>
      <c r="U37" s="909">
        <v>332611.45733350061</v>
      </c>
      <c r="V37" s="909">
        <v>317224.21581634658</v>
      </c>
      <c r="W37" s="909">
        <v>315181.57413066446</v>
      </c>
      <c r="X37" s="909">
        <v>326094.42682655377</v>
      </c>
      <c r="Y37" s="909">
        <v>319702.46339459461</v>
      </c>
      <c r="Z37" s="909">
        <v>323621.08355374425</v>
      </c>
      <c r="AA37" s="909">
        <v>338937.63883494784</v>
      </c>
      <c r="AB37" s="855">
        <v>353336.5422096292</v>
      </c>
      <c r="AC37" s="855">
        <v>353882.80572901608</v>
      </c>
      <c r="AD37" s="936">
        <v>366083.89025436051</v>
      </c>
      <c r="AE37" s="909">
        <v>370093.14308066678</v>
      </c>
      <c r="AF37" s="909">
        <v>399561.7213328908</v>
      </c>
      <c r="AG37" s="909">
        <v>379737.88683241926</v>
      </c>
      <c r="AH37" s="909">
        <v>411194.66793957032</v>
      </c>
      <c r="AI37" s="909">
        <v>397223.14289778227</v>
      </c>
      <c r="AJ37" s="909">
        <v>384169.97294688132</v>
      </c>
      <c r="AK37" s="909">
        <v>377174.68478434451</v>
      </c>
      <c r="AL37" s="909">
        <v>410510.27517716476</v>
      </c>
      <c r="AM37" s="909">
        <v>422030.17171740218</v>
      </c>
      <c r="AN37" s="909">
        <v>443527.54864500556</v>
      </c>
      <c r="AO37" s="909">
        <v>428875.21669784852</v>
      </c>
      <c r="AP37" s="911">
        <v>417176.54811964394</v>
      </c>
      <c r="AQ37" s="909">
        <v>423618.02341971477</v>
      </c>
      <c r="AR37" s="909">
        <v>426464.59191861574</v>
      </c>
      <c r="AS37" s="909">
        <v>424511.53807556687</v>
      </c>
      <c r="AT37" s="909">
        <v>427247.51999296376</v>
      </c>
      <c r="AU37" s="909">
        <v>433762.4309569624</v>
      </c>
      <c r="AV37" s="909">
        <v>432392.10580331174</v>
      </c>
      <c r="AW37" s="909">
        <v>436033.26220642292</v>
      </c>
      <c r="AX37" s="909">
        <v>444352.23222694744</v>
      </c>
      <c r="AY37" s="909">
        <v>443588.38556634827</v>
      </c>
      <c r="AZ37" s="909">
        <v>445938.03909327474</v>
      </c>
      <c r="BA37" s="909">
        <v>438897.14458783186</v>
      </c>
      <c r="BB37" s="909">
        <v>449019.71883277124</v>
      </c>
      <c r="BC37" s="909">
        <v>450118.61442587705</v>
      </c>
      <c r="BD37" s="909">
        <v>458977.55439943925</v>
      </c>
      <c r="BE37" s="909">
        <v>475005.09013855131</v>
      </c>
      <c r="BF37" s="909">
        <v>496207.4781419682</v>
      </c>
      <c r="BG37" s="909">
        <v>499650.38501589181</v>
      </c>
      <c r="BH37" s="909">
        <v>506961.32125285175</v>
      </c>
      <c r="BI37" s="909">
        <v>489458.60403758596</v>
      </c>
      <c r="BJ37" s="909">
        <v>540403.6664803077</v>
      </c>
      <c r="BK37" s="909">
        <v>539627.74108805577</v>
      </c>
      <c r="BL37" s="909">
        <v>499477.13734697399</v>
      </c>
      <c r="BM37" s="909">
        <v>522569.20318933739</v>
      </c>
      <c r="BN37" s="909">
        <v>524735.91168733768</v>
      </c>
      <c r="BO37" s="909">
        <v>527943.01764599676</v>
      </c>
      <c r="BP37" s="909">
        <v>536907.13099979574</v>
      </c>
      <c r="BQ37" s="909">
        <v>551166.79520525085</v>
      </c>
      <c r="BR37" s="909">
        <v>550701.18278368236</v>
      </c>
      <c r="BS37" s="909">
        <v>545565.77315005905</v>
      </c>
      <c r="BT37" s="909">
        <v>515001.21588360041</v>
      </c>
      <c r="BU37" s="909">
        <v>532835.66349772399</v>
      </c>
      <c r="BV37" s="909">
        <v>524226.72519518377</v>
      </c>
      <c r="BW37" s="909">
        <v>554777.40849484433</v>
      </c>
      <c r="BX37" s="909">
        <v>541700.17485049961</v>
      </c>
      <c r="BY37" s="909">
        <v>526591.92248697625</v>
      </c>
      <c r="BZ37" s="909">
        <v>531311.32376258308</v>
      </c>
      <c r="CA37" s="909">
        <v>533460.52811905509</v>
      </c>
      <c r="CB37" s="909">
        <v>586067.89265765238</v>
      </c>
      <c r="CC37" s="909">
        <v>534238.79294144385</v>
      </c>
      <c r="CD37" s="909">
        <v>507796.3275038898</v>
      </c>
      <c r="CE37" s="909">
        <v>512584.53890575701</v>
      </c>
      <c r="CF37" s="909">
        <v>561741.24902321748</v>
      </c>
      <c r="CG37" s="909">
        <v>562306.72069987259</v>
      </c>
      <c r="CH37" s="909">
        <v>584855.07110065152</v>
      </c>
      <c r="CI37" s="909">
        <v>524250.73919347208</v>
      </c>
      <c r="CJ37" s="909">
        <v>552672.69958258374</v>
      </c>
      <c r="CK37" s="909">
        <v>513021.73634108133</v>
      </c>
      <c r="CL37" s="909">
        <v>536776.43787019444</v>
      </c>
      <c r="CM37" s="909">
        <v>557673.69960811757</v>
      </c>
      <c r="CN37" s="909">
        <v>560643.82684219722</v>
      </c>
      <c r="CO37" s="909">
        <v>569687.37195696007</v>
      </c>
      <c r="CP37" s="909">
        <v>588004.29224349442</v>
      </c>
      <c r="CQ37" s="909">
        <v>535780.92056944687</v>
      </c>
      <c r="CR37" s="909">
        <v>559723.79300845868</v>
      </c>
      <c r="CS37" s="909">
        <v>567925.65217496315</v>
      </c>
      <c r="CT37" s="909">
        <v>598789.51832252787</v>
      </c>
      <c r="CU37" s="909">
        <v>557277.61588895507</v>
      </c>
      <c r="CV37" s="909">
        <v>578559.71001712186</v>
      </c>
      <c r="CW37" s="909">
        <v>559746.8203944827</v>
      </c>
      <c r="CX37" s="909">
        <v>550238.95830118586</v>
      </c>
      <c r="CY37" s="909">
        <v>545236.29805016099</v>
      </c>
      <c r="CZ37" s="909">
        <v>553291.20568241563</v>
      </c>
      <c r="DA37" s="909">
        <v>583252.91517353465</v>
      </c>
      <c r="DB37" s="910">
        <v>553022.65208661626</v>
      </c>
      <c r="DC37" s="909">
        <v>559771.34370822145</v>
      </c>
      <c r="DD37" s="855">
        <v>553491.42038008315</v>
      </c>
      <c r="DE37" s="855">
        <v>573957.51528629591</v>
      </c>
      <c r="DF37" s="855">
        <v>560744.91627057199</v>
      </c>
      <c r="DG37" s="855">
        <v>557394.02702450589</v>
      </c>
      <c r="DH37" s="855">
        <v>566822.74556921225</v>
      </c>
      <c r="DI37" s="855">
        <v>581937.94413236226</v>
      </c>
      <c r="DJ37" s="855">
        <v>613985.46626536548</v>
      </c>
      <c r="DK37" s="855">
        <v>660319.32411076443</v>
      </c>
      <c r="DL37" s="855">
        <v>630103.45047033764</v>
      </c>
      <c r="DM37" s="855">
        <v>646384.59526169603</v>
      </c>
      <c r="DN37" s="855">
        <v>666097.65610268235</v>
      </c>
      <c r="DO37" s="855">
        <v>670969.61597904598</v>
      </c>
      <c r="DP37" s="855">
        <v>733338.03979124303</v>
      </c>
      <c r="DQ37" s="855">
        <v>745556.66133858007</v>
      </c>
      <c r="DR37" s="855">
        <v>710292.15220082365</v>
      </c>
      <c r="DS37" s="855">
        <v>703515.06338518811</v>
      </c>
    </row>
    <row r="38" spans="1:123" ht="18" customHeight="1">
      <c r="A38" s="857" t="s">
        <v>2521</v>
      </c>
      <c r="B38" s="858" t="s">
        <v>2522</v>
      </c>
      <c r="C38" s="878">
        <v>85971.344917090784</v>
      </c>
      <c r="D38" s="878">
        <v>56233.825152112688</v>
      </c>
      <c r="E38" s="878">
        <v>60252.107619653412</v>
      </c>
      <c r="F38" s="917">
        <v>64917.25499278737</v>
      </c>
      <c r="G38" s="878">
        <v>67143.919556244378</v>
      </c>
      <c r="H38" s="918">
        <v>70429.597058082552</v>
      </c>
      <c r="I38" s="878">
        <v>73115.848879623896</v>
      </c>
      <c r="J38" s="878">
        <v>70584.508932084369</v>
      </c>
      <c r="K38" s="878">
        <v>72388.476477591976</v>
      </c>
      <c r="L38" s="878">
        <v>71006.542502962737</v>
      </c>
      <c r="M38" s="917">
        <v>64762.956991548017</v>
      </c>
      <c r="N38" s="878">
        <v>71376.843475018992</v>
      </c>
      <c r="O38" s="878">
        <v>70370.849442147213</v>
      </c>
      <c r="P38" s="878">
        <v>77834.490277323697</v>
      </c>
      <c r="Q38" s="878">
        <v>75479.578502125776</v>
      </c>
      <c r="R38" s="878">
        <v>75715.975696240974</v>
      </c>
      <c r="S38" s="878">
        <v>76501.098940951473</v>
      </c>
      <c r="T38" s="878">
        <v>83317.123458625007</v>
      </c>
      <c r="U38" s="878">
        <v>94783.297528469324</v>
      </c>
      <c r="V38" s="878">
        <v>97807.679188481052</v>
      </c>
      <c r="W38" s="878">
        <v>102541.53625631204</v>
      </c>
      <c r="X38" s="878">
        <v>104937.78384865716</v>
      </c>
      <c r="Y38" s="878">
        <v>102759.74497819504</v>
      </c>
      <c r="Z38" s="878">
        <v>98156.099633431339</v>
      </c>
      <c r="AA38" s="878">
        <v>108098.47599634138</v>
      </c>
      <c r="AB38" s="860">
        <v>113433.44803029559</v>
      </c>
      <c r="AC38" s="860">
        <v>107036.0017067583</v>
      </c>
      <c r="AD38" s="877">
        <v>123742.79734739376</v>
      </c>
      <c r="AE38" s="878">
        <v>120595.07091522172</v>
      </c>
      <c r="AF38" s="878">
        <v>136796.36000051288</v>
      </c>
      <c r="AG38" s="878">
        <v>126670.48808545167</v>
      </c>
      <c r="AH38" s="878">
        <v>132787.34762984278</v>
      </c>
      <c r="AI38" s="878">
        <v>121694.13096946044</v>
      </c>
      <c r="AJ38" s="878">
        <v>119716.94916424096</v>
      </c>
      <c r="AK38" s="878">
        <v>115913.87573404826</v>
      </c>
      <c r="AL38" s="878">
        <v>120037.92474904569</v>
      </c>
      <c r="AM38" s="878">
        <v>136102.50982904684</v>
      </c>
      <c r="AN38" s="878">
        <v>137760.12289358673</v>
      </c>
      <c r="AO38" s="878">
        <v>132653.62250465617</v>
      </c>
      <c r="AP38" s="918">
        <v>130313.38993089984</v>
      </c>
      <c r="AQ38" s="878">
        <v>140758.29932319175</v>
      </c>
      <c r="AR38" s="878">
        <v>141554.31136313253</v>
      </c>
      <c r="AS38" s="878">
        <v>143107.30549762354</v>
      </c>
      <c r="AT38" s="878">
        <v>150046.43147167374</v>
      </c>
      <c r="AU38" s="878">
        <v>155851.9510543645</v>
      </c>
      <c r="AV38" s="878">
        <v>160566.56518537708</v>
      </c>
      <c r="AW38" s="878">
        <v>158720.16497322492</v>
      </c>
      <c r="AX38" s="878">
        <v>164232.75667122781</v>
      </c>
      <c r="AY38" s="878">
        <v>170748.1548239853</v>
      </c>
      <c r="AZ38" s="878">
        <v>171344.24881251989</v>
      </c>
      <c r="BA38" s="878">
        <v>164099.5067574085</v>
      </c>
      <c r="BB38" s="878">
        <v>172846.76150691375</v>
      </c>
      <c r="BC38" s="878">
        <v>172189.43734370044</v>
      </c>
      <c r="BD38" s="878">
        <v>174265.05114018475</v>
      </c>
      <c r="BE38" s="878">
        <v>191048.92176675834</v>
      </c>
      <c r="BF38" s="878">
        <v>179915.97869980364</v>
      </c>
      <c r="BG38" s="878">
        <v>192180.69027072741</v>
      </c>
      <c r="BH38" s="878">
        <v>208788.97038426899</v>
      </c>
      <c r="BI38" s="878">
        <v>194250.10949376694</v>
      </c>
      <c r="BJ38" s="878">
        <v>208407.65075018074</v>
      </c>
      <c r="BK38" s="878">
        <v>208555.91568728545</v>
      </c>
      <c r="BL38" s="878">
        <v>182576.24376396686</v>
      </c>
      <c r="BM38" s="878">
        <v>191037.94546439327</v>
      </c>
      <c r="BN38" s="878">
        <v>204607.59015881389</v>
      </c>
      <c r="BO38" s="878">
        <v>200360.84813562041</v>
      </c>
      <c r="BP38" s="878">
        <v>209518.89747008457</v>
      </c>
      <c r="BQ38" s="878">
        <v>209295.6548992754</v>
      </c>
      <c r="BR38" s="878">
        <v>209637.39292402792</v>
      </c>
      <c r="BS38" s="878">
        <v>210767.21309718012</v>
      </c>
      <c r="BT38" s="878">
        <v>207308.49139739011</v>
      </c>
      <c r="BU38" s="878">
        <v>192464.96509982963</v>
      </c>
      <c r="BV38" s="878">
        <v>188726.39556423103</v>
      </c>
      <c r="BW38" s="878">
        <v>205308.35758070156</v>
      </c>
      <c r="BX38" s="878">
        <v>188313.19618431921</v>
      </c>
      <c r="BY38" s="878">
        <v>200419.60044157729</v>
      </c>
      <c r="BZ38" s="878">
        <v>198422.70198409588</v>
      </c>
      <c r="CA38" s="878">
        <v>201743.29043449453</v>
      </c>
      <c r="CB38" s="878">
        <v>214088.36141710865</v>
      </c>
      <c r="CC38" s="878">
        <v>205537.91356101009</v>
      </c>
      <c r="CD38" s="878">
        <v>205231.05536734877</v>
      </c>
      <c r="CE38" s="878">
        <v>206772.43078668762</v>
      </c>
      <c r="CF38" s="878">
        <v>259119.8327835619</v>
      </c>
      <c r="CG38" s="878">
        <v>256831.62678008329</v>
      </c>
      <c r="CH38" s="878">
        <v>266347.0832634134</v>
      </c>
      <c r="CI38" s="878">
        <v>185562.90634465666</v>
      </c>
      <c r="CJ38" s="878">
        <v>229789.48133857647</v>
      </c>
      <c r="CK38" s="878">
        <v>191664.32839531542</v>
      </c>
      <c r="CL38" s="878">
        <v>195659.65666632872</v>
      </c>
      <c r="CM38" s="878">
        <v>206437.66452216063</v>
      </c>
      <c r="CN38" s="878">
        <v>226858.78085671514</v>
      </c>
      <c r="CO38" s="878">
        <v>232397.77744178093</v>
      </c>
      <c r="CP38" s="878">
        <v>253266.41093040814</v>
      </c>
      <c r="CQ38" s="878">
        <v>205912.76219806424</v>
      </c>
      <c r="CR38" s="878">
        <v>228974.53216202161</v>
      </c>
      <c r="CS38" s="878">
        <v>209603.3922520495</v>
      </c>
      <c r="CT38" s="878">
        <v>236948.74495882238</v>
      </c>
      <c r="CU38" s="878">
        <v>226473.41388209624</v>
      </c>
      <c r="CV38" s="878">
        <v>249298.55269370315</v>
      </c>
      <c r="CW38" s="878">
        <v>232142.11169179843</v>
      </c>
      <c r="CX38" s="878">
        <v>219823.81216103063</v>
      </c>
      <c r="CY38" s="878">
        <v>215430.08009683026</v>
      </c>
      <c r="CZ38" s="878">
        <v>211132.13329911508</v>
      </c>
      <c r="DA38" s="878">
        <v>242832.98239723389</v>
      </c>
      <c r="DB38" s="917">
        <v>227138.3075219765</v>
      </c>
      <c r="DC38" s="878">
        <v>228630.83169578706</v>
      </c>
      <c r="DD38" s="860">
        <v>213634.22806992469</v>
      </c>
      <c r="DE38" s="860">
        <v>229625.01475195846</v>
      </c>
      <c r="DF38" s="860">
        <v>225075.36073976403</v>
      </c>
      <c r="DG38" s="860">
        <v>228962.60459457073</v>
      </c>
      <c r="DH38" s="860">
        <v>231670.43968625861</v>
      </c>
      <c r="DI38" s="860">
        <v>246604.26970415618</v>
      </c>
      <c r="DJ38" s="860">
        <v>257148.33085572478</v>
      </c>
      <c r="DK38" s="860">
        <v>258265.77502031249</v>
      </c>
      <c r="DL38" s="860">
        <v>236540.50958382024</v>
      </c>
      <c r="DM38" s="860">
        <v>246027.30395213159</v>
      </c>
      <c r="DN38" s="860">
        <v>266623.00285208237</v>
      </c>
      <c r="DO38" s="860">
        <v>271457.37271150126</v>
      </c>
      <c r="DP38" s="860">
        <v>316116.81090445758</v>
      </c>
      <c r="DQ38" s="860">
        <v>300166.50758820149</v>
      </c>
      <c r="DR38" s="860">
        <v>307377.53370310925</v>
      </c>
      <c r="DS38" s="860">
        <v>303181.43465204397</v>
      </c>
    </row>
    <row r="39" spans="1:123" ht="18" customHeight="1">
      <c r="A39" s="857" t="s">
        <v>2523</v>
      </c>
      <c r="B39" s="858" t="s">
        <v>2524</v>
      </c>
      <c r="C39" s="878">
        <v>54400.528669586383</v>
      </c>
      <c r="D39" s="878">
        <v>55364.274366902224</v>
      </c>
      <c r="E39" s="878">
        <v>55639.341153203575</v>
      </c>
      <c r="F39" s="917">
        <v>55400.051997011295</v>
      </c>
      <c r="G39" s="878">
        <v>55956.954722805021</v>
      </c>
      <c r="H39" s="918">
        <v>56840.563047609801</v>
      </c>
      <c r="I39" s="878">
        <v>61573.888278799903</v>
      </c>
      <c r="J39" s="878">
        <v>61944.044900555833</v>
      </c>
      <c r="K39" s="878">
        <v>60282.061866071745</v>
      </c>
      <c r="L39" s="878">
        <v>60001.938827791513</v>
      </c>
      <c r="M39" s="917">
        <v>59565.267557923187</v>
      </c>
      <c r="N39" s="878">
        <v>59878.755720878507</v>
      </c>
      <c r="O39" s="878">
        <v>59587.053869274074</v>
      </c>
      <c r="P39" s="878">
        <v>59891.241805268444</v>
      </c>
      <c r="Q39" s="878">
        <v>60626.7885813256</v>
      </c>
      <c r="R39" s="878">
        <v>60767.220737865784</v>
      </c>
      <c r="S39" s="878">
        <v>60415.820147000821</v>
      </c>
      <c r="T39" s="878">
        <v>61586.906304190656</v>
      </c>
      <c r="U39" s="878">
        <v>62599.835470608399</v>
      </c>
      <c r="V39" s="878">
        <v>62895.402994507524</v>
      </c>
      <c r="W39" s="878">
        <v>62483.209530251705</v>
      </c>
      <c r="X39" s="878">
        <v>64255.548407683818</v>
      </c>
      <c r="Y39" s="878">
        <v>64146.111472228316</v>
      </c>
      <c r="Z39" s="878">
        <v>63089.251396373067</v>
      </c>
      <c r="AA39" s="878">
        <v>64975.695544614791</v>
      </c>
      <c r="AB39" s="860">
        <v>64347.89121238899</v>
      </c>
      <c r="AC39" s="860">
        <v>64375.640232194375</v>
      </c>
      <c r="AD39" s="877">
        <v>60488.432433147507</v>
      </c>
      <c r="AE39" s="878">
        <v>60547.323256152595</v>
      </c>
      <c r="AF39" s="878">
        <v>61707.846358855764</v>
      </c>
      <c r="AG39" s="878">
        <v>64378.411101923419</v>
      </c>
      <c r="AH39" s="878">
        <v>65492.301477635163</v>
      </c>
      <c r="AI39" s="878">
        <v>66806.924188420977</v>
      </c>
      <c r="AJ39" s="878">
        <v>67364.613696445856</v>
      </c>
      <c r="AK39" s="878">
        <v>68138.949241235692</v>
      </c>
      <c r="AL39" s="878">
        <v>69474.656294007742</v>
      </c>
      <c r="AM39" s="878">
        <v>71536.807506456826</v>
      </c>
      <c r="AN39" s="878">
        <v>71809.005361727483</v>
      </c>
      <c r="AO39" s="878">
        <v>71692.353631457197</v>
      </c>
      <c r="AP39" s="918">
        <v>71737.249900530805</v>
      </c>
      <c r="AQ39" s="878">
        <v>71634.280990498009</v>
      </c>
      <c r="AR39" s="878">
        <v>72763.013375277253</v>
      </c>
      <c r="AS39" s="878">
        <v>74461.475554076096</v>
      </c>
      <c r="AT39" s="878">
        <v>75426.886915028444</v>
      </c>
      <c r="AU39" s="878">
        <v>77231.233966992717</v>
      </c>
      <c r="AV39" s="878">
        <v>78054.229033778131</v>
      </c>
      <c r="AW39" s="878">
        <v>76942.839660309852</v>
      </c>
      <c r="AX39" s="878">
        <v>77890.048011581457</v>
      </c>
      <c r="AY39" s="878">
        <v>79850.903656925875</v>
      </c>
      <c r="AZ39" s="878">
        <v>79165.770342182339</v>
      </c>
      <c r="BA39" s="878">
        <v>80157.056187432972</v>
      </c>
      <c r="BB39" s="878">
        <v>80849.701402894949</v>
      </c>
      <c r="BC39" s="878">
        <v>81435.915950394556</v>
      </c>
      <c r="BD39" s="878">
        <v>82172.476357644482</v>
      </c>
      <c r="BE39" s="878">
        <v>84955.931884040008</v>
      </c>
      <c r="BF39" s="878">
        <v>86780.895415744293</v>
      </c>
      <c r="BG39" s="878">
        <v>86679.885774395167</v>
      </c>
      <c r="BH39" s="878">
        <v>90095.703588188597</v>
      </c>
      <c r="BI39" s="878">
        <v>90536.809949928269</v>
      </c>
      <c r="BJ39" s="878">
        <v>90575.994403637</v>
      </c>
      <c r="BK39" s="878">
        <v>91748.274416918852</v>
      </c>
      <c r="BL39" s="878">
        <v>92060.186697136931</v>
      </c>
      <c r="BM39" s="878">
        <v>97087.547902479142</v>
      </c>
      <c r="BN39" s="878">
        <v>97906.103841024829</v>
      </c>
      <c r="BO39" s="878">
        <v>101434.61169554139</v>
      </c>
      <c r="BP39" s="878">
        <v>101123.66756027237</v>
      </c>
      <c r="BQ39" s="878">
        <v>106092.38565132562</v>
      </c>
      <c r="BR39" s="878">
        <v>105645.75919517616</v>
      </c>
      <c r="BS39" s="878">
        <v>108541.91109058767</v>
      </c>
      <c r="BT39" s="878">
        <v>109764.90313074383</v>
      </c>
      <c r="BU39" s="878">
        <v>111109.19982382633</v>
      </c>
      <c r="BV39" s="878">
        <v>108147.26253067369</v>
      </c>
      <c r="BW39" s="878">
        <v>109641.49560026948</v>
      </c>
      <c r="BX39" s="878">
        <v>109949.87924548757</v>
      </c>
      <c r="BY39" s="878">
        <v>111791.87626614004</v>
      </c>
      <c r="BZ39" s="878">
        <v>109474.13295116654</v>
      </c>
      <c r="CA39" s="878">
        <v>111216.87319373609</v>
      </c>
      <c r="CB39" s="878">
        <v>110466.43381189738</v>
      </c>
      <c r="CC39" s="878">
        <v>114390.79918076626</v>
      </c>
      <c r="CD39" s="878">
        <v>114256.5248765157</v>
      </c>
      <c r="CE39" s="878">
        <v>116466.64534877401</v>
      </c>
      <c r="CF39" s="878">
        <v>117348.12161286043</v>
      </c>
      <c r="CG39" s="878">
        <v>116101.49212862931</v>
      </c>
      <c r="CH39" s="878">
        <v>115942.23068925895</v>
      </c>
      <c r="CI39" s="878">
        <v>118172.59114663849</v>
      </c>
      <c r="CJ39" s="878">
        <v>117726.37465966129</v>
      </c>
      <c r="CK39" s="878">
        <v>117107.00132037385</v>
      </c>
      <c r="CL39" s="878">
        <v>119779.96587761395</v>
      </c>
      <c r="CM39" s="878">
        <v>118344.60796049522</v>
      </c>
      <c r="CN39" s="878">
        <v>120014.26986700304</v>
      </c>
      <c r="CO39" s="878">
        <v>123816.0621219145</v>
      </c>
      <c r="CP39" s="878">
        <v>126635.25233325535</v>
      </c>
      <c r="CQ39" s="878">
        <v>128365.5417969883</v>
      </c>
      <c r="CR39" s="878">
        <v>130565.69419018028</v>
      </c>
      <c r="CS39" s="878">
        <v>131592.52027657311</v>
      </c>
      <c r="CT39" s="878">
        <v>133121.24345724127</v>
      </c>
      <c r="CU39" s="878">
        <v>132527.0276874722</v>
      </c>
      <c r="CV39" s="878">
        <v>134624.90774467567</v>
      </c>
      <c r="CW39" s="878">
        <v>132923.2425201025</v>
      </c>
      <c r="CX39" s="878">
        <v>133269.36557409514</v>
      </c>
      <c r="CY39" s="878">
        <v>132397.86067295936</v>
      </c>
      <c r="CZ39" s="878">
        <v>133468.72723748072</v>
      </c>
      <c r="DA39" s="878">
        <v>137528.10247430843</v>
      </c>
      <c r="DB39" s="917">
        <v>140038.33822951984</v>
      </c>
      <c r="DC39" s="878">
        <v>141774.73722577392</v>
      </c>
      <c r="DD39" s="860">
        <v>143291.81615050504</v>
      </c>
      <c r="DE39" s="860">
        <v>143243.67365461134</v>
      </c>
      <c r="DF39" s="860">
        <v>143464.94964542842</v>
      </c>
      <c r="DG39" s="860">
        <v>145296.10716874371</v>
      </c>
      <c r="DH39" s="860">
        <v>147472.32937258342</v>
      </c>
      <c r="DI39" s="860">
        <v>146971.75347642964</v>
      </c>
      <c r="DJ39" s="860">
        <v>147677.37833846637</v>
      </c>
      <c r="DK39" s="860">
        <v>151123.45918545491</v>
      </c>
      <c r="DL39" s="860">
        <v>150200.82488915251</v>
      </c>
      <c r="DM39" s="860">
        <v>152069.46091498414</v>
      </c>
      <c r="DN39" s="860">
        <v>156589.17491571535</v>
      </c>
      <c r="DO39" s="860">
        <v>158186.82927135911</v>
      </c>
      <c r="DP39" s="860">
        <v>158908.66400969806</v>
      </c>
      <c r="DQ39" s="860">
        <v>159040.44520475014</v>
      </c>
      <c r="DR39" s="860">
        <v>160076.19502334966</v>
      </c>
      <c r="DS39" s="860">
        <v>162517.91728332927</v>
      </c>
    </row>
    <row r="40" spans="1:123" ht="18" customHeight="1">
      <c r="A40" s="857" t="s">
        <v>2525</v>
      </c>
      <c r="B40" s="858" t="s">
        <v>2526</v>
      </c>
      <c r="C40" s="878">
        <v>94287.820452266882</v>
      </c>
      <c r="D40" s="878">
        <v>104577.0963493598</v>
      </c>
      <c r="E40" s="878">
        <v>95872.962340032071</v>
      </c>
      <c r="F40" s="917">
        <v>101148.48092778733</v>
      </c>
      <c r="G40" s="878">
        <v>101508.06137143182</v>
      </c>
      <c r="H40" s="918">
        <v>112639.71753177252</v>
      </c>
      <c r="I40" s="878">
        <v>104956.60354967593</v>
      </c>
      <c r="J40" s="878">
        <v>105810.10955853116</v>
      </c>
      <c r="K40" s="878">
        <v>115356.53708801339</v>
      </c>
      <c r="L40" s="878">
        <v>123682.01410498825</v>
      </c>
      <c r="M40" s="917">
        <v>127872.60002270482</v>
      </c>
      <c r="N40" s="878">
        <v>140770.38480459238</v>
      </c>
      <c r="O40" s="878">
        <v>138896.65087890608</v>
      </c>
      <c r="P40" s="878">
        <v>141056.98200237026</v>
      </c>
      <c r="Q40" s="878">
        <v>144365.04365896143</v>
      </c>
      <c r="R40" s="878">
        <v>157397.56448969463</v>
      </c>
      <c r="S40" s="878">
        <v>156528.6774247523</v>
      </c>
      <c r="T40" s="878">
        <v>155431.25901409026</v>
      </c>
      <c r="U40" s="878">
        <v>175228.32433442285</v>
      </c>
      <c r="V40" s="878">
        <v>156521.13363335803</v>
      </c>
      <c r="W40" s="878">
        <v>150156.82834410068</v>
      </c>
      <c r="X40" s="878">
        <v>156901.09457021282</v>
      </c>
      <c r="Y40" s="878">
        <v>152796.60694417122</v>
      </c>
      <c r="Z40" s="878">
        <v>162375.73252393981</v>
      </c>
      <c r="AA40" s="878">
        <v>165863.46729399165</v>
      </c>
      <c r="AB40" s="860">
        <v>175555.20296694463</v>
      </c>
      <c r="AC40" s="860">
        <v>182471.16379006344</v>
      </c>
      <c r="AD40" s="877">
        <v>181852.66047381921</v>
      </c>
      <c r="AE40" s="878">
        <v>188950.74890929248</v>
      </c>
      <c r="AF40" s="878">
        <v>201057.51497352219</v>
      </c>
      <c r="AG40" s="878">
        <v>188688.98764504417</v>
      </c>
      <c r="AH40" s="878">
        <v>212915.01883209238</v>
      </c>
      <c r="AI40" s="878">
        <v>208722.08773990086</v>
      </c>
      <c r="AJ40" s="878">
        <v>197088.41008619449</v>
      </c>
      <c r="AK40" s="878">
        <v>193121.85980906058</v>
      </c>
      <c r="AL40" s="878">
        <v>220997.69413411134</v>
      </c>
      <c r="AM40" s="878">
        <v>214390.85438189853</v>
      </c>
      <c r="AN40" s="878">
        <v>233958.42038969134</v>
      </c>
      <c r="AO40" s="878">
        <v>224529.24056173515</v>
      </c>
      <c r="AP40" s="918">
        <v>215125.90828821334</v>
      </c>
      <c r="AQ40" s="878">
        <v>211225.44310602502</v>
      </c>
      <c r="AR40" s="878">
        <v>212147.26718020593</v>
      </c>
      <c r="AS40" s="878">
        <v>206942.75702386725</v>
      </c>
      <c r="AT40" s="878">
        <v>201774.20160626154</v>
      </c>
      <c r="AU40" s="878">
        <v>200679.2459356052</v>
      </c>
      <c r="AV40" s="878">
        <v>193771.31158415653</v>
      </c>
      <c r="AW40" s="878">
        <v>200370.25757288816</v>
      </c>
      <c r="AX40" s="878">
        <v>202229.42754413813</v>
      </c>
      <c r="AY40" s="878">
        <v>192989.32708543708</v>
      </c>
      <c r="AZ40" s="878">
        <v>195428.01993857251</v>
      </c>
      <c r="BA40" s="878">
        <v>194640.58164299041</v>
      </c>
      <c r="BB40" s="878">
        <v>195323.25592296253</v>
      </c>
      <c r="BC40" s="878">
        <v>196493.26113178206</v>
      </c>
      <c r="BD40" s="878">
        <v>202540.02690160999</v>
      </c>
      <c r="BE40" s="878">
        <v>199000.23648775299</v>
      </c>
      <c r="BF40" s="878">
        <v>229510.60402642027</v>
      </c>
      <c r="BG40" s="878">
        <v>220789.80897076923</v>
      </c>
      <c r="BH40" s="878">
        <v>208076.64728039413</v>
      </c>
      <c r="BI40" s="878">
        <v>204671.68459389074</v>
      </c>
      <c r="BJ40" s="878">
        <v>241420.02132649004</v>
      </c>
      <c r="BK40" s="878">
        <v>239323.55098385151</v>
      </c>
      <c r="BL40" s="878">
        <v>224840.70688587023</v>
      </c>
      <c r="BM40" s="878">
        <v>234443.70982246494</v>
      </c>
      <c r="BN40" s="878">
        <v>222222.21768749892</v>
      </c>
      <c r="BO40" s="878">
        <v>226147.55781483496</v>
      </c>
      <c r="BP40" s="878">
        <v>226264.56596943885</v>
      </c>
      <c r="BQ40" s="878">
        <v>235778.75465464976</v>
      </c>
      <c r="BR40" s="878">
        <v>235418.03066447837</v>
      </c>
      <c r="BS40" s="878">
        <v>226256.64896229125</v>
      </c>
      <c r="BT40" s="878">
        <v>197927.8213554665</v>
      </c>
      <c r="BU40" s="878">
        <v>229261.49857406798</v>
      </c>
      <c r="BV40" s="878">
        <v>227353.06710027903</v>
      </c>
      <c r="BW40" s="878">
        <v>239827.55531387328</v>
      </c>
      <c r="BX40" s="878">
        <v>243437.09942069286</v>
      </c>
      <c r="BY40" s="878">
        <v>214380.44577925894</v>
      </c>
      <c r="BZ40" s="878">
        <v>223414.48882732069</v>
      </c>
      <c r="CA40" s="878">
        <v>220500.36449082446</v>
      </c>
      <c r="CB40" s="878">
        <v>261513.09742864638</v>
      </c>
      <c r="CC40" s="878">
        <v>214310.08019966743</v>
      </c>
      <c r="CD40" s="878">
        <v>188308.74726002532</v>
      </c>
      <c r="CE40" s="878">
        <v>189345.46277029542</v>
      </c>
      <c r="CF40" s="878">
        <v>185273.29462679522</v>
      </c>
      <c r="CG40" s="878">
        <v>189373.60179116006</v>
      </c>
      <c r="CH40" s="878">
        <v>202565.75714797919</v>
      </c>
      <c r="CI40" s="878">
        <v>220515.24170217689</v>
      </c>
      <c r="CJ40" s="878">
        <v>205156.843584346</v>
      </c>
      <c r="CK40" s="878">
        <v>204250.40662539203</v>
      </c>
      <c r="CL40" s="878">
        <v>221336.81532625176</v>
      </c>
      <c r="CM40" s="878">
        <v>232891.42712546178</v>
      </c>
      <c r="CN40" s="878">
        <v>213770.77611847903</v>
      </c>
      <c r="CO40" s="878">
        <v>213473.53239326467</v>
      </c>
      <c r="CP40" s="878">
        <v>208102.62897983094</v>
      </c>
      <c r="CQ40" s="878">
        <v>201502.61657439434</v>
      </c>
      <c r="CR40" s="878">
        <v>200183.56665625676</v>
      </c>
      <c r="CS40" s="878">
        <v>226729.73964634049</v>
      </c>
      <c r="CT40" s="878">
        <v>228719.52990646422</v>
      </c>
      <c r="CU40" s="878">
        <v>198277.17431938666</v>
      </c>
      <c r="CV40" s="878">
        <v>194636.24957874304</v>
      </c>
      <c r="CW40" s="878">
        <v>194681.46618258173</v>
      </c>
      <c r="CX40" s="878">
        <v>197145.78056606013</v>
      </c>
      <c r="CY40" s="878">
        <v>197408.35728037133</v>
      </c>
      <c r="CZ40" s="878">
        <v>208690.3451458198</v>
      </c>
      <c r="DA40" s="878">
        <v>202891.83030199236</v>
      </c>
      <c r="DB40" s="917">
        <v>185846.00633511992</v>
      </c>
      <c r="DC40" s="878">
        <v>189365.77478666042</v>
      </c>
      <c r="DD40" s="860">
        <v>196565.37615965336</v>
      </c>
      <c r="DE40" s="860">
        <v>201088.82687972608</v>
      </c>
      <c r="DF40" s="860">
        <v>192204.60588537948</v>
      </c>
      <c r="DG40" s="860">
        <v>183135.3152611914</v>
      </c>
      <c r="DH40" s="860">
        <v>187679.97651037018</v>
      </c>
      <c r="DI40" s="860">
        <v>188361.92095177644</v>
      </c>
      <c r="DJ40" s="860">
        <v>209159.75707117439</v>
      </c>
      <c r="DK40" s="860">
        <v>250930.08990499703</v>
      </c>
      <c r="DL40" s="860">
        <v>243362.1159973648</v>
      </c>
      <c r="DM40" s="860">
        <v>248287.83039458032</v>
      </c>
      <c r="DN40" s="860">
        <v>242885.4783348846</v>
      </c>
      <c r="DO40" s="860">
        <v>241325.41399618567</v>
      </c>
      <c r="DP40" s="860">
        <v>258312.5648770874</v>
      </c>
      <c r="DQ40" s="860">
        <v>286349.70854562853</v>
      </c>
      <c r="DR40" s="860">
        <v>242838.4234743648</v>
      </c>
      <c r="DS40" s="860">
        <v>237815.71144981481</v>
      </c>
    </row>
    <row r="41" spans="1:123" ht="18" customHeight="1">
      <c r="A41" s="857"/>
      <c r="B41" s="858"/>
      <c r="C41" s="937"/>
      <c r="D41" s="937"/>
      <c r="E41" s="937"/>
      <c r="F41" s="938"/>
      <c r="G41" s="937"/>
      <c r="H41" s="939"/>
      <c r="I41" s="937"/>
      <c r="J41" s="937"/>
      <c r="K41" s="937"/>
      <c r="L41" s="937"/>
      <c r="M41" s="938"/>
      <c r="N41" s="937"/>
      <c r="O41" s="937"/>
      <c r="P41" s="937"/>
      <c r="Q41" s="937"/>
      <c r="R41" s="937"/>
      <c r="S41" s="937"/>
      <c r="T41" s="937"/>
      <c r="U41" s="937"/>
      <c r="V41" s="937"/>
      <c r="W41" s="937"/>
      <c r="X41" s="937"/>
      <c r="Y41" s="937"/>
      <c r="Z41" s="937"/>
      <c r="AA41" s="937"/>
      <c r="AB41" s="940"/>
      <c r="AC41" s="940"/>
      <c r="AD41" s="941"/>
      <c r="AE41" s="937"/>
      <c r="AF41" s="937"/>
      <c r="AG41" s="937"/>
      <c r="AH41" s="937"/>
      <c r="AI41" s="937"/>
      <c r="AJ41" s="937"/>
      <c r="AK41" s="937"/>
      <c r="AL41" s="937"/>
      <c r="AM41" s="937"/>
      <c r="AN41" s="937"/>
      <c r="AO41" s="937"/>
      <c r="AP41" s="939"/>
      <c r="AQ41" s="937"/>
      <c r="AR41" s="937"/>
      <c r="AS41" s="937"/>
      <c r="AT41" s="937"/>
      <c r="AU41" s="937"/>
      <c r="AV41" s="937"/>
      <c r="AW41" s="937"/>
      <c r="AX41" s="937"/>
      <c r="AY41" s="937"/>
      <c r="AZ41" s="937"/>
      <c r="BA41" s="937"/>
      <c r="BB41" s="937"/>
      <c r="BC41" s="937"/>
      <c r="BD41" s="937"/>
      <c r="BE41" s="937"/>
      <c r="BF41" s="937"/>
      <c r="BG41" s="937"/>
      <c r="BH41" s="937"/>
      <c r="BI41" s="937"/>
      <c r="BJ41" s="937"/>
      <c r="BK41" s="937"/>
      <c r="BL41" s="937"/>
      <c r="BM41" s="937"/>
      <c r="BN41" s="937"/>
      <c r="BO41" s="937"/>
      <c r="BP41" s="937"/>
      <c r="BQ41" s="937"/>
      <c r="BR41" s="937"/>
      <c r="BS41" s="937"/>
      <c r="BT41" s="937"/>
      <c r="BU41" s="937"/>
      <c r="BV41" s="937"/>
      <c r="BW41" s="937"/>
      <c r="BX41" s="937"/>
      <c r="BY41" s="937"/>
      <c r="BZ41" s="937"/>
      <c r="CA41" s="937"/>
      <c r="CB41" s="937"/>
      <c r="CC41" s="937"/>
      <c r="CD41" s="937"/>
      <c r="CE41" s="937"/>
      <c r="CF41" s="937"/>
      <c r="CG41" s="937"/>
      <c r="CH41" s="937"/>
      <c r="CI41" s="937"/>
      <c r="CJ41" s="937"/>
      <c r="CK41" s="937"/>
      <c r="CL41" s="937"/>
      <c r="CM41" s="937"/>
      <c r="CN41" s="937"/>
      <c r="CO41" s="937"/>
      <c r="CP41" s="937"/>
      <c r="CQ41" s="937"/>
      <c r="CR41" s="937"/>
      <c r="CS41" s="937"/>
      <c r="CT41" s="937"/>
      <c r="CU41" s="937"/>
      <c r="CV41" s="937"/>
      <c r="CW41" s="937"/>
      <c r="CX41" s="937"/>
      <c r="CY41" s="937"/>
      <c r="CZ41" s="937"/>
      <c r="DA41" s="937"/>
      <c r="DB41" s="938"/>
      <c r="DC41" s="937"/>
      <c r="DD41" s="940"/>
      <c r="DE41" s="940"/>
      <c r="DF41" s="940"/>
      <c r="DG41" s="940"/>
      <c r="DH41" s="940"/>
      <c r="DI41" s="940"/>
      <c r="DJ41" s="940"/>
      <c r="DK41" s="940"/>
      <c r="DL41" s="940"/>
      <c r="DM41" s="940"/>
      <c r="DN41" s="940"/>
      <c r="DO41" s="940"/>
      <c r="DP41" s="940"/>
      <c r="DQ41" s="940"/>
      <c r="DR41" s="940"/>
      <c r="DS41" s="940"/>
    </row>
    <row r="42" spans="1:123" ht="18" customHeight="1">
      <c r="A42" s="853" t="s">
        <v>2527</v>
      </c>
      <c r="B42" s="854" t="s">
        <v>2551</v>
      </c>
      <c r="C42" s="909">
        <v>79765.276904138809</v>
      </c>
      <c r="D42" s="909">
        <v>79967.410702004039</v>
      </c>
      <c r="E42" s="909">
        <v>87087.243426584799</v>
      </c>
      <c r="F42" s="910">
        <v>73044.369587758076</v>
      </c>
      <c r="G42" s="909">
        <v>71843.676961905177</v>
      </c>
      <c r="H42" s="911">
        <v>76855.320632432165</v>
      </c>
      <c r="I42" s="909">
        <v>65549.468615949008</v>
      </c>
      <c r="J42" s="909">
        <v>70275.629942715372</v>
      </c>
      <c r="K42" s="909">
        <v>87567.0888157554</v>
      </c>
      <c r="L42" s="909">
        <v>84459.916743367197</v>
      </c>
      <c r="M42" s="910">
        <v>72764.413440688426</v>
      </c>
      <c r="N42" s="909">
        <v>70503.75853036005</v>
      </c>
      <c r="O42" s="909">
        <v>76667.060736824948</v>
      </c>
      <c r="P42" s="909">
        <v>77687.959336328538</v>
      </c>
      <c r="Q42" s="909">
        <v>82385.915205344529</v>
      </c>
      <c r="R42" s="909">
        <v>92749.85354358601</v>
      </c>
      <c r="S42" s="909">
        <v>95816.953004968294</v>
      </c>
      <c r="T42" s="909">
        <v>114289.32764905741</v>
      </c>
      <c r="U42" s="909">
        <v>110903.36644446875</v>
      </c>
      <c r="V42" s="909">
        <v>99207.18051620826</v>
      </c>
      <c r="W42" s="909">
        <v>105754.68178356488</v>
      </c>
      <c r="X42" s="909">
        <v>104827.53763616453</v>
      </c>
      <c r="Y42" s="909">
        <v>110934.91226938496</v>
      </c>
      <c r="Z42" s="909">
        <v>102759.79144794009</v>
      </c>
      <c r="AA42" s="909">
        <v>98923.121529141485</v>
      </c>
      <c r="AB42" s="855">
        <v>118714.51810307619</v>
      </c>
      <c r="AC42" s="855">
        <v>126293.64632557079</v>
      </c>
      <c r="AD42" s="936">
        <v>121037.76603003999</v>
      </c>
      <c r="AE42" s="909">
        <v>120203.4452519273</v>
      </c>
      <c r="AF42" s="909">
        <v>130917.30386894089</v>
      </c>
      <c r="AG42" s="909">
        <v>128755.64373231758</v>
      </c>
      <c r="AH42" s="909">
        <v>127494.17995051914</v>
      </c>
      <c r="AI42" s="909">
        <v>121614.8977947208</v>
      </c>
      <c r="AJ42" s="909">
        <v>121374.17272757026</v>
      </c>
      <c r="AK42" s="909">
        <v>121245.55692541685</v>
      </c>
      <c r="AL42" s="909">
        <v>125715.8314842267</v>
      </c>
      <c r="AM42" s="909">
        <v>118244.25003298787</v>
      </c>
      <c r="AN42" s="909">
        <v>117212.48076780257</v>
      </c>
      <c r="AO42" s="909">
        <v>115672.75149286803</v>
      </c>
      <c r="AP42" s="911">
        <v>114884.63602585379</v>
      </c>
      <c r="AQ42" s="909">
        <v>132406.11192133528</v>
      </c>
      <c r="AR42" s="909">
        <v>130914.48236359948</v>
      </c>
      <c r="AS42" s="909">
        <v>127215.33379495694</v>
      </c>
      <c r="AT42" s="909">
        <v>131031.17545787591</v>
      </c>
      <c r="AU42" s="909">
        <v>130316.18179927678</v>
      </c>
      <c r="AV42" s="909">
        <v>127882.30706865035</v>
      </c>
      <c r="AW42" s="909">
        <v>122229.63531764597</v>
      </c>
      <c r="AX42" s="909">
        <v>115642.45262289631</v>
      </c>
      <c r="AY42" s="909">
        <v>107161.36249109264</v>
      </c>
      <c r="AZ42" s="909">
        <v>102850.93817663024</v>
      </c>
      <c r="BA42" s="909">
        <v>101241.58873449743</v>
      </c>
      <c r="BB42" s="909">
        <v>100274.73091660098</v>
      </c>
      <c r="BC42" s="909">
        <v>97780.963334996835</v>
      </c>
      <c r="BD42" s="909">
        <v>81273.484218125493</v>
      </c>
      <c r="BE42" s="909">
        <v>88621.315787191081</v>
      </c>
      <c r="BF42" s="909">
        <v>77297.092702450056</v>
      </c>
      <c r="BG42" s="909">
        <v>79089.253614043846</v>
      </c>
      <c r="BH42" s="909">
        <v>83122.902193598362</v>
      </c>
      <c r="BI42" s="909">
        <v>84052.810510052193</v>
      </c>
      <c r="BJ42" s="909">
        <v>94750.238114067353</v>
      </c>
      <c r="BK42" s="909">
        <v>90401.985543636343</v>
      </c>
      <c r="BL42" s="909">
        <v>89466.324889127834</v>
      </c>
      <c r="BM42" s="909">
        <v>91991.965473635762</v>
      </c>
      <c r="BN42" s="909">
        <v>97061.119938809148</v>
      </c>
      <c r="BO42" s="909">
        <v>97647.389052327489</v>
      </c>
      <c r="BP42" s="909">
        <v>97170.767423416284</v>
      </c>
      <c r="BQ42" s="909">
        <v>93078.299111545362</v>
      </c>
      <c r="BR42" s="909">
        <v>90803.647548600173</v>
      </c>
      <c r="BS42" s="909">
        <v>94643.934117033234</v>
      </c>
      <c r="BT42" s="909">
        <v>93368.750672365466</v>
      </c>
      <c r="BU42" s="909">
        <v>106296.27607477637</v>
      </c>
      <c r="BV42" s="909">
        <v>92358.264727035101</v>
      </c>
      <c r="BW42" s="909">
        <v>101569.58453890198</v>
      </c>
      <c r="BX42" s="909">
        <v>89719.113192073593</v>
      </c>
      <c r="BY42" s="909">
        <v>95074.664889065607</v>
      </c>
      <c r="BZ42" s="909">
        <v>94964.272509438859</v>
      </c>
      <c r="CA42" s="909">
        <v>89698.061318250737</v>
      </c>
      <c r="CB42" s="909">
        <v>91372.490921219607</v>
      </c>
      <c r="CC42" s="909">
        <v>92147.623095796516</v>
      </c>
      <c r="CD42" s="909">
        <v>90050.220268082776</v>
      </c>
      <c r="CE42" s="909">
        <v>91075.261272679389</v>
      </c>
      <c r="CF42" s="909">
        <v>101681.26298286632</v>
      </c>
      <c r="CG42" s="909">
        <v>101179.48049114493</v>
      </c>
      <c r="CH42" s="909">
        <v>95118.34019615539</v>
      </c>
      <c r="CI42" s="909">
        <v>116017.17781168569</v>
      </c>
      <c r="CJ42" s="909">
        <v>113726.71426223117</v>
      </c>
      <c r="CK42" s="909">
        <v>123471.75982604103</v>
      </c>
      <c r="CL42" s="909">
        <v>111975.05836369986</v>
      </c>
      <c r="CM42" s="909">
        <v>116983.76417824649</v>
      </c>
      <c r="CN42" s="909">
        <v>124060.95251983829</v>
      </c>
      <c r="CO42" s="909">
        <v>138284.47903468707</v>
      </c>
      <c r="CP42" s="909">
        <v>140803.9072916829</v>
      </c>
      <c r="CQ42" s="909">
        <v>161712.30887755004</v>
      </c>
      <c r="CR42" s="909">
        <v>167581.23557573417</v>
      </c>
      <c r="CS42" s="909">
        <v>147051.21076608059</v>
      </c>
      <c r="CT42" s="909">
        <v>155049.63566150406</v>
      </c>
      <c r="CU42" s="909">
        <v>171454.34550845166</v>
      </c>
      <c r="CV42" s="909">
        <v>178245.13433747628</v>
      </c>
      <c r="CW42" s="909">
        <v>175782.12514214052</v>
      </c>
      <c r="CX42" s="909">
        <v>179223.73909794833</v>
      </c>
      <c r="CY42" s="909">
        <v>168129.70568572829</v>
      </c>
      <c r="CZ42" s="909">
        <v>165153.39071027178</v>
      </c>
      <c r="DA42" s="909">
        <v>191362.21869076963</v>
      </c>
      <c r="DB42" s="910">
        <v>188251.47207899802</v>
      </c>
      <c r="DC42" s="909">
        <v>191707.39875481132</v>
      </c>
      <c r="DD42" s="855">
        <v>196366.3238836402</v>
      </c>
      <c r="DE42" s="855">
        <v>175050.53255274924</v>
      </c>
      <c r="DF42" s="855">
        <v>144667.74779506697</v>
      </c>
      <c r="DG42" s="855">
        <v>150935.72076391854</v>
      </c>
      <c r="DH42" s="855">
        <v>151281.43438928691</v>
      </c>
      <c r="DI42" s="855">
        <v>148029.51089766072</v>
      </c>
      <c r="DJ42" s="855">
        <v>157150.58000814478</v>
      </c>
      <c r="DK42" s="855">
        <v>166996.61918452039</v>
      </c>
      <c r="DL42" s="855">
        <v>167127.02487469258</v>
      </c>
      <c r="DM42" s="855">
        <v>182803.84118875148</v>
      </c>
      <c r="DN42" s="855">
        <v>184310.60341610783</v>
      </c>
      <c r="DO42" s="855">
        <v>175146.16713026352</v>
      </c>
      <c r="DP42" s="855">
        <v>186419.45243703705</v>
      </c>
      <c r="DQ42" s="855">
        <v>171618.71434534225</v>
      </c>
      <c r="DR42" s="855">
        <v>172122.76363828316</v>
      </c>
      <c r="DS42" s="855">
        <v>169878.73336244439</v>
      </c>
    </row>
    <row r="43" spans="1:123" ht="18" customHeight="1">
      <c r="A43" s="857" t="s">
        <v>2529</v>
      </c>
      <c r="B43" s="858" t="s">
        <v>2522</v>
      </c>
      <c r="C43" s="878">
        <v>14022.406912736789</v>
      </c>
      <c r="D43" s="878">
        <v>8614.9470122550247</v>
      </c>
      <c r="E43" s="878">
        <v>9046.7667947900245</v>
      </c>
      <c r="F43" s="917">
        <v>8253.3560588930486</v>
      </c>
      <c r="G43" s="878">
        <v>8243.8970227649188</v>
      </c>
      <c r="H43" s="918">
        <v>14222.774405428938</v>
      </c>
      <c r="I43" s="878">
        <v>9773.4685437383559</v>
      </c>
      <c r="J43" s="878">
        <v>8464.5785294334873</v>
      </c>
      <c r="K43" s="878">
        <v>8618.9981428776773</v>
      </c>
      <c r="L43" s="878">
        <v>9444.8388877828729</v>
      </c>
      <c r="M43" s="917">
        <v>9352.6658480040496</v>
      </c>
      <c r="N43" s="878">
        <v>9078.0655663321577</v>
      </c>
      <c r="O43" s="878">
        <v>9420.9177350316659</v>
      </c>
      <c r="P43" s="878">
        <v>10747.092222015226</v>
      </c>
      <c r="Q43" s="878">
        <v>14520.159524510929</v>
      </c>
      <c r="R43" s="878">
        <v>9940.9567935336254</v>
      </c>
      <c r="S43" s="878">
        <v>9042.513792779213</v>
      </c>
      <c r="T43" s="878">
        <v>10115.515018228756</v>
      </c>
      <c r="U43" s="878">
        <v>12509.075686262247</v>
      </c>
      <c r="V43" s="878">
        <v>11245.30357559086</v>
      </c>
      <c r="W43" s="878">
        <v>14003.45279651268</v>
      </c>
      <c r="X43" s="878">
        <v>18899.759292994506</v>
      </c>
      <c r="Y43" s="878">
        <v>13431.485647756885</v>
      </c>
      <c r="Z43" s="878">
        <v>15170.056879267389</v>
      </c>
      <c r="AA43" s="878">
        <v>10903.721625545246</v>
      </c>
      <c r="AB43" s="860">
        <v>12601.798013215197</v>
      </c>
      <c r="AC43" s="860">
        <v>13189.485964766453</v>
      </c>
      <c r="AD43" s="877">
        <v>12791.372044648373</v>
      </c>
      <c r="AE43" s="878">
        <v>13848.728520148679</v>
      </c>
      <c r="AF43" s="878">
        <v>13393.74429745303</v>
      </c>
      <c r="AG43" s="878">
        <v>15584.490835189528</v>
      </c>
      <c r="AH43" s="878">
        <v>15672.617301569955</v>
      </c>
      <c r="AI43" s="878">
        <v>19535.938542123793</v>
      </c>
      <c r="AJ43" s="878">
        <v>20531.594387396995</v>
      </c>
      <c r="AK43" s="878">
        <v>18384.805904107274</v>
      </c>
      <c r="AL43" s="878">
        <v>17368.271259703048</v>
      </c>
      <c r="AM43" s="878">
        <v>19673.09198335043</v>
      </c>
      <c r="AN43" s="878">
        <v>17490.392421126409</v>
      </c>
      <c r="AO43" s="878">
        <v>15789.829679464565</v>
      </c>
      <c r="AP43" s="918">
        <v>14897.063393489851</v>
      </c>
      <c r="AQ43" s="878">
        <v>17855.386396686707</v>
      </c>
      <c r="AR43" s="878">
        <v>19704.477664288788</v>
      </c>
      <c r="AS43" s="878">
        <v>19322.249388112468</v>
      </c>
      <c r="AT43" s="878">
        <v>19671.520938299513</v>
      </c>
      <c r="AU43" s="878">
        <v>21946.174337752516</v>
      </c>
      <c r="AV43" s="878">
        <v>22545.557014126411</v>
      </c>
      <c r="AW43" s="878">
        <v>22877.404338369684</v>
      </c>
      <c r="AX43" s="878">
        <v>25594.387499068926</v>
      </c>
      <c r="AY43" s="878">
        <v>24263.926402553021</v>
      </c>
      <c r="AZ43" s="878">
        <v>22543.248311728195</v>
      </c>
      <c r="BA43" s="878">
        <v>21234.901128839534</v>
      </c>
      <c r="BB43" s="878">
        <v>30290.441198478788</v>
      </c>
      <c r="BC43" s="878">
        <v>24337.911634397216</v>
      </c>
      <c r="BD43" s="878">
        <v>23016.085451020259</v>
      </c>
      <c r="BE43" s="878">
        <v>26127.521209808598</v>
      </c>
      <c r="BF43" s="878">
        <v>23921.084562984011</v>
      </c>
      <c r="BG43" s="878">
        <v>22208.752819936391</v>
      </c>
      <c r="BH43" s="878">
        <v>23156.253562813843</v>
      </c>
      <c r="BI43" s="878">
        <v>23121.383518245995</v>
      </c>
      <c r="BJ43" s="878">
        <v>24590.031698467454</v>
      </c>
      <c r="BK43" s="878">
        <v>23916.522247080891</v>
      </c>
      <c r="BL43" s="878">
        <v>23742.905440807965</v>
      </c>
      <c r="BM43" s="878">
        <v>24232.956685809291</v>
      </c>
      <c r="BN43" s="878">
        <v>26599.446508762252</v>
      </c>
      <c r="BO43" s="878">
        <v>29024.633317296066</v>
      </c>
      <c r="BP43" s="878">
        <v>27333.616765043411</v>
      </c>
      <c r="BQ43" s="878">
        <v>25716.207911377434</v>
      </c>
      <c r="BR43" s="878">
        <v>23815.733355021974</v>
      </c>
      <c r="BS43" s="878">
        <v>32057.999938223969</v>
      </c>
      <c r="BT43" s="878">
        <v>29087.255709827485</v>
      </c>
      <c r="BU43" s="878">
        <v>27682.723648223953</v>
      </c>
      <c r="BV43" s="878">
        <v>30605.533021761774</v>
      </c>
      <c r="BW43" s="878">
        <v>36707.213049972961</v>
      </c>
      <c r="BX43" s="878">
        <v>26209.195973646965</v>
      </c>
      <c r="BY43" s="878">
        <v>31883.152481903373</v>
      </c>
      <c r="BZ43" s="878">
        <v>31121.353675311264</v>
      </c>
      <c r="CA43" s="878">
        <v>26986.049667186711</v>
      </c>
      <c r="CB43" s="878">
        <v>27895.361200375159</v>
      </c>
      <c r="CC43" s="878">
        <v>27362.065229344491</v>
      </c>
      <c r="CD43" s="878">
        <v>27991.529754028328</v>
      </c>
      <c r="CE43" s="878">
        <v>30636.40264493529</v>
      </c>
      <c r="CF43" s="878">
        <v>32196.376471926222</v>
      </c>
      <c r="CG43" s="878">
        <v>29295.707543649169</v>
      </c>
      <c r="CH43" s="878">
        <v>31266.113443101447</v>
      </c>
      <c r="CI43" s="878">
        <v>32754.518333397475</v>
      </c>
      <c r="CJ43" s="878">
        <v>32771.984399307403</v>
      </c>
      <c r="CK43" s="878">
        <v>36520.885242843011</v>
      </c>
      <c r="CL43" s="878">
        <v>39405.925889257967</v>
      </c>
      <c r="CM43" s="878">
        <v>42509.915601848712</v>
      </c>
      <c r="CN43" s="878">
        <v>46812.632762614085</v>
      </c>
      <c r="CO43" s="878">
        <v>60404.274066625963</v>
      </c>
      <c r="CP43" s="878">
        <v>64176.642027490969</v>
      </c>
      <c r="CQ43" s="878">
        <v>53141.293309574496</v>
      </c>
      <c r="CR43" s="878">
        <v>57676.282520363959</v>
      </c>
      <c r="CS43" s="878">
        <v>61432.946588381412</v>
      </c>
      <c r="CT43" s="878">
        <v>59701.520731146054</v>
      </c>
      <c r="CU43" s="878">
        <v>67057.075566061321</v>
      </c>
      <c r="CV43" s="878">
        <v>69678.713956968146</v>
      </c>
      <c r="CW43" s="878">
        <v>73191.201505279183</v>
      </c>
      <c r="CX43" s="878">
        <v>68507.625070388312</v>
      </c>
      <c r="CY43" s="878">
        <v>65102.157469224556</v>
      </c>
      <c r="CZ43" s="878">
        <v>58334.616814234541</v>
      </c>
      <c r="DA43" s="878">
        <v>70770.248914523996</v>
      </c>
      <c r="DB43" s="917">
        <v>73227.274624757047</v>
      </c>
      <c r="DC43" s="878">
        <v>71740.712668774038</v>
      </c>
      <c r="DD43" s="860">
        <v>72942.46736347671</v>
      </c>
      <c r="DE43" s="860">
        <v>74106.670448174133</v>
      </c>
      <c r="DF43" s="860">
        <v>66679.538178442323</v>
      </c>
      <c r="DG43" s="860">
        <v>69867.393448514107</v>
      </c>
      <c r="DH43" s="860">
        <v>70233.084989007068</v>
      </c>
      <c r="DI43" s="860">
        <v>68132.574227126781</v>
      </c>
      <c r="DJ43" s="860">
        <v>74753.346603898739</v>
      </c>
      <c r="DK43" s="860">
        <v>83741.408117402083</v>
      </c>
      <c r="DL43" s="860">
        <v>79873.032783677103</v>
      </c>
      <c r="DM43" s="860">
        <v>93625.138333523224</v>
      </c>
      <c r="DN43" s="860">
        <v>95612.710791466394</v>
      </c>
      <c r="DO43" s="860">
        <v>88961.765299336839</v>
      </c>
      <c r="DP43" s="860">
        <v>91097.140368477529</v>
      </c>
      <c r="DQ43" s="860">
        <v>81832.147113959189</v>
      </c>
      <c r="DR43" s="860">
        <v>83314.444418574029</v>
      </c>
      <c r="DS43" s="860">
        <v>85980.003633500368</v>
      </c>
    </row>
    <row r="44" spans="1:123" ht="18" customHeight="1">
      <c r="A44" s="857" t="s">
        <v>2530</v>
      </c>
      <c r="B44" s="858" t="s">
        <v>2524</v>
      </c>
      <c r="C44" s="878">
        <v>3495.6415684986182</v>
      </c>
      <c r="D44" s="878">
        <v>3384.107689595849</v>
      </c>
      <c r="E44" s="878">
        <v>3271.6331236176302</v>
      </c>
      <c r="F44" s="917">
        <v>3272.7762917866294</v>
      </c>
      <c r="G44" s="878">
        <v>3255.0807226595352</v>
      </c>
      <c r="H44" s="918">
        <v>3742.6917097622304</v>
      </c>
      <c r="I44" s="878">
        <v>3647.9320380894683</v>
      </c>
      <c r="J44" s="878">
        <v>3230.8517671701861</v>
      </c>
      <c r="K44" s="878">
        <v>3662.8683849574359</v>
      </c>
      <c r="L44" s="878">
        <v>3848.8774807486584</v>
      </c>
      <c r="M44" s="917">
        <v>4134.721223380081</v>
      </c>
      <c r="N44" s="878">
        <v>3827.4946287044336</v>
      </c>
      <c r="O44" s="878">
        <v>4255.0011438979927</v>
      </c>
      <c r="P44" s="878">
        <v>4395.8558839348952</v>
      </c>
      <c r="Q44" s="878">
        <v>4170.1062686102305</v>
      </c>
      <c r="R44" s="878">
        <v>5002.1153473357035</v>
      </c>
      <c r="S44" s="878">
        <v>4347.658543524788</v>
      </c>
      <c r="T44" s="878">
        <v>4186.6316760905156</v>
      </c>
      <c r="U44" s="878">
        <v>4344.949446737709</v>
      </c>
      <c r="V44" s="878">
        <v>4129.9172620029522</v>
      </c>
      <c r="W44" s="878">
        <v>4392.8096184761398</v>
      </c>
      <c r="X44" s="878">
        <v>4095.4837599173816</v>
      </c>
      <c r="Y44" s="878">
        <v>4256.1719938747665</v>
      </c>
      <c r="Z44" s="878">
        <v>4183.4421946075481</v>
      </c>
      <c r="AA44" s="878">
        <v>4617.6160151286349</v>
      </c>
      <c r="AB44" s="860">
        <v>4614.5771849940811</v>
      </c>
      <c r="AC44" s="860">
        <v>4710.6523175544962</v>
      </c>
      <c r="AD44" s="877">
        <v>4157.6511166712844</v>
      </c>
      <c r="AE44" s="878">
        <v>4019.7912762942342</v>
      </c>
      <c r="AF44" s="878">
        <v>4161.2685977659812</v>
      </c>
      <c r="AG44" s="878">
        <v>4160.5040427488939</v>
      </c>
      <c r="AH44" s="878">
        <v>4837.0598256773301</v>
      </c>
      <c r="AI44" s="878">
        <v>4985.6069986008079</v>
      </c>
      <c r="AJ44" s="878">
        <v>5438.6799747489231</v>
      </c>
      <c r="AK44" s="878">
        <v>5310.7663303224208</v>
      </c>
      <c r="AL44" s="878">
        <v>5005.8586778588924</v>
      </c>
      <c r="AM44" s="878">
        <v>5291.6350886730352</v>
      </c>
      <c r="AN44" s="878">
        <v>4997.2479176020934</v>
      </c>
      <c r="AO44" s="878">
        <v>5598.6997302054842</v>
      </c>
      <c r="AP44" s="918">
        <v>4923.9416743037127</v>
      </c>
      <c r="AQ44" s="878">
        <v>4948.6041173017156</v>
      </c>
      <c r="AR44" s="878">
        <v>5083.326256160818</v>
      </c>
      <c r="AS44" s="878">
        <v>5066.4971476266437</v>
      </c>
      <c r="AT44" s="878">
        <v>5618.949444723492</v>
      </c>
      <c r="AU44" s="878">
        <v>5602.6020136190482</v>
      </c>
      <c r="AV44" s="878">
        <v>5770.8321336090139</v>
      </c>
      <c r="AW44" s="878">
        <v>5857.5384242466353</v>
      </c>
      <c r="AX44" s="878">
        <v>6028.7026773694788</v>
      </c>
      <c r="AY44" s="878">
        <v>6878.0023383476537</v>
      </c>
      <c r="AZ44" s="878">
        <v>7604.0455844604112</v>
      </c>
      <c r="BA44" s="878">
        <v>7893.7426159151346</v>
      </c>
      <c r="BB44" s="878">
        <v>7561.4192315683313</v>
      </c>
      <c r="BC44" s="878">
        <v>7715.2243616121796</v>
      </c>
      <c r="BD44" s="878">
        <v>7596.9742925374294</v>
      </c>
      <c r="BE44" s="878">
        <v>7545.8616838301859</v>
      </c>
      <c r="BF44" s="878">
        <v>7440.8625507930419</v>
      </c>
      <c r="BG44" s="878">
        <v>7823.5347870919741</v>
      </c>
      <c r="BH44" s="878">
        <v>7708.0265372259964</v>
      </c>
      <c r="BI44" s="878">
        <v>8489.0008841432118</v>
      </c>
      <c r="BJ44" s="878">
        <v>8506.3998487766876</v>
      </c>
      <c r="BK44" s="878">
        <v>8605.045459682482</v>
      </c>
      <c r="BL44" s="878">
        <v>8698.2606262574591</v>
      </c>
      <c r="BM44" s="878">
        <v>9280.4259172492548</v>
      </c>
      <c r="BN44" s="878">
        <v>9294.2342306476767</v>
      </c>
      <c r="BO44" s="878">
        <v>9635.5659515614152</v>
      </c>
      <c r="BP44" s="878">
        <v>9475.1206773081976</v>
      </c>
      <c r="BQ44" s="878">
        <v>9125.2985669564332</v>
      </c>
      <c r="BR44" s="878">
        <v>9288.7431539777772</v>
      </c>
      <c r="BS44" s="878">
        <v>9422.6555083620933</v>
      </c>
      <c r="BT44" s="878">
        <v>10264.134516770358</v>
      </c>
      <c r="BU44" s="878">
        <v>10721.405525402562</v>
      </c>
      <c r="BV44" s="878">
        <v>10046.549590326807</v>
      </c>
      <c r="BW44" s="878">
        <v>9537.0308950808067</v>
      </c>
      <c r="BX44" s="878">
        <v>9847.4090509647467</v>
      </c>
      <c r="BY44" s="878">
        <v>10097.346815957313</v>
      </c>
      <c r="BZ44" s="878">
        <v>10154.280731005787</v>
      </c>
      <c r="CA44" s="878">
        <v>10522.355121407993</v>
      </c>
      <c r="CB44" s="878">
        <v>10352.366136982795</v>
      </c>
      <c r="CC44" s="878">
        <v>10037.617270339781</v>
      </c>
      <c r="CD44" s="878">
        <v>10567.819826471554</v>
      </c>
      <c r="CE44" s="878">
        <v>10469.568391697207</v>
      </c>
      <c r="CF44" s="878">
        <v>10415.538359530783</v>
      </c>
      <c r="CG44" s="878">
        <v>11376.6833224169</v>
      </c>
      <c r="CH44" s="878">
        <v>10830.176198437317</v>
      </c>
      <c r="CI44" s="878">
        <v>10910.724934795169</v>
      </c>
      <c r="CJ44" s="878">
        <v>10828.158954843757</v>
      </c>
      <c r="CK44" s="878">
        <v>10776.328819657454</v>
      </c>
      <c r="CL44" s="878">
        <v>10680.105423668449</v>
      </c>
      <c r="CM44" s="878">
        <v>11095.252952426592</v>
      </c>
      <c r="CN44" s="878">
        <v>11140.947177616612</v>
      </c>
      <c r="CO44" s="878">
        <v>11379.951547673976</v>
      </c>
      <c r="CP44" s="878">
        <v>11595.072669347646</v>
      </c>
      <c r="CQ44" s="878">
        <v>11868.461831969422</v>
      </c>
      <c r="CR44" s="878">
        <v>11867.282196275353</v>
      </c>
      <c r="CS44" s="878">
        <v>12115.10142639816</v>
      </c>
      <c r="CT44" s="878">
        <v>12149.83826369694</v>
      </c>
      <c r="CU44" s="878">
        <v>12328.263682215664</v>
      </c>
      <c r="CV44" s="878">
        <v>12747.634636687382</v>
      </c>
      <c r="CW44" s="878">
        <v>12930.971464633123</v>
      </c>
      <c r="CX44" s="878">
        <v>13206.402540258914</v>
      </c>
      <c r="CY44" s="878">
        <v>13024.60011847623</v>
      </c>
      <c r="CZ44" s="878">
        <v>12826.45625597953</v>
      </c>
      <c r="DA44" s="878">
        <v>12993.682354884986</v>
      </c>
      <c r="DB44" s="917">
        <v>12442.048648592074</v>
      </c>
      <c r="DC44" s="878">
        <v>12863.078460785933</v>
      </c>
      <c r="DD44" s="860">
        <v>13154.226620819973</v>
      </c>
      <c r="DE44" s="860">
        <v>13366.470651808098</v>
      </c>
      <c r="DF44" s="860">
        <v>13702.425117124852</v>
      </c>
      <c r="DG44" s="860">
        <v>14383.121785474061</v>
      </c>
      <c r="DH44" s="860">
        <v>14947.903045389963</v>
      </c>
      <c r="DI44" s="860">
        <v>14766.185860499636</v>
      </c>
      <c r="DJ44" s="860">
        <v>14810.461342452931</v>
      </c>
      <c r="DK44" s="860">
        <v>14898.210738568056</v>
      </c>
      <c r="DL44" s="860">
        <v>14956.459656182262</v>
      </c>
      <c r="DM44" s="860">
        <v>14559.627373831481</v>
      </c>
      <c r="DN44" s="860">
        <v>14669.690969162668</v>
      </c>
      <c r="DO44" s="860">
        <v>14935.023783121873</v>
      </c>
      <c r="DP44" s="860">
        <v>15314.528794097789</v>
      </c>
      <c r="DQ44" s="860">
        <v>14985.673115780344</v>
      </c>
      <c r="DR44" s="860">
        <v>23051.163311469336</v>
      </c>
      <c r="DS44" s="860">
        <v>16149.542283132785</v>
      </c>
    </row>
    <row r="45" spans="1:123" ht="18" customHeight="1">
      <c r="A45" s="857" t="s">
        <v>2531</v>
      </c>
      <c r="B45" s="858" t="s">
        <v>2526</v>
      </c>
      <c r="C45" s="878">
        <v>62247.228422903398</v>
      </c>
      <c r="D45" s="878">
        <v>67968.356000153159</v>
      </c>
      <c r="E45" s="878">
        <v>74768.843508177146</v>
      </c>
      <c r="F45" s="917">
        <v>61518.2372370784</v>
      </c>
      <c r="G45" s="878">
        <v>60344.699216480716</v>
      </c>
      <c r="H45" s="918">
        <v>58889.854517240994</v>
      </c>
      <c r="I45" s="878">
        <v>52128.068034121192</v>
      </c>
      <c r="J45" s="878">
        <v>58580.199646111701</v>
      </c>
      <c r="K45" s="878">
        <v>75285.222287920289</v>
      </c>
      <c r="L45" s="878">
        <v>71166.200374835666</v>
      </c>
      <c r="M45" s="917">
        <v>59277.026369304294</v>
      </c>
      <c r="N45" s="878">
        <v>57598.198335323454</v>
      </c>
      <c r="O45" s="878">
        <v>62991.141857895294</v>
      </c>
      <c r="P45" s="878">
        <v>62545.011230378419</v>
      </c>
      <c r="Q45" s="878">
        <v>63695.649412223378</v>
      </c>
      <c r="R45" s="878">
        <v>77806.781402716675</v>
      </c>
      <c r="S45" s="878">
        <v>82426.780668664287</v>
      </c>
      <c r="T45" s="878">
        <v>99987.180954738142</v>
      </c>
      <c r="U45" s="878">
        <v>94049.341311468786</v>
      </c>
      <c r="V45" s="878">
        <v>83831.959678614439</v>
      </c>
      <c r="W45" s="878">
        <v>87358.419368576069</v>
      </c>
      <c r="X45" s="878">
        <v>81832.294583252646</v>
      </c>
      <c r="Y45" s="878">
        <v>93247.254627753311</v>
      </c>
      <c r="Z45" s="878">
        <v>83406.29237406516</v>
      </c>
      <c r="AA45" s="878">
        <v>83401.783888467602</v>
      </c>
      <c r="AB45" s="860">
        <v>101498.14290486691</v>
      </c>
      <c r="AC45" s="860">
        <v>108393.50804324985</v>
      </c>
      <c r="AD45" s="877">
        <v>104088.74286872032</v>
      </c>
      <c r="AE45" s="878">
        <v>102334.92545548439</v>
      </c>
      <c r="AF45" s="878">
        <v>113362.29097372187</v>
      </c>
      <c r="AG45" s="878">
        <v>109010.64885437915</v>
      </c>
      <c r="AH45" s="878">
        <v>106984.50282327186</v>
      </c>
      <c r="AI45" s="878">
        <v>97093.3522539962</v>
      </c>
      <c r="AJ45" s="878">
        <v>95403.898365424335</v>
      </c>
      <c r="AK45" s="878">
        <v>97549.984690987156</v>
      </c>
      <c r="AL45" s="878">
        <v>103341.70154666476</v>
      </c>
      <c r="AM45" s="878">
        <v>93279.522960964401</v>
      </c>
      <c r="AN45" s="878">
        <v>94724.840429074073</v>
      </c>
      <c r="AO45" s="878">
        <v>94284.222083197979</v>
      </c>
      <c r="AP45" s="918">
        <v>95063.630958060225</v>
      </c>
      <c r="AQ45" s="878">
        <v>109602.12140734686</v>
      </c>
      <c r="AR45" s="878">
        <v>106126.67844314988</v>
      </c>
      <c r="AS45" s="878">
        <v>102826.58725921782</v>
      </c>
      <c r="AT45" s="878">
        <v>105740.7050748529</v>
      </c>
      <c r="AU45" s="878">
        <v>102767.40544790521</v>
      </c>
      <c r="AV45" s="878">
        <v>99565.91792091493</v>
      </c>
      <c r="AW45" s="878">
        <v>93494.692555029644</v>
      </c>
      <c r="AX45" s="878">
        <v>84019.362446457904</v>
      </c>
      <c r="AY45" s="878">
        <v>76019.433750191965</v>
      </c>
      <c r="AZ45" s="878">
        <v>72703.644280441629</v>
      </c>
      <c r="BA45" s="878">
        <v>72112.944989742769</v>
      </c>
      <c r="BB45" s="878">
        <v>62422.87048655386</v>
      </c>
      <c r="BC45" s="878">
        <v>65727.827338987438</v>
      </c>
      <c r="BD45" s="878">
        <v>50660.424474567801</v>
      </c>
      <c r="BE45" s="878">
        <v>54947.932893552294</v>
      </c>
      <c r="BF45" s="878">
        <v>45935.145588673004</v>
      </c>
      <c r="BG45" s="878">
        <v>49056.966007015486</v>
      </c>
      <c r="BH45" s="878">
        <v>52258.62209355853</v>
      </c>
      <c r="BI45" s="878">
        <v>52442.426107662985</v>
      </c>
      <c r="BJ45" s="878">
        <v>61653.806566823208</v>
      </c>
      <c r="BK45" s="878">
        <v>57880.417836872963</v>
      </c>
      <c r="BL45" s="878">
        <v>57025.158822062411</v>
      </c>
      <c r="BM45" s="878">
        <v>58478.582870577207</v>
      </c>
      <c r="BN45" s="878">
        <v>61167.439199399218</v>
      </c>
      <c r="BO45" s="878">
        <v>58987.189783469999</v>
      </c>
      <c r="BP45" s="878">
        <v>60362.029981064683</v>
      </c>
      <c r="BQ45" s="878">
        <v>58236.792633211495</v>
      </c>
      <c r="BR45" s="878">
        <v>57699.17103960042</v>
      </c>
      <c r="BS45" s="878">
        <v>53163.27867044718</v>
      </c>
      <c r="BT45" s="878">
        <v>54017.360445767627</v>
      </c>
      <c r="BU45" s="878">
        <v>67892.146901149856</v>
      </c>
      <c r="BV45" s="878">
        <v>51706.182114946525</v>
      </c>
      <c r="BW45" s="878">
        <v>55325.340593848217</v>
      </c>
      <c r="BX45" s="878">
        <v>53662.508167461885</v>
      </c>
      <c r="BY45" s="878">
        <v>53094.165591204917</v>
      </c>
      <c r="BZ45" s="878">
        <v>53688.638103121797</v>
      </c>
      <c r="CA45" s="878">
        <v>52189.656529656029</v>
      </c>
      <c r="CB45" s="878">
        <v>53124.763583861662</v>
      </c>
      <c r="CC45" s="878">
        <v>54747.940596112247</v>
      </c>
      <c r="CD45" s="878">
        <v>51490.870687582887</v>
      </c>
      <c r="CE45" s="878">
        <v>49969.290236046894</v>
      </c>
      <c r="CF45" s="878">
        <v>59069.348151409307</v>
      </c>
      <c r="CG45" s="878">
        <v>60507.089625078857</v>
      </c>
      <c r="CH45" s="878">
        <v>53022.050554616624</v>
      </c>
      <c r="CI45" s="878">
        <v>72351.934543493044</v>
      </c>
      <c r="CJ45" s="878">
        <v>70126.570908080001</v>
      </c>
      <c r="CK45" s="878">
        <v>76174.545763540562</v>
      </c>
      <c r="CL45" s="878">
        <v>61889.027050773446</v>
      </c>
      <c r="CM45" s="878">
        <v>63378.595623971189</v>
      </c>
      <c r="CN45" s="878">
        <v>66107.372579607589</v>
      </c>
      <c r="CO45" s="878">
        <v>66500.253420387133</v>
      </c>
      <c r="CP45" s="878">
        <v>65032.192594844288</v>
      </c>
      <c r="CQ45" s="878">
        <v>96702.553736006128</v>
      </c>
      <c r="CR45" s="878">
        <v>98037.670859094855</v>
      </c>
      <c r="CS45" s="878">
        <v>73503.162751301032</v>
      </c>
      <c r="CT45" s="878">
        <v>83198.27666666107</v>
      </c>
      <c r="CU45" s="878">
        <v>92069.006260174676</v>
      </c>
      <c r="CV45" s="878">
        <v>95818.785743820757</v>
      </c>
      <c r="CW45" s="878">
        <v>89659.952172228208</v>
      </c>
      <c r="CX45" s="878">
        <v>97509.711487301101</v>
      </c>
      <c r="CY45" s="878">
        <v>90002.948098027482</v>
      </c>
      <c r="CZ45" s="878">
        <v>93992.317640057707</v>
      </c>
      <c r="DA45" s="878">
        <v>107598.28742136063</v>
      </c>
      <c r="DB45" s="917">
        <v>102582.1488056489</v>
      </c>
      <c r="DC45" s="878">
        <v>107103.60762525133</v>
      </c>
      <c r="DD45" s="860">
        <v>110269.62989934352</v>
      </c>
      <c r="DE45" s="860">
        <v>87577.391452767013</v>
      </c>
      <c r="DF45" s="860">
        <v>64285.784499499816</v>
      </c>
      <c r="DG45" s="860">
        <v>66685.205529930347</v>
      </c>
      <c r="DH45" s="860">
        <v>66100.446354889864</v>
      </c>
      <c r="DI45" s="860">
        <v>65130.750810034297</v>
      </c>
      <c r="DJ45" s="860">
        <v>67586.772061793105</v>
      </c>
      <c r="DK45" s="860">
        <v>68357.000328550246</v>
      </c>
      <c r="DL45" s="860">
        <v>72297.532434833207</v>
      </c>
      <c r="DM45" s="860">
        <v>74619.07548139678</v>
      </c>
      <c r="DN45" s="860">
        <v>74028.201655478784</v>
      </c>
      <c r="DO45" s="860">
        <v>71249.378047804828</v>
      </c>
      <c r="DP45" s="860">
        <v>80007.783274461734</v>
      </c>
      <c r="DQ45" s="860">
        <v>74800.894115602729</v>
      </c>
      <c r="DR45" s="860">
        <v>65757.155908239787</v>
      </c>
      <c r="DS45" s="860">
        <v>67749.187445811243</v>
      </c>
    </row>
    <row r="46" spans="1:123" ht="18" customHeight="1">
      <c r="A46" s="857"/>
      <c r="B46" s="858"/>
      <c r="C46" s="937"/>
      <c r="D46" s="937"/>
      <c r="E46" s="937"/>
      <c r="F46" s="938"/>
      <c r="G46" s="937"/>
      <c r="H46" s="939"/>
      <c r="I46" s="937"/>
      <c r="J46" s="937"/>
      <c r="K46" s="937"/>
      <c r="L46" s="937"/>
      <c r="M46" s="938"/>
      <c r="N46" s="937"/>
      <c r="O46" s="937"/>
      <c r="P46" s="937"/>
      <c r="Q46" s="937"/>
      <c r="R46" s="937"/>
      <c r="S46" s="937"/>
      <c r="T46" s="937"/>
      <c r="U46" s="937"/>
      <c r="V46" s="937"/>
      <c r="W46" s="937"/>
      <c r="X46" s="937"/>
      <c r="Y46" s="937"/>
      <c r="Z46" s="937"/>
      <c r="AA46" s="937"/>
      <c r="AB46" s="940"/>
      <c r="AC46" s="940"/>
      <c r="AD46" s="941"/>
      <c r="AE46" s="937"/>
      <c r="AF46" s="937"/>
      <c r="AG46" s="937"/>
      <c r="AH46" s="937"/>
      <c r="AI46" s="937"/>
      <c r="AJ46" s="937"/>
      <c r="AK46" s="937"/>
      <c r="AL46" s="937"/>
      <c r="AM46" s="937"/>
      <c r="AN46" s="937"/>
      <c r="AO46" s="937"/>
      <c r="AP46" s="939"/>
      <c r="AQ46" s="937"/>
      <c r="AR46" s="937"/>
      <c r="AS46" s="937"/>
      <c r="AT46" s="937"/>
      <c r="AU46" s="937"/>
      <c r="AV46" s="937"/>
      <c r="AW46" s="937"/>
      <c r="AX46" s="937"/>
      <c r="AY46" s="937"/>
      <c r="AZ46" s="937"/>
      <c r="BA46" s="937"/>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c r="CB46" s="937"/>
      <c r="CC46" s="937"/>
      <c r="CD46" s="937"/>
      <c r="CE46" s="937"/>
      <c r="CF46" s="937"/>
      <c r="CG46" s="937"/>
      <c r="CH46" s="937"/>
      <c r="CI46" s="937"/>
      <c r="CJ46" s="937"/>
      <c r="CK46" s="937"/>
      <c r="CL46" s="937"/>
      <c r="CM46" s="937"/>
      <c r="CN46" s="937"/>
      <c r="CO46" s="937"/>
      <c r="CP46" s="937"/>
      <c r="CQ46" s="937"/>
      <c r="CR46" s="937"/>
      <c r="CS46" s="937"/>
      <c r="CT46" s="937"/>
      <c r="CU46" s="937"/>
      <c r="CV46" s="937"/>
      <c r="CW46" s="937"/>
      <c r="CX46" s="937"/>
      <c r="CY46" s="937"/>
      <c r="CZ46" s="937"/>
      <c r="DA46" s="937"/>
      <c r="DB46" s="938"/>
      <c r="DC46" s="937"/>
      <c r="DD46" s="940"/>
      <c r="DE46" s="940"/>
      <c r="DF46" s="940"/>
      <c r="DG46" s="940"/>
      <c r="DH46" s="940"/>
      <c r="DI46" s="940"/>
      <c r="DJ46" s="940"/>
      <c r="DK46" s="940"/>
      <c r="DL46" s="940"/>
      <c r="DM46" s="940"/>
      <c r="DN46" s="940"/>
      <c r="DO46" s="940"/>
      <c r="DP46" s="940"/>
      <c r="DQ46" s="940"/>
      <c r="DR46" s="940"/>
      <c r="DS46" s="940"/>
    </row>
    <row r="47" spans="1:123" ht="18" customHeight="1">
      <c r="A47" s="853" t="s">
        <v>2532</v>
      </c>
      <c r="B47" s="854" t="s">
        <v>2533</v>
      </c>
      <c r="C47" s="909">
        <v>0</v>
      </c>
      <c r="D47" s="909">
        <v>0</v>
      </c>
      <c r="E47" s="909">
        <v>0</v>
      </c>
      <c r="F47" s="910">
        <v>640</v>
      </c>
      <c r="G47" s="909">
        <v>641.45043299999998</v>
      </c>
      <c r="H47" s="911">
        <v>645.547281</v>
      </c>
      <c r="I47" s="909">
        <v>649.20652900000005</v>
      </c>
      <c r="J47" s="909">
        <v>653.63230299999998</v>
      </c>
      <c r="K47" s="909">
        <v>657.68341124999995</v>
      </c>
      <c r="L47" s="909">
        <v>661.35194488888897</v>
      </c>
      <c r="M47" s="910">
        <v>665.86065039111111</v>
      </c>
      <c r="N47" s="909">
        <v>669.84978488888896</v>
      </c>
      <c r="O47" s="909">
        <v>674.2577973333332</v>
      </c>
      <c r="P47" s="909">
        <v>678.7132693333333</v>
      </c>
      <c r="Q47" s="909">
        <v>682.77766222222226</v>
      </c>
      <c r="R47" s="909">
        <v>687.27664888888887</v>
      </c>
      <c r="S47" s="909">
        <v>691.67521777777779</v>
      </c>
      <c r="T47" s="909">
        <v>696.04463911111111</v>
      </c>
      <c r="U47" s="909">
        <v>700.3977608888888</v>
      </c>
      <c r="V47" s="909">
        <v>705.16844533333324</v>
      </c>
      <c r="W47" s="909">
        <v>709.62047199999995</v>
      </c>
      <c r="X47" s="909">
        <v>713.57458666666673</v>
      </c>
      <c r="Y47" s="909">
        <v>718.28701333333322</v>
      </c>
      <c r="Z47" s="909">
        <v>722.73404000000005</v>
      </c>
      <c r="AA47" s="909">
        <v>727.37966488888901</v>
      </c>
      <c r="AB47" s="855">
        <v>732.07468422222223</v>
      </c>
      <c r="AC47" s="855">
        <v>736.60560799999996</v>
      </c>
      <c r="AD47" s="936">
        <v>741.70598488888891</v>
      </c>
      <c r="AE47" s="909">
        <v>745.98991466666678</v>
      </c>
      <c r="AF47" s="909">
        <v>751.37571733333323</v>
      </c>
      <c r="AG47" s="909">
        <v>755.84376266666675</v>
      </c>
      <c r="AH47" s="909">
        <v>760.67616143111127</v>
      </c>
      <c r="AI47" s="909">
        <v>765.69630222222224</v>
      </c>
      <c r="AJ47" s="909">
        <v>770.24621955555574</v>
      </c>
      <c r="AK47" s="909">
        <v>774.85213511111112</v>
      </c>
      <c r="AL47" s="909">
        <v>779.80511733333321</v>
      </c>
      <c r="AM47" s="909">
        <v>784.78973333333329</v>
      </c>
      <c r="AN47" s="909">
        <v>789.65365511111122</v>
      </c>
      <c r="AO47" s="909">
        <v>794.70007911111111</v>
      </c>
      <c r="AP47" s="911">
        <v>728.36991866666665</v>
      </c>
      <c r="AQ47" s="909">
        <v>732.87450985714293</v>
      </c>
      <c r="AR47" s="909">
        <v>737.86018647619039</v>
      </c>
      <c r="AS47" s="909">
        <v>742.11921833333327</v>
      </c>
      <c r="AT47" s="909">
        <v>747.47372047619046</v>
      </c>
      <c r="AU47" s="909">
        <v>751.7882111904762</v>
      </c>
      <c r="AV47" s="909">
        <v>756.12759071428559</v>
      </c>
      <c r="AW47" s="909">
        <v>761.15437252380946</v>
      </c>
      <c r="AX47" s="909">
        <v>845.79487733333326</v>
      </c>
      <c r="AY47" s="909">
        <v>851.45723822222226</v>
      </c>
      <c r="AZ47" s="909">
        <v>856.89538755555566</v>
      </c>
      <c r="BA47" s="909">
        <v>862.36826933333327</v>
      </c>
      <c r="BB47" s="909">
        <v>6.75</v>
      </c>
      <c r="BC47" s="909">
        <v>0</v>
      </c>
      <c r="BD47" s="909">
        <v>0</v>
      </c>
      <c r="BE47" s="909">
        <v>0</v>
      </c>
      <c r="BF47" s="909">
        <v>0</v>
      </c>
      <c r="BG47" s="909">
        <v>0</v>
      </c>
      <c r="BH47" s="909">
        <v>0</v>
      </c>
      <c r="BI47" s="909">
        <v>0</v>
      </c>
      <c r="BJ47" s="909">
        <v>0</v>
      </c>
      <c r="BK47" s="909">
        <v>0</v>
      </c>
      <c r="BL47" s="909">
        <v>0</v>
      </c>
      <c r="BM47" s="909">
        <v>0</v>
      </c>
      <c r="BN47" s="909">
        <v>0</v>
      </c>
      <c r="BO47" s="909">
        <v>0</v>
      </c>
      <c r="BP47" s="909">
        <v>0</v>
      </c>
      <c r="BQ47" s="909">
        <v>0</v>
      </c>
      <c r="BR47" s="909">
        <v>0</v>
      </c>
      <c r="BS47" s="909">
        <v>0</v>
      </c>
      <c r="BT47" s="909">
        <v>0</v>
      </c>
      <c r="BU47" s="909">
        <v>0</v>
      </c>
      <c r="BV47" s="909">
        <v>0</v>
      </c>
      <c r="BW47" s="909">
        <v>0</v>
      </c>
      <c r="BX47" s="909">
        <v>0</v>
      </c>
      <c r="BY47" s="909">
        <v>0</v>
      </c>
      <c r="BZ47" s="909">
        <v>0</v>
      </c>
      <c r="CA47" s="909">
        <v>0</v>
      </c>
      <c r="CB47" s="909">
        <v>0</v>
      </c>
      <c r="CC47" s="909">
        <v>0</v>
      </c>
      <c r="CD47" s="909">
        <v>0</v>
      </c>
      <c r="CE47" s="909">
        <v>0</v>
      </c>
      <c r="CF47" s="909">
        <v>0</v>
      </c>
      <c r="CG47" s="909">
        <v>0</v>
      </c>
      <c r="CH47" s="909">
        <v>0</v>
      </c>
      <c r="CI47" s="909">
        <v>0</v>
      </c>
      <c r="CJ47" s="909">
        <v>0</v>
      </c>
      <c r="CK47" s="909">
        <v>0</v>
      </c>
      <c r="CL47" s="909">
        <v>0</v>
      </c>
      <c r="CM47" s="909">
        <v>0</v>
      </c>
      <c r="CN47" s="909">
        <v>0</v>
      </c>
      <c r="CO47" s="909">
        <v>0</v>
      </c>
      <c r="CP47" s="909">
        <v>0</v>
      </c>
      <c r="CQ47" s="909">
        <v>0</v>
      </c>
      <c r="CR47" s="909">
        <v>0</v>
      </c>
      <c r="CS47" s="909">
        <v>0</v>
      </c>
      <c r="CT47" s="909">
        <v>0</v>
      </c>
      <c r="CU47" s="909">
        <v>0</v>
      </c>
      <c r="CV47" s="909">
        <v>0</v>
      </c>
      <c r="CW47" s="909">
        <v>0</v>
      </c>
      <c r="CX47" s="909">
        <v>0</v>
      </c>
      <c r="CY47" s="909">
        <v>0</v>
      </c>
      <c r="CZ47" s="909">
        <v>0</v>
      </c>
      <c r="DA47" s="909">
        <v>0</v>
      </c>
      <c r="DB47" s="910">
        <v>0</v>
      </c>
      <c r="DC47" s="909">
        <v>0</v>
      </c>
      <c r="DD47" s="855">
        <v>0</v>
      </c>
      <c r="DE47" s="855">
        <v>0</v>
      </c>
      <c r="DF47" s="855">
        <v>0</v>
      </c>
      <c r="DG47" s="855">
        <v>0</v>
      </c>
      <c r="DH47" s="855">
        <v>0</v>
      </c>
      <c r="DI47" s="855">
        <v>0</v>
      </c>
      <c r="DJ47" s="855">
        <v>0</v>
      </c>
      <c r="DK47" s="855">
        <v>0</v>
      </c>
      <c r="DL47" s="855">
        <v>0</v>
      </c>
      <c r="DM47" s="855">
        <v>0</v>
      </c>
      <c r="DN47" s="855">
        <v>0</v>
      </c>
      <c r="DO47" s="855">
        <v>0</v>
      </c>
      <c r="DP47" s="855">
        <v>0</v>
      </c>
      <c r="DQ47" s="855">
        <v>0</v>
      </c>
      <c r="DR47" s="855">
        <v>0</v>
      </c>
      <c r="DS47" s="855">
        <v>0</v>
      </c>
    </row>
    <row r="48" spans="1:123" ht="18" customHeight="1">
      <c r="A48" s="857"/>
      <c r="B48" s="858"/>
      <c r="C48" s="937"/>
      <c r="D48" s="937"/>
      <c r="E48" s="937"/>
      <c r="F48" s="938"/>
      <c r="G48" s="937"/>
      <c r="H48" s="939"/>
      <c r="I48" s="937"/>
      <c r="J48" s="937"/>
      <c r="K48" s="937"/>
      <c r="L48" s="937"/>
      <c r="M48" s="938"/>
      <c r="N48" s="937"/>
      <c r="O48" s="937"/>
      <c r="P48" s="937"/>
      <c r="Q48" s="937"/>
      <c r="R48" s="937"/>
      <c r="S48" s="937"/>
      <c r="T48" s="937"/>
      <c r="U48" s="937"/>
      <c r="V48" s="937"/>
      <c r="W48" s="937"/>
      <c r="X48" s="937"/>
      <c r="Y48" s="937"/>
      <c r="Z48" s="937"/>
      <c r="AA48" s="937"/>
      <c r="AB48" s="940"/>
      <c r="AC48" s="940"/>
      <c r="AD48" s="941"/>
      <c r="AE48" s="937"/>
      <c r="AF48" s="937"/>
      <c r="AG48" s="937"/>
      <c r="AH48" s="937"/>
      <c r="AI48" s="937"/>
      <c r="AJ48" s="937"/>
      <c r="AK48" s="937"/>
      <c r="AL48" s="937"/>
      <c r="AM48" s="937"/>
      <c r="AN48" s="937"/>
      <c r="AO48" s="937"/>
      <c r="AP48" s="939"/>
      <c r="AQ48" s="937"/>
      <c r="AR48" s="937"/>
      <c r="AS48" s="937"/>
      <c r="AT48" s="937"/>
      <c r="AU48" s="937"/>
      <c r="AV48" s="937"/>
      <c r="AW48" s="937"/>
      <c r="AX48" s="937"/>
      <c r="AY48" s="937"/>
      <c r="AZ48" s="937"/>
      <c r="BA48" s="937"/>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c r="CB48" s="937"/>
      <c r="CC48" s="937"/>
      <c r="CD48" s="937"/>
      <c r="CE48" s="937"/>
      <c r="CF48" s="937"/>
      <c r="CG48" s="937"/>
      <c r="CH48" s="937"/>
      <c r="CI48" s="937"/>
      <c r="CJ48" s="937"/>
      <c r="CK48" s="937"/>
      <c r="CL48" s="937"/>
      <c r="CM48" s="937"/>
      <c r="CN48" s="937"/>
      <c r="CO48" s="937"/>
      <c r="CP48" s="937"/>
      <c r="CQ48" s="937"/>
      <c r="CR48" s="937"/>
      <c r="CS48" s="937"/>
      <c r="CT48" s="937"/>
      <c r="CU48" s="937"/>
      <c r="CV48" s="937"/>
      <c r="CW48" s="937"/>
      <c r="CX48" s="937"/>
      <c r="CY48" s="937"/>
      <c r="CZ48" s="937"/>
      <c r="DA48" s="937"/>
      <c r="DB48" s="938"/>
      <c r="DC48" s="937"/>
      <c r="DD48" s="940"/>
      <c r="DE48" s="940"/>
      <c r="DF48" s="940"/>
      <c r="DG48" s="940"/>
      <c r="DH48" s="940"/>
      <c r="DI48" s="940"/>
      <c r="DJ48" s="940"/>
      <c r="DK48" s="940"/>
      <c r="DL48" s="940"/>
      <c r="DM48" s="940"/>
      <c r="DN48" s="940"/>
      <c r="DO48" s="940"/>
      <c r="DP48" s="940"/>
      <c r="DQ48" s="940"/>
      <c r="DR48" s="940"/>
      <c r="DS48" s="940"/>
    </row>
    <row r="49" spans="1:123" ht="18" customHeight="1">
      <c r="A49" s="853" t="s">
        <v>2534</v>
      </c>
      <c r="B49" s="854" t="s">
        <v>2552</v>
      </c>
      <c r="C49" s="909">
        <v>15045.104009906456</v>
      </c>
      <c r="D49" s="909">
        <v>15252.978748947929</v>
      </c>
      <c r="E49" s="909">
        <v>14711.615015608641</v>
      </c>
      <c r="F49" s="910">
        <v>15128.616880714215</v>
      </c>
      <c r="G49" s="909">
        <v>14891.179142584029</v>
      </c>
      <c r="H49" s="911">
        <v>14558.258925055829</v>
      </c>
      <c r="I49" s="909">
        <v>14563.787617767368</v>
      </c>
      <c r="J49" s="909">
        <v>14504.884331448271</v>
      </c>
      <c r="K49" s="909">
        <v>14425.921092075629</v>
      </c>
      <c r="L49" s="909">
        <v>14546.105650958574</v>
      </c>
      <c r="M49" s="910">
        <v>15015.970978897403</v>
      </c>
      <c r="N49" s="909">
        <v>15507.595212671948</v>
      </c>
      <c r="O49" s="909">
        <v>15298.666244432159</v>
      </c>
      <c r="P49" s="909">
        <v>15557.857242265172</v>
      </c>
      <c r="Q49" s="909">
        <v>16249.518714156577</v>
      </c>
      <c r="R49" s="909">
        <v>16221.679590776088</v>
      </c>
      <c r="S49" s="909">
        <v>16375.520447394349</v>
      </c>
      <c r="T49" s="909">
        <v>17146.927347804998</v>
      </c>
      <c r="U49" s="909">
        <v>16287.99025579686</v>
      </c>
      <c r="V49" s="909">
        <v>16407.077835298907</v>
      </c>
      <c r="W49" s="909">
        <v>16153.566005627621</v>
      </c>
      <c r="X49" s="909">
        <v>16168.172849911318</v>
      </c>
      <c r="Y49" s="909">
        <v>16324.499575686385</v>
      </c>
      <c r="Z49" s="909">
        <v>16037.98887025656</v>
      </c>
      <c r="AA49" s="909">
        <v>16109.635298681034</v>
      </c>
      <c r="AB49" s="855">
        <v>16448.862086199537</v>
      </c>
      <c r="AC49" s="855">
        <v>16347.284165805198</v>
      </c>
      <c r="AD49" s="936">
        <v>16776.565731781753</v>
      </c>
      <c r="AE49" s="909">
        <v>17030.416845457345</v>
      </c>
      <c r="AF49" s="909">
        <v>17262.416318660165</v>
      </c>
      <c r="AG49" s="909">
        <v>16470.308618465773</v>
      </c>
      <c r="AH49" s="909">
        <v>16870.045072464822</v>
      </c>
      <c r="AI49" s="909">
        <v>16513.908916179549</v>
      </c>
      <c r="AJ49" s="909">
        <v>898.7989082405112</v>
      </c>
      <c r="AK49" s="909">
        <v>861.77151291528889</v>
      </c>
      <c r="AL49" s="909">
        <v>1099.5592490304</v>
      </c>
      <c r="AM49" s="909">
        <v>1019.0865931771667</v>
      </c>
      <c r="AN49" s="909">
        <v>976.96264977928899</v>
      </c>
      <c r="AO49" s="909">
        <v>1040.5004410800223</v>
      </c>
      <c r="AP49" s="911">
        <v>1081.1939011959334</v>
      </c>
      <c r="AQ49" s="909">
        <v>1189.3598429879239</v>
      </c>
      <c r="AR49" s="909">
        <v>1243.2708294678093</v>
      </c>
      <c r="AS49" s="909">
        <v>1279.8613689733668</v>
      </c>
      <c r="AT49" s="909">
        <v>1271.5996806622595</v>
      </c>
      <c r="AU49" s="909">
        <v>1199.1619262505569</v>
      </c>
      <c r="AV49" s="909">
        <v>1155.0305887734644</v>
      </c>
      <c r="AW49" s="909">
        <v>1139.6961893274311</v>
      </c>
      <c r="AX49" s="909">
        <v>1259.9482977386983</v>
      </c>
      <c r="AY49" s="909">
        <v>1238.3272744853004</v>
      </c>
      <c r="AZ49" s="909">
        <v>878.95489068434142</v>
      </c>
      <c r="BA49" s="909">
        <v>956.08903745806265</v>
      </c>
      <c r="BB49" s="909">
        <v>783.97270425570832</v>
      </c>
      <c r="BC49" s="909">
        <v>854.14120872096305</v>
      </c>
      <c r="BD49" s="909">
        <v>883.47022197736339</v>
      </c>
      <c r="BE49" s="909">
        <v>918.97752635636073</v>
      </c>
      <c r="BF49" s="909">
        <v>1006.803345868023</v>
      </c>
      <c r="BG49" s="909">
        <v>1541.7032591520708</v>
      </c>
      <c r="BH49" s="909">
        <v>1157.0924238882374</v>
      </c>
      <c r="BI49" s="909">
        <v>1220.1777750274027</v>
      </c>
      <c r="BJ49" s="909">
        <v>1247.2652278087021</v>
      </c>
      <c r="BK49" s="909">
        <v>1237.6344496282929</v>
      </c>
      <c r="BL49" s="909">
        <v>1219.0656411219168</v>
      </c>
      <c r="BM49" s="909">
        <v>1157.2090045506454</v>
      </c>
      <c r="BN49" s="909">
        <v>1256.4355875570463</v>
      </c>
      <c r="BO49" s="909">
        <v>1254.3869285360436</v>
      </c>
      <c r="BP49" s="909">
        <v>1302.1468264104776</v>
      </c>
      <c r="BQ49" s="909">
        <v>1217.2545327702653</v>
      </c>
      <c r="BR49" s="909">
        <v>1302.3310317796659</v>
      </c>
      <c r="BS49" s="909">
        <v>1204.6501408748975</v>
      </c>
      <c r="BT49" s="909">
        <v>1237.765141539488</v>
      </c>
      <c r="BU49" s="909">
        <v>1313.8005488732629</v>
      </c>
      <c r="BV49" s="909">
        <v>1182.4475531745416</v>
      </c>
      <c r="BW49" s="909">
        <v>1119.8991953549641</v>
      </c>
      <c r="BX49" s="909">
        <v>993.62369071162891</v>
      </c>
      <c r="BY49" s="909">
        <v>6420.4863756678606</v>
      </c>
      <c r="BZ49" s="909">
        <v>6486.7428962633339</v>
      </c>
      <c r="CA49" s="909">
        <v>6651.4769204397489</v>
      </c>
      <c r="CB49" s="909">
        <v>7714.8385189486571</v>
      </c>
      <c r="CC49" s="909">
        <v>7528.5721509488194</v>
      </c>
      <c r="CD49" s="909">
        <v>7609.5393174411147</v>
      </c>
      <c r="CE49" s="909">
        <v>7647.6678899913604</v>
      </c>
      <c r="CF49" s="909">
        <v>7764.8705142639292</v>
      </c>
      <c r="CG49" s="909">
        <v>7612.2662415359828</v>
      </c>
      <c r="CH49" s="909">
        <v>7669.7182570720006</v>
      </c>
      <c r="CI49" s="909">
        <v>8095.0391335804443</v>
      </c>
      <c r="CJ49" s="909">
        <v>7865.4789433237111</v>
      </c>
      <c r="CK49" s="909">
        <v>7890.0037322446178</v>
      </c>
      <c r="CL49" s="909">
        <v>8008.3467121284702</v>
      </c>
      <c r="CM49" s="909">
        <v>8646.3296934415921</v>
      </c>
      <c r="CN49" s="909">
        <v>7840.0146798454643</v>
      </c>
      <c r="CO49" s="909">
        <v>7766.9697828987692</v>
      </c>
      <c r="CP49" s="909">
        <v>8058.7182430322773</v>
      </c>
      <c r="CQ49" s="909">
        <v>8234.571529147137</v>
      </c>
      <c r="CR49" s="909">
        <v>8001.7661182826023</v>
      </c>
      <c r="CS49" s="909">
        <v>7978.7580518328195</v>
      </c>
      <c r="CT49" s="909">
        <v>8064.0392681820485</v>
      </c>
      <c r="CU49" s="909">
        <v>9343.9465719759646</v>
      </c>
      <c r="CV49" s="909">
        <v>9396.7240134001313</v>
      </c>
      <c r="CW49" s="909">
        <v>13780.199132482079</v>
      </c>
      <c r="CX49" s="909">
        <v>13694.15438558099</v>
      </c>
      <c r="CY49" s="909">
        <v>13561.030678638792</v>
      </c>
      <c r="CZ49" s="909">
        <v>13631.460155642533</v>
      </c>
      <c r="DA49" s="909">
        <v>13272.061651796099</v>
      </c>
      <c r="DB49" s="910">
        <v>13437.867494984626</v>
      </c>
      <c r="DC49" s="909">
        <v>13376.222837683907</v>
      </c>
      <c r="DD49" s="855">
        <v>14909.119321448543</v>
      </c>
      <c r="DE49" s="855">
        <v>15045.142499000014</v>
      </c>
      <c r="DF49" s="855">
        <v>17030.176292038144</v>
      </c>
      <c r="DG49" s="855">
        <v>17013.154985804216</v>
      </c>
      <c r="DH49" s="855">
        <v>17248.484776916484</v>
      </c>
      <c r="DI49" s="855">
        <v>17246.213901513034</v>
      </c>
      <c r="DJ49" s="855">
        <v>17316.854302356103</v>
      </c>
      <c r="DK49" s="855">
        <v>13829.275139381234</v>
      </c>
      <c r="DL49" s="855">
        <v>13926.674153755353</v>
      </c>
      <c r="DM49" s="855">
        <v>14026.051920884778</v>
      </c>
      <c r="DN49" s="855">
        <v>13993.503242497189</v>
      </c>
      <c r="DO49" s="855">
        <v>14008.446436449878</v>
      </c>
      <c r="DP49" s="855">
        <v>14807.128672268238</v>
      </c>
      <c r="DQ49" s="855">
        <v>15648.52590588326</v>
      </c>
      <c r="DR49" s="855">
        <v>15683.09577426965</v>
      </c>
      <c r="DS49" s="855">
        <v>11138.615411240744</v>
      </c>
    </row>
    <row r="50" spans="1:123" ht="18" customHeight="1">
      <c r="A50" s="857"/>
      <c r="B50" s="858"/>
      <c r="C50" s="937"/>
      <c r="D50" s="937"/>
      <c r="E50" s="937"/>
      <c r="F50" s="938"/>
      <c r="G50" s="937"/>
      <c r="H50" s="939"/>
      <c r="I50" s="937"/>
      <c r="J50" s="937"/>
      <c r="K50" s="937"/>
      <c r="L50" s="937"/>
      <c r="M50" s="938"/>
      <c r="N50" s="937"/>
      <c r="O50" s="937"/>
      <c r="P50" s="937"/>
      <c r="Q50" s="937"/>
      <c r="R50" s="937"/>
      <c r="S50" s="937"/>
      <c r="T50" s="937"/>
      <c r="U50" s="937"/>
      <c r="V50" s="937"/>
      <c r="W50" s="937"/>
      <c r="X50" s="937"/>
      <c r="Y50" s="937"/>
      <c r="Z50" s="937"/>
      <c r="AA50" s="937"/>
      <c r="AB50" s="940"/>
      <c r="AC50" s="940"/>
      <c r="AD50" s="941"/>
      <c r="AE50" s="937"/>
      <c r="AF50" s="937"/>
      <c r="AG50" s="937"/>
      <c r="AH50" s="937"/>
      <c r="AI50" s="937"/>
      <c r="AJ50" s="937"/>
      <c r="AK50" s="937"/>
      <c r="AL50" s="937"/>
      <c r="AM50" s="937"/>
      <c r="AN50" s="937"/>
      <c r="AO50" s="937"/>
      <c r="AP50" s="939"/>
      <c r="AQ50" s="937"/>
      <c r="AR50" s="937"/>
      <c r="AS50" s="937"/>
      <c r="AT50" s="937"/>
      <c r="AU50" s="937"/>
      <c r="AV50" s="937"/>
      <c r="AW50" s="937"/>
      <c r="AX50" s="937"/>
      <c r="AY50" s="937"/>
      <c r="AZ50" s="937"/>
      <c r="BA50" s="937"/>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c r="CB50" s="937"/>
      <c r="CC50" s="937"/>
      <c r="CD50" s="937"/>
      <c r="CE50" s="937"/>
      <c r="CF50" s="937"/>
      <c r="CG50" s="937"/>
      <c r="CH50" s="937"/>
      <c r="CI50" s="937"/>
      <c r="CJ50" s="937"/>
      <c r="CK50" s="937"/>
      <c r="CL50" s="937"/>
      <c r="CM50" s="937"/>
      <c r="CN50" s="937"/>
      <c r="CO50" s="937"/>
      <c r="CP50" s="937"/>
      <c r="CQ50" s="937"/>
      <c r="CR50" s="937"/>
      <c r="CS50" s="937"/>
      <c r="CT50" s="937"/>
      <c r="CU50" s="937"/>
      <c r="CV50" s="937"/>
      <c r="CW50" s="937"/>
      <c r="CX50" s="937"/>
      <c r="CY50" s="937"/>
      <c r="CZ50" s="937"/>
      <c r="DA50" s="937"/>
      <c r="DB50" s="938"/>
      <c r="DC50" s="937"/>
      <c r="DD50" s="940"/>
      <c r="DE50" s="940"/>
      <c r="DF50" s="940"/>
      <c r="DG50" s="940"/>
      <c r="DH50" s="940"/>
      <c r="DI50" s="940"/>
      <c r="DJ50" s="940"/>
      <c r="DK50" s="940"/>
      <c r="DL50" s="940"/>
      <c r="DM50" s="940"/>
      <c r="DN50" s="940"/>
      <c r="DO50" s="940"/>
      <c r="DP50" s="940"/>
      <c r="DQ50" s="940"/>
      <c r="DR50" s="940"/>
      <c r="DS50" s="940"/>
    </row>
    <row r="51" spans="1:123" ht="18" customHeight="1">
      <c r="A51" s="853" t="s">
        <v>2536</v>
      </c>
      <c r="B51" s="854" t="s">
        <v>2312</v>
      </c>
      <c r="C51" s="909">
        <v>35962.566492851707</v>
      </c>
      <c r="D51" s="909">
        <v>36047.247638540102</v>
      </c>
      <c r="E51" s="909">
        <v>40055.369662550002</v>
      </c>
      <c r="F51" s="910">
        <v>62545.449858789812</v>
      </c>
      <c r="G51" s="909">
        <v>61521.622535666756</v>
      </c>
      <c r="H51" s="911">
        <v>61688.049821202643</v>
      </c>
      <c r="I51" s="909">
        <v>63421.862605252652</v>
      </c>
      <c r="J51" s="909">
        <v>58046.991185005681</v>
      </c>
      <c r="K51" s="909">
        <v>57973.69648324071</v>
      </c>
      <c r="L51" s="909">
        <v>60203.708133559703</v>
      </c>
      <c r="M51" s="910">
        <v>65426.4796115231</v>
      </c>
      <c r="N51" s="909">
        <v>78673.467658129332</v>
      </c>
      <c r="O51" s="909">
        <v>70567.197684792132</v>
      </c>
      <c r="P51" s="909">
        <v>76711.859913460154</v>
      </c>
      <c r="Q51" s="909">
        <v>79979.510756816089</v>
      </c>
      <c r="R51" s="909">
        <v>79406.007274125222</v>
      </c>
      <c r="S51" s="909">
        <v>82165.883102839463</v>
      </c>
      <c r="T51" s="909">
        <v>80242.833787359632</v>
      </c>
      <c r="U51" s="909">
        <v>83540.849317996428</v>
      </c>
      <c r="V51" s="909">
        <v>79696.402888408556</v>
      </c>
      <c r="W51" s="909">
        <v>79567.471654235444</v>
      </c>
      <c r="X51" s="909">
        <v>85069.407294803168</v>
      </c>
      <c r="Y51" s="909">
        <v>84447.056269586552</v>
      </c>
      <c r="Z51" s="909">
        <v>92817.018383313305</v>
      </c>
      <c r="AA51" s="909">
        <v>101010.93956742428</v>
      </c>
      <c r="AB51" s="855">
        <v>88342.746327380097</v>
      </c>
      <c r="AC51" s="855">
        <v>95186.035077020599</v>
      </c>
      <c r="AD51" s="936">
        <v>98647.157131900211</v>
      </c>
      <c r="AE51" s="909">
        <v>90767.511630535693</v>
      </c>
      <c r="AF51" s="909">
        <v>94524.30180789427</v>
      </c>
      <c r="AG51" s="909">
        <v>96353.952614318085</v>
      </c>
      <c r="AH51" s="909">
        <v>93002.819960796507</v>
      </c>
      <c r="AI51" s="909">
        <v>95275.208135796347</v>
      </c>
      <c r="AJ51" s="909">
        <v>113846.18673518443</v>
      </c>
      <c r="AK51" s="909">
        <v>107867.48619321738</v>
      </c>
      <c r="AL51" s="909">
        <v>103883.11312931647</v>
      </c>
      <c r="AM51" s="909">
        <v>110430.82575458733</v>
      </c>
      <c r="AN51" s="909">
        <v>110296.63057014832</v>
      </c>
      <c r="AO51" s="909">
        <v>113056.44000953666</v>
      </c>
      <c r="AP51" s="911">
        <v>110144.41993119227</v>
      </c>
      <c r="AQ51" s="909">
        <v>117621.27661261051</v>
      </c>
      <c r="AR51" s="909">
        <v>113844.19452376643</v>
      </c>
      <c r="AS51" s="909">
        <v>113294.07001886387</v>
      </c>
      <c r="AT51" s="909">
        <v>111395.10706235934</v>
      </c>
      <c r="AU51" s="909">
        <v>115308.10069647095</v>
      </c>
      <c r="AV51" s="909">
        <v>111398.07069252883</v>
      </c>
      <c r="AW51" s="909">
        <v>100937.22505486327</v>
      </c>
      <c r="AX51" s="909">
        <v>93400.628797954254</v>
      </c>
      <c r="AY51" s="909">
        <v>100043.83392820758</v>
      </c>
      <c r="AZ51" s="909">
        <v>99134.083252809345</v>
      </c>
      <c r="BA51" s="909">
        <v>101844.4196391663</v>
      </c>
      <c r="BB51" s="909">
        <v>100538.68695301708</v>
      </c>
      <c r="BC51" s="909">
        <v>98881.368748775945</v>
      </c>
      <c r="BD51" s="909">
        <v>96802.770846622763</v>
      </c>
      <c r="BE51" s="909">
        <v>97366.981828807155</v>
      </c>
      <c r="BF51" s="909">
        <v>97634.780596991317</v>
      </c>
      <c r="BG51" s="909">
        <v>98777.374928488731</v>
      </c>
      <c r="BH51" s="909">
        <v>93544.604256837498</v>
      </c>
      <c r="BI51" s="909">
        <v>106001.47421916109</v>
      </c>
      <c r="BJ51" s="909">
        <v>113525.19723679972</v>
      </c>
      <c r="BK51" s="909">
        <v>111533.84294250495</v>
      </c>
      <c r="BL51" s="909">
        <v>107174.75919483912</v>
      </c>
      <c r="BM51" s="909">
        <v>116501.97382611193</v>
      </c>
      <c r="BN51" s="909">
        <v>114185.4848369986</v>
      </c>
      <c r="BO51" s="909">
        <v>109207.38924208454</v>
      </c>
      <c r="BP51" s="909">
        <v>107171.47727467383</v>
      </c>
      <c r="BQ51" s="909">
        <v>104573.68900444418</v>
      </c>
      <c r="BR51" s="909">
        <v>96957.262221144178</v>
      </c>
      <c r="BS51" s="909">
        <v>99549.681186230169</v>
      </c>
      <c r="BT51" s="909">
        <v>95201.744867472356</v>
      </c>
      <c r="BU51" s="909">
        <v>108202.79067884848</v>
      </c>
      <c r="BV51" s="909">
        <v>88347.719657662921</v>
      </c>
      <c r="BW51" s="909">
        <v>97589.187535341931</v>
      </c>
      <c r="BX51" s="909">
        <v>106610.16797599531</v>
      </c>
      <c r="BY51" s="909">
        <v>107471.00272447885</v>
      </c>
      <c r="BZ51" s="909">
        <v>120269.41229128296</v>
      </c>
      <c r="CA51" s="909">
        <v>124812.08406462213</v>
      </c>
      <c r="CB51" s="909">
        <v>115376.34357163229</v>
      </c>
      <c r="CC51" s="909">
        <v>126547.22138109068</v>
      </c>
      <c r="CD51" s="909">
        <v>129726.98171063828</v>
      </c>
      <c r="CE51" s="909">
        <v>126810.45317664245</v>
      </c>
      <c r="CF51" s="909">
        <v>118944.61823429578</v>
      </c>
      <c r="CG51" s="909">
        <v>120933.5126386109</v>
      </c>
      <c r="CH51" s="909">
        <v>115321.43736625831</v>
      </c>
      <c r="CI51" s="909">
        <v>123967.17674122185</v>
      </c>
      <c r="CJ51" s="909">
        <v>125589.61681330105</v>
      </c>
      <c r="CK51" s="909">
        <v>120505.41746863989</v>
      </c>
      <c r="CL51" s="909">
        <v>124545.01312996067</v>
      </c>
      <c r="CM51" s="909">
        <v>121155.52296169617</v>
      </c>
      <c r="CN51" s="909">
        <v>126459.0658912825</v>
      </c>
      <c r="CO51" s="909">
        <v>107001.17720612646</v>
      </c>
      <c r="CP51" s="909">
        <v>97603.806936848632</v>
      </c>
      <c r="CQ51" s="909">
        <v>91123.91195614844</v>
      </c>
      <c r="CR51" s="909">
        <v>95543.993191614529</v>
      </c>
      <c r="CS51" s="909">
        <v>116386.28994843544</v>
      </c>
      <c r="CT51" s="909">
        <v>109099.31597717798</v>
      </c>
      <c r="CU51" s="909">
        <v>110622.51123700409</v>
      </c>
      <c r="CV51" s="909">
        <v>117430.26440940885</v>
      </c>
      <c r="CW51" s="909">
        <v>112740.90255428242</v>
      </c>
      <c r="CX51" s="909">
        <v>111525.34966167415</v>
      </c>
      <c r="CY51" s="909">
        <v>112364.75353793841</v>
      </c>
      <c r="CZ51" s="909">
        <v>126726.73731473685</v>
      </c>
      <c r="DA51" s="909">
        <v>107072.47576452541</v>
      </c>
      <c r="DB51" s="910">
        <v>109264.55519348106</v>
      </c>
      <c r="DC51" s="909">
        <v>107970.2152729956</v>
      </c>
      <c r="DD51" s="855">
        <v>121555.18868738304</v>
      </c>
      <c r="DE51" s="855">
        <v>119357.11448620106</v>
      </c>
      <c r="DF51" s="855">
        <v>144265.40478854501</v>
      </c>
      <c r="DG51" s="855">
        <v>136132.29066817605</v>
      </c>
      <c r="DH51" s="855">
        <v>141682.67083581345</v>
      </c>
      <c r="DI51" s="855">
        <v>142062.2305789798</v>
      </c>
      <c r="DJ51" s="855">
        <v>155067.26901309058</v>
      </c>
      <c r="DK51" s="855">
        <v>152145.68327591635</v>
      </c>
      <c r="DL51" s="855">
        <v>165766.31891202388</v>
      </c>
      <c r="DM51" s="855">
        <v>152005.88698461329</v>
      </c>
      <c r="DN51" s="855">
        <v>148735.94492130954</v>
      </c>
      <c r="DO51" s="855">
        <v>150142.79876158308</v>
      </c>
      <c r="DP51" s="855">
        <v>150958.65872596204</v>
      </c>
      <c r="DQ51" s="855">
        <v>143063.69320429995</v>
      </c>
      <c r="DR51" s="855">
        <v>130276.74065187693</v>
      </c>
      <c r="DS51" s="855">
        <v>124120.69378467565</v>
      </c>
    </row>
    <row r="52" spans="1:123" ht="18" customHeight="1">
      <c r="A52" s="857"/>
      <c r="B52" s="880"/>
      <c r="C52" s="937"/>
      <c r="D52" s="937"/>
      <c r="E52" s="937"/>
      <c r="F52" s="938"/>
      <c r="G52" s="937"/>
      <c r="H52" s="939"/>
      <c r="I52" s="937"/>
      <c r="J52" s="937"/>
      <c r="K52" s="937"/>
      <c r="L52" s="937"/>
      <c r="M52" s="938"/>
      <c r="N52" s="937"/>
      <c r="O52" s="937"/>
      <c r="P52" s="937"/>
      <c r="Q52" s="937"/>
      <c r="R52" s="937"/>
      <c r="S52" s="937"/>
      <c r="T52" s="937"/>
      <c r="U52" s="937"/>
      <c r="V52" s="937"/>
      <c r="W52" s="937"/>
      <c r="X52" s="937"/>
      <c r="Y52" s="937"/>
      <c r="Z52" s="937"/>
      <c r="AA52" s="937"/>
      <c r="AB52" s="940"/>
      <c r="AC52" s="940"/>
      <c r="AD52" s="941"/>
      <c r="AE52" s="937"/>
      <c r="AF52" s="937"/>
      <c r="AG52" s="937"/>
      <c r="AH52" s="937"/>
      <c r="AI52" s="937"/>
      <c r="AJ52" s="937"/>
      <c r="AK52" s="937"/>
      <c r="AL52" s="937"/>
      <c r="AM52" s="937"/>
      <c r="AN52" s="937"/>
      <c r="AO52" s="937"/>
      <c r="AP52" s="939"/>
      <c r="AQ52" s="937"/>
      <c r="AR52" s="937"/>
      <c r="AS52" s="937"/>
      <c r="AT52" s="937"/>
      <c r="AU52" s="937"/>
      <c r="AV52" s="937"/>
      <c r="AW52" s="937"/>
      <c r="AX52" s="937"/>
      <c r="AY52" s="937"/>
      <c r="AZ52" s="937"/>
      <c r="BA52" s="937"/>
      <c r="BB52" s="937"/>
      <c r="BC52" s="937"/>
      <c r="BD52" s="937"/>
      <c r="BE52" s="937"/>
      <c r="BF52" s="937"/>
      <c r="BG52" s="937"/>
      <c r="BH52" s="937"/>
      <c r="BI52" s="937"/>
      <c r="BJ52" s="937"/>
      <c r="BK52" s="937"/>
      <c r="BL52" s="937"/>
      <c r="BM52" s="937"/>
      <c r="BN52" s="937"/>
      <c r="BO52" s="937"/>
      <c r="BP52" s="937"/>
      <c r="BQ52" s="937"/>
      <c r="BR52" s="937"/>
      <c r="BS52" s="937"/>
      <c r="BT52" s="937"/>
      <c r="BU52" s="937"/>
      <c r="BV52" s="937"/>
      <c r="BW52" s="937"/>
      <c r="BX52" s="937"/>
      <c r="BY52" s="937"/>
      <c r="BZ52" s="937"/>
      <c r="CA52" s="937"/>
      <c r="CB52" s="937"/>
      <c r="CC52" s="937"/>
      <c r="CD52" s="937"/>
      <c r="CE52" s="937"/>
      <c r="CF52" s="937"/>
      <c r="CG52" s="937"/>
      <c r="CH52" s="937"/>
      <c r="CI52" s="937"/>
      <c r="CJ52" s="937"/>
      <c r="CK52" s="937"/>
      <c r="CL52" s="937"/>
      <c r="CM52" s="937"/>
      <c r="CN52" s="937"/>
      <c r="CO52" s="937"/>
      <c r="CP52" s="937"/>
      <c r="CQ52" s="937"/>
      <c r="CR52" s="937"/>
      <c r="CS52" s="937"/>
      <c r="CT52" s="937"/>
      <c r="CU52" s="937"/>
      <c r="CV52" s="937"/>
      <c r="CW52" s="937"/>
      <c r="CX52" s="937"/>
      <c r="CY52" s="937"/>
      <c r="CZ52" s="937"/>
      <c r="DA52" s="937"/>
      <c r="DB52" s="938"/>
      <c r="DC52" s="937"/>
      <c r="DD52" s="940"/>
      <c r="DE52" s="940"/>
      <c r="DF52" s="940"/>
      <c r="DG52" s="940"/>
      <c r="DH52" s="940"/>
      <c r="DI52" s="940"/>
      <c r="DJ52" s="940"/>
      <c r="DK52" s="940"/>
      <c r="DL52" s="940"/>
      <c r="DM52" s="940"/>
      <c r="DN52" s="940"/>
      <c r="DO52" s="940"/>
      <c r="DP52" s="940"/>
      <c r="DQ52" s="940"/>
      <c r="DR52" s="940"/>
      <c r="DS52" s="940"/>
    </row>
    <row r="53" spans="1:123" ht="18" customHeight="1">
      <c r="A53" s="853" t="s">
        <v>2537</v>
      </c>
      <c r="B53" s="854" t="s">
        <v>2508</v>
      </c>
      <c r="C53" s="909">
        <v>0</v>
      </c>
      <c r="D53" s="909">
        <v>0</v>
      </c>
      <c r="E53" s="909">
        <v>0</v>
      </c>
      <c r="F53" s="910">
        <v>0</v>
      </c>
      <c r="G53" s="909">
        <v>0</v>
      </c>
      <c r="H53" s="911">
        <v>0</v>
      </c>
      <c r="I53" s="909">
        <v>0</v>
      </c>
      <c r="J53" s="909">
        <v>0</v>
      </c>
      <c r="K53" s="909">
        <v>0</v>
      </c>
      <c r="L53" s="909">
        <v>0</v>
      </c>
      <c r="M53" s="910">
        <v>0</v>
      </c>
      <c r="N53" s="909">
        <v>0</v>
      </c>
      <c r="O53" s="909">
        <v>0</v>
      </c>
      <c r="P53" s="909">
        <v>0</v>
      </c>
      <c r="Q53" s="909">
        <v>0</v>
      </c>
      <c r="R53" s="909">
        <v>0</v>
      </c>
      <c r="S53" s="909">
        <v>0</v>
      </c>
      <c r="T53" s="909">
        <v>0</v>
      </c>
      <c r="U53" s="909">
        <v>0</v>
      </c>
      <c r="V53" s="909">
        <v>0</v>
      </c>
      <c r="W53" s="909">
        <v>0</v>
      </c>
      <c r="X53" s="909">
        <v>0</v>
      </c>
      <c r="Y53" s="909">
        <v>0</v>
      </c>
      <c r="Z53" s="909">
        <v>0</v>
      </c>
      <c r="AA53" s="909">
        <v>0</v>
      </c>
      <c r="AB53" s="855">
        <v>0</v>
      </c>
      <c r="AC53" s="855">
        <v>0</v>
      </c>
      <c r="AD53" s="936">
        <v>0</v>
      </c>
      <c r="AE53" s="909">
        <v>0</v>
      </c>
      <c r="AF53" s="909">
        <v>0</v>
      </c>
      <c r="AG53" s="909">
        <v>0</v>
      </c>
      <c r="AH53" s="909">
        <v>0</v>
      </c>
      <c r="AI53" s="909">
        <v>0</v>
      </c>
      <c r="AJ53" s="909">
        <v>0</v>
      </c>
      <c r="AK53" s="909">
        <v>0</v>
      </c>
      <c r="AL53" s="909">
        <v>0</v>
      </c>
      <c r="AM53" s="909">
        <v>0</v>
      </c>
      <c r="AN53" s="909">
        <v>0</v>
      </c>
      <c r="AO53" s="909">
        <v>0</v>
      </c>
      <c r="AP53" s="911">
        <v>0</v>
      </c>
      <c r="AQ53" s="909">
        <v>0</v>
      </c>
      <c r="AR53" s="909">
        <v>0</v>
      </c>
      <c r="AS53" s="909">
        <v>0</v>
      </c>
      <c r="AT53" s="909">
        <v>0</v>
      </c>
      <c r="AU53" s="909">
        <v>0</v>
      </c>
      <c r="AV53" s="909">
        <v>0</v>
      </c>
      <c r="AW53" s="909">
        <v>0</v>
      </c>
      <c r="AX53" s="909">
        <v>0</v>
      </c>
      <c r="AY53" s="909">
        <v>0</v>
      </c>
      <c r="AZ53" s="909">
        <v>0</v>
      </c>
      <c r="BA53" s="909">
        <v>0</v>
      </c>
      <c r="BB53" s="909">
        <v>0</v>
      </c>
      <c r="BC53" s="909">
        <v>0</v>
      </c>
      <c r="BD53" s="909">
        <v>0</v>
      </c>
      <c r="BE53" s="909">
        <v>0</v>
      </c>
      <c r="BF53" s="909">
        <v>0</v>
      </c>
      <c r="BG53" s="909">
        <v>0</v>
      </c>
      <c r="BH53" s="909">
        <v>0</v>
      </c>
      <c r="BI53" s="909">
        <v>0</v>
      </c>
      <c r="BJ53" s="909">
        <v>0</v>
      </c>
      <c r="BK53" s="909">
        <v>0</v>
      </c>
      <c r="BL53" s="909">
        <v>0</v>
      </c>
      <c r="BM53" s="909">
        <v>0</v>
      </c>
      <c r="BN53" s="909">
        <v>0</v>
      </c>
      <c r="BO53" s="909">
        <v>0</v>
      </c>
      <c r="BP53" s="909">
        <v>0</v>
      </c>
      <c r="BQ53" s="909">
        <v>0</v>
      </c>
      <c r="BR53" s="909">
        <v>0</v>
      </c>
      <c r="BS53" s="909">
        <v>0</v>
      </c>
      <c r="BT53" s="909">
        <v>0</v>
      </c>
      <c r="BU53" s="909">
        <v>0</v>
      </c>
      <c r="BV53" s="909">
        <v>0</v>
      </c>
      <c r="BW53" s="909">
        <v>0</v>
      </c>
      <c r="BX53" s="909">
        <v>0</v>
      </c>
      <c r="BY53" s="909">
        <v>0</v>
      </c>
      <c r="BZ53" s="909">
        <v>0</v>
      </c>
      <c r="CA53" s="909">
        <v>0</v>
      </c>
      <c r="CB53" s="909">
        <v>0</v>
      </c>
      <c r="CC53" s="909">
        <v>0</v>
      </c>
      <c r="CD53" s="909">
        <v>0</v>
      </c>
      <c r="CE53" s="909">
        <v>0</v>
      </c>
      <c r="CF53" s="909">
        <v>0</v>
      </c>
      <c r="CG53" s="909">
        <v>0</v>
      </c>
      <c r="CH53" s="909">
        <v>0</v>
      </c>
      <c r="CI53" s="909">
        <v>0</v>
      </c>
      <c r="CJ53" s="909">
        <v>0</v>
      </c>
      <c r="CK53" s="909">
        <v>0</v>
      </c>
      <c r="CL53" s="909">
        <v>0</v>
      </c>
      <c r="CM53" s="909">
        <v>0</v>
      </c>
      <c r="CN53" s="909">
        <v>0</v>
      </c>
      <c r="CO53" s="909">
        <v>0</v>
      </c>
      <c r="CP53" s="909">
        <v>0</v>
      </c>
      <c r="CQ53" s="909">
        <v>0</v>
      </c>
      <c r="CR53" s="909">
        <v>0</v>
      </c>
      <c r="CS53" s="909">
        <v>0</v>
      </c>
      <c r="CT53" s="909">
        <v>0</v>
      </c>
      <c r="CU53" s="909">
        <v>0</v>
      </c>
      <c r="CV53" s="909">
        <v>0</v>
      </c>
      <c r="CW53" s="909">
        <v>0</v>
      </c>
      <c r="CX53" s="909">
        <v>0</v>
      </c>
      <c r="CY53" s="909">
        <v>0</v>
      </c>
      <c r="CZ53" s="909">
        <v>0</v>
      </c>
      <c r="DA53" s="909">
        <v>0</v>
      </c>
      <c r="DB53" s="910">
        <v>0</v>
      </c>
      <c r="DC53" s="909">
        <v>0</v>
      </c>
      <c r="DD53" s="855">
        <v>0</v>
      </c>
      <c r="DE53" s="855">
        <v>0</v>
      </c>
      <c r="DF53" s="855">
        <v>0</v>
      </c>
      <c r="DG53" s="855">
        <v>0</v>
      </c>
      <c r="DH53" s="855">
        <v>0</v>
      </c>
      <c r="DI53" s="855">
        <v>0</v>
      </c>
      <c r="DJ53" s="855">
        <v>0</v>
      </c>
      <c r="DK53" s="855">
        <v>0</v>
      </c>
      <c r="DL53" s="855">
        <v>0</v>
      </c>
      <c r="DM53" s="855">
        <v>0</v>
      </c>
      <c r="DN53" s="855">
        <v>0</v>
      </c>
      <c r="DO53" s="855">
        <v>0</v>
      </c>
      <c r="DP53" s="855">
        <v>0</v>
      </c>
      <c r="DQ53" s="855">
        <v>0</v>
      </c>
      <c r="DR53" s="855">
        <v>0</v>
      </c>
      <c r="DS53" s="855">
        <v>0</v>
      </c>
    </row>
    <row r="54" spans="1:123" ht="18" customHeight="1">
      <c r="A54" s="857"/>
      <c r="B54" s="858"/>
      <c r="C54" s="937"/>
      <c r="D54" s="937"/>
      <c r="E54" s="937"/>
      <c r="F54" s="938"/>
      <c r="G54" s="937"/>
      <c r="H54" s="939"/>
      <c r="I54" s="937"/>
      <c r="J54" s="937"/>
      <c r="K54" s="937"/>
      <c r="L54" s="937"/>
      <c r="M54" s="938"/>
      <c r="N54" s="937"/>
      <c r="O54" s="937"/>
      <c r="P54" s="937"/>
      <c r="Q54" s="937"/>
      <c r="R54" s="937"/>
      <c r="S54" s="937"/>
      <c r="T54" s="937"/>
      <c r="U54" s="937"/>
      <c r="V54" s="937"/>
      <c r="W54" s="937"/>
      <c r="X54" s="937"/>
      <c r="Y54" s="937"/>
      <c r="Z54" s="937"/>
      <c r="AA54" s="937"/>
      <c r="AB54" s="940"/>
      <c r="AC54" s="940"/>
      <c r="AD54" s="941"/>
      <c r="AE54" s="937"/>
      <c r="AF54" s="937"/>
      <c r="AG54" s="937"/>
      <c r="AH54" s="937"/>
      <c r="AI54" s="937"/>
      <c r="AJ54" s="937"/>
      <c r="AK54" s="937"/>
      <c r="AL54" s="937"/>
      <c r="AM54" s="937"/>
      <c r="AN54" s="937"/>
      <c r="AO54" s="937"/>
      <c r="AP54" s="939"/>
      <c r="AQ54" s="937"/>
      <c r="AR54" s="937"/>
      <c r="AS54" s="937"/>
      <c r="AT54" s="937"/>
      <c r="AU54" s="937"/>
      <c r="AV54" s="937"/>
      <c r="AW54" s="937"/>
      <c r="AX54" s="937"/>
      <c r="AY54" s="937"/>
      <c r="AZ54" s="937"/>
      <c r="BA54" s="937"/>
      <c r="BB54" s="937"/>
      <c r="BC54" s="937"/>
      <c r="BD54" s="937"/>
      <c r="BE54" s="937"/>
      <c r="BF54" s="937"/>
      <c r="BG54" s="937"/>
      <c r="BH54" s="937"/>
      <c r="BI54" s="937"/>
      <c r="BJ54" s="937"/>
      <c r="BK54" s="937"/>
      <c r="BL54" s="937"/>
      <c r="BM54" s="937"/>
      <c r="BN54" s="937"/>
      <c r="BO54" s="937"/>
      <c r="BP54" s="937"/>
      <c r="BQ54" s="937"/>
      <c r="BR54" s="937"/>
      <c r="BS54" s="937"/>
      <c r="BT54" s="937"/>
      <c r="BU54" s="937"/>
      <c r="BV54" s="937"/>
      <c r="BW54" s="937"/>
      <c r="BX54" s="937"/>
      <c r="BY54" s="937"/>
      <c r="BZ54" s="937"/>
      <c r="CA54" s="937"/>
      <c r="CB54" s="937"/>
      <c r="CC54" s="937"/>
      <c r="CD54" s="937"/>
      <c r="CE54" s="937"/>
      <c r="CF54" s="937"/>
      <c r="CG54" s="937"/>
      <c r="CH54" s="937"/>
      <c r="CI54" s="937"/>
      <c r="CJ54" s="937"/>
      <c r="CK54" s="937"/>
      <c r="CL54" s="937"/>
      <c r="CM54" s="937"/>
      <c r="CN54" s="937"/>
      <c r="CO54" s="937"/>
      <c r="CP54" s="937"/>
      <c r="CQ54" s="937"/>
      <c r="CR54" s="937"/>
      <c r="CS54" s="937"/>
      <c r="CT54" s="937"/>
      <c r="CU54" s="937"/>
      <c r="CV54" s="937"/>
      <c r="CW54" s="937"/>
      <c r="CX54" s="937"/>
      <c r="CY54" s="937"/>
      <c r="CZ54" s="937"/>
      <c r="DA54" s="937"/>
      <c r="DB54" s="938"/>
      <c r="DC54" s="937"/>
      <c r="DD54" s="940"/>
      <c r="DE54" s="940"/>
      <c r="DF54" s="940"/>
      <c r="DG54" s="940"/>
      <c r="DH54" s="940"/>
      <c r="DI54" s="940"/>
      <c r="DJ54" s="940"/>
      <c r="DK54" s="940"/>
      <c r="DL54" s="940"/>
      <c r="DM54" s="940"/>
      <c r="DN54" s="940"/>
      <c r="DO54" s="940"/>
      <c r="DP54" s="940"/>
      <c r="DQ54" s="940"/>
      <c r="DR54" s="940"/>
      <c r="DS54" s="940"/>
    </row>
    <row r="55" spans="1:123" ht="18" customHeight="1">
      <c r="A55" s="853" t="s">
        <v>2538</v>
      </c>
      <c r="B55" s="854" t="s">
        <v>2510</v>
      </c>
      <c r="C55" s="909">
        <v>29432.767018766863</v>
      </c>
      <c r="D55" s="909">
        <v>34260.080803627447</v>
      </c>
      <c r="E55" s="909">
        <v>33736.445753137697</v>
      </c>
      <c r="F55" s="910">
        <v>30869.665977368513</v>
      </c>
      <c r="G55" s="909">
        <v>33148.508443650164</v>
      </c>
      <c r="H55" s="911">
        <v>32103.114393552522</v>
      </c>
      <c r="I55" s="909">
        <v>30169.13539053157</v>
      </c>
      <c r="J55" s="909">
        <v>39529.378811924573</v>
      </c>
      <c r="K55" s="909">
        <v>40813.964159177995</v>
      </c>
      <c r="L55" s="909">
        <v>38298.472398335762</v>
      </c>
      <c r="M55" s="910">
        <v>42561.914226997869</v>
      </c>
      <c r="N55" s="909">
        <v>39547.513947527019</v>
      </c>
      <c r="O55" s="909">
        <v>34322.485455183065</v>
      </c>
      <c r="P55" s="909">
        <v>23458.447846964125</v>
      </c>
      <c r="Q55" s="909">
        <v>22783.893341378978</v>
      </c>
      <c r="R55" s="909">
        <v>28642.687883647355</v>
      </c>
      <c r="S55" s="909">
        <v>25554.180948222551</v>
      </c>
      <c r="T55" s="909">
        <v>28986.653275119956</v>
      </c>
      <c r="U55" s="909">
        <v>23144.521802052503</v>
      </c>
      <c r="V55" s="909">
        <v>24778.631760438147</v>
      </c>
      <c r="W55" s="909">
        <v>25578.83426078095</v>
      </c>
      <c r="X55" s="909">
        <v>28469.195348005636</v>
      </c>
      <c r="Y55" s="909">
        <v>35207.911461794189</v>
      </c>
      <c r="Z55" s="909">
        <v>29022.884805908736</v>
      </c>
      <c r="AA55" s="909">
        <v>39967.940543216449</v>
      </c>
      <c r="AB55" s="855">
        <v>38952.669907664116</v>
      </c>
      <c r="AC55" s="855">
        <v>35611.417045563867</v>
      </c>
      <c r="AD55" s="936">
        <v>33834.882104414784</v>
      </c>
      <c r="AE55" s="909">
        <v>39070.798615132757</v>
      </c>
      <c r="AF55" s="909">
        <v>34309.875560910383</v>
      </c>
      <c r="AG55" s="909">
        <v>30761.533252157133</v>
      </c>
      <c r="AH55" s="909">
        <v>30209.616689337126</v>
      </c>
      <c r="AI55" s="909">
        <v>44387.928754471606</v>
      </c>
      <c r="AJ55" s="909">
        <v>40145.866677087492</v>
      </c>
      <c r="AK55" s="909">
        <v>37941.127663167666</v>
      </c>
      <c r="AL55" s="909">
        <v>40551.299268888004</v>
      </c>
      <c r="AM55" s="909">
        <v>43238.137322506242</v>
      </c>
      <c r="AN55" s="909">
        <v>42618.980175564284</v>
      </c>
      <c r="AO55" s="909">
        <v>44457.242976324567</v>
      </c>
      <c r="AP55" s="911">
        <v>39691.1360705482</v>
      </c>
      <c r="AQ55" s="909">
        <v>59777.699357459212</v>
      </c>
      <c r="AR55" s="909">
        <v>44315.485858984328</v>
      </c>
      <c r="AS55" s="909">
        <v>50022.483865121387</v>
      </c>
      <c r="AT55" s="909">
        <v>45071.427850664673</v>
      </c>
      <c r="AU55" s="909">
        <v>44825.023681978993</v>
      </c>
      <c r="AV55" s="909">
        <v>45723.11009277204</v>
      </c>
      <c r="AW55" s="909">
        <v>56623.470659186809</v>
      </c>
      <c r="AX55" s="909">
        <v>58954.183824958382</v>
      </c>
      <c r="AY55" s="909">
        <v>71511.057699533572</v>
      </c>
      <c r="AZ55" s="909">
        <v>90538.775278142028</v>
      </c>
      <c r="BA55" s="909">
        <v>96306.272537237586</v>
      </c>
      <c r="BB55" s="909">
        <v>77032.912200377803</v>
      </c>
      <c r="BC55" s="909">
        <v>81370.840048575323</v>
      </c>
      <c r="BD55" s="909">
        <v>78336.510964634406</v>
      </c>
      <c r="BE55" s="909">
        <v>99663.735643111504</v>
      </c>
      <c r="BF55" s="909">
        <v>111707.05893216262</v>
      </c>
      <c r="BG55" s="909">
        <v>123272.0779647421</v>
      </c>
      <c r="BH55" s="909">
        <v>137833.12623258727</v>
      </c>
      <c r="BI55" s="909">
        <v>143953.15384429533</v>
      </c>
      <c r="BJ55" s="909">
        <v>178862.29597032876</v>
      </c>
      <c r="BK55" s="909">
        <v>169154.96589423789</v>
      </c>
      <c r="BL55" s="909">
        <v>160607.1231365795</v>
      </c>
      <c r="BM55" s="909">
        <v>164575.23255486466</v>
      </c>
      <c r="BN55" s="909">
        <v>179484.48929827844</v>
      </c>
      <c r="BO55" s="909">
        <v>196442.74826099002</v>
      </c>
      <c r="BP55" s="909">
        <v>164531.17855713627</v>
      </c>
      <c r="BQ55" s="909">
        <v>204934.24004247849</v>
      </c>
      <c r="BR55" s="909">
        <v>232314.69118893062</v>
      </c>
      <c r="BS55" s="909">
        <v>236566.50196854505</v>
      </c>
      <c r="BT55" s="909">
        <v>228442.52946675199</v>
      </c>
      <c r="BU55" s="909">
        <v>262787.18552714447</v>
      </c>
      <c r="BV55" s="909">
        <v>225701.43862436843</v>
      </c>
      <c r="BW55" s="909">
        <v>242684.51972220954</v>
      </c>
      <c r="BX55" s="909">
        <v>233419.56582643723</v>
      </c>
      <c r="BY55" s="909">
        <v>222553.99565980441</v>
      </c>
      <c r="BZ55" s="909">
        <v>280216.22471588483</v>
      </c>
      <c r="CA55" s="909">
        <v>258504.49647729652</v>
      </c>
      <c r="CB55" s="909">
        <v>238443.67931575485</v>
      </c>
      <c r="CC55" s="909">
        <v>291258.19929144433</v>
      </c>
      <c r="CD55" s="909">
        <v>331551.52239167277</v>
      </c>
      <c r="CE55" s="909">
        <v>365150.9206607173</v>
      </c>
      <c r="CF55" s="909">
        <v>331744.64526177425</v>
      </c>
      <c r="CG55" s="909">
        <v>306206.7874403724</v>
      </c>
      <c r="CH55" s="909">
        <v>326287.14330588136</v>
      </c>
      <c r="CI55" s="909">
        <v>345566.76871943782</v>
      </c>
      <c r="CJ55" s="909">
        <v>355620.70449500385</v>
      </c>
      <c r="CK55" s="909">
        <v>344224.6446809328</v>
      </c>
      <c r="CL55" s="909">
        <v>351250.84561238473</v>
      </c>
      <c r="CM55" s="909">
        <v>330178.31108843983</v>
      </c>
      <c r="CN55" s="909">
        <v>287721.32492861018</v>
      </c>
      <c r="CO55" s="909">
        <v>279939.08250933321</v>
      </c>
      <c r="CP55" s="909">
        <v>296836.98913296411</v>
      </c>
      <c r="CQ55" s="909">
        <v>297892.84432366665</v>
      </c>
      <c r="CR55" s="909">
        <v>307347.90835321526</v>
      </c>
      <c r="CS55" s="909">
        <v>284028.29083379696</v>
      </c>
      <c r="CT55" s="909">
        <v>296186.66098618211</v>
      </c>
      <c r="CU55" s="909">
        <v>294401.09124277084</v>
      </c>
      <c r="CV55" s="909">
        <v>313836.05786084075</v>
      </c>
      <c r="CW55" s="909">
        <v>367269.29246765771</v>
      </c>
      <c r="CX55" s="909">
        <v>360956.46484693687</v>
      </c>
      <c r="CY55" s="909">
        <v>310919.57905538724</v>
      </c>
      <c r="CZ55" s="909">
        <v>288355.94132487784</v>
      </c>
      <c r="DA55" s="909">
        <v>244096.76228233028</v>
      </c>
      <c r="DB55" s="910">
        <v>226887.54080734405</v>
      </c>
      <c r="DC55" s="909">
        <v>235220.8493683727</v>
      </c>
      <c r="DD55" s="855">
        <v>223332.05145226975</v>
      </c>
      <c r="DE55" s="855">
        <v>213015.07227861648</v>
      </c>
      <c r="DF55" s="855">
        <v>208067.28408345862</v>
      </c>
      <c r="DG55" s="855">
        <v>198664.07230677677</v>
      </c>
      <c r="DH55" s="855">
        <v>163011.89731705171</v>
      </c>
      <c r="DI55" s="855">
        <v>136937.24142526506</v>
      </c>
      <c r="DJ55" s="855">
        <v>168231.58288372419</v>
      </c>
      <c r="DK55" s="855">
        <v>151653.23715752174</v>
      </c>
      <c r="DL55" s="855">
        <v>139977.31040497901</v>
      </c>
      <c r="DM55" s="855">
        <v>147077.22059171399</v>
      </c>
      <c r="DN55" s="855">
        <v>146627.91770260001</v>
      </c>
      <c r="DO55" s="855">
        <v>148457.33312874945</v>
      </c>
      <c r="DP55" s="855">
        <v>181837.55940702357</v>
      </c>
      <c r="DQ55" s="855">
        <v>182150.91998237191</v>
      </c>
      <c r="DR55" s="855">
        <v>173382.35923417661</v>
      </c>
      <c r="DS55" s="855">
        <v>144842.61480010487</v>
      </c>
    </row>
    <row r="56" spans="1:123" ht="18" customHeight="1">
      <c r="A56" s="857"/>
      <c r="B56" s="858"/>
      <c r="C56" s="937"/>
      <c r="D56" s="937"/>
      <c r="E56" s="937"/>
      <c r="F56" s="938"/>
      <c r="G56" s="937"/>
      <c r="H56" s="939"/>
      <c r="I56" s="937"/>
      <c r="J56" s="937"/>
      <c r="K56" s="937"/>
      <c r="L56" s="937"/>
      <c r="M56" s="938"/>
      <c r="N56" s="937"/>
      <c r="O56" s="937"/>
      <c r="P56" s="937"/>
      <c r="Q56" s="937"/>
      <c r="R56" s="937"/>
      <c r="S56" s="937"/>
      <c r="T56" s="937"/>
      <c r="U56" s="937"/>
      <c r="V56" s="937"/>
      <c r="W56" s="937"/>
      <c r="X56" s="937"/>
      <c r="Y56" s="937"/>
      <c r="Z56" s="937"/>
      <c r="AA56" s="937"/>
      <c r="AB56" s="940"/>
      <c r="AC56" s="940"/>
      <c r="AD56" s="941"/>
      <c r="AE56" s="937"/>
      <c r="AF56" s="937"/>
      <c r="AG56" s="937"/>
      <c r="AH56" s="937"/>
      <c r="AI56" s="937"/>
      <c r="AJ56" s="937"/>
      <c r="AK56" s="937"/>
      <c r="AL56" s="937"/>
      <c r="AM56" s="937"/>
      <c r="AN56" s="937"/>
      <c r="AO56" s="937"/>
      <c r="AP56" s="939"/>
      <c r="AQ56" s="937"/>
      <c r="AR56" s="937"/>
      <c r="AS56" s="937"/>
      <c r="AT56" s="937"/>
      <c r="AU56" s="937"/>
      <c r="AV56" s="937"/>
      <c r="AW56" s="937"/>
      <c r="AX56" s="937"/>
      <c r="AY56" s="937"/>
      <c r="AZ56" s="937"/>
      <c r="BA56" s="937"/>
      <c r="BB56" s="937"/>
      <c r="BC56" s="937"/>
      <c r="BD56" s="937"/>
      <c r="BE56" s="937"/>
      <c r="BF56" s="937"/>
      <c r="BG56" s="937"/>
      <c r="BH56" s="937"/>
      <c r="BI56" s="937"/>
      <c r="BJ56" s="937"/>
      <c r="BK56" s="937"/>
      <c r="BL56" s="937"/>
      <c r="BM56" s="937"/>
      <c r="BN56" s="937"/>
      <c r="BO56" s="937"/>
      <c r="BP56" s="937"/>
      <c r="BQ56" s="937"/>
      <c r="BR56" s="937"/>
      <c r="BS56" s="937"/>
      <c r="BT56" s="937"/>
      <c r="BU56" s="937"/>
      <c r="BV56" s="937"/>
      <c r="BW56" s="937"/>
      <c r="BX56" s="937"/>
      <c r="BY56" s="937"/>
      <c r="BZ56" s="937"/>
      <c r="CA56" s="937"/>
      <c r="CB56" s="937"/>
      <c r="CC56" s="937"/>
      <c r="CD56" s="937"/>
      <c r="CE56" s="937"/>
      <c r="CF56" s="937"/>
      <c r="CG56" s="937"/>
      <c r="CH56" s="937"/>
      <c r="CI56" s="937"/>
      <c r="CJ56" s="937"/>
      <c r="CK56" s="937"/>
      <c r="CL56" s="937"/>
      <c r="CM56" s="937"/>
      <c r="CN56" s="937"/>
      <c r="CO56" s="937"/>
      <c r="CP56" s="937"/>
      <c r="CQ56" s="937"/>
      <c r="CR56" s="937"/>
      <c r="CS56" s="937"/>
      <c r="CT56" s="937"/>
      <c r="CU56" s="937"/>
      <c r="CV56" s="937"/>
      <c r="CW56" s="937"/>
      <c r="CX56" s="937"/>
      <c r="CY56" s="937"/>
      <c r="CZ56" s="937"/>
      <c r="DA56" s="937"/>
      <c r="DB56" s="938"/>
      <c r="DC56" s="937"/>
      <c r="DD56" s="940"/>
      <c r="DE56" s="940"/>
      <c r="DF56" s="940"/>
      <c r="DG56" s="940"/>
      <c r="DH56" s="940"/>
      <c r="DI56" s="940"/>
      <c r="DJ56" s="940"/>
      <c r="DK56" s="940"/>
      <c r="DL56" s="940"/>
      <c r="DM56" s="940"/>
      <c r="DN56" s="940"/>
      <c r="DO56" s="940"/>
      <c r="DP56" s="940"/>
      <c r="DQ56" s="940"/>
      <c r="DR56" s="940"/>
      <c r="DS56" s="940"/>
    </row>
    <row r="57" spans="1:123" ht="18" customHeight="1">
      <c r="A57" s="853" t="s">
        <v>2539</v>
      </c>
      <c r="B57" s="854" t="s">
        <v>2540</v>
      </c>
      <c r="C57" s="909">
        <v>15267.319428778475</v>
      </c>
      <c r="D57" s="909">
        <v>14343.021972617598</v>
      </c>
      <c r="E57" s="909">
        <v>20872.677782157156</v>
      </c>
      <c r="F57" s="910">
        <v>20389.014050729656</v>
      </c>
      <c r="G57" s="909">
        <v>19640.499325109929</v>
      </c>
      <c r="H57" s="911">
        <v>18089.973323858543</v>
      </c>
      <c r="I57" s="909">
        <v>16669.010885876269</v>
      </c>
      <c r="J57" s="909">
        <v>18124.824061199026</v>
      </c>
      <c r="K57" s="909">
        <v>18873.044963116732</v>
      </c>
      <c r="L57" s="909">
        <v>19124.219224243214</v>
      </c>
      <c r="M57" s="910">
        <v>18837.016835935974</v>
      </c>
      <c r="N57" s="909">
        <v>19325.915542433235</v>
      </c>
      <c r="O57" s="909">
        <v>18575.986356368594</v>
      </c>
      <c r="P57" s="909">
        <v>20152.628623151741</v>
      </c>
      <c r="Q57" s="909">
        <v>20305.578140484475</v>
      </c>
      <c r="R57" s="909">
        <v>21596.825310943765</v>
      </c>
      <c r="S57" s="909">
        <v>20532.267003248064</v>
      </c>
      <c r="T57" s="909">
        <v>20268.062098349725</v>
      </c>
      <c r="U57" s="909">
        <v>19288.396582400928</v>
      </c>
      <c r="V57" s="909">
        <v>18976.86221272808</v>
      </c>
      <c r="W57" s="909">
        <v>20689.007931866116</v>
      </c>
      <c r="X57" s="909">
        <v>20645.295218005682</v>
      </c>
      <c r="Y57" s="909">
        <v>20352.962638096036</v>
      </c>
      <c r="Z57" s="909">
        <v>23643.29471844207</v>
      </c>
      <c r="AA57" s="909">
        <v>22905.951523263288</v>
      </c>
      <c r="AB57" s="855">
        <v>20249.59155576069</v>
      </c>
      <c r="AC57" s="855">
        <v>23040.174051936956</v>
      </c>
      <c r="AD57" s="936">
        <v>21357.550504467519</v>
      </c>
      <c r="AE57" s="909">
        <v>22385.664081063565</v>
      </c>
      <c r="AF57" s="909">
        <v>21857.97138406842</v>
      </c>
      <c r="AG57" s="909">
        <v>24401.977950487693</v>
      </c>
      <c r="AH57" s="909">
        <v>24450.432137882355</v>
      </c>
      <c r="AI57" s="909">
        <v>23828.829155827618</v>
      </c>
      <c r="AJ57" s="909">
        <v>22864.456987456208</v>
      </c>
      <c r="AK57" s="909">
        <v>22982.403122046027</v>
      </c>
      <c r="AL57" s="909">
        <v>24510.855743288423</v>
      </c>
      <c r="AM57" s="909">
        <v>23136.423495206152</v>
      </c>
      <c r="AN57" s="909">
        <v>22819.278932513374</v>
      </c>
      <c r="AO57" s="909">
        <v>21572.182807726083</v>
      </c>
      <c r="AP57" s="911">
        <v>25307.976553561417</v>
      </c>
      <c r="AQ57" s="909">
        <v>25873.819248272492</v>
      </c>
      <c r="AR57" s="909">
        <v>26306.642876667771</v>
      </c>
      <c r="AS57" s="909">
        <v>28065.589145305854</v>
      </c>
      <c r="AT57" s="909">
        <v>26478.844533658801</v>
      </c>
      <c r="AU57" s="909">
        <v>24949.469385341887</v>
      </c>
      <c r="AV57" s="909">
        <v>23883.709469500889</v>
      </c>
      <c r="AW57" s="909">
        <v>26353.788022679335</v>
      </c>
      <c r="AX57" s="909">
        <v>24206.169627596111</v>
      </c>
      <c r="AY57" s="909">
        <v>26071.671281241695</v>
      </c>
      <c r="AZ57" s="909">
        <v>24794.608585212714</v>
      </c>
      <c r="BA57" s="909">
        <v>27897.600262071908</v>
      </c>
      <c r="BB57" s="909">
        <v>24899.482809756439</v>
      </c>
      <c r="BC57" s="909">
        <v>23202.232431801625</v>
      </c>
      <c r="BD57" s="909">
        <v>24492.972622940262</v>
      </c>
      <c r="BE57" s="909">
        <v>23948.498158967559</v>
      </c>
      <c r="BF57" s="909">
        <v>22741.12025448737</v>
      </c>
      <c r="BG57" s="909">
        <v>24214.409577413047</v>
      </c>
      <c r="BH57" s="909">
        <v>24052.947747934111</v>
      </c>
      <c r="BI57" s="909">
        <v>22537.491184867667</v>
      </c>
      <c r="BJ57" s="909">
        <v>27194.724778050237</v>
      </c>
      <c r="BK57" s="909">
        <v>28096.352777361084</v>
      </c>
      <c r="BL57" s="909">
        <v>26073.995821931683</v>
      </c>
      <c r="BM57" s="909">
        <v>24270.177303191751</v>
      </c>
      <c r="BN57" s="909">
        <v>24691.797324641815</v>
      </c>
      <c r="BO57" s="909">
        <v>28859.221784267142</v>
      </c>
      <c r="BP57" s="909">
        <v>29867.963037637437</v>
      </c>
      <c r="BQ57" s="909">
        <v>29721.935154606908</v>
      </c>
      <c r="BR57" s="909">
        <v>27731.858226046617</v>
      </c>
      <c r="BS57" s="909">
        <v>29872.922732982748</v>
      </c>
      <c r="BT57" s="909">
        <v>40877.051391227593</v>
      </c>
      <c r="BU57" s="909">
        <v>28719.587202759521</v>
      </c>
      <c r="BV57" s="909">
        <v>35701.788247716657</v>
      </c>
      <c r="BW57" s="909">
        <v>33590.921945418268</v>
      </c>
      <c r="BX57" s="909">
        <v>33042.181637707392</v>
      </c>
      <c r="BY57" s="909">
        <v>25415.818564687404</v>
      </c>
      <c r="BZ57" s="909">
        <v>32703.884118982125</v>
      </c>
      <c r="CA57" s="909">
        <v>34310.203890731515</v>
      </c>
      <c r="CB57" s="909">
        <v>36113.679310384672</v>
      </c>
      <c r="CC57" s="909">
        <v>36668.381342116809</v>
      </c>
      <c r="CD57" s="909">
        <v>35134.658194978365</v>
      </c>
      <c r="CE57" s="909">
        <v>35733.680333697637</v>
      </c>
      <c r="CF57" s="909">
        <v>35975.883321555055</v>
      </c>
      <c r="CG57" s="909">
        <v>36790.584043890194</v>
      </c>
      <c r="CH57" s="909">
        <v>43492.621522104775</v>
      </c>
      <c r="CI57" s="909">
        <v>43118.030359693512</v>
      </c>
      <c r="CJ57" s="909">
        <v>38381.407417294249</v>
      </c>
      <c r="CK57" s="909">
        <v>38719.490625863407</v>
      </c>
      <c r="CL57" s="909">
        <v>37651.54298678926</v>
      </c>
      <c r="CM57" s="909">
        <v>37293.391317548041</v>
      </c>
      <c r="CN57" s="909">
        <v>38053.030994902947</v>
      </c>
      <c r="CO57" s="909">
        <v>43996.639292102496</v>
      </c>
      <c r="CP57" s="909">
        <v>44179.369376595627</v>
      </c>
      <c r="CQ57" s="909">
        <v>44129.17715056079</v>
      </c>
      <c r="CR57" s="909">
        <v>42192.217092565326</v>
      </c>
      <c r="CS57" s="909">
        <v>45550.917966060391</v>
      </c>
      <c r="CT57" s="909">
        <v>40617.606085972766</v>
      </c>
      <c r="CU57" s="909">
        <v>41413.220075621422</v>
      </c>
      <c r="CV57" s="909">
        <v>41335.529029774712</v>
      </c>
      <c r="CW57" s="909">
        <v>45190.099311536011</v>
      </c>
      <c r="CX57" s="909">
        <v>46703.760746199885</v>
      </c>
      <c r="CY57" s="909">
        <v>41406.822349984322</v>
      </c>
      <c r="CZ57" s="909">
        <v>35025.066943906393</v>
      </c>
      <c r="DA57" s="909">
        <v>33418.905161721406</v>
      </c>
      <c r="DB57" s="910">
        <v>33172.904775990341</v>
      </c>
      <c r="DC57" s="909">
        <v>33111.246499768902</v>
      </c>
      <c r="DD57" s="855">
        <v>33566.3828525344</v>
      </c>
      <c r="DE57" s="855">
        <v>33898.177599956798</v>
      </c>
      <c r="DF57" s="855">
        <v>33801.564800035361</v>
      </c>
      <c r="DG57" s="855">
        <v>34499.257122426381</v>
      </c>
      <c r="DH57" s="855">
        <v>35748.197024709661</v>
      </c>
      <c r="DI57" s="855">
        <v>36926.930824478841</v>
      </c>
      <c r="DJ57" s="855">
        <v>41334.763034083269</v>
      </c>
      <c r="DK57" s="855">
        <v>40497.376838749471</v>
      </c>
      <c r="DL57" s="855">
        <v>41920.991983145752</v>
      </c>
      <c r="DM57" s="855">
        <v>39239.786968580098</v>
      </c>
      <c r="DN57" s="855">
        <v>39417.284889248898</v>
      </c>
      <c r="DO57" s="855">
        <v>41399.471495985534</v>
      </c>
      <c r="DP57" s="855">
        <v>45280.777594507919</v>
      </c>
      <c r="DQ57" s="855">
        <v>46139.788740199023</v>
      </c>
      <c r="DR57" s="855">
        <v>39525.270753001576</v>
      </c>
      <c r="DS57" s="855">
        <v>42897.156484221006</v>
      </c>
    </row>
    <row r="58" spans="1:123" ht="18" customHeight="1">
      <c r="A58" s="857"/>
      <c r="B58" s="858"/>
      <c r="C58" s="937"/>
      <c r="D58" s="937"/>
      <c r="E58" s="937"/>
      <c r="F58" s="938"/>
      <c r="G58" s="937"/>
      <c r="H58" s="939"/>
      <c r="I58" s="937"/>
      <c r="J58" s="937"/>
      <c r="K58" s="937"/>
      <c r="L58" s="937"/>
      <c r="M58" s="938"/>
      <c r="N58" s="937"/>
      <c r="O58" s="937"/>
      <c r="P58" s="937"/>
      <c r="Q58" s="937"/>
      <c r="R58" s="937"/>
      <c r="S58" s="937"/>
      <c r="T58" s="937"/>
      <c r="U58" s="937"/>
      <c r="V58" s="937"/>
      <c r="W58" s="937"/>
      <c r="X58" s="937"/>
      <c r="Y58" s="937"/>
      <c r="Z58" s="937"/>
      <c r="AA58" s="937"/>
      <c r="AB58" s="940"/>
      <c r="AC58" s="940"/>
      <c r="AD58" s="941"/>
      <c r="AE58" s="937"/>
      <c r="AF58" s="937"/>
      <c r="AG58" s="937"/>
      <c r="AH58" s="937"/>
      <c r="AI58" s="937"/>
      <c r="AJ58" s="937"/>
      <c r="AK58" s="937"/>
      <c r="AL58" s="937"/>
      <c r="AM58" s="937"/>
      <c r="AN58" s="937"/>
      <c r="AO58" s="937"/>
      <c r="AP58" s="939"/>
      <c r="AQ58" s="937"/>
      <c r="AR58" s="937"/>
      <c r="AS58" s="937"/>
      <c r="AT58" s="937"/>
      <c r="AU58" s="937"/>
      <c r="AV58" s="937"/>
      <c r="AW58" s="937"/>
      <c r="AX58" s="937"/>
      <c r="AY58" s="937"/>
      <c r="AZ58" s="937"/>
      <c r="BA58" s="937"/>
      <c r="BB58" s="937"/>
      <c r="BC58" s="937"/>
      <c r="BD58" s="937"/>
      <c r="BE58" s="937"/>
      <c r="BF58" s="937"/>
      <c r="BG58" s="937"/>
      <c r="BH58" s="937"/>
      <c r="BI58" s="937"/>
      <c r="BJ58" s="937"/>
      <c r="BK58" s="937"/>
      <c r="BL58" s="937"/>
      <c r="BM58" s="937"/>
      <c r="BN58" s="937"/>
      <c r="BO58" s="937"/>
      <c r="BP58" s="937"/>
      <c r="BQ58" s="937"/>
      <c r="BR58" s="937"/>
      <c r="BS58" s="937"/>
      <c r="BT58" s="937"/>
      <c r="BU58" s="937"/>
      <c r="BV58" s="937"/>
      <c r="BW58" s="937"/>
      <c r="BX58" s="937"/>
      <c r="BY58" s="937"/>
      <c r="BZ58" s="937"/>
      <c r="CA58" s="937"/>
      <c r="CB58" s="937"/>
      <c r="CC58" s="937"/>
      <c r="CD58" s="937"/>
      <c r="CE58" s="937"/>
      <c r="CF58" s="937"/>
      <c r="CG58" s="937"/>
      <c r="CH58" s="937"/>
      <c r="CI58" s="937"/>
      <c r="CJ58" s="937"/>
      <c r="CK58" s="937"/>
      <c r="CL58" s="937"/>
      <c r="CM58" s="937"/>
      <c r="CN58" s="937"/>
      <c r="CO58" s="937"/>
      <c r="CP58" s="937"/>
      <c r="CQ58" s="937"/>
      <c r="CR58" s="937"/>
      <c r="CS58" s="937"/>
      <c r="CT58" s="937"/>
      <c r="CU58" s="937"/>
      <c r="CV58" s="937"/>
      <c r="CW58" s="937"/>
      <c r="CX58" s="937"/>
      <c r="CY58" s="937"/>
      <c r="CZ58" s="937"/>
      <c r="DA58" s="937"/>
      <c r="DB58" s="938"/>
      <c r="DC58" s="937"/>
      <c r="DD58" s="940"/>
      <c r="DE58" s="940"/>
      <c r="DF58" s="940"/>
      <c r="DG58" s="940"/>
      <c r="DH58" s="940"/>
      <c r="DI58" s="940"/>
      <c r="DJ58" s="940"/>
      <c r="DK58" s="940"/>
      <c r="DL58" s="940"/>
      <c r="DM58" s="940"/>
      <c r="DN58" s="940"/>
      <c r="DO58" s="940"/>
      <c r="DP58" s="940"/>
      <c r="DQ58" s="940"/>
      <c r="DR58" s="940"/>
      <c r="DS58" s="940"/>
    </row>
    <row r="59" spans="1:123" ht="18" customHeight="1">
      <c r="A59" s="853" t="s">
        <v>2541</v>
      </c>
      <c r="B59" s="854" t="s">
        <v>2506</v>
      </c>
      <c r="C59" s="909">
        <v>35704.368588081408</v>
      </c>
      <c r="D59" s="909">
        <v>36287.800051772996</v>
      </c>
      <c r="E59" s="909">
        <v>36725.258952753698</v>
      </c>
      <c r="F59" s="910">
        <v>36657.892827389129</v>
      </c>
      <c r="G59" s="909">
        <v>36908.697205162935</v>
      </c>
      <c r="H59" s="911">
        <v>37615.963469114278</v>
      </c>
      <c r="I59" s="909">
        <v>37927.272479138337</v>
      </c>
      <c r="J59" s="909">
        <v>39020.193709404259</v>
      </c>
      <c r="K59" s="909">
        <v>39287.485610740951</v>
      </c>
      <c r="L59" s="909">
        <v>39222.085061498794</v>
      </c>
      <c r="M59" s="910">
        <v>40022.516192943491</v>
      </c>
      <c r="N59" s="909">
        <v>39408.792052137745</v>
      </c>
      <c r="O59" s="909">
        <v>38890.06262347773</v>
      </c>
      <c r="P59" s="909">
        <v>40396.104372089401</v>
      </c>
      <c r="Q59" s="909">
        <v>42000.886786275398</v>
      </c>
      <c r="R59" s="909">
        <v>41428.663869112483</v>
      </c>
      <c r="S59" s="909">
        <v>43134.84105007779</v>
      </c>
      <c r="T59" s="909">
        <v>44548.826372607225</v>
      </c>
      <c r="U59" s="909">
        <v>43642.858748323037</v>
      </c>
      <c r="V59" s="909">
        <v>44958.679943900897</v>
      </c>
      <c r="W59" s="909">
        <v>41876.236271404952</v>
      </c>
      <c r="X59" s="909">
        <v>42090.23316457498</v>
      </c>
      <c r="Y59" s="909">
        <v>42873.108794222033</v>
      </c>
      <c r="Z59" s="909">
        <v>43622.034313129567</v>
      </c>
      <c r="AA59" s="909">
        <v>44511.827521145366</v>
      </c>
      <c r="AB59" s="855">
        <v>44976.158320210845</v>
      </c>
      <c r="AC59" s="855">
        <v>44979.939315974334</v>
      </c>
      <c r="AD59" s="936">
        <v>45130.157990354543</v>
      </c>
      <c r="AE59" s="909">
        <v>46526.507524889159</v>
      </c>
      <c r="AF59" s="909">
        <v>46953.111096502696</v>
      </c>
      <c r="AG59" s="909">
        <v>46498.099178341705</v>
      </c>
      <c r="AH59" s="909">
        <v>48776.229552209828</v>
      </c>
      <c r="AI59" s="909">
        <v>49049.519554837862</v>
      </c>
      <c r="AJ59" s="909">
        <v>49284.479405728474</v>
      </c>
      <c r="AK59" s="909">
        <v>50811.602709146318</v>
      </c>
      <c r="AL59" s="909">
        <v>53448.718884642585</v>
      </c>
      <c r="AM59" s="909">
        <v>54368.75815095412</v>
      </c>
      <c r="AN59" s="909">
        <v>52373.989824135751</v>
      </c>
      <c r="AO59" s="909">
        <v>55517.245403996363</v>
      </c>
      <c r="AP59" s="911">
        <v>54841.719482057546</v>
      </c>
      <c r="AQ59" s="909">
        <v>58103.367507876319</v>
      </c>
      <c r="AR59" s="909">
        <v>59298.19183667707</v>
      </c>
      <c r="AS59" s="909">
        <v>60859.082741518061</v>
      </c>
      <c r="AT59" s="909">
        <v>62079.972771916138</v>
      </c>
      <c r="AU59" s="909">
        <v>63786.655804845657</v>
      </c>
      <c r="AV59" s="909">
        <v>64543.161864375077</v>
      </c>
      <c r="AW59" s="909">
        <v>64402.199319373285</v>
      </c>
      <c r="AX59" s="909">
        <v>64264.316030189861</v>
      </c>
      <c r="AY59" s="909">
        <v>64583.402034013052</v>
      </c>
      <c r="AZ59" s="909">
        <v>65138.420256611011</v>
      </c>
      <c r="BA59" s="909">
        <v>65446.011451277212</v>
      </c>
      <c r="BB59" s="909">
        <v>63276.09750421303</v>
      </c>
      <c r="BC59" s="909">
        <v>63131.134601172125</v>
      </c>
      <c r="BD59" s="909">
        <v>63117.099459523968</v>
      </c>
      <c r="BE59" s="909">
        <v>64818.144578716056</v>
      </c>
      <c r="BF59" s="909">
        <v>64698.29265435753</v>
      </c>
      <c r="BG59" s="909">
        <v>66175.975521146291</v>
      </c>
      <c r="BH59" s="909">
        <v>66816.400958400569</v>
      </c>
      <c r="BI59" s="909">
        <v>66609.379543792747</v>
      </c>
      <c r="BJ59" s="909">
        <v>69696.148691288792</v>
      </c>
      <c r="BK59" s="909">
        <v>71982.810638501833</v>
      </c>
      <c r="BL59" s="909">
        <v>70103.464201367489</v>
      </c>
      <c r="BM59" s="909">
        <v>71230.865413964173</v>
      </c>
      <c r="BN59" s="909">
        <v>70988.97564783541</v>
      </c>
      <c r="BO59" s="909">
        <v>71944.823911859654</v>
      </c>
      <c r="BP59" s="909">
        <v>77034.530996147063</v>
      </c>
      <c r="BQ59" s="909">
        <v>77535.22335300289</v>
      </c>
      <c r="BR59" s="909">
        <v>78370.908091345031</v>
      </c>
      <c r="BS59" s="909">
        <v>79038.128808233989</v>
      </c>
      <c r="BT59" s="909">
        <v>79449.325672152947</v>
      </c>
      <c r="BU59" s="909">
        <v>79375.966339647115</v>
      </c>
      <c r="BV59" s="909">
        <v>79523.476564492594</v>
      </c>
      <c r="BW59" s="909">
        <v>81131.453879475695</v>
      </c>
      <c r="BX59" s="909">
        <v>81157.308384578166</v>
      </c>
      <c r="BY59" s="909">
        <v>81056.07656261354</v>
      </c>
      <c r="BZ59" s="909">
        <v>83806.116391159376</v>
      </c>
      <c r="CA59" s="909">
        <v>84531.302411197583</v>
      </c>
      <c r="CB59" s="909">
        <v>86545.066758556524</v>
      </c>
      <c r="CC59" s="909">
        <v>84624.221826456313</v>
      </c>
      <c r="CD59" s="909">
        <v>85272.706527704955</v>
      </c>
      <c r="CE59" s="909">
        <v>86158.795431287654</v>
      </c>
      <c r="CF59" s="909">
        <v>88154.262349991273</v>
      </c>
      <c r="CG59" s="909">
        <v>88873.865580902799</v>
      </c>
      <c r="CH59" s="909">
        <v>92336.108194888089</v>
      </c>
      <c r="CI59" s="909">
        <v>94375.209812524903</v>
      </c>
      <c r="CJ59" s="909">
        <v>94977.025688010966</v>
      </c>
      <c r="CK59" s="909">
        <v>95737.200241493716</v>
      </c>
      <c r="CL59" s="909">
        <v>95955.688272962987</v>
      </c>
      <c r="CM59" s="909">
        <v>96887.39846463174</v>
      </c>
      <c r="CN59" s="909">
        <v>97708.07730387176</v>
      </c>
      <c r="CO59" s="909">
        <v>100592.68447032165</v>
      </c>
      <c r="CP59" s="909">
        <v>101422.9763965329</v>
      </c>
      <c r="CQ59" s="909">
        <v>103871.30455864441</v>
      </c>
      <c r="CR59" s="909">
        <v>105639.37531668847</v>
      </c>
      <c r="CS59" s="909">
        <v>106538.26306164458</v>
      </c>
      <c r="CT59" s="909">
        <v>105604.79143601622</v>
      </c>
      <c r="CU59" s="909">
        <v>106654.79163154114</v>
      </c>
      <c r="CV59" s="909">
        <v>107472.88093376729</v>
      </c>
      <c r="CW59" s="909">
        <v>107256.10345412733</v>
      </c>
      <c r="CX59" s="909">
        <v>105921.62762068295</v>
      </c>
      <c r="CY59" s="909">
        <v>106280.46230867032</v>
      </c>
      <c r="CZ59" s="909">
        <v>107204.46669466681</v>
      </c>
      <c r="DA59" s="909">
        <v>106627.31969479575</v>
      </c>
      <c r="DB59" s="910">
        <v>107969.7722645325</v>
      </c>
      <c r="DC59" s="909">
        <v>109373.7030829463</v>
      </c>
      <c r="DD59" s="855">
        <v>110278.66378914911</v>
      </c>
      <c r="DE59" s="855">
        <v>111130.30169885342</v>
      </c>
      <c r="DF59" s="855">
        <v>112079.37011818557</v>
      </c>
      <c r="DG59" s="855">
        <v>112258.50281467609</v>
      </c>
      <c r="DH59" s="855">
        <v>111712.89038004613</v>
      </c>
      <c r="DI59" s="855">
        <v>112762.64720507254</v>
      </c>
      <c r="DJ59" s="855">
        <v>112258.54617697238</v>
      </c>
      <c r="DK59" s="855">
        <v>112398.63850049663</v>
      </c>
      <c r="DL59" s="855">
        <v>114135.6091599127</v>
      </c>
      <c r="DM59" s="855">
        <v>115107.95074878653</v>
      </c>
      <c r="DN59" s="855">
        <v>117788.43509308822</v>
      </c>
      <c r="DO59" s="855">
        <v>120124.76454229592</v>
      </c>
      <c r="DP59" s="855">
        <v>125919.07044945829</v>
      </c>
      <c r="DQ59" s="855">
        <v>124807.88620599426</v>
      </c>
      <c r="DR59" s="855">
        <v>126140.07660988835</v>
      </c>
      <c r="DS59" s="855">
        <v>129566.87689414147</v>
      </c>
    </row>
    <row r="60" spans="1:123" ht="15.75">
      <c r="A60" s="857"/>
      <c r="B60" s="858"/>
      <c r="C60" s="878"/>
      <c r="D60" s="878"/>
      <c r="E60" s="878"/>
      <c r="F60" s="917"/>
      <c r="G60" s="878"/>
      <c r="H60" s="918"/>
      <c r="I60" s="878"/>
      <c r="J60" s="878"/>
      <c r="K60" s="878"/>
      <c r="L60" s="878"/>
      <c r="M60" s="917"/>
      <c r="N60" s="878"/>
      <c r="O60" s="878"/>
      <c r="P60" s="878"/>
      <c r="Q60" s="878"/>
      <c r="R60" s="878"/>
      <c r="S60" s="878"/>
      <c r="T60" s="878"/>
      <c r="U60" s="878"/>
      <c r="V60" s="878"/>
      <c r="W60" s="878"/>
      <c r="X60" s="878"/>
      <c r="Y60" s="878"/>
      <c r="Z60" s="878"/>
      <c r="AA60" s="878"/>
      <c r="AB60" s="860"/>
      <c r="AC60" s="860"/>
      <c r="AD60" s="877"/>
      <c r="AE60" s="878"/>
      <c r="AF60" s="878"/>
      <c r="AG60" s="878"/>
      <c r="AH60" s="878"/>
      <c r="AI60" s="878"/>
      <c r="AJ60" s="878"/>
      <c r="AK60" s="878"/>
      <c r="AL60" s="878"/>
      <c r="AM60" s="878"/>
      <c r="AN60" s="878"/>
      <c r="AO60" s="878"/>
      <c r="AP60" s="918"/>
      <c r="AQ60" s="878"/>
      <c r="AR60" s="878"/>
      <c r="AS60" s="878"/>
      <c r="AT60" s="878"/>
      <c r="AU60" s="878"/>
      <c r="AV60" s="878"/>
      <c r="AW60" s="878"/>
      <c r="AX60" s="878"/>
      <c r="AY60" s="878"/>
      <c r="AZ60" s="878"/>
      <c r="BA60" s="878"/>
      <c r="BB60" s="878"/>
      <c r="BC60" s="878"/>
      <c r="BD60" s="878"/>
      <c r="BE60" s="878"/>
      <c r="BF60" s="878"/>
      <c r="BG60" s="878"/>
      <c r="BH60" s="878"/>
      <c r="BI60" s="878"/>
      <c r="BJ60" s="878"/>
      <c r="BK60" s="878"/>
      <c r="BL60" s="878"/>
      <c r="BM60" s="878"/>
      <c r="BN60" s="878"/>
      <c r="BO60" s="878"/>
      <c r="BP60" s="878"/>
      <c r="BQ60" s="878"/>
      <c r="BR60" s="878"/>
      <c r="BS60" s="878"/>
      <c r="BT60" s="878"/>
      <c r="BU60" s="878"/>
      <c r="BV60" s="878"/>
      <c r="BW60" s="878"/>
      <c r="BX60" s="878"/>
      <c r="BY60" s="878"/>
      <c r="BZ60" s="878"/>
      <c r="CA60" s="878"/>
      <c r="CB60" s="878"/>
      <c r="CC60" s="878"/>
      <c r="CD60" s="878"/>
      <c r="CE60" s="878"/>
      <c r="CF60" s="878"/>
      <c r="CG60" s="878"/>
      <c r="CH60" s="878"/>
      <c r="CI60" s="878"/>
      <c r="CJ60" s="878"/>
      <c r="CK60" s="878"/>
      <c r="CL60" s="878"/>
      <c r="CM60" s="878"/>
      <c r="CN60" s="878"/>
      <c r="CO60" s="878"/>
      <c r="CP60" s="878"/>
      <c r="CQ60" s="878"/>
      <c r="CR60" s="878"/>
      <c r="CS60" s="878"/>
      <c r="CT60" s="878"/>
      <c r="CU60" s="878"/>
      <c r="CV60" s="878"/>
      <c r="CW60" s="878"/>
      <c r="CX60" s="878"/>
      <c r="CY60" s="878"/>
      <c r="CZ60" s="878"/>
      <c r="DA60" s="878"/>
      <c r="DB60" s="917"/>
      <c r="DC60" s="878"/>
      <c r="DD60" s="860"/>
      <c r="DE60" s="860"/>
      <c r="DF60" s="860"/>
      <c r="DG60" s="860"/>
      <c r="DH60" s="860"/>
      <c r="DI60" s="860"/>
      <c r="DJ60" s="860"/>
      <c r="DK60" s="860"/>
      <c r="DL60" s="860"/>
      <c r="DM60" s="860"/>
      <c r="DN60" s="860"/>
      <c r="DO60" s="860"/>
      <c r="DP60" s="860"/>
      <c r="DQ60" s="860"/>
      <c r="DR60" s="860"/>
      <c r="DS60" s="860"/>
    </row>
    <row r="61" spans="1:123" ht="15.75">
      <c r="A61" s="853"/>
      <c r="B61" s="854" t="s">
        <v>2542</v>
      </c>
      <c r="C61" s="909">
        <v>445837.09648146771</v>
      </c>
      <c r="D61" s="909">
        <v>432333.73578588478</v>
      </c>
      <c r="E61" s="909">
        <v>444953.02170568105</v>
      </c>
      <c r="F61" s="910">
        <v>460740.79710033536</v>
      </c>
      <c r="G61" s="909">
        <v>463204.56969756016</v>
      </c>
      <c r="H61" s="911">
        <v>481466.10548368085</v>
      </c>
      <c r="I61" s="909">
        <v>468596.08483161492</v>
      </c>
      <c r="J61" s="909">
        <v>478494.19773586863</v>
      </c>
      <c r="K61" s="909">
        <v>507625.95996703452</v>
      </c>
      <c r="L61" s="909">
        <v>511206.35459259461</v>
      </c>
      <c r="M61" s="910">
        <v>507494.99650955346</v>
      </c>
      <c r="N61" s="909">
        <v>535662.87672863819</v>
      </c>
      <c r="O61" s="909">
        <v>523850.27108873928</v>
      </c>
      <c r="P61" s="909">
        <v>533426.28468855494</v>
      </c>
      <c r="Q61" s="909">
        <v>544859.49134909105</v>
      </c>
      <c r="R61" s="909">
        <v>574613.75504488125</v>
      </c>
      <c r="S61" s="909">
        <v>577716.91728723294</v>
      </c>
      <c r="T61" s="909">
        <v>606513.96394631604</v>
      </c>
      <c r="U61" s="909">
        <v>630119.83824542805</v>
      </c>
      <c r="V61" s="909">
        <v>601954.21941866283</v>
      </c>
      <c r="W61" s="909">
        <v>605510.99251014437</v>
      </c>
      <c r="X61" s="909">
        <v>624077.84292468568</v>
      </c>
      <c r="Y61" s="909">
        <v>630561.20141669817</v>
      </c>
      <c r="Z61" s="909">
        <v>632246.83013273461</v>
      </c>
      <c r="AA61" s="909">
        <v>663094.43448270857</v>
      </c>
      <c r="AB61" s="855">
        <v>681753.16319414286</v>
      </c>
      <c r="AC61" s="855">
        <v>696077.90731888788</v>
      </c>
      <c r="AD61" s="936">
        <v>703609.6757322083</v>
      </c>
      <c r="AE61" s="909">
        <v>706823.47694433935</v>
      </c>
      <c r="AF61" s="909">
        <v>746138.07708720083</v>
      </c>
      <c r="AG61" s="909">
        <v>723735.24594117398</v>
      </c>
      <c r="AH61" s="909">
        <v>752758.66746421135</v>
      </c>
      <c r="AI61" s="909">
        <v>748659.13151183829</v>
      </c>
      <c r="AJ61" s="909">
        <v>733354.18060770433</v>
      </c>
      <c r="AK61" s="909">
        <v>719659.48504536517</v>
      </c>
      <c r="AL61" s="909">
        <v>760499.45805389062</v>
      </c>
      <c r="AM61" s="909">
        <v>773252.44280015444</v>
      </c>
      <c r="AN61" s="909">
        <v>790615.52522006026</v>
      </c>
      <c r="AO61" s="909">
        <v>780986.27990849141</v>
      </c>
      <c r="AP61" s="911">
        <v>763856.00000271969</v>
      </c>
      <c r="AQ61" s="909">
        <v>819322.5324201138</v>
      </c>
      <c r="AR61" s="909">
        <v>803124.72039425466</v>
      </c>
      <c r="AS61" s="909">
        <v>805990.07822863967</v>
      </c>
      <c r="AT61" s="909">
        <v>805323.12107057718</v>
      </c>
      <c r="AU61" s="909">
        <v>814898.81246231764</v>
      </c>
      <c r="AV61" s="909">
        <v>807733.6231706267</v>
      </c>
      <c r="AW61" s="909">
        <v>808480.43114202272</v>
      </c>
      <c r="AX61" s="909">
        <v>802925.72630561446</v>
      </c>
      <c r="AY61" s="909">
        <v>815049.49751314428</v>
      </c>
      <c r="AZ61" s="909">
        <v>830130.71492091997</v>
      </c>
      <c r="BA61" s="909">
        <v>833451.49451887386</v>
      </c>
      <c r="BB61" s="909">
        <v>815832.35192099214</v>
      </c>
      <c r="BC61" s="909">
        <v>815339.29479991982</v>
      </c>
      <c r="BD61" s="909">
        <v>803883.86273326341</v>
      </c>
      <c r="BE61" s="909">
        <v>850342.74366170098</v>
      </c>
      <c r="BF61" s="909">
        <v>871292.62662828504</v>
      </c>
      <c r="BG61" s="909">
        <v>892721.17988087796</v>
      </c>
      <c r="BH61" s="909">
        <v>913488.39506609784</v>
      </c>
      <c r="BI61" s="909">
        <v>913833.09111478226</v>
      </c>
      <c r="BJ61" s="909">
        <v>1025679.5364986513</v>
      </c>
      <c r="BK61" s="909">
        <v>1012035.333333926</v>
      </c>
      <c r="BL61" s="909">
        <v>954121.87023194158</v>
      </c>
      <c r="BM61" s="909">
        <v>992296.62676565617</v>
      </c>
      <c r="BN61" s="909">
        <v>1012404.2143214582</v>
      </c>
      <c r="BO61" s="909">
        <v>1033298.9768260616</v>
      </c>
      <c r="BP61" s="909">
        <v>1013985.1951152171</v>
      </c>
      <c r="BQ61" s="909">
        <v>1062227.4364040988</v>
      </c>
      <c r="BR61" s="909">
        <v>1078181.8810915288</v>
      </c>
      <c r="BS61" s="909">
        <v>1086441.5921039591</v>
      </c>
      <c r="BT61" s="909">
        <v>1053578.3830951103</v>
      </c>
      <c r="BU61" s="909">
        <v>1119531.2698697732</v>
      </c>
      <c r="BV61" s="909">
        <v>1047041.8605696339</v>
      </c>
      <c r="BW61" s="909">
        <v>1112462.9753115466</v>
      </c>
      <c r="BX61" s="909">
        <v>1086642.1355580031</v>
      </c>
      <c r="BY61" s="909">
        <v>1064583.9672632939</v>
      </c>
      <c r="BZ61" s="909">
        <v>1149757.9766855945</v>
      </c>
      <c r="CA61" s="909">
        <v>1131968.1532015936</v>
      </c>
      <c r="CB61" s="909">
        <v>1161633.9910541489</v>
      </c>
      <c r="CC61" s="909">
        <v>1173013.0120292972</v>
      </c>
      <c r="CD61" s="909">
        <v>1187141.955914408</v>
      </c>
      <c r="CE61" s="909">
        <v>1225161.317670773</v>
      </c>
      <c r="CF61" s="909">
        <v>1246006.7916879642</v>
      </c>
      <c r="CG61" s="909">
        <v>1223903.21713633</v>
      </c>
      <c r="CH61" s="909">
        <v>1265080.4399430116</v>
      </c>
      <c r="CI61" s="909">
        <v>1255390.1417716164</v>
      </c>
      <c r="CJ61" s="909">
        <v>1288833.6472017488</v>
      </c>
      <c r="CK61" s="909">
        <v>1243570.2529162969</v>
      </c>
      <c r="CL61" s="909">
        <v>1266162.9329481204</v>
      </c>
      <c r="CM61" s="909">
        <v>1268818.4173121215</v>
      </c>
      <c r="CN61" s="909">
        <v>1242486.2931605482</v>
      </c>
      <c r="CO61" s="909">
        <v>1247268.40425243</v>
      </c>
      <c r="CP61" s="909">
        <v>1276910.0596211508</v>
      </c>
      <c r="CQ61" s="909">
        <v>1242745.0389651642</v>
      </c>
      <c r="CR61" s="909">
        <v>1286030.2886565591</v>
      </c>
      <c r="CS61" s="909">
        <v>1275459.3828028138</v>
      </c>
      <c r="CT61" s="909">
        <v>1313411.567737563</v>
      </c>
      <c r="CU61" s="909">
        <v>1291167.5221563203</v>
      </c>
      <c r="CV61" s="909">
        <v>1346276.3006017897</v>
      </c>
      <c r="CW61" s="909">
        <v>1381765.5424567088</v>
      </c>
      <c r="CX61" s="909">
        <v>1368264.0546602092</v>
      </c>
      <c r="CY61" s="909">
        <v>1297898.6516665085</v>
      </c>
      <c r="CZ61" s="909">
        <v>1289388.268826518</v>
      </c>
      <c r="DA61" s="909">
        <v>1279102.6584194731</v>
      </c>
      <c r="DB61" s="910">
        <v>1232006.7647019469</v>
      </c>
      <c r="DC61" s="909">
        <v>1250530.9795248003</v>
      </c>
      <c r="DD61" s="855">
        <v>1253499.1503665082</v>
      </c>
      <c r="DE61" s="855">
        <v>1241453.8564016731</v>
      </c>
      <c r="DF61" s="855">
        <v>1220656.4641479019</v>
      </c>
      <c r="DG61" s="855">
        <v>1206897.0256862838</v>
      </c>
      <c r="DH61" s="855">
        <v>1187508.3202930365</v>
      </c>
      <c r="DI61" s="855">
        <v>1175902.7189653323</v>
      </c>
      <c r="DJ61" s="855">
        <v>1265345.0616837367</v>
      </c>
      <c r="DK61" s="855">
        <v>1297840.1542073502</v>
      </c>
      <c r="DL61" s="855">
        <v>1272957.3799588468</v>
      </c>
      <c r="DM61" s="855">
        <v>1296645.3336650261</v>
      </c>
      <c r="DN61" s="855">
        <v>1316971.3453675341</v>
      </c>
      <c r="DO61" s="855">
        <v>1320248.5974743732</v>
      </c>
      <c r="DP61" s="855">
        <v>1438560.6870774999</v>
      </c>
      <c r="DQ61" s="855">
        <v>1428986.1897226707</v>
      </c>
      <c r="DR61" s="855">
        <v>1367422.4588623198</v>
      </c>
      <c r="DS61" s="855">
        <v>1325959.7541220165</v>
      </c>
    </row>
    <row r="62" spans="1:123" ht="16.5" thickBot="1">
      <c r="A62" s="881"/>
      <c r="B62" s="882"/>
      <c r="C62" s="885"/>
      <c r="D62" s="885"/>
      <c r="E62" s="885"/>
      <c r="F62" s="942"/>
      <c r="G62" s="885"/>
      <c r="H62" s="943"/>
      <c r="I62" s="885"/>
      <c r="J62" s="885"/>
      <c r="K62" s="885"/>
      <c r="L62" s="885"/>
      <c r="M62" s="942"/>
      <c r="N62" s="885"/>
      <c r="O62" s="885"/>
      <c r="P62" s="885"/>
      <c r="Q62" s="885"/>
      <c r="R62" s="885"/>
      <c r="S62" s="885"/>
      <c r="T62" s="885"/>
      <c r="U62" s="885"/>
      <c r="V62" s="885"/>
      <c r="W62" s="885"/>
      <c r="X62" s="885"/>
      <c r="Y62" s="885"/>
      <c r="Z62" s="885"/>
      <c r="AA62" s="885"/>
      <c r="AB62" s="883"/>
      <c r="AC62" s="883"/>
      <c r="AD62" s="884"/>
      <c r="AE62" s="885"/>
      <c r="AF62" s="885"/>
      <c r="AG62" s="885"/>
      <c r="AH62" s="885"/>
      <c r="AI62" s="885"/>
      <c r="AJ62" s="885"/>
      <c r="AK62" s="885"/>
      <c r="AL62" s="885"/>
      <c r="AM62" s="885"/>
      <c r="AN62" s="883"/>
      <c r="AO62" s="883"/>
      <c r="AP62" s="943"/>
      <c r="AQ62" s="885"/>
      <c r="AR62" s="885"/>
      <c r="AS62" s="885"/>
      <c r="AT62" s="885"/>
      <c r="AU62" s="885"/>
      <c r="AV62" s="885"/>
      <c r="AW62" s="885"/>
      <c r="AX62" s="885"/>
      <c r="AY62" s="885"/>
      <c r="AZ62" s="885"/>
      <c r="BA62" s="885"/>
      <c r="BB62" s="885"/>
      <c r="BC62" s="885"/>
      <c r="BD62" s="885"/>
      <c r="BE62" s="885"/>
      <c r="BF62" s="885"/>
      <c r="BG62" s="885"/>
      <c r="BH62" s="885"/>
      <c r="BI62" s="885"/>
      <c r="BJ62" s="885"/>
      <c r="BK62" s="885"/>
      <c r="BL62" s="885"/>
      <c r="BM62" s="885"/>
      <c r="BN62" s="885"/>
      <c r="BO62" s="885"/>
      <c r="BP62" s="885"/>
      <c r="BQ62" s="885"/>
      <c r="BR62" s="885"/>
      <c r="BS62" s="885"/>
      <c r="BT62" s="885"/>
      <c r="BU62" s="885"/>
      <c r="BV62" s="885"/>
      <c r="BW62" s="885"/>
      <c r="BX62" s="885"/>
      <c r="BY62" s="885"/>
      <c r="BZ62" s="885"/>
      <c r="CA62" s="885"/>
      <c r="CB62" s="885"/>
      <c r="CC62" s="885"/>
      <c r="CD62" s="885"/>
      <c r="CE62" s="885"/>
      <c r="CF62" s="885"/>
      <c r="CG62" s="885"/>
      <c r="CH62" s="885"/>
      <c r="CI62" s="885"/>
      <c r="CJ62" s="885"/>
      <c r="CK62" s="885"/>
      <c r="CL62" s="885"/>
      <c r="CM62" s="885"/>
      <c r="CN62" s="885"/>
      <c r="CO62" s="885"/>
      <c r="CP62" s="885"/>
      <c r="CQ62" s="885"/>
      <c r="CR62" s="885"/>
      <c r="CS62" s="885"/>
      <c r="CT62" s="885"/>
      <c r="CU62" s="885"/>
      <c r="CV62" s="885"/>
      <c r="CW62" s="885"/>
      <c r="CX62" s="885"/>
      <c r="CY62" s="885"/>
      <c r="CZ62" s="885"/>
      <c r="DA62" s="885"/>
      <c r="DB62" s="942"/>
      <c r="DC62" s="885"/>
      <c r="DD62" s="883"/>
      <c r="DE62" s="883"/>
      <c r="DF62" s="883"/>
      <c r="DG62" s="883"/>
      <c r="DH62" s="883"/>
      <c r="DI62" s="883"/>
      <c r="DJ62" s="883"/>
      <c r="DK62" s="883"/>
      <c r="DL62" s="883"/>
      <c r="DM62" s="883"/>
      <c r="DN62" s="883"/>
      <c r="DO62" s="883"/>
      <c r="DP62" s="883"/>
      <c r="DQ62" s="883"/>
      <c r="DR62" s="883"/>
      <c r="DS62" s="883"/>
    </row>
    <row r="63" spans="1:123" ht="15.75" thickTop="1">
      <c r="A63" s="628" t="s">
        <v>2346</v>
      </c>
      <c r="B63" s="807"/>
      <c r="C63" s="807"/>
      <c r="D63" s="807"/>
      <c r="E63" s="807"/>
      <c r="F63" s="807"/>
      <c r="G63" s="807"/>
      <c r="H63" s="807"/>
      <c r="I63" s="807"/>
      <c r="J63" s="541"/>
      <c r="K63" s="541"/>
      <c r="L63" s="541"/>
      <c r="M63" s="541"/>
      <c r="N63" s="541"/>
      <c r="O63" s="541"/>
      <c r="P63" s="541"/>
      <c r="Q63" s="541"/>
      <c r="R63" s="541"/>
      <c r="S63" s="541"/>
      <c r="T63" s="541"/>
      <c r="U63" s="541"/>
      <c r="V63" s="541"/>
      <c r="W63" s="541"/>
      <c r="X63" s="541"/>
      <c r="Y63" s="541"/>
      <c r="Z63" s="541"/>
      <c r="AA63" s="541"/>
      <c r="AB63" s="541"/>
      <c r="AC63" s="541"/>
      <c r="AD63" s="541"/>
      <c r="AE63" s="541"/>
      <c r="AF63" s="541"/>
      <c r="AG63" s="541"/>
      <c r="AH63" s="541"/>
      <c r="AI63" s="541"/>
      <c r="AJ63" s="541"/>
    </row>
    <row r="64" spans="1:123">
      <c r="A64" s="628" t="s">
        <v>2553</v>
      </c>
      <c r="B64" s="807"/>
      <c r="C64" s="807"/>
      <c r="D64" s="807"/>
      <c r="E64" s="807"/>
      <c r="F64" s="807"/>
      <c r="G64" s="807"/>
      <c r="H64" s="807"/>
      <c r="I64" s="807"/>
      <c r="J64" s="541"/>
      <c r="K64" s="541"/>
      <c r="L64" s="541"/>
      <c r="M64" s="541"/>
      <c r="N64" s="541"/>
      <c r="O64" s="541"/>
      <c r="P64" s="541"/>
      <c r="Q64" s="541"/>
      <c r="R64" s="541"/>
      <c r="S64" s="541"/>
      <c r="T64" s="541"/>
      <c r="U64" s="541"/>
      <c r="V64" s="541"/>
      <c r="W64" s="541"/>
      <c r="X64" s="541"/>
      <c r="Y64" s="541"/>
      <c r="Z64" s="541"/>
      <c r="AA64" s="541"/>
      <c r="AB64" s="541"/>
      <c r="AC64" s="541"/>
      <c r="AD64" s="541"/>
      <c r="AE64" s="541"/>
      <c r="AF64" s="541"/>
      <c r="AG64" s="541"/>
      <c r="AH64" s="541"/>
      <c r="AI64" s="541"/>
      <c r="AJ64" s="541"/>
    </row>
    <row r="65" spans="1:106">
      <c r="A65" s="628" t="s">
        <v>2053</v>
      </c>
    </row>
    <row r="66" spans="1:106" ht="15" hidden="1" customHeight="1">
      <c r="C66" s="944">
        <f>([6]sheet1!$N$463+'[7]Cat 2-MUR'!$P$463)/1000000</f>
        <v>445837.09648146777</v>
      </c>
      <c r="D66" s="944">
        <f>[8]Sheet1!$C$433/1000000</f>
        <v>432333.73578588484</v>
      </c>
      <c r="E66" s="944">
        <f>[9]Sheet1!$C$433/1000000</f>
        <v>444953.02170568111</v>
      </c>
      <c r="F66" s="944">
        <f>[10]Sheet1!$C$433/1000000</f>
        <v>460740.79710033548</v>
      </c>
      <c r="G66" s="944">
        <f>[11]Sheet1!$C$433/1000000</f>
        <v>463204.56969756016</v>
      </c>
      <c r="H66" s="944">
        <f>[12]Sheet1!$C$433/1000000</f>
        <v>481466.10548368079</v>
      </c>
      <c r="I66" s="944">
        <f>[13]Sheet1!$C$433/1000000</f>
        <v>468596.08483161498</v>
      </c>
      <c r="J66" s="944">
        <f>[14]Sheet1!$C$433/1000000</f>
        <v>478494.19773586845</v>
      </c>
      <c r="K66" s="944">
        <f>[15]Sheet1!$C$433/1000000</f>
        <v>507625.95996703452</v>
      </c>
      <c r="L66" s="944">
        <f>[16]Sheet1!$C$433/1000000</f>
        <v>511206.35459259461</v>
      </c>
      <c r="M66" s="944">
        <f>[17]Sheet1!$C$433/1000000</f>
        <v>507494.99650955334</v>
      </c>
      <c r="N66" s="944">
        <f>[18]Sheet1!$C$433/1000000</f>
        <v>535662.87672863808</v>
      </c>
      <c r="O66" s="944">
        <f>[19]Sheet1!$C$433/1000000</f>
        <v>523850.27108873933</v>
      </c>
      <c r="P66" s="944">
        <f>[20]Sheet1!$C$433/1000000</f>
        <v>533426.28468855482</v>
      </c>
      <c r="Q66" s="944">
        <f>[21]Sheet1!$C$433/1000000</f>
        <v>544859.49134909117</v>
      </c>
      <c r="R66" s="944">
        <f>[22]Sheet1!$C$433/1000000</f>
        <v>574613.75504488125</v>
      </c>
      <c r="S66" s="944">
        <f>[23]Sheet1!$C$433/1000000</f>
        <v>577716.91728723282</v>
      </c>
      <c r="T66" s="944">
        <f>[24]Sheet1!$C$433/1000000</f>
        <v>606513.96394631593</v>
      </c>
      <c r="U66" s="944">
        <f>[25]Sheet1!$C$433/1000000</f>
        <v>630119.83824542793</v>
      </c>
      <c r="V66" s="944">
        <f>[26]Sheet1!$C$433/1000000</f>
        <v>601954.21941866272</v>
      </c>
      <c r="W66" s="944">
        <f>[27]Sheet1!$C$433/1000000</f>
        <v>605510.99251014437</v>
      </c>
      <c r="X66" s="944">
        <f>[28]Sheet1!$C$433/1000000</f>
        <v>624077.84292468592</v>
      </c>
      <c r="Y66" s="944">
        <f>[29]Sheet1!$C$433/1000000</f>
        <v>630561.20141669805</v>
      </c>
      <c r="Z66" s="944">
        <f>[30]Sheet1!$C$433/1000000</f>
        <v>632246.8301327345</v>
      </c>
      <c r="AA66" s="944">
        <f>[31]Sheet1!$C$433/1000000</f>
        <v>663094.43448270857</v>
      </c>
      <c r="AB66" s="944">
        <f>[32]Sheet1!$C$433/1000000</f>
        <v>681753.16319414286</v>
      </c>
      <c r="AC66" s="944">
        <f>[33]Sheet1!$C$433/1000000</f>
        <v>696077.90731888788</v>
      </c>
      <c r="AD66" s="944">
        <f>[34]Sheet1!$C$433/1000000</f>
        <v>703609.67573220818</v>
      </c>
      <c r="AE66" s="944">
        <f>[35]Sheet1!$C$433/1000000</f>
        <v>706823.47694433935</v>
      </c>
      <c r="AF66" s="944">
        <f>[36]Sheet1!$C$433/1000000</f>
        <v>746138.07708720095</v>
      </c>
      <c r="AG66" s="944">
        <f>[37]Sheet1!$C$433/1000000</f>
        <v>723735.24594117375</v>
      </c>
      <c r="AH66" s="944">
        <f>[38]Sheet1!$C$433/1000000</f>
        <v>752758.66746476921</v>
      </c>
      <c r="AI66" s="944">
        <f>[39]Sheet1!$C$433/1000000</f>
        <v>748659.13151183829</v>
      </c>
    </row>
    <row r="68" spans="1:106">
      <c r="C68" s="944">
        <f t="shared" ref="C68:BN68" si="0">C61-C28</f>
        <v>7.691036444157362E-6</v>
      </c>
      <c r="D68" s="944">
        <f t="shared" si="0"/>
        <v>7.2157068643718958E-5</v>
      </c>
      <c r="E68" s="944">
        <f t="shared" si="0"/>
        <v>-1.3936951290816069E-5</v>
      </c>
      <c r="F68" s="944">
        <f t="shared" si="0"/>
        <v>1.2735836207866669E-7</v>
      </c>
      <c r="G68" s="944">
        <f t="shared" si="0"/>
        <v>4.7089066356420517E-5</v>
      </c>
      <c r="H68" s="944">
        <f t="shared" si="0"/>
        <v>9.3560083769261837E-6</v>
      </c>
      <c r="I68" s="944">
        <f t="shared" si="0"/>
        <v>-1.9650906324386597E-7</v>
      </c>
      <c r="J68" s="944">
        <f t="shared" si="0"/>
        <v>-4.2904866859316826E-7</v>
      </c>
      <c r="K68" s="944">
        <f t="shared" si="0"/>
        <v>3.7840800359845161E-7</v>
      </c>
      <c r="L68" s="944">
        <f t="shared" si="0"/>
        <v>-5.8789737522602081E-7</v>
      </c>
      <c r="M68" s="944">
        <f t="shared" si="0"/>
        <v>-1.84424570761621E-5</v>
      </c>
      <c r="N68" s="944">
        <f t="shared" si="0"/>
        <v>-3.535436699166894E-4</v>
      </c>
      <c r="O68" s="944">
        <f t="shared" si="0"/>
        <v>-5.2216346375644207E-6</v>
      </c>
      <c r="P68" s="944">
        <f t="shared" si="0"/>
        <v>-6.2298611737787724E-5</v>
      </c>
      <c r="Q68" s="944">
        <f t="shared" si="0"/>
        <v>-1.3456062879413366E-4</v>
      </c>
      <c r="R68" s="944">
        <f t="shared" si="0"/>
        <v>-3.0886032618582249E-5</v>
      </c>
      <c r="S68" s="944">
        <f t="shared" si="0"/>
        <v>-5.0763250328600407E-5</v>
      </c>
      <c r="T68" s="944">
        <f t="shared" si="0"/>
        <v>4.1913008317351341E-5</v>
      </c>
      <c r="U68" s="944">
        <f t="shared" si="0"/>
        <v>-1.1322903446853161E-5</v>
      </c>
      <c r="V68" s="944">
        <f t="shared" si="0"/>
        <v>-7.4238749220967293E-5</v>
      </c>
      <c r="W68" s="944">
        <f t="shared" si="0"/>
        <v>-6.7624496296048164E-5</v>
      </c>
      <c r="X68" s="944">
        <f t="shared" si="0"/>
        <v>-6.8733119405806065E-5</v>
      </c>
      <c r="Y68" s="944">
        <f t="shared" si="0"/>
        <v>-6.8150809966027737E-5</v>
      </c>
      <c r="Z68" s="944">
        <f t="shared" si="0"/>
        <v>-7.3958653956651688E-7</v>
      </c>
      <c r="AA68" s="944">
        <f t="shared" si="0"/>
        <v>4.2072497308254242E-7</v>
      </c>
      <c r="AB68" s="944">
        <f t="shared" si="0"/>
        <v>-4.8408983275294304E-6</v>
      </c>
      <c r="AC68" s="944">
        <f t="shared" si="0"/>
        <v>-4.2119063436985016E-7</v>
      </c>
      <c r="AD68" s="944">
        <f t="shared" si="0"/>
        <v>8.6147338151931763E-9</v>
      </c>
      <c r="AE68" s="944">
        <f t="shared" si="0"/>
        <v>4.7264620661735535E-8</v>
      </c>
      <c r="AF68" s="944">
        <f t="shared" si="0"/>
        <v>-2.3993197828531265E-7</v>
      </c>
      <c r="AG68" s="944">
        <f t="shared" si="0"/>
        <v>2.4319160729646683E-7</v>
      </c>
      <c r="AH68" s="944">
        <f t="shared" si="0"/>
        <v>-6.3586048781871796E-7</v>
      </c>
      <c r="AI68" s="944">
        <f t="shared" si="0"/>
        <v>-1.2246891856193542E-7</v>
      </c>
      <c r="AJ68" s="944">
        <f t="shared" si="0"/>
        <v>-1.0454095900058746E-7</v>
      </c>
      <c r="AK68" s="944">
        <f t="shared" si="0"/>
        <v>-1.4493707567453384E-7</v>
      </c>
      <c r="AL68" s="944">
        <f t="shared" si="0"/>
        <v>-6.8172812461853027E-7</v>
      </c>
      <c r="AM68" s="944">
        <f t="shared" si="0"/>
        <v>3.5099219530820847E-7</v>
      </c>
      <c r="AN68" s="944">
        <f t="shared" si="0"/>
        <v>-5.1257666200399399E-7</v>
      </c>
      <c r="AO68" s="944">
        <f t="shared" si="0"/>
        <v>9.4913411885499954E-7</v>
      </c>
      <c r="AP68" s="944">
        <f t="shared" si="0"/>
        <v>-2.7260975912213326E-6</v>
      </c>
      <c r="AQ68" s="944">
        <f t="shared" si="0"/>
        <v>-1.1589145287871361E-6</v>
      </c>
      <c r="AR68" s="944">
        <f t="shared" si="0"/>
        <v>-3.6030542105436325E-7</v>
      </c>
      <c r="AS68" s="944">
        <f t="shared" si="0"/>
        <v>8.3178747445344925E-7</v>
      </c>
      <c r="AT68" s="944">
        <f t="shared" si="0"/>
        <v>-7.7532604336738586E-8</v>
      </c>
      <c r="AU68" s="944">
        <f t="shared" si="0"/>
        <v>1.1521624401211739E-6</v>
      </c>
      <c r="AV68" s="944">
        <f t="shared" si="0"/>
        <v>-3.3443677239120007E-5</v>
      </c>
      <c r="AW68" s="944">
        <f t="shared" si="0"/>
        <v>-9.5495488494634628E-7</v>
      </c>
      <c r="AX68" s="944">
        <f t="shared" si="0"/>
        <v>2.0791776478290558E-6</v>
      </c>
      <c r="AY68" s="944">
        <f t="shared" si="0"/>
        <v>-2.1583400666713715E-7</v>
      </c>
      <c r="AZ68" s="944">
        <f t="shared" si="0"/>
        <v>9.4878487288951874E-8</v>
      </c>
      <c r="BA68" s="944">
        <f t="shared" si="0"/>
        <v>-4.6822242438793182E-7</v>
      </c>
      <c r="BB68" s="944">
        <f t="shared" si="0"/>
        <v>-1.5331897884607315E-7</v>
      </c>
      <c r="BC68" s="944">
        <f t="shared" si="0"/>
        <v>-2.0394916646182537E-5</v>
      </c>
      <c r="BD68" s="944">
        <f t="shared" si="0"/>
        <v>-1.5110708773136139E-7</v>
      </c>
      <c r="BE68" s="944">
        <f t="shared" si="0"/>
        <v>3.2340176403522491E-7</v>
      </c>
      <c r="BF68" s="944">
        <f t="shared" si="0"/>
        <v>-2.8568319976329803E-7</v>
      </c>
      <c r="BG68" s="944">
        <f t="shared" si="0"/>
        <v>-8.2189217209815979E-7</v>
      </c>
      <c r="BH68" s="944">
        <f t="shared" si="0"/>
        <v>1.1478550732135773E-6</v>
      </c>
      <c r="BI68" s="944">
        <f t="shared" si="0"/>
        <v>7.2643160820007324E-7</v>
      </c>
      <c r="BJ68" s="944">
        <f t="shared" si="0"/>
        <v>2.5262124836444855E-8</v>
      </c>
      <c r="BK68" s="944">
        <f t="shared" si="0"/>
        <v>-1.9842642359435558E-5</v>
      </c>
      <c r="BL68" s="944">
        <f t="shared" si="0"/>
        <v>-2.1160929463803768E-5</v>
      </c>
      <c r="BM68" s="944">
        <f t="shared" si="0"/>
        <v>-1.9839615561068058E-5</v>
      </c>
      <c r="BN68" s="944">
        <f t="shared" si="0"/>
        <v>-2.0204461179673672E-5</v>
      </c>
      <c r="BO68" s="944">
        <f t="shared" ref="BO68:CV68" si="1">BO61-BO28</f>
        <v>-1.9651488400995731E-5</v>
      </c>
      <c r="BP68" s="944">
        <f t="shared" si="1"/>
        <v>-2.1539046429097652E-5</v>
      </c>
      <c r="BQ68" s="944">
        <f t="shared" si="1"/>
        <v>-2.0567560568451881E-5</v>
      </c>
      <c r="BR68" s="944">
        <f t="shared" si="1"/>
        <v>-1.920526847243309E-5</v>
      </c>
      <c r="BS68" s="944">
        <f t="shared" si="1"/>
        <v>-2.0696315914392471E-5</v>
      </c>
      <c r="BT68" s="944">
        <f t="shared" si="1"/>
        <v>-1.863064244389534E-5</v>
      </c>
      <c r="BU68" s="944">
        <f t="shared" si="1"/>
        <v>-2.2605527192354202E-5</v>
      </c>
      <c r="BV68" s="944">
        <f t="shared" si="1"/>
        <v>-1.960177905857563E-5</v>
      </c>
      <c r="BW68" s="944">
        <f t="shared" si="1"/>
        <v>-5.2760588005185127E-5</v>
      </c>
      <c r="BX68" s="944">
        <f t="shared" si="1"/>
        <v>-2.1268380805850029E-5</v>
      </c>
      <c r="BY68" s="944">
        <f t="shared" si="1"/>
        <v>-2.0362669602036476E-5</v>
      </c>
      <c r="BZ68" s="944">
        <f t="shared" si="1"/>
        <v>-2.0428560674190521E-5</v>
      </c>
      <c r="CA68" s="944">
        <f t="shared" si="1"/>
        <v>-2.1701212972402573E-5</v>
      </c>
      <c r="CB68" s="944">
        <f t="shared" si="1"/>
        <v>-2.0670704543590546E-5</v>
      </c>
      <c r="CC68" s="944">
        <f t="shared" si="1"/>
        <v>-2.1010171622037888E-5</v>
      </c>
      <c r="CD68" s="944">
        <f t="shared" si="1"/>
        <v>-2.0581530407071114E-5</v>
      </c>
      <c r="CE68" s="944">
        <f t="shared" si="1"/>
        <v>-2.0582228899002075E-5</v>
      </c>
      <c r="CF68" s="944">
        <f t="shared" si="1"/>
        <v>-2.3123109713196754E-5</v>
      </c>
      <c r="CG68" s="944">
        <f t="shared" si="1"/>
        <v>-2.0289327949285507E-5</v>
      </c>
      <c r="CH68" s="944">
        <f t="shared" si="1"/>
        <v>-2.1471874788403511E-5</v>
      </c>
      <c r="CI68" s="944">
        <f t="shared" si="1"/>
        <v>1.3401731848716736E-6</v>
      </c>
      <c r="CJ68" s="944">
        <f t="shared" si="1"/>
        <v>-1.062639057636261E-6</v>
      </c>
      <c r="CK68" s="944">
        <f t="shared" si="1"/>
        <v>4.116445779800415E-7</v>
      </c>
      <c r="CL68" s="944">
        <f t="shared" si="1"/>
        <v>-6.3958577811717987E-7</v>
      </c>
      <c r="CM68" s="944">
        <f t="shared" si="1"/>
        <v>-1.3418029993772507E-6</v>
      </c>
      <c r="CN68" s="944">
        <f t="shared" si="1"/>
        <v>-1.0021030902862549E-6</v>
      </c>
      <c r="CO68" s="944">
        <f t="shared" si="1"/>
        <v>-3.9837323129177094E-7</v>
      </c>
      <c r="CP68" s="944">
        <f t="shared" si="1"/>
        <v>9.0058892965316772E-7</v>
      </c>
      <c r="CQ68" s="944">
        <f t="shared" si="1"/>
        <v>2.4982728064060211E-6</v>
      </c>
      <c r="CR68" s="944">
        <f t="shared" si="1"/>
        <v>1.4402903616428375E-6</v>
      </c>
      <c r="CS68" s="944">
        <f t="shared" si="1"/>
        <v>3.6321580410003662E-8</v>
      </c>
      <c r="CT68" s="944">
        <f t="shared" si="1"/>
        <v>-2.8149224817752838E-7</v>
      </c>
      <c r="CU68" s="944">
        <f t="shared" si="1"/>
        <v>-1.5692785382270813E-7</v>
      </c>
      <c r="CV68" s="944">
        <f t="shared" si="1"/>
        <v>-1.9744038581848145E-7</v>
      </c>
      <c r="CW68" s="944"/>
      <c r="CX68" s="944"/>
      <c r="CY68" s="944"/>
      <c r="CZ68" s="944"/>
      <c r="DA68" s="944"/>
      <c r="DB68" s="944"/>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52</vt:i4>
      </vt:variant>
    </vt:vector>
  </HeadingPairs>
  <TitlesOfParts>
    <vt:vector size="102"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20c-d-e</vt:lpstr>
      <vt:lpstr>21a-b-22a</vt:lpstr>
      <vt:lpstr>22b-c-d</vt:lpstr>
      <vt:lpstr>23-24</vt:lpstr>
      <vt:lpstr>25a-b</vt:lpstr>
      <vt:lpstr>26</vt:lpstr>
      <vt:lpstr>27a-b</vt:lpstr>
      <vt:lpstr>28</vt:lpstr>
      <vt:lpstr>29</vt:lpstr>
      <vt:lpstr>30</vt:lpstr>
      <vt:lpstr>31</vt:lpstr>
      <vt:lpstr>32</vt:lpstr>
      <vt:lpstr>33</vt:lpstr>
      <vt:lpstr>34a-b </vt:lpstr>
      <vt:lpstr>35a-b</vt:lpstr>
      <vt:lpstr>35c-35d-35e</vt:lpstr>
      <vt:lpstr>36</vt:lpstr>
      <vt:lpstr>37</vt:lpstr>
      <vt:lpstr>38-39</vt:lpstr>
      <vt:lpstr>40-41</vt:lpstr>
      <vt:lpstr>42-43-44</vt:lpstr>
      <vt:lpstr>45-46</vt:lpstr>
      <vt:lpstr>47</vt:lpstr>
      <vt:lpstr>48a-b</vt:lpstr>
      <vt:lpstr>49a-b</vt:lpstr>
      <vt:lpstr>50</vt:lpstr>
      <vt:lpstr>51</vt:lpstr>
      <vt:lpstr>52a-b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'20c-d-e'!Print_Area</vt:lpstr>
      <vt:lpstr>'21a-b-22a'!Print_Area</vt:lpstr>
      <vt:lpstr>'22b-c-d'!Print_Area</vt:lpstr>
      <vt:lpstr>'23-24'!Print_Area</vt:lpstr>
      <vt:lpstr>'25a-b'!Print_Area</vt:lpstr>
      <vt:lpstr>'26'!Print_Area</vt:lpstr>
      <vt:lpstr>'27a-b'!Print_Area</vt:lpstr>
      <vt:lpstr>'28'!Print_Area</vt:lpstr>
      <vt:lpstr>'29'!Print_Area</vt:lpstr>
      <vt:lpstr>'30'!Print_Area</vt:lpstr>
      <vt:lpstr>'31'!Print_Area</vt:lpstr>
      <vt:lpstr>'32'!Print_Area</vt:lpstr>
      <vt:lpstr>'33'!Print_Area</vt:lpstr>
      <vt:lpstr>'34a-b '!Print_Area</vt:lpstr>
      <vt:lpstr>'35a-b'!Print_Area</vt:lpstr>
      <vt:lpstr>'35c-35d-35e'!Print_Area</vt:lpstr>
      <vt:lpstr>'36'!Print_Area</vt:lpstr>
      <vt:lpstr>'37'!Print_Area</vt:lpstr>
      <vt:lpstr>'38-39'!Print_Area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 16 a-b'!Print_Titles</vt:lpstr>
      <vt:lpstr>'12'!Print_Titles</vt:lpstr>
      <vt:lpstr>'13'!Print_Titles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Pratima Keerodhur</dc:creator>
  <cp:lastModifiedBy>softadmin kaajal</cp:lastModifiedBy>
  <cp:lastPrinted>2015-08-18T10:02:42Z</cp:lastPrinted>
  <dcterms:created xsi:type="dcterms:W3CDTF">2000-03-07T11:24:33Z</dcterms:created>
  <dcterms:modified xsi:type="dcterms:W3CDTF">2015-08-18T10:32:46Z</dcterms:modified>
</cp:coreProperties>
</file>